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bookViews>
    <workbookView xWindow="-12" yWindow="-12" windowWidth="6168" windowHeight="2448" activeTab="1"/>
  </bookViews>
  <sheets>
    <sheet name="Calculator" sheetId="8" r:id="rId1"/>
    <sheet name="Cost-Ben Worksheet" sheetId="1" r:id="rId2"/>
    <sheet name="NPV and Scenarios" sheetId="3" r:id="rId3"/>
    <sheet name="Charts" sheetId="9" r:id="rId4"/>
  </sheets>
  <calcPr calcId="124519"/>
</workbook>
</file>

<file path=xl/calcChain.xml><?xml version="1.0" encoding="utf-8"?>
<calcChain xmlns="http://schemas.openxmlformats.org/spreadsheetml/2006/main">
  <c r="B9" i="1"/>
  <c r="D17"/>
  <c r="D20"/>
  <c r="D37" s="1"/>
  <c r="D25"/>
  <c r="D29"/>
  <c r="D33"/>
  <c r="D36"/>
  <c r="D38"/>
  <c r="D44"/>
  <c r="D48"/>
  <c r="D50" s="1"/>
  <c r="C128" s="1"/>
  <c r="C136" s="1"/>
  <c r="C6" i="3" s="1"/>
  <c r="C54" i="1"/>
  <c r="C55" s="1"/>
  <c r="D57" s="1"/>
  <c r="C59"/>
  <c r="C60"/>
  <c r="C63" s="1"/>
  <c r="D64" s="1"/>
  <c r="C61"/>
  <c r="C62"/>
  <c r="C66"/>
  <c r="C67"/>
  <c r="I67"/>
  <c r="C68"/>
  <c r="D70" s="1"/>
  <c r="I68"/>
  <c r="I69"/>
  <c r="D84"/>
  <c r="D85"/>
  <c r="C91"/>
  <c r="D93"/>
  <c r="C97"/>
  <c r="D98"/>
  <c r="D102"/>
  <c r="C107"/>
  <c r="D108" s="1"/>
  <c r="D112"/>
  <c r="C115"/>
  <c r="D116"/>
  <c r="C119"/>
  <c r="D120"/>
  <c r="D123" s="1"/>
  <c r="C134" s="1"/>
  <c r="C138" s="1"/>
  <c r="C8" i="3" s="1"/>
  <c r="C127" i="1"/>
  <c r="C130"/>
  <c r="C131"/>
  <c r="C132"/>
  <c r="C135"/>
  <c r="A5" i="3"/>
  <c r="B5"/>
  <c r="C5"/>
  <c r="B6"/>
  <c r="A7"/>
  <c r="B7"/>
  <c r="B8"/>
  <c r="C9"/>
  <c r="G15"/>
  <c r="K15"/>
  <c r="O15"/>
  <c r="S15"/>
  <c r="G16"/>
  <c r="K16"/>
  <c r="O16"/>
  <c r="S16"/>
  <c r="G17"/>
  <c r="K17"/>
  <c r="O17"/>
  <c r="S17"/>
  <c r="G18"/>
  <c r="K18"/>
  <c r="O18"/>
  <c r="S18"/>
  <c r="G19"/>
  <c r="K19"/>
  <c r="O19"/>
  <c r="S19"/>
  <c r="G20"/>
  <c r="K20"/>
  <c r="O20"/>
  <c r="S20"/>
  <c r="G21"/>
  <c r="K21"/>
  <c r="O21"/>
  <c r="S21"/>
  <c r="G22"/>
  <c r="K22"/>
  <c r="O22"/>
  <c r="S22"/>
  <c r="G23"/>
  <c r="K23"/>
  <c r="O23"/>
  <c r="S23"/>
  <c r="G24"/>
  <c r="K24"/>
  <c r="O24"/>
  <c r="S24"/>
  <c r="G25"/>
  <c r="K25"/>
  <c r="O25"/>
  <c r="S25"/>
  <c r="G26"/>
  <c r="K26"/>
  <c r="O26"/>
  <c r="S26"/>
  <c r="G27"/>
  <c r="K27"/>
  <c r="O27"/>
  <c r="S27"/>
  <c r="G30"/>
  <c r="K30"/>
  <c r="G32"/>
  <c r="G33"/>
  <c r="K33"/>
  <c r="O33"/>
  <c r="G34"/>
  <c r="K34"/>
  <c r="O34"/>
  <c r="B42"/>
  <c r="D42"/>
  <c r="E42" s="1"/>
  <c r="D122" i="1" l="1"/>
  <c r="C133" s="1"/>
  <c r="D74"/>
  <c r="C129" s="1"/>
  <c r="G14" i="3"/>
  <c r="O14"/>
  <c r="K14"/>
  <c r="S14"/>
  <c r="C137" i="1" l="1"/>
  <c r="C7" i="3" s="1"/>
  <c r="H28" s="1"/>
  <c r="I28" s="1"/>
  <c r="P28"/>
  <c r="Q28" s="1"/>
  <c r="H29"/>
  <c r="I29" s="1"/>
  <c r="P29"/>
  <c r="Q29" s="1"/>
  <c r="P30"/>
  <c r="Q30" s="1"/>
  <c r="H31"/>
  <c r="I31" s="1"/>
  <c r="P31"/>
  <c r="Q31" s="1"/>
  <c r="L32"/>
  <c r="M32" s="1"/>
  <c r="T32"/>
  <c r="U32" s="1"/>
  <c r="H33"/>
  <c r="I33" s="1"/>
  <c r="L33"/>
  <c r="M33" s="1"/>
  <c r="P33"/>
  <c r="Q33" s="1"/>
  <c r="T34"/>
  <c r="U34" s="1"/>
  <c r="L35"/>
  <c r="M35" s="1"/>
  <c r="T35"/>
  <c r="U35" s="1"/>
  <c r="C44"/>
  <c r="D44" s="1"/>
  <c r="C46"/>
  <c r="D46" s="1"/>
  <c r="C48"/>
  <c r="D48" s="1"/>
  <c r="C50"/>
  <c r="D50" s="1"/>
  <c r="C52"/>
  <c r="D52" s="1"/>
  <c r="C54"/>
  <c r="D54" s="1"/>
  <c r="C56"/>
  <c r="D56" s="1"/>
  <c r="C57"/>
  <c r="D57" s="1"/>
  <c r="H15"/>
  <c r="I15" s="1"/>
  <c r="L15"/>
  <c r="M15" s="1"/>
  <c r="P15"/>
  <c r="Q15" s="1"/>
  <c r="T15"/>
  <c r="U15" s="1"/>
  <c r="H16"/>
  <c r="I16" s="1"/>
  <c r="L16"/>
  <c r="M16" s="1"/>
  <c r="P16"/>
  <c r="Q16" s="1"/>
  <c r="T16"/>
  <c r="U16" s="1"/>
  <c r="H17"/>
  <c r="I17" s="1"/>
  <c r="L17"/>
  <c r="M17" s="1"/>
  <c r="P17"/>
  <c r="Q17" s="1"/>
  <c r="T17"/>
  <c r="U17" s="1"/>
  <c r="H18"/>
  <c r="I18" s="1"/>
  <c r="L18"/>
  <c r="M18" s="1"/>
  <c r="P18"/>
  <c r="Q18" s="1"/>
  <c r="T18"/>
  <c r="U18" s="1"/>
  <c r="H19"/>
  <c r="I19" s="1"/>
  <c r="L19"/>
  <c r="M19" s="1"/>
  <c r="P19"/>
  <c r="Q19" s="1"/>
  <c r="T19"/>
  <c r="U19" s="1"/>
  <c r="H20"/>
  <c r="I20" s="1"/>
  <c r="L20"/>
  <c r="M20" s="1"/>
  <c r="P20"/>
  <c r="Q20" s="1"/>
  <c r="T20"/>
  <c r="U20" s="1"/>
  <c r="H21"/>
  <c r="I21" s="1"/>
  <c r="L21"/>
  <c r="M21" s="1"/>
  <c r="P21"/>
  <c r="Q21" s="1"/>
  <c r="T21"/>
  <c r="U21" s="1"/>
  <c r="H22"/>
  <c r="I22" s="1"/>
  <c r="L22"/>
  <c r="M22" s="1"/>
  <c r="P22"/>
  <c r="Q22" s="1"/>
  <c r="T22"/>
  <c r="U22" s="1"/>
  <c r="H23"/>
  <c r="I23" s="1"/>
  <c r="L23"/>
  <c r="M23" s="1"/>
  <c r="P23"/>
  <c r="Q23" s="1"/>
  <c r="T23"/>
  <c r="U23" s="1"/>
  <c r="H24"/>
  <c r="I24" s="1"/>
  <c r="L24"/>
  <c r="M24" s="1"/>
  <c r="P24"/>
  <c r="Q24" s="1"/>
  <c r="T24"/>
  <c r="U24" s="1"/>
  <c r="H25"/>
  <c r="I25" s="1"/>
  <c r="L25"/>
  <c r="M25" s="1"/>
  <c r="P25"/>
  <c r="Q25" s="1"/>
  <c r="T25"/>
  <c r="U25" s="1"/>
  <c r="H26"/>
  <c r="I26" s="1"/>
  <c r="L26"/>
  <c r="M26" s="1"/>
  <c r="P26"/>
  <c r="Q26" s="1"/>
  <c r="T26"/>
  <c r="U26" s="1"/>
  <c r="H27"/>
  <c r="I27" s="1"/>
  <c r="L27"/>
  <c r="M27" s="1"/>
  <c r="P27"/>
  <c r="Q27" s="1"/>
  <c r="T27"/>
  <c r="U27" s="1"/>
  <c r="L28"/>
  <c r="M28" s="1"/>
  <c r="T28"/>
  <c r="U28" s="1"/>
  <c r="L29"/>
  <c r="M29" s="1"/>
  <c r="T29"/>
  <c r="U29" s="1"/>
  <c r="H30"/>
  <c r="I30" s="1"/>
  <c r="L30"/>
  <c r="M30" s="1"/>
  <c r="T30"/>
  <c r="U30" s="1"/>
  <c r="L31"/>
  <c r="M31" s="1"/>
  <c r="T31"/>
  <c r="U31" s="1"/>
  <c r="H32"/>
  <c r="I32" s="1"/>
  <c r="P32"/>
  <c r="Q32" s="1"/>
  <c r="T33"/>
  <c r="U33" s="1"/>
  <c r="H34"/>
  <c r="I34" s="1"/>
  <c r="L34"/>
  <c r="M34" s="1"/>
  <c r="P34"/>
  <c r="Q34" s="1"/>
  <c r="H35"/>
  <c r="I35" s="1"/>
  <c r="P35"/>
  <c r="Q35" s="1"/>
  <c r="C43"/>
  <c r="D43" s="1"/>
  <c r="C45"/>
  <c r="D45" s="1"/>
  <c r="C47"/>
  <c r="D47" s="1"/>
  <c r="C49"/>
  <c r="D49" s="1"/>
  <c r="C51"/>
  <c r="D51" s="1"/>
  <c r="C53"/>
  <c r="D53" s="1"/>
  <c r="C55"/>
  <c r="D55" s="1"/>
  <c r="Q14"/>
  <c r="O36"/>
  <c r="U14"/>
  <c r="S36"/>
  <c r="M14"/>
  <c r="K36"/>
  <c r="I14"/>
  <c r="G36"/>
  <c r="E50" l="1"/>
  <c r="E52"/>
  <c r="E54"/>
  <c r="E56"/>
  <c r="E53"/>
  <c r="E55"/>
  <c r="E43"/>
  <c r="E45"/>
  <c r="E47"/>
  <c r="E49"/>
  <c r="E51"/>
  <c r="E57"/>
  <c r="B59" s="1"/>
  <c r="C31" i="8" s="1"/>
  <c r="E46" i="3"/>
  <c r="E48"/>
  <c r="E44"/>
  <c r="J14"/>
  <c r="J28"/>
  <c r="J29"/>
  <c r="J31"/>
  <c r="J33"/>
  <c r="J15"/>
  <c r="J16"/>
  <c r="J17"/>
  <c r="J18"/>
  <c r="J19"/>
  <c r="J20"/>
  <c r="J21"/>
  <c r="J22"/>
  <c r="J23"/>
  <c r="J24"/>
  <c r="J25"/>
  <c r="J26"/>
  <c r="J27"/>
  <c r="J30"/>
  <c r="J32"/>
  <c r="J34"/>
  <c r="J35"/>
  <c r="I37"/>
  <c r="C26" i="8" s="1"/>
  <c r="I38" i="3"/>
  <c r="N32"/>
  <c r="N33"/>
  <c r="N35"/>
  <c r="M37"/>
  <c r="C27" i="8" s="1"/>
  <c r="N14" i="3"/>
  <c r="N15"/>
  <c r="N16"/>
  <c r="N17"/>
  <c r="N18"/>
  <c r="N19"/>
  <c r="N20"/>
  <c r="N21"/>
  <c r="N22"/>
  <c r="N23"/>
  <c r="N24"/>
  <c r="N25"/>
  <c r="N26"/>
  <c r="N27"/>
  <c r="N28"/>
  <c r="N29"/>
  <c r="N30"/>
  <c r="N31"/>
  <c r="N34"/>
  <c r="V32"/>
  <c r="V34"/>
  <c r="V35"/>
  <c r="U37"/>
  <c r="C29" i="8" s="1"/>
  <c r="V14" i="3"/>
  <c r="V15"/>
  <c r="V16"/>
  <c r="V17"/>
  <c r="V18"/>
  <c r="V19"/>
  <c r="V20"/>
  <c r="V21"/>
  <c r="V22"/>
  <c r="V23"/>
  <c r="V24"/>
  <c r="V25"/>
  <c r="V26"/>
  <c r="V27"/>
  <c r="V28"/>
  <c r="V29"/>
  <c r="V30"/>
  <c r="V31"/>
  <c r="V33"/>
  <c r="R14"/>
  <c r="R28"/>
  <c r="R29"/>
  <c r="R30"/>
  <c r="R31"/>
  <c r="R33"/>
  <c r="R15"/>
  <c r="R16"/>
  <c r="R17"/>
  <c r="R18"/>
  <c r="R19"/>
  <c r="R20"/>
  <c r="R21"/>
  <c r="R22"/>
  <c r="R23"/>
  <c r="R24"/>
  <c r="R25"/>
  <c r="R26"/>
  <c r="R27"/>
  <c r="R32"/>
  <c r="R34"/>
  <c r="R35"/>
  <c r="Q37"/>
  <c r="C28" i="8" s="1"/>
</calcChain>
</file>

<file path=xl/sharedStrings.xml><?xml version="1.0" encoding="utf-8"?>
<sst xmlns="http://schemas.openxmlformats.org/spreadsheetml/2006/main" count="287" uniqueCount="202">
  <si>
    <t>ASSUMPTIONS</t>
  </si>
  <si>
    <t xml:space="preserve">Academic Year </t>
  </si>
  <si>
    <t>weeks</t>
  </si>
  <si>
    <t>installation labor wage</t>
  </si>
  <si>
    <t>Staff</t>
  </si>
  <si>
    <t>routine labor wage</t>
  </si>
  <si>
    <t>Rice Work</t>
  </si>
  <si>
    <t>Work Study</t>
  </si>
  <si>
    <t>START-UP COSTS</t>
  </si>
  <si>
    <t>monetary</t>
  </si>
  <si>
    <t>T?</t>
  </si>
  <si>
    <t>notes</t>
  </si>
  <si>
    <t>Per tub costs</t>
  </si>
  <si>
    <t>Earth Tubs</t>
  </si>
  <si>
    <t>cost per Earth Tub</t>
  </si>
  <si>
    <t>shipping per tub</t>
  </si>
  <si>
    <t>TOTAL</t>
  </si>
  <si>
    <t>Electrical Installation</t>
  </si>
  <si>
    <t>cost per site</t>
  </si>
  <si>
    <t>Site grounding</t>
  </si>
  <si>
    <t>cost for gravel</t>
  </si>
  <si>
    <t>too temporary</t>
  </si>
  <si>
    <t>asphalt</t>
  </si>
  <si>
    <t>cement</t>
  </si>
  <si>
    <t>no drainage</t>
  </si>
  <si>
    <t>[use cement]</t>
  </si>
  <si>
    <t>Water Sources</t>
  </si>
  <si>
    <t>cost for water source</t>
  </si>
  <si>
    <t>?</t>
  </si>
  <si>
    <t># of sources needed</t>
  </si>
  <si>
    <t>Sanitary Sewer access</t>
  </si>
  <si>
    <t>cost for new access</t>
  </si>
  <si>
    <t># needed</t>
  </si>
  <si>
    <t>Labor for Installation</t>
  </si>
  <si>
    <t>assembly and connection</t>
  </si>
  <si>
    <t>labor hours required</t>
  </si>
  <si>
    <t>requires Staff labor</t>
  </si>
  <si>
    <t>Total per tub</t>
  </si>
  <si>
    <t>Additional Costs</t>
  </si>
  <si>
    <t>Leaf shredder</t>
  </si>
  <si>
    <t>cost per unit</t>
  </si>
  <si>
    <t>units needed</t>
  </si>
  <si>
    <t>Compost Spreader</t>
  </si>
  <si>
    <t>OPERATIONAL COSTS</t>
  </si>
  <si>
    <t>Biodegradable Bags</t>
  </si>
  <si>
    <t>bags/week</t>
  </si>
  <si>
    <t>4/day, 5 days, 2/day for brunch</t>
  </si>
  <si>
    <t>bags/year</t>
  </si>
  <si>
    <t>cost/bag</t>
  </si>
  <si>
    <t>Pietowski, 30 gal bags</t>
  </si>
  <si>
    <t>Labor</t>
  </si>
  <si>
    <t>food transport time</t>
  </si>
  <si>
    <t>2 min/day</t>
  </si>
  <si>
    <t>bulking transport time</t>
  </si>
  <si>
    <t>1 hr, 4 times/ semester</t>
  </si>
  <si>
    <t>mixing time</t>
  </si>
  <si>
    <t>15 min/day, includes drainage</t>
  </si>
  <si>
    <t>unloading time</t>
  </si>
  <si>
    <t>2:30 min, 3 times/semester</t>
  </si>
  <si>
    <t>hours/week</t>
  </si>
  <si>
    <t>Electricity</t>
  </si>
  <si>
    <t>Augur consumption derivation</t>
  </si>
  <si>
    <t>auger consumption</t>
  </si>
  <si>
    <t>45 min use/week</t>
  </si>
  <si>
    <t>watts/hp =</t>
  </si>
  <si>
    <t>blower consumption</t>
  </si>
  <si>
    <t>168 hr use/week</t>
  </si>
  <si>
    <t>2 hp =</t>
  </si>
  <si>
    <t>W</t>
  </si>
  <si>
    <t>total consumption</t>
  </si>
  <si>
    <t>=</t>
  </si>
  <si>
    <t>kW</t>
  </si>
  <si>
    <t>cost per KWh</t>
  </si>
  <si>
    <t>kWh/acayear</t>
  </si>
  <si>
    <t>Maintenance</t>
  </si>
  <si>
    <t>Additional costs</t>
  </si>
  <si>
    <t>ONE-TIME BENEFITS</t>
  </si>
  <si>
    <t>Pulper displacement</t>
  </si>
  <si>
    <t># of pulpers</t>
  </si>
  <si>
    <t>cost of pulper</t>
  </si>
  <si>
    <t>Tubs needed per pulper</t>
  </si>
  <si>
    <t>for severies only</t>
  </si>
  <si>
    <t>Dispose-all displacement</t>
  </si>
  <si>
    <t>cost per dispose-all</t>
  </si>
  <si>
    <t>Additional benefits</t>
  </si>
  <si>
    <t>RECURRING BENEFITS</t>
  </si>
  <si>
    <t>Compost value</t>
  </si>
  <si>
    <t>tons of compost produced</t>
  </si>
  <si>
    <t>cubic yards produced</t>
  </si>
  <si>
    <t>price per cubic yard</t>
  </si>
  <si>
    <t>TOTAL value per tub</t>
  </si>
  <si>
    <t>Labor saved</t>
  </si>
  <si>
    <t>yard waste transport time</t>
  </si>
  <si>
    <t>Kitchen efficiencies</t>
  </si>
  <si>
    <t>present labor time</t>
  </si>
  <si>
    <t>labor time with Tub</t>
  </si>
  <si>
    <t>less dishwasher time</t>
  </si>
  <si>
    <t>Plumbing cost avoidance</t>
  </si>
  <si>
    <t>monthly plumbing cost</t>
  </si>
  <si>
    <t>avg pipe breaks per year</t>
  </si>
  <si>
    <t>cost per pipe break</t>
  </si>
  <si>
    <t>% reduction due to composting</t>
  </si>
  <si>
    <t>TOTAL per tub</t>
  </si>
  <si>
    <t>tons of food waste diverted</t>
  </si>
  <si>
    <t>=$8960/633 yds*2yds/ton food</t>
  </si>
  <si>
    <t>SUMMARY</t>
  </si>
  <si>
    <t>Total Start-up Costs</t>
  </si>
  <si>
    <t>per tub</t>
  </si>
  <si>
    <t>additional</t>
  </si>
  <si>
    <t>Total Operational Costs</t>
  </si>
  <si>
    <t>Total Start-up Benefits</t>
  </si>
  <si>
    <t>Net Start-up Costs</t>
  </si>
  <si>
    <t>Net Recurring Benefits</t>
  </si>
  <si>
    <t>Composting Cost-Benefit Worksheet</t>
  </si>
  <si>
    <t>Discount Rate</t>
  </si>
  <si>
    <t>Scenario 1</t>
  </si>
  <si>
    <t>Capital</t>
  </si>
  <si>
    <t>Scenario 2</t>
  </si>
  <si>
    <t>Scenario 3</t>
  </si>
  <si>
    <t>Scenario 4</t>
  </si>
  <si>
    <t>NPV</t>
  </si>
  <si>
    <t>life span (years)</t>
  </si>
  <si>
    <t>TOTAL (per year)</t>
  </si>
  <si>
    <t>for all colleges</t>
  </si>
  <si>
    <t>one in each kitchen</t>
  </si>
  <si>
    <t>Recuring</t>
  </si>
  <si>
    <t>Total</t>
  </si>
  <si>
    <t>Check</t>
  </si>
  <si>
    <t>Total Number of Earth Tubs</t>
  </si>
  <si>
    <t>Variables</t>
  </si>
  <si>
    <t>Plumbing Reduction</t>
  </si>
  <si>
    <t>Routine Labor Wage</t>
  </si>
  <si>
    <t>Student Subsidy</t>
  </si>
  <si>
    <t>Misc Start-up change</t>
  </si>
  <si>
    <t>Value</t>
  </si>
  <si>
    <t>Notes</t>
  </si>
  <si>
    <t>percentage reduction in cost of plumbing maintenance</t>
  </si>
  <si>
    <t>number of students</t>
  </si>
  <si>
    <t>subsidy per student</t>
  </si>
  <si>
    <t>Full Plan</t>
  </si>
  <si>
    <t>Servery Plan</t>
  </si>
  <si>
    <t>Gradual Introduction 1</t>
  </si>
  <si>
    <t>Gradual Introduction 2</t>
  </si>
  <si>
    <t>NPV Scenario 1</t>
  </si>
  <si>
    <t>NPV Scenario 2</t>
  </si>
  <si>
    <t>NPV Scenario 3</t>
  </si>
  <si>
    <t>NPV Scenario 4</t>
  </si>
  <si>
    <t>Composting Implementation Scenario Calculator</t>
  </si>
  <si>
    <t>Net Present Value and Scenario Calculations</t>
  </si>
  <si>
    <t>not for installation labor</t>
  </si>
  <si>
    <t>reference value</t>
  </si>
  <si>
    <t>Miscellaneous Changes</t>
  </si>
  <si>
    <t>Staff only</t>
  </si>
  <si>
    <t>Staff, Rice Work, or Work Study</t>
  </si>
  <si>
    <t>Ranges</t>
  </si>
  <si>
    <t>$1.50-$10.00</t>
  </si>
  <si>
    <t>0%-75%</t>
  </si>
  <si>
    <t>0%-10%</t>
  </si>
  <si>
    <t>Suggested</t>
  </si>
  <si>
    <t>Subsidy per student</t>
  </si>
  <si>
    <t>Results</t>
  </si>
  <si>
    <t xml:space="preserve">These are the more flexible components of the Cost-Benefit analysis.  </t>
  </si>
  <si>
    <t>Variable</t>
  </si>
  <si>
    <r>
      <t xml:space="preserve">This sheet is linked to the other worksheets in this workbook (found on the tabs at the bottom of this sheet).  To see the effects of different </t>
    </r>
    <r>
      <rPr>
        <b/>
        <sz val="9"/>
        <rFont val="Geneva"/>
      </rPr>
      <t>variables</t>
    </r>
    <r>
      <rPr>
        <sz val="9"/>
        <rFont val="Geneva"/>
      </rPr>
      <t xml:space="preserve">, change the blue unprotected cells below and observe the Results.  To change the most basic </t>
    </r>
    <r>
      <rPr>
        <b/>
        <sz val="9"/>
        <rFont val="Geneva"/>
      </rPr>
      <t>assumptions and values</t>
    </r>
    <r>
      <rPr>
        <sz val="9"/>
        <rFont val="Geneva"/>
      </rPr>
      <t xml:space="preserve"> for the calculations, select the "Cost-Ben Worksheet" tab.  To change the calculations for </t>
    </r>
    <r>
      <rPr>
        <b/>
        <sz val="9"/>
        <rFont val="Geneva"/>
      </rPr>
      <t>Net Present Value</t>
    </r>
    <r>
      <rPr>
        <sz val="9"/>
        <rFont val="Geneva"/>
      </rPr>
      <t xml:space="preserve">, select the "NPV and Scenarios" tab.  To see the results represented </t>
    </r>
    <r>
      <rPr>
        <b/>
        <sz val="9"/>
        <rFont val="Geneva"/>
      </rPr>
      <t>graphically</t>
    </r>
    <r>
      <rPr>
        <sz val="9"/>
        <rFont val="Geneva"/>
      </rPr>
      <t>, select the "Charts" tab.</t>
    </r>
  </si>
  <si>
    <t>Change</t>
  </si>
  <si>
    <t>value</t>
  </si>
  <si>
    <t>Result</t>
  </si>
  <si>
    <t>name</t>
  </si>
  <si>
    <t>(These values modified by the Variables in the "Calculator" worksheet)</t>
  </si>
  <si>
    <t>This sheet divides the costs and benefits of the composting program into four categories:  Start-up Costs, Recuring Costs, One-time Benefits, and Recuring Benefits.  The most basic assumptions are listed at the top and referenced by cells later in the sheet.  The values listed have been measured or estimated as outlined in the Cost-Benefit Analysis Report.  To disregard a single value, replace the "1" in column E with a "0".  This will remove it from the final calculations.</t>
  </si>
  <si>
    <t>already present</t>
  </si>
  <si>
    <t>can use existing spreader</t>
  </si>
  <si>
    <t>do not use, wraps around auger</t>
  </si>
  <si>
    <t>miscellaneous cost buffer</t>
  </si>
  <si>
    <t>Earth Tubs can serve a similar function as pulpers</t>
  </si>
  <si>
    <t>no labor savings measured</t>
  </si>
  <si>
    <t>includes dispose-all maintenance</t>
  </si>
  <si>
    <t>Total Earth Tub Count</t>
  </si>
  <si>
    <t>15 year tub life span</t>
  </si>
  <si>
    <t>Scenario Values</t>
  </si>
  <si>
    <t>This sheet shows the mechanics of the Net Present Value Calculation.  Total Earth Tub Count shows the total number of Earth Tubs over the 15 year life spans of the tubs.  Scenario Values show the Capital and Recuring values and are used to make the NPV calculation (built-in to Excel).</t>
  </si>
  <si>
    <t>Charts</t>
  </si>
  <si>
    <t>Disc. Rate</t>
  </si>
  <si>
    <t>Reduction</t>
  </si>
  <si>
    <t>Subsidy</t>
  </si>
  <si>
    <t>Labor Variations</t>
  </si>
  <si>
    <t>Wage</t>
  </si>
  <si>
    <t xml:space="preserve"> </t>
  </si>
  <si>
    <t>This page graphically represents the variables found on the "Calculator" worksheet.  Each variable is represented in a graph utilizing the suggested values for the other variables and Scenario 3.  These charts are static and do not change with changes of the other worksheets.</t>
  </si>
  <si>
    <t>Lifetime NPV</t>
  </si>
  <si>
    <t>Year</t>
  </si>
  <si>
    <t>Single Tub NPV</t>
  </si>
  <si>
    <t>ignores additional costs and benefits</t>
  </si>
  <si>
    <t>Single Earth Tub Analysis</t>
  </si>
  <si>
    <t>The listed values are the Net Present Values of the project over the expected life of the equipment.  These are the outputs of the other worksheets, given the above variables.  Positive values indicate a net gain and negative values indicate a net cost.  An explanation of the different Scenarios may be found in the Composting Pilot Project Report.</t>
  </si>
  <si>
    <t>$0-$3</t>
  </si>
  <si>
    <t>value per ton food waste</t>
  </si>
  <si>
    <t>Disposal Fees</t>
  </si>
  <si>
    <t>reduction in solid waste should reduce time</t>
  </si>
  <si>
    <t>Total Recurring Benefits</t>
  </si>
  <si>
    <t>Misc Recurring change</t>
  </si>
  <si>
    <r>
      <t xml:space="preserve">For changes not addressed in </t>
    </r>
    <r>
      <rPr>
        <b/>
        <sz val="9"/>
        <rFont val="Geneva"/>
      </rPr>
      <t>Variables</t>
    </r>
    <r>
      <rPr>
        <sz val="9"/>
        <rFont val="Geneva"/>
      </rPr>
      <t>.  A positive value indicates additional costs, and a negative value indicates additional benefits.</t>
    </r>
  </si>
</sst>
</file>

<file path=xl/styles.xml><?xml version="1.0" encoding="utf-8"?>
<styleSheet xmlns="http://schemas.openxmlformats.org/spreadsheetml/2006/main">
  <numFmts count="11">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8" formatCode="&quot;$&quot;#,##0"/>
    <numFmt numFmtId="178" formatCode="0.0%"/>
    <numFmt numFmtId="180" formatCode="_(&quot;$&quot;* #,##0_);_(&quot;$&quot;* \(#,##0\);_(&quot;$&quot;* &quot;-&quot;??_);_(@_)"/>
    <numFmt numFmtId="182" formatCode="_(* #,##0_);_(* \(#,##0\);_(* &quot;-&quot;??_);_(@_)"/>
  </numFmts>
  <fonts count="6">
    <font>
      <sz val="9"/>
      <name val="Geneva"/>
    </font>
    <font>
      <b/>
      <sz val="9"/>
      <name val="Geneva"/>
    </font>
    <font>
      <i/>
      <sz val="9"/>
      <name val="Geneva"/>
    </font>
    <font>
      <sz val="9"/>
      <name val="Geneva"/>
    </font>
    <font>
      <b/>
      <sz val="12"/>
      <name val="Geneva"/>
    </font>
    <font>
      <sz val="9"/>
      <color indexed="22"/>
      <name val="Geneva"/>
    </font>
  </fonts>
  <fills count="3">
    <fill>
      <patternFill patternType="none"/>
    </fill>
    <fill>
      <patternFill patternType="gray125"/>
    </fill>
    <fill>
      <patternFill patternType="solid">
        <fgColor indexed="12"/>
        <bgColor indexed="64"/>
      </patternFill>
    </fill>
  </fills>
  <borders count="22">
    <border>
      <left/>
      <right/>
      <top/>
      <bottom/>
      <diagonal/>
    </border>
    <border>
      <left/>
      <right/>
      <top/>
      <bottom style="thick">
        <color indexed="64"/>
      </bottom>
      <diagonal/>
    </border>
    <border>
      <left/>
      <right style="thin">
        <color indexed="64"/>
      </right>
      <top/>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style="double">
        <color indexed="64"/>
      </left>
      <right/>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ck">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double">
        <color indexed="64"/>
      </left>
      <right/>
      <top/>
      <bottom style="medium">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78">
    <xf numFmtId="0" fontId="0" fillId="0" borderId="0" xfId="0"/>
    <xf numFmtId="5" fontId="0" fillId="0" borderId="0" xfId="0" applyNumberFormat="1"/>
    <xf numFmtId="0" fontId="1" fillId="0" borderId="1" xfId="0" applyFont="1" applyBorder="1"/>
    <xf numFmtId="0" fontId="0" fillId="0" borderId="1" xfId="0" applyBorder="1"/>
    <xf numFmtId="5" fontId="0" fillId="0" borderId="1" xfId="0" applyNumberFormat="1" applyBorder="1"/>
    <xf numFmtId="2" fontId="0" fillId="0" borderId="0" xfId="0" applyNumberFormat="1"/>
    <xf numFmtId="0" fontId="3" fillId="0" borderId="0" xfId="0" applyFont="1"/>
    <xf numFmtId="6" fontId="0" fillId="0" borderId="0" xfId="0" applyNumberFormat="1"/>
    <xf numFmtId="164" fontId="0" fillId="0" borderId="0" xfId="0" applyNumberFormat="1"/>
    <xf numFmtId="0" fontId="0" fillId="0" borderId="0" xfId="0" applyNumberFormat="1"/>
    <xf numFmtId="8" fontId="0" fillId="0" borderId="0" xfId="0" applyNumberFormat="1"/>
    <xf numFmtId="9" fontId="0" fillId="0" borderId="0" xfId="0" applyNumberFormat="1"/>
    <xf numFmtId="9" fontId="0" fillId="0" borderId="0" xfId="3" applyFont="1"/>
    <xf numFmtId="0" fontId="0" fillId="0" borderId="1" xfId="0" applyBorder="1" applyAlignment="1">
      <alignment horizontal="center"/>
    </xf>
    <xf numFmtId="0" fontId="1" fillId="0" borderId="0" xfId="0" applyFont="1" applyBorder="1"/>
    <xf numFmtId="0" fontId="0" fillId="0" borderId="0" xfId="0" applyBorder="1"/>
    <xf numFmtId="5" fontId="0" fillId="0" borderId="0" xfId="0" applyNumberFormat="1" applyBorder="1"/>
    <xf numFmtId="0" fontId="0" fillId="0" borderId="0" xfId="0" applyBorder="1" applyAlignment="1">
      <alignment horizontal="center"/>
    </xf>
    <xf numFmtId="0" fontId="0" fillId="0" borderId="0" xfId="0" applyAlignment="1">
      <alignment horizontal="right"/>
    </xf>
    <xf numFmtId="6" fontId="0" fillId="0" borderId="0" xfId="0" applyNumberFormat="1" applyBorder="1"/>
    <xf numFmtId="0" fontId="1" fillId="0" borderId="0" xfId="0" applyFont="1"/>
    <xf numFmtId="0" fontId="0" fillId="0" borderId="0" xfId="0" quotePrefix="1"/>
    <xf numFmtId="168" fontId="0" fillId="0" borderId="0" xfId="0" applyNumberFormat="1"/>
    <xf numFmtId="0" fontId="0" fillId="0" borderId="0" xfId="0" applyAlignment="1">
      <alignment horizontal="center"/>
    </xf>
    <xf numFmtId="0" fontId="0" fillId="0" borderId="2" xfId="0" applyBorder="1"/>
    <xf numFmtId="38" fontId="0" fillId="0" borderId="0" xfId="0" applyNumberFormat="1"/>
    <xf numFmtId="11" fontId="0" fillId="0" borderId="0" xfId="0" applyNumberFormat="1"/>
    <xf numFmtId="1" fontId="3" fillId="0" borderId="0" xfId="1" applyNumberFormat="1"/>
    <xf numFmtId="7" fontId="0" fillId="0" borderId="0" xfId="0" applyNumberFormat="1"/>
    <xf numFmtId="182" fontId="0" fillId="0" borderId="0" xfId="1" applyNumberFormat="1" applyFont="1"/>
    <xf numFmtId="0" fontId="0" fillId="0" borderId="3" xfId="0" applyBorder="1"/>
    <xf numFmtId="0" fontId="0" fillId="0" borderId="4" xfId="0" applyBorder="1"/>
    <xf numFmtId="0" fontId="0" fillId="0" borderId="5" xfId="0" applyBorder="1"/>
    <xf numFmtId="6" fontId="0" fillId="0" borderId="0" xfId="0" applyNumberFormat="1" applyAlignment="1">
      <alignment horizontal="right"/>
    </xf>
    <xf numFmtId="0" fontId="0" fillId="0" borderId="6" xfId="0" applyBorder="1"/>
    <xf numFmtId="8" fontId="0" fillId="0" borderId="7" xfId="0" applyNumberFormat="1" applyBorder="1"/>
    <xf numFmtId="5" fontId="0" fillId="0" borderId="7" xfId="0" applyNumberFormat="1" applyBorder="1"/>
    <xf numFmtId="180" fontId="0" fillId="0" borderId="0" xfId="2" applyNumberFormat="1" applyFont="1"/>
    <xf numFmtId="0" fontId="2" fillId="0" borderId="0" xfId="0" applyFont="1"/>
    <xf numFmtId="0" fontId="3" fillId="0" borderId="8" xfId="0" applyFont="1" applyBorder="1" applyAlignment="1">
      <alignment horizontal="center"/>
    </xf>
    <xf numFmtId="6" fontId="0" fillId="0" borderId="0" xfId="2" applyNumberFormat="1" applyFont="1"/>
    <xf numFmtId="6" fontId="0" fillId="0" borderId="9" xfId="0" applyNumberFormat="1" applyBorder="1"/>
    <xf numFmtId="6" fontId="0" fillId="0" borderId="0" xfId="2" applyNumberFormat="1" applyFont="1" applyBorder="1"/>
    <xf numFmtId="0" fontId="4" fillId="0" borderId="0" xfId="0" applyFont="1"/>
    <xf numFmtId="0" fontId="3" fillId="0" borderId="0" xfId="0" applyFont="1" applyAlignment="1">
      <alignment horizontal="right"/>
    </xf>
    <xf numFmtId="0" fontId="0" fillId="0" borderId="0" xfId="0" applyBorder="1" applyAlignment="1">
      <alignment horizontal="right"/>
    </xf>
    <xf numFmtId="7" fontId="0" fillId="0" borderId="0" xfId="0" applyNumberFormat="1" applyBorder="1"/>
    <xf numFmtId="7" fontId="0" fillId="0" borderId="10" xfId="0" applyNumberFormat="1" applyBorder="1"/>
    <xf numFmtId="0" fontId="0" fillId="0" borderId="10" xfId="0" applyBorder="1"/>
    <xf numFmtId="7" fontId="0" fillId="0" borderId="11" xfId="0" applyNumberFormat="1" applyBorder="1"/>
    <xf numFmtId="0" fontId="0" fillId="0" borderId="11" xfId="0" applyBorder="1"/>
    <xf numFmtId="0" fontId="0" fillId="0" borderId="12" xfId="0" applyBorder="1" applyAlignment="1">
      <alignment horizontal="left" indent="4"/>
    </xf>
    <xf numFmtId="0" fontId="0" fillId="0" borderId="13" xfId="0" applyBorder="1" applyAlignment="1">
      <alignment horizontal="left" indent="4"/>
    </xf>
    <xf numFmtId="0" fontId="0" fillId="0" borderId="14" xfId="0" applyBorder="1" applyAlignment="1">
      <alignment horizontal="left" indent="4"/>
    </xf>
    <xf numFmtId="9" fontId="5" fillId="2" borderId="15" xfId="3" applyFont="1" applyFill="1" applyBorder="1" applyProtection="1">
      <protection locked="0"/>
    </xf>
    <xf numFmtId="164" fontId="5" fillId="2" borderId="16" xfId="0" applyNumberFormat="1" applyFont="1" applyFill="1" applyBorder="1" applyProtection="1">
      <protection locked="0"/>
    </xf>
    <xf numFmtId="164" fontId="5" fillId="2" borderId="17" xfId="0" applyNumberFormat="1" applyFont="1" applyFill="1" applyBorder="1" applyProtection="1">
      <protection locked="0"/>
    </xf>
    <xf numFmtId="168" fontId="5" fillId="2" borderId="18" xfId="0" applyNumberFormat="1" applyFont="1" applyFill="1" applyBorder="1" applyProtection="1">
      <protection locked="0"/>
    </xf>
    <xf numFmtId="168" fontId="5" fillId="2" borderId="16" xfId="0" applyNumberFormat="1" applyFont="1" applyFill="1" applyBorder="1" applyProtection="1">
      <protection locked="0"/>
    </xf>
    <xf numFmtId="168" fontId="5" fillId="2" borderId="19" xfId="0" applyNumberFormat="1" applyFont="1" applyFill="1" applyBorder="1" applyProtection="1">
      <protection locked="0"/>
    </xf>
    <xf numFmtId="0" fontId="0" fillId="0" borderId="7" xfId="0" applyBorder="1"/>
    <xf numFmtId="0" fontId="3" fillId="0" borderId="1" xfId="0" applyFont="1" applyBorder="1"/>
    <xf numFmtId="9" fontId="0" fillId="0" borderId="1" xfId="3" applyFont="1" applyBorder="1"/>
    <xf numFmtId="0" fontId="2" fillId="0" borderId="0" xfId="0" applyFont="1" applyAlignment="1">
      <alignment horizontal="left"/>
    </xf>
    <xf numFmtId="5" fontId="3" fillId="0" borderId="0" xfId="0" applyNumberFormat="1" applyFont="1"/>
    <xf numFmtId="10" fontId="0" fillId="0" borderId="0" xfId="0" applyNumberFormat="1"/>
    <xf numFmtId="178" fontId="5" fillId="2" borderId="16" xfId="3" applyNumberFormat="1" applyFont="1" applyFill="1" applyBorder="1" applyProtection="1">
      <protection locked="0"/>
    </xf>
    <xf numFmtId="0" fontId="0" fillId="0" borderId="9" xfId="0" applyBorder="1" applyAlignment="1">
      <alignment horizontal="center"/>
    </xf>
    <xf numFmtId="0" fontId="3" fillId="0" borderId="20" xfId="0" applyFont="1" applyBorder="1"/>
    <xf numFmtId="0" fontId="3" fillId="0" borderId="21" xfId="0" applyFont="1" applyBorder="1"/>
    <xf numFmtId="9" fontId="0" fillId="0" borderId="0" xfId="0" applyNumberFormat="1" applyAlignment="1">
      <alignment horizontal="center"/>
    </xf>
    <xf numFmtId="164" fontId="0" fillId="0" borderId="0" xfId="0" applyNumberFormat="1" applyAlignment="1">
      <alignment horizontal="center"/>
    </xf>
    <xf numFmtId="178" fontId="0" fillId="0" borderId="0" xfId="0" applyNumberForma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0" fillId="0" borderId="0" xfId="0" applyBorder="1" applyAlignment="1">
      <alignment horizontal="left" wrapText="1"/>
    </xf>
    <xf numFmtId="0" fontId="0" fillId="0" borderId="0" xfId="0" applyAlignment="1">
      <alignment horizontal="center"/>
    </xf>
    <xf numFmtId="0" fontId="0" fillId="0" borderId="0" xfId="0"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chart>
    <c:title>
      <c:tx>
        <c:rich>
          <a:bodyPr/>
          <a:lstStyle/>
          <a:p>
            <a:pPr>
              <a:defRPr sz="1075" b="1" i="0" u="none" strike="noStrike" baseline="0">
                <a:solidFill>
                  <a:srgbClr val="000000"/>
                </a:solidFill>
                <a:latin typeface="Arial"/>
                <a:ea typeface="Arial"/>
                <a:cs typeface="Arial"/>
              </a:defRPr>
            </a:pPr>
            <a:r>
              <a:rPr lang="en-US"/>
              <a:t>Varying Discount Rate</a:t>
            </a:r>
          </a:p>
        </c:rich>
      </c:tx>
      <c:layout>
        <c:manualLayout>
          <c:xMode val="edge"/>
          <c:yMode val="edge"/>
          <c:x val="0.266355368089367"/>
          <c:y val="3.9513677811550157E-2"/>
        </c:manualLayout>
      </c:layout>
      <c:spPr>
        <a:noFill/>
        <a:ln w="25400">
          <a:noFill/>
        </a:ln>
      </c:spPr>
    </c:title>
    <c:plotArea>
      <c:layout>
        <c:manualLayout>
          <c:layoutTarget val="inner"/>
          <c:xMode val="edge"/>
          <c:yMode val="edge"/>
          <c:x val="0.28037407167301787"/>
          <c:y val="0.22492401215805474"/>
          <c:w val="0.62850521066701504"/>
          <c:h val="0.52887537993920963"/>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Charts!$A$20:$A$24</c:f>
              <c:numCache>
                <c:formatCode>0.00%</c:formatCode>
                <c:ptCount val="5"/>
                <c:pt idx="0" formatCode="General">
                  <c:v>0</c:v>
                </c:pt>
                <c:pt idx="1">
                  <c:v>2.5000000000000001E-2</c:v>
                </c:pt>
                <c:pt idx="2" formatCode="0%">
                  <c:v>0.05</c:v>
                </c:pt>
                <c:pt idx="3">
                  <c:v>7.4999999999999997E-2</c:v>
                </c:pt>
                <c:pt idx="4" formatCode="0%">
                  <c:v>0.1</c:v>
                </c:pt>
              </c:numCache>
            </c:numRef>
          </c:xVal>
          <c:yVal>
            <c:numRef>
              <c:f>Charts!$B$20:$B$24</c:f>
              <c:numCache>
                <c:formatCode>"$"#,##0</c:formatCode>
                <c:ptCount val="5"/>
                <c:pt idx="0">
                  <c:v>202865.28859715644</c:v>
                </c:pt>
                <c:pt idx="1">
                  <c:v>142659.48940205123</c:v>
                </c:pt>
                <c:pt idx="2">
                  <c:v>99997.308437053623</c:v>
                </c:pt>
                <c:pt idx="3">
                  <c:v>69330.553808352532</c:v>
                </c:pt>
                <c:pt idx="4">
                  <c:v>46998.313501076576</c:v>
                </c:pt>
              </c:numCache>
            </c:numRef>
          </c:yVal>
          <c:smooth val="1"/>
        </c:ser>
        <c:axId val="76636160"/>
        <c:axId val="76638848"/>
      </c:scatterChart>
      <c:valAx>
        <c:axId val="76636160"/>
        <c:scaling>
          <c:orientation val="minMax"/>
          <c:max val="0.11"/>
          <c:min val="0"/>
        </c:scaling>
        <c:axPos val="b"/>
        <c:title>
          <c:tx>
            <c:rich>
              <a:bodyPr/>
              <a:lstStyle/>
              <a:p>
                <a:pPr>
                  <a:defRPr sz="900" b="1" i="0" u="none" strike="noStrike" baseline="0">
                    <a:solidFill>
                      <a:srgbClr val="000000"/>
                    </a:solidFill>
                    <a:latin typeface="Arial"/>
                    <a:ea typeface="Arial"/>
                    <a:cs typeface="Arial"/>
                  </a:defRPr>
                </a:pPr>
                <a:r>
                  <a:rPr lang="en-US"/>
                  <a:t>Discount Rate</a:t>
                </a:r>
              </a:p>
            </c:rich>
          </c:tx>
          <c:layout>
            <c:manualLayout>
              <c:xMode val="edge"/>
              <c:yMode val="edge"/>
              <c:x val="0.47196302064958007"/>
              <c:y val="0.86018237082066862"/>
            </c:manualLayout>
          </c:layout>
          <c:spPr>
            <a:noFill/>
            <a:ln w="25400">
              <a:noFill/>
            </a:ln>
          </c:spPr>
        </c:title>
        <c:numFmt formatCode="0.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638848"/>
        <c:crosses val="autoZero"/>
        <c:crossBetween val="midCat"/>
        <c:majorUnit val="2.5000000000000001E-2"/>
      </c:valAx>
      <c:valAx>
        <c:axId val="76638848"/>
        <c:scaling>
          <c:orientation val="minMax"/>
        </c:scaling>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Lifetime Net Present Value</a:t>
                </a:r>
              </a:p>
            </c:rich>
          </c:tx>
          <c:layout>
            <c:manualLayout>
              <c:xMode val="edge"/>
              <c:yMode val="edge"/>
              <c:x val="4.4392561348227833E-2"/>
              <c:y val="0.17933130699088148"/>
            </c:manualLayout>
          </c:layout>
          <c:spPr>
            <a:noFill/>
            <a:ln w="25400">
              <a:noFill/>
            </a:ln>
          </c:spPr>
        </c:title>
        <c:numFmt formatCode="&quot;$&quot;#,##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636160"/>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chart>
    <c:title>
      <c:tx>
        <c:rich>
          <a:bodyPr/>
          <a:lstStyle/>
          <a:p>
            <a:pPr>
              <a:defRPr sz="1075" b="1" i="0" u="none" strike="noStrike" baseline="0">
                <a:solidFill>
                  <a:srgbClr val="000000"/>
                </a:solidFill>
                <a:latin typeface="Arial"/>
                <a:ea typeface="Arial"/>
                <a:cs typeface="Arial"/>
              </a:defRPr>
            </a:pPr>
            <a:r>
              <a:rPr lang="en-US"/>
              <a:t>Varying Plumbing Reduction</a:t>
            </a:r>
          </a:p>
        </c:rich>
      </c:tx>
      <c:layout>
        <c:manualLayout>
          <c:xMode val="edge"/>
          <c:yMode val="edge"/>
          <c:x val="0.19953131689179085"/>
          <c:y val="3.9513677811550157E-2"/>
        </c:manualLayout>
      </c:layout>
      <c:spPr>
        <a:noFill/>
        <a:ln w="25400">
          <a:noFill/>
        </a:ln>
      </c:spPr>
    </c:title>
    <c:plotArea>
      <c:layout>
        <c:manualLayout>
          <c:layoutTarget val="inner"/>
          <c:xMode val="edge"/>
          <c:yMode val="edge"/>
          <c:x val="0.28169127090605761"/>
          <c:y val="0.22492401215805474"/>
          <c:w val="0.64084764131128102"/>
          <c:h val="0.52887537993920963"/>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Charts!$A$28:$A$31</c:f>
              <c:numCache>
                <c:formatCode>0%</c:formatCode>
                <c:ptCount val="4"/>
                <c:pt idx="0" formatCode="General">
                  <c:v>0</c:v>
                </c:pt>
                <c:pt idx="1">
                  <c:v>0.25</c:v>
                </c:pt>
                <c:pt idx="2">
                  <c:v>0.5</c:v>
                </c:pt>
                <c:pt idx="3">
                  <c:v>0.75</c:v>
                </c:pt>
              </c:numCache>
            </c:numRef>
          </c:xVal>
          <c:yVal>
            <c:numRef>
              <c:f>Charts!$B$28:$B$31</c:f>
              <c:numCache>
                <c:formatCode>"$"#,##0</c:formatCode>
                <c:ptCount val="4"/>
                <c:pt idx="0">
                  <c:v>40927.933136402251</c:v>
                </c:pt>
                <c:pt idx="1">
                  <c:v>99997.308437053623</c:v>
                </c:pt>
                <c:pt idx="2">
                  <c:v>159066.683737705</c:v>
                </c:pt>
                <c:pt idx="3">
                  <c:v>218136.05903835638</c:v>
                </c:pt>
              </c:numCache>
            </c:numRef>
          </c:yVal>
          <c:smooth val="1"/>
        </c:ser>
        <c:axId val="76663040"/>
        <c:axId val="67191552"/>
      </c:scatterChart>
      <c:valAx>
        <c:axId val="76663040"/>
        <c:scaling>
          <c:orientation val="minMax"/>
        </c:scaling>
        <c:axPos val="b"/>
        <c:title>
          <c:tx>
            <c:rich>
              <a:bodyPr/>
              <a:lstStyle/>
              <a:p>
                <a:pPr>
                  <a:defRPr sz="900" b="1" i="0" u="none" strike="noStrike" baseline="0">
                    <a:solidFill>
                      <a:srgbClr val="000000"/>
                    </a:solidFill>
                    <a:latin typeface="Arial"/>
                    <a:ea typeface="Arial"/>
                    <a:cs typeface="Arial"/>
                  </a:defRPr>
                </a:pPr>
                <a:r>
                  <a:rPr lang="en-US"/>
                  <a:t>Plumbing Cost Reduction</a:t>
                </a:r>
              </a:p>
            </c:rich>
          </c:tx>
          <c:layout>
            <c:manualLayout>
              <c:xMode val="edge"/>
              <c:yMode val="edge"/>
              <c:x val="0.38497807023827879"/>
              <c:y val="0.8601823708206686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7191552"/>
        <c:crosses val="autoZero"/>
        <c:crossBetween val="midCat"/>
      </c:valAx>
      <c:valAx>
        <c:axId val="67191552"/>
        <c:scaling>
          <c:orientation val="minMax"/>
        </c:scaling>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Lifetime Net Present Value</a:t>
                </a:r>
              </a:p>
            </c:rich>
          </c:tx>
          <c:layout>
            <c:manualLayout>
              <c:xMode val="edge"/>
              <c:yMode val="edge"/>
              <c:x val="4.4601117893459129E-2"/>
              <c:y val="0.17933130699088148"/>
            </c:manualLayout>
          </c:layout>
          <c:spPr>
            <a:noFill/>
            <a:ln w="25400">
              <a:noFill/>
            </a:ln>
          </c:spPr>
        </c:title>
        <c:numFmt formatCode="&quot;$&quot;#,##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663040"/>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chart>
    <c:title>
      <c:tx>
        <c:rich>
          <a:bodyPr/>
          <a:lstStyle/>
          <a:p>
            <a:pPr>
              <a:defRPr sz="1075" b="1" i="0" u="none" strike="noStrike" baseline="0">
                <a:solidFill>
                  <a:srgbClr val="000000"/>
                </a:solidFill>
                <a:latin typeface="Arial"/>
                <a:ea typeface="Arial"/>
                <a:cs typeface="Arial"/>
              </a:defRPr>
            </a:pPr>
            <a:r>
              <a:rPr lang="en-US"/>
              <a:t>Varying Student Subsidy</a:t>
            </a:r>
          </a:p>
        </c:rich>
      </c:tx>
      <c:layout>
        <c:manualLayout>
          <c:xMode val="edge"/>
          <c:yMode val="edge"/>
          <c:x val="0.24121786755395899"/>
          <c:y val="3.9513677811550157E-2"/>
        </c:manualLayout>
      </c:layout>
      <c:spPr>
        <a:noFill/>
        <a:ln w="25400">
          <a:noFill/>
        </a:ln>
      </c:spPr>
    </c:title>
    <c:plotArea>
      <c:layout>
        <c:manualLayout>
          <c:layoutTarget val="inner"/>
          <c:xMode val="edge"/>
          <c:yMode val="edge"/>
          <c:x val="0.28103052530558326"/>
          <c:y val="0.22492401215805474"/>
          <c:w val="0.63231868193756235"/>
          <c:h val="0.52887537993920963"/>
        </c:manualLayout>
      </c:layout>
      <c:scatterChart>
        <c:scatterStyle val="smoothMarker"/>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xVal>
            <c:numRef>
              <c:f>Charts!$A$35:$A$38</c:f>
              <c:numCache>
                <c:formatCode>General</c:formatCode>
                <c:ptCount val="4"/>
                <c:pt idx="0">
                  <c:v>0</c:v>
                </c:pt>
                <c:pt idx="1">
                  <c:v>1</c:v>
                </c:pt>
                <c:pt idx="2">
                  <c:v>2</c:v>
                </c:pt>
                <c:pt idx="3">
                  <c:v>3</c:v>
                </c:pt>
              </c:numCache>
            </c:numRef>
          </c:xVal>
          <c:yVal>
            <c:numRef>
              <c:f>Charts!$B$35:$B$38</c:f>
              <c:numCache>
                <c:formatCode>"$"#,##0</c:formatCode>
                <c:ptCount val="4"/>
                <c:pt idx="0">
                  <c:v>99997.308437053623</c:v>
                </c:pt>
                <c:pt idx="1">
                  <c:v>135721.69743447175</c:v>
                </c:pt>
                <c:pt idx="2">
                  <c:v>171446.08643188988</c:v>
                </c:pt>
                <c:pt idx="3">
                  <c:v>207170.47542930811</c:v>
                </c:pt>
              </c:numCache>
            </c:numRef>
          </c:yVal>
          <c:smooth val="1"/>
        </c:ser>
        <c:axId val="67219840"/>
        <c:axId val="67222144"/>
      </c:scatterChart>
      <c:valAx>
        <c:axId val="67219840"/>
        <c:scaling>
          <c:orientation val="minMax"/>
          <c:max val="3.2"/>
          <c:min val="0"/>
        </c:scaling>
        <c:axPos val="b"/>
        <c:title>
          <c:tx>
            <c:rich>
              <a:bodyPr/>
              <a:lstStyle/>
              <a:p>
                <a:pPr>
                  <a:defRPr sz="900" b="1" i="0" u="none" strike="noStrike" baseline="0">
                    <a:solidFill>
                      <a:srgbClr val="000000"/>
                    </a:solidFill>
                    <a:latin typeface="Arial"/>
                    <a:ea typeface="Arial"/>
                    <a:cs typeface="Arial"/>
                  </a:defRPr>
                </a:pPr>
                <a:r>
                  <a:rPr lang="en-US"/>
                  <a:t>Yearly Subsidy per Student</a:t>
                </a:r>
              </a:p>
            </c:rich>
          </c:tx>
          <c:layout>
            <c:manualLayout>
              <c:xMode val="edge"/>
              <c:yMode val="edge"/>
              <c:x val="0.36768160394147148"/>
              <c:y val="0.86018237082066862"/>
            </c:manualLayout>
          </c:layout>
          <c:spPr>
            <a:noFill/>
            <a:ln w="25400">
              <a:noFill/>
            </a:ln>
          </c:spPr>
        </c:title>
        <c:numFmt formatCode="\$#,##0.0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7222144"/>
        <c:crosses val="autoZero"/>
        <c:crossBetween val="midCat"/>
        <c:majorUnit val="1"/>
      </c:valAx>
      <c:valAx>
        <c:axId val="67222144"/>
        <c:scaling>
          <c:orientation val="minMax"/>
        </c:scaling>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Lifetime Net Present Value</a:t>
                </a:r>
              </a:p>
            </c:rich>
          </c:tx>
          <c:layout>
            <c:manualLayout>
              <c:xMode val="edge"/>
              <c:yMode val="edge"/>
              <c:x val="4.4496499840050684E-2"/>
              <c:y val="0.17933130699088148"/>
            </c:manualLayout>
          </c:layout>
          <c:spPr>
            <a:noFill/>
            <a:ln w="25400">
              <a:noFill/>
            </a:ln>
          </c:spPr>
        </c:title>
        <c:numFmt formatCode="&quot;$&quot;#,##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67219840"/>
        <c:crosses val="autoZero"/>
        <c:crossBetween val="midCat"/>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chart>
    <c:title>
      <c:tx>
        <c:rich>
          <a:bodyPr/>
          <a:lstStyle/>
          <a:p>
            <a:pPr>
              <a:defRPr sz="1075" b="1" i="0" u="none" strike="noStrike" baseline="0">
                <a:solidFill>
                  <a:srgbClr val="000000"/>
                </a:solidFill>
                <a:latin typeface="Arial"/>
                <a:ea typeface="Arial"/>
                <a:cs typeface="Arial"/>
              </a:defRPr>
            </a:pPr>
            <a:r>
              <a:rPr lang="en-US"/>
              <a:t>Varying Routine Labor Wages</a:t>
            </a:r>
          </a:p>
        </c:rich>
      </c:tx>
      <c:layout>
        <c:manualLayout>
          <c:xMode val="edge"/>
          <c:yMode val="edge"/>
          <c:x val="0.18779418060403841"/>
          <c:y val="3.9513677811550157E-2"/>
        </c:manualLayout>
      </c:layout>
      <c:spPr>
        <a:noFill/>
        <a:ln w="25400">
          <a:noFill/>
        </a:ln>
      </c:spPr>
    </c:title>
    <c:plotArea>
      <c:layout>
        <c:manualLayout>
          <c:layoutTarget val="inner"/>
          <c:xMode val="edge"/>
          <c:yMode val="edge"/>
          <c:x val="0.28169127090605761"/>
          <c:y val="0.22492401215805474"/>
          <c:w val="0.64554249582638201"/>
          <c:h val="0.52887537993920963"/>
        </c:manualLayout>
      </c:layout>
      <c:scatterChart>
        <c:scatterStyle val="lineMarker"/>
        <c:ser>
          <c:idx val="0"/>
          <c:order val="0"/>
          <c:spPr>
            <a:ln w="28575">
              <a:noFill/>
            </a:ln>
          </c:spPr>
          <c:marker>
            <c:symbol val="diamond"/>
            <c:size val="5"/>
            <c:spPr>
              <a:solidFill>
                <a:srgbClr val="000080"/>
              </a:solidFill>
              <a:ln>
                <a:solidFill>
                  <a:srgbClr val="000080"/>
                </a:solidFill>
                <a:prstDash val="solid"/>
              </a:ln>
            </c:spPr>
          </c:marker>
          <c:dLbls>
            <c:dLbl>
              <c:idx val="1"/>
              <c:layout>
                <c:manualLayout>
                  <c:x val="-7.5508745637221736E-2"/>
                  <c:y val="-5.2525748111273321E-2"/>
                </c:manualLayout>
              </c:layout>
              <c:spPr>
                <a:noFill/>
                <a:ln w="25400">
                  <a:noFill/>
                </a:ln>
              </c:spPr>
              <c:txPr>
                <a:bodyPr/>
                <a:lstStyle/>
                <a:p>
                  <a:pPr algn="ctr" rtl="1">
                    <a:defRPr sz="900" b="0" i="0" u="none" strike="noStrike" baseline="0">
                      <a:solidFill>
                        <a:srgbClr val="000000"/>
                      </a:solidFill>
                      <a:latin typeface="Arial"/>
                      <a:ea typeface="Arial"/>
                      <a:cs typeface="Arial"/>
                    </a:defRPr>
                  </a:pPr>
                  <a:endParaRPr lang="en-US"/>
                </a:p>
              </c:txPr>
              <c:dLblPos val="r"/>
              <c:showCatName val="1"/>
            </c:dLbl>
            <c:dLbl>
              <c:idx val="2"/>
              <c:layout>
                <c:manualLayout>
                  <c:x val="-7.775488834446026E-2"/>
                  <c:y val="-5.8388977973498006E-2"/>
                </c:manualLayout>
              </c:layout>
              <c:spPr>
                <a:noFill/>
                <a:ln w="25400">
                  <a:noFill/>
                </a:ln>
              </c:spPr>
              <c:txPr>
                <a:bodyPr/>
                <a:lstStyle/>
                <a:p>
                  <a:pPr algn="ctr" rtl="1">
                    <a:defRPr sz="900" b="0" i="0" u="none" strike="noStrike" baseline="0">
                      <a:solidFill>
                        <a:srgbClr val="000000"/>
                      </a:solidFill>
                      <a:latin typeface="Arial"/>
                      <a:ea typeface="Arial"/>
                      <a:cs typeface="Arial"/>
                    </a:defRPr>
                  </a:pPr>
                  <a:endParaRPr lang="en-US"/>
                </a:p>
              </c:txPr>
              <c:dLblPos val="r"/>
              <c:showCatName val="1"/>
            </c:dLbl>
            <c:spPr>
              <a:noFill/>
              <a:ln w="25400">
                <a:noFill/>
              </a:ln>
            </c:spPr>
            <c:txPr>
              <a:bodyPr/>
              <a:lstStyle/>
              <a:p>
                <a:pPr>
                  <a:defRPr sz="900" b="0" i="0" u="none" strike="noStrike" baseline="0">
                    <a:solidFill>
                      <a:srgbClr val="000000"/>
                    </a:solidFill>
                    <a:latin typeface="Arial"/>
                    <a:ea typeface="Arial"/>
                    <a:cs typeface="Arial"/>
                  </a:defRPr>
                </a:pPr>
                <a:endParaRPr lang="en-US"/>
              </a:p>
            </c:txPr>
            <c:showCatName val="1"/>
          </c:dLbls>
          <c:xVal>
            <c:numRef>
              <c:f>Charts!$A$42:$A$44</c:f>
              <c:numCache>
                <c:formatCode>"$"#,##0.00</c:formatCode>
                <c:ptCount val="3"/>
                <c:pt idx="0">
                  <c:v>1.5</c:v>
                </c:pt>
                <c:pt idx="1">
                  <c:v>6</c:v>
                </c:pt>
                <c:pt idx="2">
                  <c:v>10</c:v>
                </c:pt>
              </c:numCache>
            </c:numRef>
          </c:xVal>
          <c:yVal>
            <c:numRef>
              <c:f>Charts!$B$42:$B$44</c:f>
              <c:numCache>
                <c:formatCode>"$"#,##0</c:formatCode>
                <c:ptCount val="3"/>
                <c:pt idx="0">
                  <c:v>130593.74941556822</c:v>
                </c:pt>
                <c:pt idx="1">
                  <c:v>99997.308437053623</c:v>
                </c:pt>
                <c:pt idx="2">
                  <c:v>72800.472011707287</c:v>
                </c:pt>
              </c:numCache>
            </c:numRef>
          </c:yVal>
        </c:ser>
        <c:dLbls>
          <c:showCatName val="1"/>
        </c:dLbls>
        <c:axId val="76095488"/>
        <c:axId val="76097408"/>
      </c:scatterChart>
      <c:valAx>
        <c:axId val="76095488"/>
        <c:scaling>
          <c:orientation val="minMax"/>
          <c:max val="11"/>
          <c:min val="0"/>
        </c:scaling>
        <c:axPos val="b"/>
        <c:title>
          <c:tx>
            <c:rich>
              <a:bodyPr/>
              <a:lstStyle/>
              <a:p>
                <a:pPr>
                  <a:defRPr sz="900" b="1" i="0" u="none" strike="noStrike" baseline="0">
                    <a:solidFill>
                      <a:srgbClr val="000000"/>
                    </a:solidFill>
                    <a:latin typeface="Arial"/>
                    <a:ea typeface="Arial"/>
                    <a:cs typeface="Arial"/>
                  </a:defRPr>
                </a:pPr>
                <a:r>
                  <a:rPr lang="en-US"/>
                  <a:t>Routine Labor Wage</a:t>
                </a:r>
              </a:p>
            </c:rich>
          </c:tx>
          <c:layout>
            <c:manualLayout>
              <c:xMode val="edge"/>
              <c:yMode val="edge"/>
              <c:x val="0.4295791881317379"/>
              <c:y val="0.86018237082066862"/>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097408"/>
        <c:crosses val="autoZero"/>
        <c:crossBetween val="midCat"/>
        <c:majorUnit val="2"/>
      </c:valAx>
      <c:valAx>
        <c:axId val="76097408"/>
        <c:scaling>
          <c:orientation val="minMax"/>
          <c:max val="250000"/>
          <c:min val="0"/>
        </c:scaling>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Lifetime Net Present Value</a:t>
                </a:r>
              </a:p>
            </c:rich>
          </c:tx>
          <c:layout>
            <c:manualLayout>
              <c:xMode val="edge"/>
              <c:yMode val="edge"/>
              <c:x val="4.4601117893459129E-2"/>
              <c:y val="0.17933130699088148"/>
            </c:manualLayout>
          </c:layout>
          <c:spPr>
            <a:noFill/>
            <a:ln w="25400">
              <a:noFill/>
            </a:ln>
          </c:spPr>
        </c:title>
        <c:numFmt formatCode="&quot;$&quot;#,##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6095488"/>
        <c:crosses val="autoZero"/>
        <c:crossBetween val="midCat"/>
        <c:majorUnit val="50000"/>
        <c:minorUnit val="10000"/>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0" verticalDpi="0"/>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 Id="rId4" Target="../charts/chart4.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0</xdr:col>
      <xdr:colOff>22860</xdr:colOff>
      <xdr:row>3</xdr:row>
      <xdr:rowOff>0</xdr:rowOff>
    </xdr:from>
    <xdr:to>
      <xdr:col>5</xdr:col>
      <xdr:colOff>487680</xdr:colOff>
      <xdr:row>20</xdr:row>
      <xdr:rowOff>45720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502920</xdr:colOff>
      <xdr:row>20</xdr:row>
      <xdr:rowOff>45720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22</xdr:row>
      <xdr:rowOff>0</xdr:rowOff>
    </xdr:from>
    <xdr:to>
      <xdr:col>5</xdr:col>
      <xdr:colOff>495300</xdr:colOff>
      <xdr:row>39</xdr:row>
      <xdr:rowOff>45720</xdr:rowOff>
    </xdr:to>
    <xdr:graphicFrame macro="">
      <xdr:nvGraphicFramePr>
        <xdr:cNvPr id="20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22</xdr:row>
      <xdr:rowOff>0</xdr:rowOff>
    </xdr:from>
    <xdr:to>
      <xdr:col>11</xdr:col>
      <xdr:colOff>502920</xdr:colOff>
      <xdr:row>39</xdr:row>
      <xdr:rowOff>45720</xdr:rowOff>
    </xdr:to>
    <xdr:graphicFrame macro="">
      <xdr:nvGraphicFramePr>
        <xdr:cNvPr id="20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H31"/>
  <sheetViews>
    <sheetView zoomScale="90" workbookViewId="0">
      <selection activeCell="G15" sqref="G15"/>
    </sheetView>
  </sheetViews>
  <sheetFormatPr defaultRowHeight="11.4"/>
  <cols>
    <col min="1" max="1" width="18.375" customWidth="1"/>
    <col min="2" max="2" width="8.25" customWidth="1"/>
    <col min="4" max="4" width="11.125" customWidth="1"/>
    <col min="5" max="5" width="9.25" customWidth="1"/>
  </cols>
  <sheetData>
    <row r="1" spans="1:8" ht="15.6">
      <c r="A1" s="43" t="s">
        <v>147</v>
      </c>
    </row>
    <row r="2" spans="1:8" s="6" customFormat="1" ht="60" customHeight="1">
      <c r="A2" s="73" t="s">
        <v>163</v>
      </c>
      <c r="B2" s="73"/>
      <c r="C2" s="73"/>
      <c r="D2" s="73"/>
      <c r="E2" s="73"/>
      <c r="F2" s="73"/>
      <c r="G2" s="73"/>
      <c r="H2" s="73"/>
    </row>
    <row r="3" spans="1:8" s="6" customFormat="1" ht="12" customHeight="1"/>
    <row r="4" spans="1:8" s="6" customFormat="1" ht="12" customHeight="1">
      <c r="A4" s="20" t="s">
        <v>129</v>
      </c>
    </row>
    <row r="5" spans="1:8" s="6" customFormat="1" ht="12" customHeight="1">
      <c r="A5" s="6" t="s">
        <v>161</v>
      </c>
    </row>
    <row r="6" spans="1:8" s="3" customFormat="1" ht="12" thickBot="1">
      <c r="A6" s="61" t="s">
        <v>162</v>
      </c>
      <c r="C6" s="13" t="s">
        <v>134</v>
      </c>
      <c r="D6" s="13" t="s">
        <v>154</v>
      </c>
      <c r="E6" s="13" t="s">
        <v>158</v>
      </c>
      <c r="F6" s="3" t="s">
        <v>135</v>
      </c>
    </row>
    <row r="7" spans="1:8" ht="12" thickTop="1">
      <c r="A7" t="s">
        <v>130</v>
      </c>
      <c r="C7" s="54">
        <v>0.25</v>
      </c>
      <c r="D7" s="23" t="s">
        <v>156</v>
      </c>
      <c r="E7" s="70">
        <v>0.25</v>
      </c>
      <c r="F7" t="s">
        <v>136</v>
      </c>
    </row>
    <row r="8" spans="1:8">
      <c r="A8" t="s">
        <v>132</v>
      </c>
      <c r="C8" s="55">
        <v>0</v>
      </c>
      <c r="D8" s="23" t="s">
        <v>195</v>
      </c>
      <c r="E8" s="71">
        <v>0</v>
      </c>
      <c r="F8" t="s">
        <v>159</v>
      </c>
    </row>
    <row r="9" spans="1:8">
      <c r="A9" t="s">
        <v>114</v>
      </c>
      <c r="C9" s="66">
        <v>0.05</v>
      </c>
      <c r="D9" s="23" t="s">
        <v>157</v>
      </c>
      <c r="E9" s="72">
        <v>0.05</v>
      </c>
    </row>
    <row r="10" spans="1:8">
      <c r="A10" t="s">
        <v>131</v>
      </c>
      <c r="C10" s="56">
        <v>6</v>
      </c>
      <c r="D10" s="23" t="s">
        <v>155</v>
      </c>
      <c r="E10" s="71">
        <v>6</v>
      </c>
      <c r="F10" t="s">
        <v>149</v>
      </c>
    </row>
    <row r="11" spans="1:8">
      <c r="A11" s="51" t="s">
        <v>4</v>
      </c>
      <c r="B11" s="47">
        <v>10</v>
      </c>
      <c r="C11" s="48" t="s">
        <v>150</v>
      </c>
      <c r="D11" s="30"/>
    </row>
    <row r="12" spans="1:8">
      <c r="A12" s="52" t="s">
        <v>6</v>
      </c>
      <c r="B12" s="46">
        <v>6</v>
      </c>
      <c r="C12" s="15" t="s">
        <v>150</v>
      </c>
      <c r="D12" s="31"/>
    </row>
    <row r="13" spans="1:8">
      <c r="A13" s="53" t="s">
        <v>7</v>
      </c>
      <c r="B13" s="49">
        <v>1.5</v>
      </c>
      <c r="C13" s="50" t="s">
        <v>150</v>
      </c>
      <c r="D13" s="32"/>
    </row>
    <row r="14" spans="1:8">
      <c r="A14" s="45"/>
      <c r="B14" s="46"/>
      <c r="C14" s="15"/>
      <c r="D14" s="15"/>
    </row>
    <row r="15" spans="1:8" ht="12">
      <c r="A15" s="14" t="s">
        <v>151</v>
      </c>
      <c r="B15" s="46"/>
      <c r="C15" s="15"/>
      <c r="D15" s="15"/>
    </row>
    <row r="16" spans="1:8" ht="24.75" customHeight="1">
      <c r="A16" s="75" t="s">
        <v>201</v>
      </c>
      <c r="B16" s="75"/>
      <c r="C16" s="75"/>
      <c r="D16" s="75"/>
      <c r="E16" s="75"/>
      <c r="F16" s="75"/>
      <c r="G16" s="75"/>
      <c r="H16" s="75"/>
    </row>
    <row r="17" spans="1:8" s="3" customFormat="1" ht="12" thickBot="1">
      <c r="A17" s="3" t="s">
        <v>164</v>
      </c>
      <c r="C17" s="62" t="s">
        <v>165</v>
      </c>
      <c r="D17" s="3" t="s">
        <v>11</v>
      </c>
    </row>
    <row r="18" spans="1:8" ht="12" thickTop="1">
      <c r="A18" t="s">
        <v>133</v>
      </c>
      <c r="B18" t="s">
        <v>107</v>
      </c>
      <c r="C18" s="57">
        <v>0</v>
      </c>
    </row>
    <row r="19" spans="1:8">
      <c r="B19" t="s">
        <v>108</v>
      </c>
      <c r="C19" s="58">
        <v>0</v>
      </c>
    </row>
    <row r="20" spans="1:8">
      <c r="A20" t="s">
        <v>200</v>
      </c>
      <c r="B20" t="s">
        <v>107</v>
      </c>
      <c r="C20" s="58">
        <v>0</v>
      </c>
    </row>
    <row r="21" spans="1:8">
      <c r="B21" t="s">
        <v>108</v>
      </c>
      <c r="C21" s="59">
        <v>0</v>
      </c>
    </row>
    <row r="22" spans="1:8" s="38" customFormat="1"/>
    <row r="23" spans="1:8" s="38" customFormat="1" ht="12">
      <c r="A23" s="14" t="s">
        <v>160</v>
      </c>
    </row>
    <row r="24" spans="1:8" s="63" customFormat="1" ht="48" customHeight="1">
      <c r="A24" s="74" t="s">
        <v>194</v>
      </c>
      <c r="B24" s="74"/>
      <c r="C24" s="74"/>
      <c r="D24" s="74"/>
      <c r="E24" s="74"/>
      <c r="F24" s="74"/>
      <c r="G24" s="74"/>
      <c r="H24" s="74"/>
    </row>
    <row r="25" spans="1:8" s="3" customFormat="1" ht="12" thickBot="1">
      <c r="A25" s="3" t="s">
        <v>166</v>
      </c>
      <c r="C25" s="3" t="s">
        <v>165</v>
      </c>
      <c r="D25" s="3" t="s">
        <v>167</v>
      </c>
    </row>
    <row r="26" spans="1:8" ht="12" thickTop="1">
      <c r="A26" t="s">
        <v>143</v>
      </c>
      <c r="C26" s="7">
        <f>'NPV and Scenarios'!I37</f>
        <v>103190.26194795273</v>
      </c>
      <c r="D26" t="s">
        <v>139</v>
      </c>
    </row>
    <row r="27" spans="1:8">
      <c r="A27" t="s">
        <v>144</v>
      </c>
      <c r="C27" s="7">
        <f>'NPV and Scenarios'!M37</f>
        <v>99656.376060850525</v>
      </c>
      <c r="D27" t="s">
        <v>140</v>
      </c>
    </row>
    <row r="28" spans="1:8">
      <c r="A28" t="s">
        <v>145</v>
      </c>
      <c r="C28" s="7">
        <f>'NPV and Scenarios'!Q37</f>
        <v>98554.742924979597</v>
      </c>
      <c r="D28" t="s">
        <v>141</v>
      </c>
    </row>
    <row r="29" spans="1:8">
      <c r="A29" t="s">
        <v>146</v>
      </c>
      <c r="C29" s="7">
        <f>'NPV and Scenarios'!U37</f>
        <v>94518.195132317996</v>
      </c>
      <c r="D29" t="s">
        <v>142</v>
      </c>
    </row>
    <row r="31" spans="1:8">
      <c r="A31" t="s">
        <v>191</v>
      </c>
      <c r="C31" s="7">
        <f>'NPV and Scenarios'!B59</f>
        <v>7711.4319510964797</v>
      </c>
      <c r="D31" t="s">
        <v>192</v>
      </c>
    </row>
  </sheetData>
  <mergeCells count="3">
    <mergeCell ref="A2:H2"/>
    <mergeCell ref="A24:H24"/>
    <mergeCell ref="A16:H16"/>
  </mergeCell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138"/>
  <sheetViews>
    <sheetView tabSelected="1" workbookViewId="0">
      <selection activeCell="D74" sqref="D74"/>
    </sheetView>
  </sheetViews>
  <sheetFormatPr defaultColWidth="11.375" defaultRowHeight="11.4"/>
  <cols>
    <col min="1" max="1" width="16.375" customWidth="1"/>
    <col min="2" max="2" width="19.875" customWidth="1"/>
    <col min="3" max="3" width="11.375" customWidth="1"/>
    <col min="4" max="4" width="10.875" style="1" customWidth="1"/>
    <col min="5" max="5" width="2.75" customWidth="1"/>
  </cols>
  <sheetData>
    <row r="1" spans="1:7" ht="15.6">
      <c r="A1" s="43" t="s">
        <v>113</v>
      </c>
    </row>
    <row r="2" spans="1:7" s="6" customFormat="1" ht="60" customHeight="1">
      <c r="A2" s="74" t="s">
        <v>169</v>
      </c>
      <c r="B2" s="74"/>
      <c r="C2" s="74"/>
      <c r="D2" s="74"/>
      <c r="E2" s="74"/>
      <c r="F2" s="74"/>
      <c r="G2" s="74"/>
    </row>
    <row r="3" spans="1:7" s="6" customFormat="1">
      <c r="D3" s="64"/>
    </row>
    <row r="4" spans="1:7" s="6" customFormat="1">
      <c r="D4" s="64"/>
    </row>
    <row r="5" spans="1:7" s="6" customFormat="1">
      <c r="D5" s="64"/>
    </row>
    <row r="6" spans="1:7" s="3" customFormat="1" ht="12.6" thickBot="1">
      <c r="A6" s="2" t="s">
        <v>0</v>
      </c>
      <c r="D6" s="4"/>
    </row>
    <row r="7" spans="1:7" ht="12" thickTop="1">
      <c r="A7" t="s">
        <v>1</v>
      </c>
      <c r="B7">
        <v>32</v>
      </c>
      <c r="C7" t="s">
        <v>2</v>
      </c>
    </row>
    <row r="8" spans="1:7">
      <c r="A8" t="s">
        <v>3</v>
      </c>
      <c r="B8" s="28">
        <v>10</v>
      </c>
      <c r="C8" t="s">
        <v>152</v>
      </c>
    </row>
    <row r="9" spans="1:7">
      <c r="A9" t="s">
        <v>5</v>
      </c>
      <c r="B9" s="28">
        <f>Calculator!C10</f>
        <v>6</v>
      </c>
      <c r="C9" t="s">
        <v>153</v>
      </c>
    </row>
    <row r="10" spans="1:7">
      <c r="B10" s="28"/>
    </row>
    <row r="12" spans="1:7" s="3" customFormat="1" ht="12.6" thickBot="1">
      <c r="A12" s="2" t="s">
        <v>8</v>
      </c>
      <c r="D12" s="4" t="s">
        <v>9</v>
      </c>
      <c r="E12" s="3" t="s">
        <v>10</v>
      </c>
      <c r="F12" s="3" t="s">
        <v>11</v>
      </c>
    </row>
    <row r="13" spans="1:7" s="15" customFormat="1" ht="12.6" thickTop="1">
      <c r="A13" s="14" t="s">
        <v>12</v>
      </c>
      <c r="D13" s="16"/>
    </row>
    <row r="14" spans="1:7">
      <c r="A14" t="s">
        <v>13</v>
      </c>
    </row>
    <row r="15" spans="1:7">
      <c r="B15" t="s">
        <v>14</v>
      </c>
      <c r="C15">
        <v>5200</v>
      </c>
    </row>
    <row r="16" spans="1:7">
      <c r="B16" t="s">
        <v>15</v>
      </c>
      <c r="C16">
        <v>350</v>
      </c>
    </row>
    <row r="17" spans="1:6">
      <c r="B17" t="s">
        <v>16</v>
      </c>
      <c r="D17" s="1">
        <f>(C15+C16)</f>
        <v>5550</v>
      </c>
      <c r="E17">
        <v>1</v>
      </c>
    </row>
    <row r="18" spans="1:6">
      <c r="A18" t="s">
        <v>17</v>
      </c>
    </row>
    <row r="19" spans="1:6">
      <c r="B19" t="s">
        <v>18</v>
      </c>
      <c r="C19">
        <v>1385</v>
      </c>
    </row>
    <row r="20" spans="1:6">
      <c r="B20" t="s">
        <v>16</v>
      </c>
      <c r="D20" s="1">
        <f>C19</f>
        <v>1385</v>
      </c>
      <c r="E20">
        <v>1</v>
      </c>
    </row>
    <row r="21" spans="1:6">
      <c r="A21" t="s">
        <v>19</v>
      </c>
    </row>
    <row r="22" spans="1:6">
      <c r="B22" t="s">
        <v>20</v>
      </c>
      <c r="F22" t="s">
        <v>21</v>
      </c>
    </row>
    <row r="23" spans="1:6">
      <c r="B23" t="s">
        <v>22</v>
      </c>
      <c r="C23" s="7">
        <v>800</v>
      </c>
    </row>
    <row r="24" spans="1:6">
      <c r="B24" t="s">
        <v>23</v>
      </c>
      <c r="C24" s="7">
        <v>650</v>
      </c>
      <c r="F24" t="s">
        <v>24</v>
      </c>
    </row>
    <row r="25" spans="1:6">
      <c r="B25" t="s">
        <v>16</v>
      </c>
      <c r="C25" t="s">
        <v>25</v>
      </c>
      <c r="D25" s="1">
        <f>650</f>
        <v>650</v>
      </c>
      <c r="E25">
        <v>1</v>
      </c>
    </row>
    <row r="26" spans="1:6">
      <c r="A26" t="s">
        <v>26</v>
      </c>
      <c r="C26" s="7"/>
    </row>
    <row r="27" spans="1:6">
      <c r="B27" t="s">
        <v>27</v>
      </c>
      <c r="C27" s="33">
        <v>500</v>
      </c>
      <c r="D27" s="1" t="s">
        <v>28</v>
      </c>
    </row>
    <row r="28" spans="1:6" ht="14.1" customHeight="1">
      <c r="B28" t="s">
        <v>29</v>
      </c>
      <c r="C28" s="27">
        <v>0</v>
      </c>
      <c r="F28" t="s">
        <v>170</v>
      </c>
    </row>
    <row r="29" spans="1:6">
      <c r="B29" t="s">
        <v>16</v>
      </c>
      <c r="D29" s="1">
        <f>C27*C28</f>
        <v>0</v>
      </c>
      <c r="E29">
        <v>1</v>
      </c>
    </row>
    <row r="30" spans="1:6">
      <c r="A30" t="s">
        <v>30</v>
      </c>
    </row>
    <row r="31" spans="1:6">
      <c r="B31" t="s">
        <v>31</v>
      </c>
      <c r="C31" s="18">
        <v>500</v>
      </c>
      <c r="D31" s="1" t="s">
        <v>28</v>
      </c>
    </row>
    <row r="32" spans="1:6" ht="12" customHeight="1">
      <c r="B32" t="s">
        <v>32</v>
      </c>
      <c r="C32">
        <v>0</v>
      </c>
      <c r="F32" t="s">
        <v>170</v>
      </c>
    </row>
    <row r="33" spans="1:6">
      <c r="B33" t="s">
        <v>16</v>
      </c>
      <c r="D33" s="1">
        <f>C31*C32</f>
        <v>0</v>
      </c>
      <c r="E33">
        <v>1</v>
      </c>
    </row>
    <row r="34" spans="1:6" ht="12" customHeight="1">
      <c r="A34" t="s">
        <v>33</v>
      </c>
      <c r="F34" t="s">
        <v>34</v>
      </c>
    </row>
    <row r="35" spans="1:6" ht="12" customHeight="1">
      <c r="B35" t="s">
        <v>35</v>
      </c>
      <c r="C35">
        <v>4</v>
      </c>
      <c r="F35" t="s">
        <v>36</v>
      </c>
    </row>
    <row r="36" spans="1:6">
      <c r="B36" t="s">
        <v>16</v>
      </c>
      <c r="D36" s="1">
        <f>C35*B8</f>
        <v>40</v>
      </c>
      <c r="E36">
        <v>1</v>
      </c>
    </row>
    <row r="37" spans="1:6">
      <c r="D37" s="1">
        <f>SUM(D20:D36)</f>
        <v>2075</v>
      </c>
    </row>
    <row r="38" spans="1:6">
      <c r="A38" t="s">
        <v>37</v>
      </c>
      <c r="D38">
        <f>SUMIF(E17:E36,1,D17:D36)</f>
        <v>7625</v>
      </c>
    </row>
    <row r="40" spans="1:6" ht="12">
      <c r="A40" s="20" t="s">
        <v>38</v>
      </c>
    </row>
    <row r="41" spans="1:6">
      <c r="A41" t="s">
        <v>39</v>
      </c>
    </row>
    <row r="42" spans="1:6">
      <c r="B42" t="s">
        <v>40</v>
      </c>
      <c r="C42">
        <v>1000</v>
      </c>
    </row>
    <row r="43" spans="1:6">
      <c r="B43" t="s">
        <v>41</v>
      </c>
      <c r="C43">
        <v>1</v>
      </c>
    </row>
    <row r="44" spans="1:6">
      <c r="B44" t="s">
        <v>16</v>
      </c>
      <c r="D44" s="1">
        <f>C43*C42</f>
        <v>1000</v>
      </c>
      <c r="E44">
        <v>1</v>
      </c>
    </row>
    <row r="45" spans="1:6">
      <c r="A45" t="s">
        <v>42</v>
      </c>
    </row>
    <row r="46" spans="1:6">
      <c r="B46" t="s">
        <v>40</v>
      </c>
      <c r="C46">
        <v>1000</v>
      </c>
      <c r="D46" s="1" t="s">
        <v>28</v>
      </c>
    </row>
    <row r="47" spans="1:6">
      <c r="B47" t="s">
        <v>41</v>
      </c>
      <c r="C47">
        <v>0</v>
      </c>
      <c r="F47" t="s">
        <v>171</v>
      </c>
    </row>
    <row r="48" spans="1:6">
      <c r="B48" t="s">
        <v>16</v>
      </c>
      <c r="D48" s="1">
        <f>C46*C47</f>
        <v>0</v>
      </c>
      <c r="E48">
        <v>1</v>
      </c>
    </row>
    <row r="50" spans="1:6">
      <c r="A50" t="s">
        <v>38</v>
      </c>
      <c r="D50" s="1">
        <f>SUMIF(E41:E48,1,D41:D48)</f>
        <v>1000</v>
      </c>
    </row>
    <row r="52" spans="1:6" s="3" customFormat="1" ht="12.6" thickBot="1">
      <c r="A52" s="2" t="s">
        <v>43</v>
      </c>
      <c r="D52" s="4" t="s">
        <v>9</v>
      </c>
      <c r="E52" s="3" t="s">
        <v>10</v>
      </c>
      <c r="F52" s="3" t="s">
        <v>11</v>
      </c>
    </row>
    <row r="53" spans="1:6" ht="12" thickTop="1">
      <c r="A53" t="s">
        <v>44</v>
      </c>
    </row>
    <row r="54" spans="1:6">
      <c r="B54" t="s">
        <v>45</v>
      </c>
      <c r="C54">
        <f>4*5+2</f>
        <v>22</v>
      </c>
      <c r="F54" t="s">
        <v>46</v>
      </c>
    </row>
    <row r="55" spans="1:6">
      <c r="B55" t="s">
        <v>47</v>
      </c>
      <c r="C55">
        <f>C54*B7</f>
        <v>704</v>
      </c>
    </row>
    <row r="56" spans="1:6">
      <c r="B56" t="s">
        <v>48</v>
      </c>
      <c r="C56">
        <v>0.14099999999999999</v>
      </c>
      <c r="F56" t="s">
        <v>49</v>
      </c>
    </row>
    <row r="57" spans="1:6">
      <c r="B57" t="s">
        <v>16</v>
      </c>
      <c r="D57" s="1">
        <f>C55*C56</f>
        <v>99.263999999999996</v>
      </c>
      <c r="E57">
        <v>0</v>
      </c>
      <c r="F57" t="s">
        <v>172</v>
      </c>
    </row>
    <row r="58" spans="1:6">
      <c r="A58" t="s">
        <v>50</v>
      </c>
    </row>
    <row r="59" spans="1:6">
      <c r="B59" t="s">
        <v>51</v>
      </c>
      <c r="C59" s="5">
        <f>1/6</f>
        <v>0.16666666666666666</v>
      </c>
      <c r="F59" t="s">
        <v>52</v>
      </c>
    </row>
    <row r="60" spans="1:6">
      <c r="B60" t="s">
        <v>53</v>
      </c>
      <c r="C60" s="5">
        <f>4*1/B7</f>
        <v>0.125</v>
      </c>
      <c r="F60" t="s">
        <v>54</v>
      </c>
    </row>
    <row r="61" spans="1:6">
      <c r="B61" t="s">
        <v>55</v>
      </c>
      <c r="C61" s="5">
        <f>5*15/60</f>
        <v>1.25</v>
      </c>
      <c r="F61" t="s">
        <v>56</v>
      </c>
    </row>
    <row r="62" spans="1:6">
      <c r="B62" t="s">
        <v>57</v>
      </c>
      <c r="C62" s="5">
        <f>3*150/60/B7</f>
        <v>0.234375</v>
      </c>
      <c r="F62" t="s">
        <v>58</v>
      </c>
    </row>
    <row r="63" spans="1:6">
      <c r="B63" t="s">
        <v>59</v>
      </c>
      <c r="C63" s="5">
        <f>SUM(C59:C62)</f>
        <v>1.7760416666666665</v>
      </c>
    </row>
    <row r="64" spans="1:6">
      <c r="B64" t="s">
        <v>16</v>
      </c>
      <c r="D64" s="1">
        <f>C63*B9*B7</f>
        <v>341</v>
      </c>
      <c r="E64">
        <v>1</v>
      </c>
    </row>
    <row r="65" spans="1:10">
      <c r="A65" t="s">
        <v>60</v>
      </c>
      <c r="H65" t="s">
        <v>61</v>
      </c>
    </row>
    <row r="66" spans="1:10">
      <c r="B66" t="s">
        <v>62</v>
      </c>
      <c r="C66">
        <f>1.95*B7</f>
        <v>62.4</v>
      </c>
      <c r="F66" t="s">
        <v>63</v>
      </c>
      <c r="H66" s="18" t="s">
        <v>64</v>
      </c>
      <c r="I66" s="26">
        <v>1.3410220895950301E-3</v>
      </c>
    </row>
    <row r="67" spans="1:10">
      <c r="B67" t="s">
        <v>65</v>
      </c>
      <c r="C67" s="6">
        <f>80*24*B7/1000</f>
        <v>61.44</v>
      </c>
      <c r="F67" t="s">
        <v>66</v>
      </c>
      <c r="H67" s="18" t="s">
        <v>67</v>
      </c>
      <c r="I67">
        <f>2/I66</f>
        <v>1491.399743164538</v>
      </c>
      <c r="J67" t="s">
        <v>68</v>
      </c>
    </row>
    <row r="68" spans="1:10">
      <c r="B68" t="s">
        <v>69</v>
      </c>
      <c r="C68">
        <f>SUM(C66:C67)</f>
        <v>123.84</v>
      </c>
      <c r="H68" s="18" t="s">
        <v>70</v>
      </c>
      <c r="I68">
        <f>I67/1000</f>
        <v>1.491399743164538</v>
      </c>
      <c r="J68" t="s">
        <v>71</v>
      </c>
    </row>
    <row r="69" spans="1:10">
      <c r="B69" t="s">
        <v>72</v>
      </c>
      <c r="C69">
        <v>4.4999999999999998E-2</v>
      </c>
      <c r="H69" s="18" t="s">
        <v>70</v>
      </c>
      <c r="I69">
        <f>I68*0.75*B7*(3^0.5)</f>
        <v>61.996323109347699</v>
      </c>
      <c r="J69" t="s">
        <v>73</v>
      </c>
    </row>
    <row r="70" spans="1:10">
      <c r="B70" t="s">
        <v>16</v>
      </c>
      <c r="D70" s="1">
        <f>C69*C68</f>
        <v>5.5728</v>
      </c>
      <c r="E70">
        <v>1</v>
      </c>
    </row>
    <row r="71" spans="1:10">
      <c r="A71" t="s">
        <v>74</v>
      </c>
    </row>
    <row r="72" spans="1:10">
      <c r="B72" t="s">
        <v>16</v>
      </c>
      <c r="D72" s="1">
        <v>100</v>
      </c>
      <c r="E72">
        <v>1</v>
      </c>
      <c r="F72" t="s">
        <v>173</v>
      </c>
    </row>
    <row r="74" spans="1:10">
      <c r="A74" t="s">
        <v>37</v>
      </c>
      <c r="D74" s="1">
        <f>SUMIF(E53:E72,1,D53:D72)</f>
        <v>446.57279999999997</v>
      </c>
    </row>
    <row r="75" spans="1:10">
      <c r="A75" t="s">
        <v>75</v>
      </c>
      <c r="D75" s="1">
        <v>0</v>
      </c>
    </row>
    <row r="77" spans="1:10" s="3" customFormat="1" ht="12.6" thickBot="1">
      <c r="A77" s="2" t="s">
        <v>76</v>
      </c>
      <c r="D77" s="4" t="s">
        <v>9</v>
      </c>
      <c r="E77" s="3" t="s">
        <v>10</v>
      </c>
      <c r="F77" s="3" t="s">
        <v>11</v>
      </c>
    </row>
    <row r="78" spans="1:10" ht="12" thickTop="1"/>
    <row r="79" spans="1:10">
      <c r="A79" t="s">
        <v>77</v>
      </c>
      <c r="F79" t="s">
        <v>174</v>
      </c>
    </row>
    <row r="80" spans="1:10">
      <c r="B80" t="s">
        <v>78</v>
      </c>
      <c r="C80">
        <v>2</v>
      </c>
    </row>
    <row r="81" spans="1:6">
      <c r="B81" t="s">
        <v>79</v>
      </c>
      <c r="C81">
        <v>5000</v>
      </c>
    </row>
    <row r="82" spans="1:6">
      <c r="B82" t="s">
        <v>80</v>
      </c>
      <c r="C82">
        <v>3</v>
      </c>
      <c r="F82" t="s">
        <v>81</v>
      </c>
    </row>
    <row r="83" spans="1:6">
      <c r="B83" t="s">
        <v>16</v>
      </c>
      <c r="D83" s="1">
        <v>10000</v>
      </c>
      <c r="E83">
        <v>0</v>
      </c>
    </row>
    <row r="84" spans="1:6">
      <c r="A84" t="s">
        <v>37</v>
      </c>
      <c r="D84" s="1">
        <f>SUMIF(E80:E83,1,D80:D83)</f>
        <v>0</v>
      </c>
    </row>
    <row r="85" spans="1:6">
      <c r="A85" t="s">
        <v>84</v>
      </c>
      <c r="D85" s="1">
        <f>SUMIF(E80:E83,1,D80:D83)</f>
        <v>0</v>
      </c>
    </row>
    <row r="87" spans="1:6" s="2" customFormat="1" ht="12.6" thickBot="1">
      <c r="A87" s="2" t="s">
        <v>85</v>
      </c>
      <c r="D87" s="4" t="s">
        <v>9</v>
      </c>
      <c r="E87" s="3" t="s">
        <v>10</v>
      </c>
      <c r="F87" s="3" t="s">
        <v>11</v>
      </c>
    </row>
    <row r="88" spans="1:6" ht="12" thickTop="1"/>
    <row r="89" spans="1:6">
      <c r="A89" t="s">
        <v>86</v>
      </c>
      <c r="D89"/>
      <c r="E89" s="1"/>
    </row>
    <row r="90" spans="1:6">
      <c r="B90" t="s">
        <v>87</v>
      </c>
      <c r="C90" s="9">
        <v>9.8000000000000007</v>
      </c>
      <c r="D90"/>
      <c r="E90" s="1"/>
    </row>
    <row r="91" spans="1:6">
      <c r="B91" t="s">
        <v>88</v>
      </c>
      <c r="C91" s="9">
        <f>C90*2</f>
        <v>19.600000000000001</v>
      </c>
      <c r="D91"/>
      <c r="E91" s="1"/>
    </row>
    <row r="92" spans="1:6">
      <c r="B92" t="s">
        <v>89</v>
      </c>
      <c r="C92" s="7">
        <v>25</v>
      </c>
      <c r="D92"/>
      <c r="E92" s="1"/>
    </row>
    <row r="93" spans="1:6">
      <c r="B93" t="s">
        <v>90</v>
      </c>
      <c r="C93" s="9"/>
      <c r="D93" s="1">
        <f>C92*C91</f>
        <v>490.00000000000006</v>
      </c>
      <c r="E93">
        <v>1</v>
      </c>
    </row>
    <row r="94" spans="1:6">
      <c r="A94" t="s">
        <v>91</v>
      </c>
    </row>
    <row r="95" spans="1:6">
      <c r="B95" t="s">
        <v>51</v>
      </c>
      <c r="C95">
        <v>0</v>
      </c>
    </row>
    <row r="96" spans="1:6">
      <c r="B96" t="s">
        <v>92</v>
      </c>
      <c r="C96">
        <v>0</v>
      </c>
      <c r="F96" t="s">
        <v>198</v>
      </c>
    </row>
    <row r="97" spans="1:6">
      <c r="B97" t="s">
        <v>59</v>
      </c>
      <c r="C97">
        <f>C95*E95+C96*E96</f>
        <v>0</v>
      </c>
    </row>
    <row r="98" spans="1:6">
      <c r="B98" t="s">
        <v>16</v>
      </c>
      <c r="D98" s="1">
        <f>C97*B8</f>
        <v>0</v>
      </c>
      <c r="E98">
        <v>0</v>
      </c>
      <c r="F98" t="s">
        <v>175</v>
      </c>
    </row>
    <row r="99" spans="1:6">
      <c r="A99" t="s">
        <v>93</v>
      </c>
    </row>
    <row r="100" spans="1:6">
      <c r="A100" s="23"/>
      <c r="B100" t="s">
        <v>94</v>
      </c>
      <c r="C100">
        <v>0</v>
      </c>
    </row>
    <row r="101" spans="1:6">
      <c r="B101" t="s">
        <v>95</v>
      </c>
      <c r="C101">
        <v>0</v>
      </c>
      <c r="F101" t="s">
        <v>96</v>
      </c>
    </row>
    <row r="102" spans="1:6">
      <c r="B102" t="s">
        <v>16</v>
      </c>
      <c r="D102" s="1">
        <f>(C100-C101)*B8</f>
        <v>0</v>
      </c>
      <c r="E102">
        <v>0</v>
      </c>
      <c r="F102" t="s">
        <v>175</v>
      </c>
    </row>
    <row r="103" spans="1:6">
      <c r="A103" t="s">
        <v>97</v>
      </c>
      <c r="C103" s="9"/>
      <c r="D103"/>
      <c r="E103" s="1"/>
      <c r="F103" t="s">
        <v>176</v>
      </c>
    </row>
    <row r="104" spans="1:6">
      <c r="B104" t="s">
        <v>98</v>
      </c>
      <c r="C104" s="1">
        <v>1200</v>
      </c>
      <c r="D104"/>
      <c r="E104" s="1"/>
      <c r="F104" t="s">
        <v>123</v>
      </c>
    </row>
    <row r="105" spans="1:6">
      <c r="B105" t="s">
        <v>99</v>
      </c>
      <c r="C105" s="29">
        <v>1</v>
      </c>
      <c r="D105"/>
      <c r="E105" s="1"/>
    </row>
    <row r="106" spans="1:6">
      <c r="B106" t="s">
        <v>100</v>
      </c>
      <c r="C106" s="1">
        <v>5000</v>
      </c>
      <c r="D106"/>
      <c r="E106" s="1"/>
    </row>
    <row r="107" spans="1:6">
      <c r="B107" t="s">
        <v>101</v>
      </c>
      <c r="C107" s="12">
        <f>Calculator!C7</f>
        <v>0.25</v>
      </c>
      <c r="D107"/>
      <c r="E107" s="1"/>
    </row>
    <row r="108" spans="1:6">
      <c r="B108" t="s">
        <v>102</v>
      </c>
      <c r="D108" s="28">
        <f>C104/8*C107*9+C105*C106/8*C107</f>
        <v>493.75</v>
      </c>
      <c r="E108">
        <v>1</v>
      </c>
    </row>
    <row r="109" spans="1:6">
      <c r="A109" t="s">
        <v>82</v>
      </c>
    </row>
    <row r="110" spans="1:6">
      <c r="B110" t="s">
        <v>83</v>
      </c>
      <c r="C110">
        <v>3200</v>
      </c>
      <c r="F110" t="s">
        <v>124</v>
      </c>
    </row>
    <row r="111" spans="1:6">
      <c r="B111" t="s">
        <v>121</v>
      </c>
      <c r="C111">
        <v>8</v>
      </c>
    </row>
    <row r="112" spans="1:6">
      <c r="B112" t="s">
        <v>122</v>
      </c>
      <c r="D112" s="1">
        <f>C110/C111</f>
        <v>400</v>
      </c>
      <c r="E112">
        <v>1</v>
      </c>
    </row>
    <row r="113" spans="1:6">
      <c r="A113" t="s">
        <v>197</v>
      </c>
      <c r="C113" s="10"/>
      <c r="D113" s="10"/>
    </row>
    <row r="114" spans="1:6">
      <c r="B114" t="s">
        <v>103</v>
      </c>
      <c r="C114" s="9">
        <v>20.399999999999999</v>
      </c>
    </row>
    <row r="115" spans="1:6">
      <c r="B115" t="s">
        <v>196</v>
      </c>
      <c r="C115" s="28">
        <f>8960/633*2</f>
        <v>28.309636650868878</v>
      </c>
      <c r="D115"/>
      <c r="F115" s="21" t="s">
        <v>104</v>
      </c>
    </row>
    <row r="116" spans="1:6">
      <c r="B116" t="s">
        <v>102</v>
      </c>
      <c r="C116" s="1"/>
      <c r="D116" s="1">
        <f>C114*C115</f>
        <v>577.51658767772506</v>
      </c>
      <c r="E116">
        <v>1</v>
      </c>
    </row>
    <row r="117" spans="1:6">
      <c r="A117" t="s">
        <v>132</v>
      </c>
      <c r="C117" s="1"/>
    </row>
    <row r="118" spans="1:6">
      <c r="B118" t="s">
        <v>137</v>
      </c>
      <c r="C118" s="25">
        <v>2714</v>
      </c>
    </row>
    <row r="119" spans="1:6">
      <c r="B119" t="s">
        <v>138</v>
      </c>
      <c r="C119" s="1">
        <f>Calculator!C8</f>
        <v>0</v>
      </c>
    </row>
    <row r="120" spans="1:6">
      <c r="B120" t="s">
        <v>16</v>
      </c>
      <c r="C120" s="1"/>
      <c r="D120" s="1">
        <f>C119*C118</f>
        <v>0</v>
      </c>
      <c r="E120">
        <v>1</v>
      </c>
    </row>
    <row r="122" spans="1:6">
      <c r="A122" t="s">
        <v>37</v>
      </c>
      <c r="C122" s="10"/>
      <c r="D122" s="1">
        <f>SUMIF(E88:E116,1,D88:D116)</f>
        <v>1961.2665876777251</v>
      </c>
    </row>
    <row r="123" spans="1:6">
      <c r="A123" t="s">
        <v>84</v>
      </c>
      <c r="C123" s="10"/>
      <c r="D123" s="1">
        <f>SUMIF(E117:E120,1,D117:D120)</f>
        <v>0</v>
      </c>
    </row>
    <row r="126" spans="1:6" s="3" customFormat="1" ht="12.6" thickBot="1">
      <c r="A126" s="2" t="s">
        <v>105</v>
      </c>
      <c r="D126" s="4"/>
    </row>
    <row r="127" spans="1:6" ht="12" thickTop="1">
      <c r="A127" t="s">
        <v>106</v>
      </c>
      <c r="B127" s="10" t="s">
        <v>107</v>
      </c>
      <c r="C127" s="1">
        <f>D38</f>
        <v>7625</v>
      </c>
      <c r="D127"/>
    </row>
    <row r="128" spans="1:6">
      <c r="B128" s="10" t="s">
        <v>108</v>
      </c>
      <c r="C128" s="1">
        <f>D50</f>
        <v>1000</v>
      </c>
      <c r="D128"/>
    </row>
    <row r="129" spans="1:4">
      <c r="A129" t="s">
        <v>109</v>
      </c>
      <c r="B129" s="10" t="s">
        <v>107</v>
      </c>
      <c r="C129" s="1">
        <f>D74</f>
        <v>446.57279999999997</v>
      </c>
    </row>
    <row r="130" spans="1:4">
      <c r="B130" s="10" t="s">
        <v>108</v>
      </c>
      <c r="C130" s="1">
        <f>D75</f>
        <v>0</v>
      </c>
    </row>
    <row r="131" spans="1:4">
      <c r="A131" t="s">
        <v>110</v>
      </c>
      <c r="B131" s="10" t="s">
        <v>107</v>
      </c>
      <c r="C131" s="1">
        <f>D84</f>
        <v>0</v>
      </c>
    </row>
    <row r="132" spans="1:4">
      <c r="B132" s="10" t="s">
        <v>108</v>
      </c>
      <c r="C132" s="1">
        <f>D85</f>
        <v>0</v>
      </c>
    </row>
    <row r="133" spans="1:4">
      <c r="A133" t="s">
        <v>199</v>
      </c>
      <c r="B133" s="10" t="s">
        <v>107</v>
      </c>
      <c r="C133" s="1">
        <f>D122</f>
        <v>1961.2665876777251</v>
      </c>
    </row>
    <row r="134" spans="1:4" ht="12" thickBot="1">
      <c r="B134" s="10" t="s">
        <v>108</v>
      </c>
      <c r="C134" s="1">
        <f>D123</f>
        <v>0</v>
      </c>
    </row>
    <row r="135" spans="1:4" s="60" customFormat="1" ht="12" thickTop="1">
      <c r="A135" s="34" t="s">
        <v>111</v>
      </c>
      <c r="B135" s="35" t="s">
        <v>107</v>
      </c>
      <c r="C135" s="36">
        <f>C127-C131</f>
        <v>7625</v>
      </c>
      <c r="D135" s="36"/>
    </row>
    <row r="136" spans="1:4">
      <c r="B136" s="10" t="s">
        <v>108</v>
      </c>
      <c r="C136" s="1">
        <f>C128-C132</f>
        <v>1000</v>
      </c>
    </row>
    <row r="137" spans="1:4">
      <c r="A137" t="s">
        <v>112</v>
      </c>
      <c r="B137" s="10" t="s">
        <v>107</v>
      </c>
      <c r="C137" s="1">
        <f>C133-C129</f>
        <v>1514.6937876777251</v>
      </c>
    </row>
    <row r="138" spans="1:4">
      <c r="B138" s="10" t="s">
        <v>108</v>
      </c>
      <c r="C138" s="1">
        <f>C134-C130</f>
        <v>0</v>
      </c>
    </row>
  </sheetData>
  <mergeCells count="1">
    <mergeCell ref="A2:G2"/>
  </mergeCells>
  <pageMargins left="0.75" right="0.75" top="1" bottom="1" header="0.5" footer="0.5"/>
  <pageSetup scale="78" fitToHeight="2" orientation="portrait" horizontalDpi="4294967292" verticalDpi="4294967292"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dimension ref="A1:V118"/>
  <sheetViews>
    <sheetView workbookViewId="0">
      <selection activeCell="C9" sqref="C9"/>
    </sheetView>
  </sheetViews>
  <sheetFormatPr defaultColWidth="11.375" defaultRowHeight="11.4"/>
  <cols>
    <col min="1" max="1" width="18.25" customWidth="1"/>
    <col min="2" max="4" width="10.375" customWidth="1"/>
    <col min="5" max="5" width="9" customWidth="1"/>
    <col min="6" max="6" width="7.75" customWidth="1"/>
    <col min="7" max="21" width="8.75" customWidth="1"/>
    <col min="22" max="22" width="8.375" customWidth="1"/>
    <col min="23" max="23" width="7" customWidth="1"/>
    <col min="24" max="24" width="7.125" customWidth="1"/>
    <col min="25" max="25" width="5.875" customWidth="1"/>
  </cols>
  <sheetData>
    <row r="1" spans="1:22" ht="15.6">
      <c r="A1" s="43" t="s">
        <v>148</v>
      </c>
    </row>
    <row r="2" spans="1:22" s="6" customFormat="1" ht="36" customHeight="1">
      <c r="A2" s="74" t="s">
        <v>180</v>
      </c>
      <c r="B2" s="74"/>
      <c r="C2" s="74"/>
      <c r="D2" s="74"/>
      <c r="E2" s="74"/>
      <c r="F2" s="74"/>
      <c r="G2" s="74"/>
      <c r="H2" s="74"/>
    </row>
    <row r="3" spans="1:22" s="6" customFormat="1"/>
    <row r="4" spans="1:22">
      <c r="A4" t="s">
        <v>168</v>
      </c>
    </row>
    <row r="5" spans="1:22">
      <c r="A5" t="str">
        <f>'Cost-Ben Worksheet'!A135</f>
        <v>Net Start-up Costs</v>
      </c>
      <c r="B5" t="str">
        <f>'Cost-Ben Worksheet'!B135</f>
        <v>per tub</v>
      </c>
      <c r="C5" s="37">
        <f>'Cost-Ben Worksheet'!C135+Calculator!C18</f>
        <v>7625</v>
      </c>
    </row>
    <row r="6" spans="1:22">
      <c r="B6" t="str">
        <f>'Cost-Ben Worksheet'!B136</f>
        <v>additional</v>
      </c>
      <c r="C6" s="37">
        <f>'Cost-Ben Worksheet'!C136+Calculator!C19</f>
        <v>1000</v>
      </c>
    </row>
    <row r="7" spans="1:22">
      <c r="A7" t="str">
        <f>'Cost-Ben Worksheet'!A137</f>
        <v>Net Recurring Benefits</v>
      </c>
      <c r="B7" t="str">
        <f>'Cost-Ben Worksheet'!B137</f>
        <v>per tub</v>
      </c>
      <c r="C7" s="37">
        <f>'Cost-Ben Worksheet'!C137-Calculator!C20</f>
        <v>1514.6937876777251</v>
      </c>
    </row>
    <row r="8" spans="1:22">
      <c r="B8" t="str">
        <f>'Cost-Ben Worksheet'!B138</f>
        <v>additional</v>
      </c>
      <c r="C8" s="37">
        <f>'Cost-Ben Worksheet'!C138-Calculator!C21</f>
        <v>0</v>
      </c>
    </row>
    <row r="9" spans="1:22">
      <c r="A9" t="s">
        <v>114</v>
      </c>
      <c r="C9" s="12">
        <f>Calculator!C9</f>
        <v>0.05</v>
      </c>
    </row>
    <row r="10" spans="1:22">
      <c r="C10" s="12"/>
    </row>
    <row r="11" spans="1:22" ht="12">
      <c r="A11" s="20" t="s">
        <v>177</v>
      </c>
      <c r="C11" s="12"/>
      <c r="G11" s="20" t="s">
        <v>179</v>
      </c>
    </row>
    <row r="12" spans="1:22">
      <c r="B12" s="76" t="s">
        <v>128</v>
      </c>
      <c r="C12" s="76"/>
      <c r="D12" s="76"/>
      <c r="E12" s="76"/>
      <c r="G12" s="23" t="s">
        <v>115</v>
      </c>
      <c r="H12" s="23"/>
      <c r="I12" s="23"/>
      <c r="J12" s="23"/>
      <c r="K12" s="67" t="s">
        <v>117</v>
      </c>
      <c r="L12" s="17"/>
      <c r="M12" s="17"/>
      <c r="N12" s="17"/>
      <c r="O12" s="67" t="s">
        <v>118</v>
      </c>
      <c r="P12" s="17"/>
      <c r="Q12" s="17"/>
      <c r="R12" s="17"/>
      <c r="S12" s="67" t="s">
        <v>119</v>
      </c>
      <c r="T12" s="17"/>
      <c r="U12" s="17"/>
    </row>
    <row r="13" spans="1:22" s="6" customFormat="1" ht="12" thickBot="1">
      <c r="A13" s="44" t="s">
        <v>178</v>
      </c>
      <c r="B13" s="39" t="s">
        <v>115</v>
      </c>
      <c r="C13" s="39">
        <v>2</v>
      </c>
      <c r="D13" s="39">
        <v>3</v>
      </c>
      <c r="E13" s="39">
        <v>4</v>
      </c>
      <c r="F13" s="6" t="s">
        <v>190</v>
      </c>
      <c r="G13" s="68" t="s">
        <v>116</v>
      </c>
      <c r="H13" s="68" t="s">
        <v>125</v>
      </c>
      <c r="I13" s="68" t="s">
        <v>126</v>
      </c>
      <c r="J13" s="68" t="s">
        <v>120</v>
      </c>
      <c r="K13" s="69" t="s">
        <v>116</v>
      </c>
      <c r="L13" s="68" t="s">
        <v>125</v>
      </c>
      <c r="M13" s="68" t="s">
        <v>126</v>
      </c>
      <c r="N13" s="68" t="s">
        <v>120</v>
      </c>
      <c r="O13" s="69" t="s">
        <v>116</v>
      </c>
      <c r="P13" s="68" t="s">
        <v>125</v>
      </c>
      <c r="Q13" s="68" t="s">
        <v>126</v>
      </c>
      <c r="R13" s="68" t="s">
        <v>120</v>
      </c>
      <c r="S13" s="69" t="s">
        <v>116</v>
      </c>
      <c r="T13" s="68" t="s">
        <v>125</v>
      </c>
      <c r="U13" s="68" t="s">
        <v>126</v>
      </c>
      <c r="V13" s="68" t="s">
        <v>120</v>
      </c>
    </row>
    <row r="14" spans="1:22" ht="12" thickTop="1">
      <c r="A14" s="24">
        <v>1999</v>
      </c>
      <c r="B14" s="17">
        <v>1</v>
      </c>
      <c r="C14" s="17">
        <v>1</v>
      </c>
      <c r="D14" s="17">
        <v>1</v>
      </c>
      <c r="E14" s="17">
        <v>1</v>
      </c>
      <c r="F14">
        <v>0</v>
      </c>
      <c r="G14" s="7">
        <f>(B15-B14)*$C$5+C6</f>
        <v>77250</v>
      </c>
      <c r="H14" s="40"/>
      <c r="I14" s="7">
        <f>H14-G14</f>
        <v>-77250</v>
      </c>
      <c r="J14" s="7">
        <f>NPV($C$9,I14)</f>
        <v>-73571.428571428565</v>
      </c>
      <c r="K14" s="41">
        <f>(C15-C14)*$C$5+C6</f>
        <v>46750</v>
      </c>
      <c r="L14" s="42"/>
      <c r="M14" s="19">
        <f>L14-K14</f>
        <v>-46750</v>
      </c>
      <c r="N14" s="7">
        <f>NPV($C$9,M14)</f>
        <v>-44523.809523809519</v>
      </c>
      <c r="O14" s="41">
        <f>(D15-D14)*$C$5+C6</f>
        <v>23875</v>
      </c>
      <c r="P14" s="42"/>
      <c r="Q14" s="19">
        <f>P14-O14</f>
        <v>-23875</v>
      </c>
      <c r="R14" s="7">
        <f>NPV($C$9,Q14)</f>
        <v>-22738.095238095237</v>
      </c>
      <c r="S14" s="41">
        <f>(E15-E14)*$C$5+C6</f>
        <v>8625</v>
      </c>
      <c r="T14" s="42"/>
      <c r="U14" s="19">
        <f>T14-S14</f>
        <v>-8625</v>
      </c>
      <c r="V14" s="7">
        <f>NPV($C$9,U14)</f>
        <v>-8214.2857142857138</v>
      </c>
    </row>
    <row r="15" spans="1:22">
      <c r="A15" s="24">
        <v>2000</v>
      </c>
      <c r="B15" s="23">
        <v>11</v>
      </c>
      <c r="C15" s="23">
        <v>7</v>
      </c>
      <c r="D15" s="23">
        <v>4</v>
      </c>
      <c r="E15" s="23">
        <v>2</v>
      </c>
      <c r="F15">
        <v>1</v>
      </c>
      <c r="G15" s="7">
        <f t="shared" ref="G15:G27" si="0">(B16-B15)*$C$5</f>
        <v>0</v>
      </c>
      <c r="H15" s="40">
        <f t="shared" ref="H15:H35" si="1">B15*$C$7+$C$8</f>
        <v>16661.631664454977</v>
      </c>
      <c r="I15" s="7">
        <f t="shared" ref="I15:I35" si="2">H15-G15</f>
        <v>16661.631664454977</v>
      </c>
      <c r="J15" s="7">
        <f>NPV($C$9,I14:I15)</f>
        <v>-58458.837492557839</v>
      </c>
      <c r="K15" s="41">
        <f t="shared" ref="K15:K27" si="3">(C16-C15)*$C$5</f>
        <v>0</v>
      </c>
      <c r="L15" s="42">
        <f t="shared" ref="L15:L35" si="4">C15*$C$7+$C$8</f>
        <v>10602.856513744076</v>
      </c>
      <c r="M15" s="19">
        <f t="shared" ref="M15:M35" si="5">L15-K15</f>
        <v>10602.856513744076</v>
      </c>
      <c r="N15" s="7">
        <f>NPV($C$9,M14:M15)</f>
        <v>-34906.70610998269</v>
      </c>
      <c r="O15" s="41">
        <f t="shared" ref="O15:O27" si="6">(D16-D15)*$C$5</f>
        <v>22875</v>
      </c>
      <c r="P15" s="42">
        <f t="shared" ref="P15:P35" si="7">D15*$C$7+$C$8</f>
        <v>6058.7751507109006</v>
      </c>
      <c r="Q15" s="19">
        <f t="shared" ref="Q15:Q35" si="8">P15-O15</f>
        <v>-16816.224849289101</v>
      </c>
      <c r="R15" s="7">
        <f>NPV($C$9,Q14:Q15)</f>
        <v>-37990.906892779225</v>
      </c>
      <c r="S15" s="41">
        <f t="shared" ref="S15:S27" si="9">(E16-E15)*$C$5</f>
        <v>15250</v>
      </c>
      <c r="T15" s="42">
        <f t="shared" ref="T15:T35" si="10">E15*$C$7+$C$8</f>
        <v>3029.3875753554503</v>
      </c>
      <c r="U15" s="19">
        <f t="shared" ref="U15:U35" si="11">T15-S15</f>
        <v>-12220.612424644551</v>
      </c>
      <c r="V15" s="7">
        <f>NPV($C$9,U14:U15)</f>
        <v>-19298.741428249024</v>
      </c>
    </row>
    <row r="16" spans="1:22">
      <c r="A16" s="24">
        <v>2001</v>
      </c>
      <c r="B16" s="23">
        <v>11</v>
      </c>
      <c r="C16" s="23">
        <v>7</v>
      </c>
      <c r="D16" s="23">
        <v>7</v>
      </c>
      <c r="E16" s="23">
        <v>4</v>
      </c>
      <c r="F16">
        <v>2</v>
      </c>
      <c r="G16" s="7">
        <f t="shared" si="0"/>
        <v>7625</v>
      </c>
      <c r="H16" s="40">
        <f t="shared" si="1"/>
        <v>16661.631664454977</v>
      </c>
      <c r="I16" s="7">
        <f t="shared" si="2"/>
        <v>9036.631664454977</v>
      </c>
      <c r="J16" s="7">
        <f>NPV($C$9,I14:I16)</f>
        <v>-50652.655296721561</v>
      </c>
      <c r="K16" s="41">
        <f t="shared" si="3"/>
        <v>22875</v>
      </c>
      <c r="L16" s="42">
        <f t="shared" si="4"/>
        <v>10602.856513744076</v>
      </c>
      <c r="M16" s="19">
        <f t="shared" si="5"/>
        <v>-12272.143486255924</v>
      </c>
      <c r="N16" s="7">
        <f>NPV($C$9,M14:M16)</f>
        <v>-45507.845067983704</v>
      </c>
      <c r="O16" s="41">
        <f t="shared" si="6"/>
        <v>22875</v>
      </c>
      <c r="P16" s="42">
        <f t="shared" si="7"/>
        <v>10602.856513744076</v>
      </c>
      <c r="Q16" s="19">
        <f t="shared" si="8"/>
        <v>-12272.143486255924</v>
      </c>
      <c r="R16" s="7">
        <f>NPV($C$9,Q14:Q16)</f>
        <v>-48592.04585078024</v>
      </c>
      <c r="S16" s="41">
        <f t="shared" si="9"/>
        <v>22875</v>
      </c>
      <c r="T16" s="42">
        <f t="shared" si="10"/>
        <v>6058.7751507109006</v>
      </c>
      <c r="U16" s="19">
        <f t="shared" si="11"/>
        <v>-16816.224849289101</v>
      </c>
      <c r="V16" s="7">
        <f>NPV($C$9,U14:U16)</f>
        <v>-33825.228718424252</v>
      </c>
    </row>
    <row r="17" spans="1:22">
      <c r="A17" s="24">
        <v>2002</v>
      </c>
      <c r="B17" s="23">
        <v>12</v>
      </c>
      <c r="C17" s="23">
        <v>10</v>
      </c>
      <c r="D17" s="23">
        <v>10</v>
      </c>
      <c r="E17" s="23">
        <v>7</v>
      </c>
      <c r="F17">
        <v>3</v>
      </c>
      <c r="G17" s="7">
        <f t="shared" si="0"/>
        <v>0</v>
      </c>
      <c r="H17" s="40">
        <f t="shared" si="1"/>
        <v>18176.325452132704</v>
      </c>
      <c r="I17" s="7">
        <f t="shared" si="2"/>
        <v>18176.325452132704</v>
      </c>
      <c r="J17" s="7">
        <f>NPV($C$9,I14:I17)</f>
        <v>-35698.947364629319</v>
      </c>
      <c r="K17" s="41">
        <f t="shared" si="3"/>
        <v>15250</v>
      </c>
      <c r="L17" s="42">
        <f t="shared" si="4"/>
        <v>15146.93787677725</v>
      </c>
      <c r="M17" s="19">
        <f t="shared" si="5"/>
        <v>-103.06212322274951</v>
      </c>
      <c r="N17" s="7">
        <f>NPV($C$9,M14:M17)</f>
        <v>-45592.634531816366</v>
      </c>
      <c r="O17" s="41">
        <f t="shared" si="6"/>
        <v>15250</v>
      </c>
      <c r="P17" s="42">
        <f t="shared" si="7"/>
        <v>15146.93787677725</v>
      </c>
      <c r="Q17" s="19">
        <f t="shared" si="8"/>
        <v>-103.06212322274951</v>
      </c>
      <c r="R17" s="7">
        <f>NPV($C$9,Q14:Q17)</f>
        <v>-48676.835314612901</v>
      </c>
      <c r="S17" s="41">
        <f t="shared" si="9"/>
        <v>15250</v>
      </c>
      <c r="T17" s="42">
        <f t="shared" si="10"/>
        <v>10602.856513744076</v>
      </c>
      <c r="U17" s="19">
        <f t="shared" si="11"/>
        <v>-4647.1434862559236</v>
      </c>
      <c r="V17" s="7">
        <f>NPV($C$9,U14:U17)</f>
        <v>-37648.445165279976</v>
      </c>
    </row>
    <row r="18" spans="1:22">
      <c r="A18" s="24">
        <v>2003</v>
      </c>
      <c r="B18" s="23">
        <v>12</v>
      </c>
      <c r="C18" s="23">
        <v>12</v>
      </c>
      <c r="D18" s="23">
        <v>12</v>
      </c>
      <c r="E18" s="23">
        <v>9</v>
      </c>
      <c r="F18">
        <v>4</v>
      </c>
      <c r="G18" s="7">
        <f t="shared" si="0"/>
        <v>0</v>
      </c>
      <c r="H18" s="40">
        <f t="shared" si="1"/>
        <v>18176.325452132704</v>
      </c>
      <c r="I18" s="7">
        <f t="shared" si="2"/>
        <v>18176.325452132704</v>
      </c>
      <c r="J18" s="7">
        <f>NPV($C$9,I14:I18)</f>
        <v>-21457.3207626367</v>
      </c>
      <c r="K18" s="41">
        <f t="shared" si="3"/>
        <v>0</v>
      </c>
      <c r="L18" s="42">
        <f t="shared" si="4"/>
        <v>18176.325452132704</v>
      </c>
      <c r="M18" s="19">
        <f t="shared" si="5"/>
        <v>18176.325452132704</v>
      </c>
      <c r="N18" s="7">
        <f>NPV($C$9,M14:M18)</f>
        <v>-31351.007929823758</v>
      </c>
      <c r="O18" s="41">
        <f t="shared" si="6"/>
        <v>0</v>
      </c>
      <c r="P18" s="42">
        <f t="shared" si="7"/>
        <v>18176.325452132704</v>
      </c>
      <c r="Q18" s="19">
        <f t="shared" si="8"/>
        <v>18176.325452132704</v>
      </c>
      <c r="R18" s="7">
        <f>NPV($C$9,Q14:Q18)</f>
        <v>-34435.208712620282</v>
      </c>
      <c r="S18" s="41">
        <f t="shared" si="9"/>
        <v>15250</v>
      </c>
      <c r="T18" s="42">
        <f t="shared" si="10"/>
        <v>13632.244089099526</v>
      </c>
      <c r="U18" s="19">
        <f t="shared" si="11"/>
        <v>-1617.7559109004742</v>
      </c>
      <c r="V18" s="7">
        <f>NPV($C$9,U14:U18)</f>
        <v>-38915.999252429508</v>
      </c>
    </row>
    <row r="19" spans="1:22">
      <c r="A19" s="24">
        <v>2004</v>
      </c>
      <c r="B19" s="23">
        <v>12</v>
      </c>
      <c r="C19" s="23">
        <v>12</v>
      </c>
      <c r="D19" s="23">
        <v>12</v>
      </c>
      <c r="E19" s="23">
        <v>11</v>
      </c>
      <c r="F19">
        <v>5</v>
      </c>
      <c r="G19" s="7">
        <f t="shared" si="0"/>
        <v>0</v>
      </c>
      <c r="H19" s="40">
        <f t="shared" si="1"/>
        <v>18176.325452132704</v>
      </c>
      <c r="I19" s="7">
        <f t="shared" si="2"/>
        <v>18176.325452132704</v>
      </c>
      <c r="J19" s="7">
        <f>NPV($C$9,I14:I19)</f>
        <v>-7893.8668559770695</v>
      </c>
      <c r="K19" s="41">
        <f t="shared" si="3"/>
        <v>0</v>
      </c>
      <c r="L19" s="42">
        <f t="shared" si="4"/>
        <v>18176.325452132704</v>
      </c>
      <c r="M19" s="19">
        <f t="shared" si="5"/>
        <v>18176.325452132704</v>
      </c>
      <c r="N19" s="7">
        <f>NPV($C$9,M14:M19)</f>
        <v>-17787.554023164128</v>
      </c>
      <c r="O19" s="41">
        <f t="shared" si="6"/>
        <v>0</v>
      </c>
      <c r="P19" s="42">
        <f t="shared" si="7"/>
        <v>18176.325452132704</v>
      </c>
      <c r="Q19" s="19">
        <f t="shared" si="8"/>
        <v>18176.325452132704</v>
      </c>
      <c r="R19" s="7">
        <f>NPV($C$9,Q14:Q19)</f>
        <v>-20871.754805960656</v>
      </c>
      <c r="S19" s="41">
        <f t="shared" si="9"/>
        <v>7625</v>
      </c>
      <c r="T19" s="42">
        <f t="shared" si="10"/>
        <v>16661.631664454977</v>
      </c>
      <c r="U19" s="19">
        <f t="shared" si="11"/>
        <v>9036.631664454977</v>
      </c>
      <c r="V19" s="7">
        <f>NPV($C$9,U14:U19)</f>
        <v>-32172.725570679133</v>
      </c>
    </row>
    <row r="20" spans="1:22">
      <c r="A20" s="24">
        <v>2005</v>
      </c>
      <c r="B20" s="23">
        <v>12</v>
      </c>
      <c r="C20" s="23">
        <v>12</v>
      </c>
      <c r="D20" s="23">
        <v>12</v>
      </c>
      <c r="E20" s="23">
        <v>12</v>
      </c>
      <c r="F20">
        <v>6</v>
      </c>
      <c r="G20" s="7">
        <f t="shared" si="0"/>
        <v>7625</v>
      </c>
      <c r="H20" s="40">
        <f t="shared" si="1"/>
        <v>18176.325452132704</v>
      </c>
      <c r="I20" s="7">
        <f t="shared" si="2"/>
        <v>10551.325452132704</v>
      </c>
      <c r="J20" s="7">
        <f>NPV($C$9,I14:I20)</f>
        <v>-395.23684901959615</v>
      </c>
      <c r="K20" s="41">
        <f t="shared" si="3"/>
        <v>7625</v>
      </c>
      <c r="L20" s="42">
        <f t="shared" si="4"/>
        <v>18176.325452132704</v>
      </c>
      <c r="M20" s="19">
        <f t="shared" si="5"/>
        <v>10551.325452132704</v>
      </c>
      <c r="N20" s="7">
        <f>NPV($C$9,M14:M20)</f>
        <v>-10288.924016206653</v>
      </c>
      <c r="O20" s="41">
        <f t="shared" si="6"/>
        <v>7625</v>
      </c>
      <c r="P20" s="42">
        <f t="shared" si="7"/>
        <v>18176.325452132704</v>
      </c>
      <c r="Q20" s="19">
        <f t="shared" si="8"/>
        <v>10551.325452132704</v>
      </c>
      <c r="R20" s="7">
        <f>NPV($C$9,Q14:Q20)</f>
        <v>-13373.124799003181</v>
      </c>
      <c r="S20" s="41">
        <f t="shared" si="9"/>
        <v>7625</v>
      </c>
      <c r="T20" s="42">
        <f t="shared" si="10"/>
        <v>18176.325452132704</v>
      </c>
      <c r="U20" s="19">
        <f t="shared" si="11"/>
        <v>10551.325452132704</v>
      </c>
      <c r="V20" s="7">
        <f>NPV($C$9,U14:U20)</f>
        <v>-24674.095563721658</v>
      </c>
    </row>
    <row r="21" spans="1:22">
      <c r="A21" s="24">
        <v>2006</v>
      </c>
      <c r="B21" s="23">
        <v>13</v>
      </c>
      <c r="C21" s="23">
        <v>13</v>
      </c>
      <c r="D21" s="23">
        <v>13</v>
      </c>
      <c r="E21" s="23">
        <v>13</v>
      </c>
      <c r="F21">
        <v>7</v>
      </c>
      <c r="G21" s="7">
        <f t="shared" si="0"/>
        <v>0</v>
      </c>
      <c r="H21" s="40">
        <f t="shared" si="1"/>
        <v>19691.019239810426</v>
      </c>
      <c r="I21" s="7">
        <f t="shared" si="2"/>
        <v>19691.019239810426</v>
      </c>
      <c r="J21" s="7">
        <f>NPV($C$9,I14:I21)</f>
        <v>12932.420050948293</v>
      </c>
      <c r="K21" s="41">
        <f t="shared" si="3"/>
        <v>0</v>
      </c>
      <c r="L21" s="42">
        <f t="shared" si="4"/>
        <v>19691.019239810426</v>
      </c>
      <c r="M21" s="19">
        <f t="shared" si="5"/>
        <v>19691.019239810426</v>
      </c>
      <c r="N21" s="7">
        <f>NPV($C$9,M14:M21)</f>
        <v>3038.7328837612376</v>
      </c>
      <c r="O21" s="41">
        <f t="shared" si="6"/>
        <v>0</v>
      </c>
      <c r="P21" s="42">
        <f t="shared" si="7"/>
        <v>19691.019239810426</v>
      </c>
      <c r="Q21" s="19">
        <f t="shared" si="8"/>
        <v>19691.019239810426</v>
      </c>
      <c r="R21" s="7">
        <f>NPV($C$9,Q14:Q21)</f>
        <v>-45.467899035290991</v>
      </c>
      <c r="S21" s="41">
        <f t="shared" si="9"/>
        <v>0</v>
      </c>
      <c r="T21" s="42">
        <f t="shared" si="10"/>
        <v>19691.019239810426</v>
      </c>
      <c r="U21" s="19">
        <f t="shared" si="11"/>
        <v>19691.019239810426</v>
      </c>
      <c r="V21" s="7">
        <f>NPV($C$9,U14:U21)</f>
        <v>-11346.438663753768</v>
      </c>
    </row>
    <row r="22" spans="1:22">
      <c r="A22" s="24">
        <v>2007</v>
      </c>
      <c r="B22" s="23">
        <v>13</v>
      </c>
      <c r="C22" s="23">
        <v>13</v>
      </c>
      <c r="D22" s="23">
        <v>13</v>
      </c>
      <c r="E22" s="23">
        <v>13</v>
      </c>
      <c r="F22">
        <v>8</v>
      </c>
      <c r="G22" s="7">
        <f t="shared" si="0"/>
        <v>0</v>
      </c>
      <c r="H22" s="40">
        <f t="shared" si="1"/>
        <v>19691.019239810426</v>
      </c>
      <c r="I22" s="7">
        <f t="shared" si="2"/>
        <v>19691.019239810426</v>
      </c>
      <c r="J22" s="7">
        <f>NPV($C$9,I14:I22)</f>
        <v>25625.426622346284</v>
      </c>
      <c r="K22" s="41">
        <f t="shared" si="3"/>
        <v>0</v>
      </c>
      <c r="L22" s="42">
        <f t="shared" si="4"/>
        <v>19691.019239810426</v>
      </c>
      <c r="M22" s="19">
        <f t="shared" si="5"/>
        <v>19691.019239810426</v>
      </c>
      <c r="N22" s="7">
        <f>NPV($C$9,M14:M22)</f>
        <v>15731.739455159226</v>
      </c>
      <c r="O22" s="41">
        <f t="shared" si="6"/>
        <v>0</v>
      </c>
      <c r="P22" s="42">
        <f t="shared" si="7"/>
        <v>19691.019239810426</v>
      </c>
      <c r="Q22" s="19">
        <f t="shared" si="8"/>
        <v>19691.019239810426</v>
      </c>
      <c r="R22" s="7">
        <f>NPV($C$9,Q14:Q22)</f>
        <v>12647.538672362698</v>
      </c>
      <c r="S22" s="41">
        <f t="shared" si="9"/>
        <v>0</v>
      </c>
      <c r="T22" s="42">
        <f t="shared" si="10"/>
        <v>19691.019239810426</v>
      </c>
      <c r="U22" s="19">
        <f t="shared" si="11"/>
        <v>19691.019239810426</v>
      </c>
      <c r="V22" s="7">
        <f>NPV($C$9,U14:U22)</f>
        <v>1346.5679076442202</v>
      </c>
    </row>
    <row r="23" spans="1:22">
      <c r="A23" s="24">
        <v>2008</v>
      </c>
      <c r="B23" s="23">
        <v>13</v>
      </c>
      <c r="C23" s="23">
        <v>13</v>
      </c>
      <c r="D23" s="23">
        <v>13</v>
      </c>
      <c r="E23" s="23">
        <v>13</v>
      </c>
      <c r="F23">
        <v>9</v>
      </c>
      <c r="G23" s="7">
        <f t="shared" si="0"/>
        <v>0</v>
      </c>
      <c r="H23" s="40">
        <f t="shared" si="1"/>
        <v>19691.019239810426</v>
      </c>
      <c r="I23" s="7">
        <f t="shared" si="2"/>
        <v>19691.019239810426</v>
      </c>
      <c r="J23" s="7">
        <f>NPV($C$9,I14:I23)</f>
        <v>37714.004309391988</v>
      </c>
      <c r="K23" s="41">
        <f t="shared" si="3"/>
        <v>0</v>
      </c>
      <c r="L23" s="42">
        <f t="shared" si="4"/>
        <v>19691.019239810426</v>
      </c>
      <c r="M23" s="19">
        <f t="shared" si="5"/>
        <v>19691.019239810426</v>
      </c>
      <c r="N23" s="7">
        <f>NPV($C$9,M14:M23)</f>
        <v>27820.317142204931</v>
      </c>
      <c r="O23" s="41">
        <f t="shared" si="6"/>
        <v>0</v>
      </c>
      <c r="P23" s="42">
        <f t="shared" si="7"/>
        <v>19691.019239810426</v>
      </c>
      <c r="Q23" s="19">
        <f t="shared" si="8"/>
        <v>19691.019239810426</v>
      </c>
      <c r="R23" s="7">
        <f>NPV($C$9,Q14:Q23)</f>
        <v>24736.116359408403</v>
      </c>
      <c r="S23" s="41">
        <f t="shared" si="9"/>
        <v>0</v>
      </c>
      <c r="T23" s="42">
        <f t="shared" si="10"/>
        <v>19691.019239810426</v>
      </c>
      <c r="U23" s="19">
        <f t="shared" si="11"/>
        <v>19691.019239810426</v>
      </c>
      <c r="V23" s="7">
        <f>NPV($C$9,U14:U23)</f>
        <v>13435.145594689924</v>
      </c>
    </row>
    <row r="24" spans="1:22">
      <c r="A24" s="24">
        <v>2009</v>
      </c>
      <c r="B24" s="23">
        <v>13</v>
      </c>
      <c r="C24" s="23">
        <v>13</v>
      </c>
      <c r="D24" s="23">
        <v>13</v>
      </c>
      <c r="E24" s="23">
        <v>13</v>
      </c>
      <c r="F24">
        <v>10</v>
      </c>
      <c r="G24" s="7">
        <f t="shared" si="0"/>
        <v>0</v>
      </c>
      <c r="H24" s="40">
        <f t="shared" si="1"/>
        <v>19691.019239810426</v>
      </c>
      <c r="I24" s="7">
        <f t="shared" si="2"/>
        <v>19691.019239810426</v>
      </c>
      <c r="J24" s="7">
        <f>NPV($C$9,I14:I24)</f>
        <v>49226.935439911707</v>
      </c>
      <c r="K24" s="41">
        <f t="shared" si="3"/>
        <v>0</v>
      </c>
      <c r="L24" s="42">
        <f t="shared" si="4"/>
        <v>19691.019239810426</v>
      </c>
      <c r="M24" s="19">
        <f t="shared" si="5"/>
        <v>19691.019239810426</v>
      </c>
      <c r="N24" s="7">
        <f>NPV($C$9,M14:M24)</f>
        <v>39333.248272724646</v>
      </c>
      <c r="O24" s="41">
        <f t="shared" si="6"/>
        <v>0</v>
      </c>
      <c r="P24" s="42">
        <f t="shared" si="7"/>
        <v>19691.019239810426</v>
      </c>
      <c r="Q24" s="19">
        <f t="shared" si="8"/>
        <v>19691.019239810426</v>
      </c>
      <c r="R24" s="7">
        <f>NPV($C$9,Q14:Q24)</f>
        <v>36249.047489928118</v>
      </c>
      <c r="S24" s="41">
        <f t="shared" si="9"/>
        <v>0</v>
      </c>
      <c r="T24" s="42">
        <f t="shared" si="10"/>
        <v>19691.019239810426</v>
      </c>
      <c r="U24" s="19">
        <f t="shared" si="11"/>
        <v>19691.019239810426</v>
      </c>
      <c r="V24" s="7">
        <f>NPV($C$9,U14:U24)</f>
        <v>24948.076725209641</v>
      </c>
    </row>
    <row r="25" spans="1:22">
      <c r="A25" s="24">
        <v>2010</v>
      </c>
      <c r="B25" s="23">
        <v>13</v>
      </c>
      <c r="C25" s="23">
        <v>13</v>
      </c>
      <c r="D25" s="23">
        <v>13</v>
      </c>
      <c r="E25" s="23">
        <v>13</v>
      </c>
      <c r="F25">
        <v>11</v>
      </c>
      <c r="G25" s="7">
        <f t="shared" si="0"/>
        <v>0</v>
      </c>
      <c r="H25" s="40">
        <f t="shared" si="1"/>
        <v>19691.019239810426</v>
      </c>
      <c r="I25" s="7">
        <f t="shared" si="2"/>
        <v>19691.019239810426</v>
      </c>
      <c r="J25" s="7">
        <f>NPV($C$9,I14:I25)</f>
        <v>60191.631754692389</v>
      </c>
      <c r="K25" s="41">
        <f t="shared" si="3"/>
        <v>0</v>
      </c>
      <c r="L25" s="42">
        <f t="shared" si="4"/>
        <v>19691.019239810426</v>
      </c>
      <c r="M25" s="19">
        <f t="shared" si="5"/>
        <v>19691.019239810426</v>
      </c>
      <c r="N25" s="7">
        <f>NPV($C$9,M14:M25)</f>
        <v>50297.944587505335</v>
      </c>
      <c r="O25" s="41">
        <f t="shared" si="6"/>
        <v>0</v>
      </c>
      <c r="P25" s="42">
        <f t="shared" si="7"/>
        <v>19691.019239810426</v>
      </c>
      <c r="Q25" s="19">
        <f t="shared" si="8"/>
        <v>19691.019239810426</v>
      </c>
      <c r="R25" s="7">
        <f>NPV($C$9,Q14:Q25)</f>
        <v>47213.743804708807</v>
      </c>
      <c r="S25" s="41">
        <f t="shared" si="9"/>
        <v>0</v>
      </c>
      <c r="T25" s="42">
        <f t="shared" si="10"/>
        <v>19691.019239810426</v>
      </c>
      <c r="U25" s="19">
        <f t="shared" si="11"/>
        <v>19691.019239810426</v>
      </c>
      <c r="V25" s="7">
        <f>NPV($C$9,U14:U25)</f>
        <v>35912.773039990323</v>
      </c>
    </row>
    <row r="26" spans="1:22">
      <c r="A26" s="24">
        <v>2011</v>
      </c>
      <c r="B26" s="23">
        <v>13</v>
      </c>
      <c r="C26" s="23">
        <v>13</v>
      </c>
      <c r="D26" s="23">
        <v>13</v>
      </c>
      <c r="E26" s="23">
        <v>13</v>
      </c>
      <c r="F26">
        <v>12</v>
      </c>
      <c r="G26" s="7">
        <f t="shared" si="0"/>
        <v>0</v>
      </c>
      <c r="H26" s="40">
        <f t="shared" si="1"/>
        <v>19691.019239810426</v>
      </c>
      <c r="I26" s="7">
        <f t="shared" si="2"/>
        <v>19691.019239810426</v>
      </c>
      <c r="J26" s="7">
        <f>NPV($C$9,I14:I26)</f>
        <v>70634.19967353114</v>
      </c>
      <c r="K26" s="41">
        <f t="shared" si="3"/>
        <v>0</v>
      </c>
      <c r="L26" s="42">
        <f t="shared" si="4"/>
        <v>19691.019239810426</v>
      </c>
      <c r="M26" s="19">
        <f t="shared" si="5"/>
        <v>19691.019239810426</v>
      </c>
      <c r="N26" s="7">
        <f>NPV($C$9,M14:M26)</f>
        <v>60740.512506344079</v>
      </c>
      <c r="O26" s="41">
        <f t="shared" si="6"/>
        <v>0</v>
      </c>
      <c r="P26" s="42">
        <f t="shared" si="7"/>
        <v>19691.019239810426</v>
      </c>
      <c r="Q26" s="19">
        <f t="shared" si="8"/>
        <v>19691.019239810426</v>
      </c>
      <c r="R26" s="7">
        <f>NPV($C$9,Q14:Q26)</f>
        <v>57656.311723547551</v>
      </c>
      <c r="S26" s="41">
        <f t="shared" si="9"/>
        <v>0</v>
      </c>
      <c r="T26" s="42">
        <f t="shared" si="10"/>
        <v>19691.019239810426</v>
      </c>
      <c r="U26" s="19">
        <f t="shared" si="11"/>
        <v>19691.019239810426</v>
      </c>
      <c r="V26" s="7">
        <f>NPV($C$9,U14:U26)</f>
        <v>46355.340958829067</v>
      </c>
    </row>
    <row r="27" spans="1:22">
      <c r="A27" s="24">
        <v>2012</v>
      </c>
      <c r="B27" s="23">
        <v>13</v>
      </c>
      <c r="C27" s="23">
        <v>13</v>
      </c>
      <c r="D27" s="23">
        <v>13</v>
      </c>
      <c r="E27" s="23">
        <v>13</v>
      </c>
      <c r="F27">
        <v>13</v>
      </c>
      <c r="G27" s="7">
        <f t="shared" si="0"/>
        <v>0</v>
      </c>
      <c r="H27" s="40">
        <f t="shared" si="1"/>
        <v>19691.019239810426</v>
      </c>
      <c r="I27" s="7">
        <f t="shared" si="2"/>
        <v>19691.019239810426</v>
      </c>
      <c r="J27" s="7">
        <f>NPV($C$9,I14:I27)</f>
        <v>80579.502453377558</v>
      </c>
      <c r="K27" s="41">
        <f t="shared" si="3"/>
        <v>0</v>
      </c>
      <c r="L27" s="42">
        <f t="shared" si="4"/>
        <v>19691.019239810426</v>
      </c>
      <c r="M27" s="19">
        <f t="shared" si="5"/>
        <v>19691.019239810426</v>
      </c>
      <c r="N27" s="7">
        <f>NPV($C$9,M14:M27)</f>
        <v>70685.815286190511</v>
      </c>
      <c r="O27" s="41">
        <f t="shared" si="6"/>
        <v>0</v>
      </c>
      <c r="P27" s="42">
        <f t="shared" si="7"/>
        <v>19691.019239810426</v>
      </c>
      <c r="Q27" s="19">
        <f t="shared" si="8"/>
        <v>19691.019239810426</v>
      </c>
      <c r="R27" s="7">
        <f>NPV($C$9,Q14:Q27)</f>
        <v>67601.614503393983</v>
      </c>
      <c r="S27" s="41">
        <f t="shared" si="9"/>
        <v>0</v>
      </c>
      <c r="T27" s="42">
        <f t="shared" si="10"/>
        <v>19691.019239810426</v>
      </c>
      <c r="U27" s="19">
        <f t="shared" si="11"/>
        <v>19691.019239810426</v>
      </c>
      <c r="V27" s="7">
        <f>NPV($C$9,U14:U27)</f>
        <v>56300.643738675491</v>
      </c>
    </row>
    <row r="28" spans="1:22">
      <c r="A28" s="24">
        <v>2013</v>
      </c>
      <c r="B28" s="23">
        <v>13</v>
      </c>
      <c r="C28" s="23">
        <v>13</v>
      </c>
      <c r="D28" s="23">
        <v>13</v>
      </c>
      <c r="E28" s="23">
        <v>13</v>
      </c>
      <c r="F28">
        <v>14</v>
      </c>
      <c r="G28" s="7">
        <v>0</v>
      </c>
      <c r="H28" s="40">
        <f t="shared" si="1"/>
        <v>19691.019239810426</v>
      </c>
      <c r="I28" s="7">
        <f t="shared" si="2"/>
        <v>19691.019239810426</v>
      </c>
      <c r="J28" s="7">
        <f>NPV($C$9,I14:I28)</f>
        <v>90051.219386564626</v>
      </c>
      <c r="K28" s="41">
        <v>0</v>
      </c>
      <c r="L28" s="42">
        <f t="shared" si="4"/>
        <v>19691.019239810426</v>
      </c>
      <c r="M28" s="19">
        <f t="shared" si="5"/>
        <v>19691.019239810426</v>
      </c>
      <c r="N28" s="7">
        <f>NPV($C$9,M14:M28)</f>
        <v>80157.532219377565</v>
      </c>
      <c r="O28" s="41">
        <v>0</v>
      </c>
      <c r="P28" s="42">
        <f t="shared" si="7"/>
        <v>19691.019239810426</v>
      </c>
      <c r="Q28" s="19">
        <f t="shared" si="8"/>
        <v>19691.019239810426</v>
      </c>
      <c r="R28" s="7">
        <f>NPV($C$9,Q14:Q28)</f>
        <v>77073.331436581037</v>
      </c>
      <c r="S28" s="41">
        <v>0</v>
      </c>
      <c r="T28" s="42">
        <f t="shared" si="10"/>
        <v>19691.019239810426</v>
      </c>
      <c r="U28" s="19">
        <f t="shared" si="11"/>
        <v>19691.019239810426</v>
      </c>
      <c r="V28" s="7">
        <f>NPV($C$9,U14:U28)</f>
        <v>65772.360671862567</v>
      </c>
    </row>
    <row r="29" spans="1:22">
      <c r="A29" s="24">
        <v>2014</v>
      </c>
      <c r="B29" s="23">
        <v>12</v>
      </c>
      <c r="C29" s="23">
        <v>12</v>
      </c>
      <c r="D29" s="23">
        <v>12</v>
      </c>
      <c r="E29" s="23">
        <v>12</v>
      </c>
      <c r="F29">
        <v>15</v>
      </c>
      <c r="G29" s="7">
        <v>0</v>
      </c>
      <c r="H29" s="40">
        <f t="shared" si="1"/>
        <v>18176.325452132704</v>
      </c>
      <c r="I29" s="7">
        <f t="shared" si="2"/>
        <v>18176.325452132704</v>
      </c>
      <c r="J29" s="7">
        <f>NPV($C$9,I14:I29)</f>
        <v>98378.003503652159</v>
      </c>
      <c r="K29" s="41">
        <v>0</v>
      </c>
      <c r="L29" s="42">
        <f t="shared" si="4"/>
        <v>18176.325452132704</v>
      </c>
      <c r="M29" s="19">
        <f t="shared" si="5"/>
        <v>18176.325452132704</v>
      </c>
      <c r="N29" s="7">
        <f>NPV($C$9,M14:M29)</f>
        <v>88484.316336465112</v>
      </c>
      <c r="O29" s="41">
        <v>0</v>
      </c>
      <c r="P29" s="42">
        <f t="shared" si="7"/>
        <v>18176.325452132704</v>
      </c>
      <c r="Q29" s="19">
        <f t="shared" si="8"/>
        <v>18176.325452132704</v>
      </c>
      <c r="R29" s="7">
        <f>NPV($C$9,Q14:Q29)</f>
        <v>85400.115553668584</v>
      </c>
      <c r="S29" s="41">
        <v>0</v>
      </c>
      <c r="T29" s="42">
        <f t="shared" si="10"/>
        <v>18176.325452132704</v>
      </c>
      <c r="U29" s="19">
        <f t="shared" si="11"/>
        <v>18176.325452132704</v>
      </c>
      <c r="V29" s="7">
        <f>NPV($C$9,U14:U29)</f>
        <v>74099.1447889501</v>
      </c>
    </row>
    <row r="30" spans="1:22">
      <c r="A30" s="24">
        <v>2015</v>
      </c>
      <c r="B30" s="23">
        <v>2</v>
      </c>
      <c r="C30" s="23">
        <v>6</v>
      </c>
      <c r="D30" s="23">
        <v>9</v>
      </c>
      <c r="E30" s="23">
        <v>11</v>
      </c>
      <c r="F30">
        <v>16</v>
      </c>
      <c r="G30" s="7">
        <f>(B31-B30)*$C$5</f>
        <v>0</v>
      </c>
      <c r="H30" s="40">
        <f t="shared" si="1"/>
        <v>3029.3875753554503</v>
      </c>
      <c r="I30" s="7">
        <f t="shared" si="2"/>
        <v>3029.3875753554503</v>
      </c>
      <c r="J30" s="7">
        <f>NPV($C$9,I14:I30)</f>
        <v>99699.715268269225</v>
      </c>
      <c r="K30" s="41">
        <f>(C31-C30)*$C$5</f>
        <v>0</v>
      </c>
      <c r="L30" s="42">
        <f t="shared" si="4"/>
        <v>9088.1627260663518</v>
      </c>
      <c r="M30" s="19">
        <f t="shared" si="5"/>
        <v>9088.1627260663518</v>
      </c>
      <c r="N30" s="7">
        <f>NPV($C$9,M14:M30)</f>
        <v>92449.451630316325</v>
      </c>
      <c r="O30" s="41">
        <v>0</v>
      </c>
      <c r="P30" s="42">
        <f t="shared" si="7"/>
        <v>13632.244089099526</v>
      </c>
      <c r="Q30" s="19">
        <f t="shared" si="8"/>
        <v>13632.244089099526</v>
      </c>
      <c r="R30" s="7">
        <f>NPV($C$9,Q14:Q30)</f>
        <v>91347.818494445382</v>
      </c>
      <c r="S30" s="41">
        <v>0</v>
      </c>
      <c r="T30" s="42">
        <f t="shared" si="10"/>
        <v>16661.631664454977</v>
      </c>
      <c r="U30" s="19">
        <f t="shared" si="11"/>
        <v>16661.631664454977</v>
      </c>
      <c r="V30" s="7">
        <f>NPV($C$9,U14:U30)</f>
        <v>81368.559494343979</v>
      </c>
    </row>
    <row r="31" spans="1:22">
      <c r="A31" s="24">
        <v>2016</v>
      </c>
      <c r="B31" s="23">
        <v>2</v>
      </c>
      <c r="C31" s="23">
        <v>6</v>
      </c>
      <c r="D31" s="23">
        <v>6</v>
      </c>
      <c r="E31" s="23">
        <v>9</v>
      </c>
      <c r="F31">
        <v>17</v>
      </c>
      <c r="G31" s="7">
        <v>0</v>
      </c>
      <c r="H31" s="40">
        <f t="shared" si="1"/>
        <v>3029.3875753554503</v>
      </c>
      <c r="I31" s="7">
        <f t="shared" si="2"/>
        <v>3029.3875753554503</v>
      </c>
      <c r="J31" s="7">
        <f>NPV($C$9,I14:I31)</f>
        <v>100958.48837742834</v>
      </c>
      <c r="K31" s="41">
        <v>0</v>
      </c>
      <c r="L31" s="42">
        <f t="shared" si="4"/>
        <v>9088.1627260663518</v>
      </c>
      <c r="M31" s="19">
        <f t="shared" si="5"/>
        <v>9088.1627260663518</v>
      </c>
      <c r="N31" s="7">
        <f>NPV($C$9,M14:M31)</f>
        <v>96225.770957793648</v>
      </c>
      <c r="O31" s="41">
        <v>0</v>
      </c>
      <c r="P31" s="42">
        <f t="shared" si="7"/>
        <v>9088.1627260663518</v>
      </c>
      <c r="Q31" s="19">
        <f t="shared" si="8"/>
        <v>9088.1627260663518</v>
      </c>
      <c r="R31" s="7">
        <f>NPV($C$9,Q14:Q31)</f>
        <v>95124.137821922719</v>
      </c>
      <c r="S31" s="41">
        <v>0</v>
      </c>
      <c r="T31" s="42">
        <f t="shared" si="10"/>
        <v>13632.244089099526</v>
      </c>
      <c r="U31" s="19">
        <f t="shared" si="11"/>
        <v>13632.244089099526</v>
      </c>
      <c r="V31" s="7">
        <f>NPV($C$9,U14:U31)</f>
        <v>87033.038485559984</v>
      </c>
    </row>
    <row r="32" spans="1:22">
      <c r="A32" s="24">
        <v>2017</v>
      </c>
      <c r="B32" s="23">
        <v>1</v>
      </c>
      <c r="C32" s="23">
        <v>3</v>
      </c>
      <c r="D32" s="23">
        <v>3</v>
      </c>
      <c r="E32" s="23">
        <v>6</v>
      </c>
      <c r="F32">
        <v>18</v>
      </c>
      <c r="G32" s="7">
        <f>(B33-B32)*$C$5</f>
        <v>0</v>
      </c>
      <c r="H32" s="40">
        <f t="shared" si="1"/>
        <v>1514.6937876777251</v>
      </c>
      <c r="I32" s="7">
        <f t="shared" si="2"/>
        <v>1514.6937876777251</v>
      </c>
      <c r="J32" s="7">
        <f>NPV($C$9,I14:I32)</f>
        <v>101557.90414369458</v>
      </c>
      <c r="K32" s="41">
        <v>0</v>
      </c>
      <c r="L32" s="42">
        <f t="shared" si="4"/>
        <v>4544.0813630331759</v>
      </c>
      <c r="M32" s="19">
        <f t="shared" si="5"/>
        <v>4544.0813630331759</v>
      </c>
      <c r="N32" s="7">
        <f>NPV($C$9,M14:M32)</f>
        <v>98024.01825659239</v>
      </c>
      <c r="O32" s="41">
        <v>0</v>
      </c>
      <c r="P32" s="42">
        <f t="shared" si="7"/>
        <v>4544.0813630331759</v>
      </c>
      <c r="Q32" s="19">
        <f t="shared" si="8"/>
        <v>4544.0813630331759</v>
      </c>
      <c r="R32" s="7">
        <f>NPV($C$9,Q14:Q32)</f>
        <v>96922.385120721447</v>
      </c>
      <c r="S32" s="41">
        <v>0</v>
      </c>
      <c r="T32" s="42">
        <f t="shared" si="10"/>
        <v>9088.1627260663518</v>
      </c>
      <c r="U32" s="19">
        <f t="shared" si="11"/>
        <v>9088.1627260663518</v>
      </c>
      <c r="V32" s="7">
        <f>NPV($C$9,U14:U32)</f>
        <v>90629.533083157454</v>
      </c>
    </row>
    <row r="33" spans="1:22">
      <c r="A33" s="24">
        <v>2018</v>
      </c>
      <c r="B33" s="23">
        <v>1</v>
      </c>
      <c r="C33" s="23">
        <v>1</v>
      </c>
      <c r="D33" s="23">
        <v>1</v>
      </c>
      <c r="E33" s="23">
        <v>4</v>
      </c>
      <c r="F33">
        <v>19</v>
      </c>
      <c r="G33" s="7">
        <f>(B34-B33)*$C$5</f>
        <v>0</v>
      </c>
      <c r="H33" s="40">
        <f t="shared" si="1"/>
        <v>1514.6937876777251</v>
      </c>
      <c r="I33" s="7">
        <f t="shared" si="2"/>
        <v>1514.6937876777251</v>
      </c>
      <c r="J33" s="7">
        <f>NPV($C$9,I14:I33)</f>
        <v>102128.77630204339</v>
      </c>
      <c r="K33" s="41">
        <f>(C34-C33)*$C$5</f>
        <v>0</v>
      </c>
      <c r="L33" s="42">
        <f t="shared" si="4"/>
        <v>1514.6937876777251</v>
      </c>
      <c r="M33" s="19">
        <f t="shared" si="5"/>
        <v>1514.6937876777251</v>
      </c>
      <c r="N33" s="7">
        <f>NPV($C$9,M14:M33)</f>
        <v>98594.890414941197</v>
      </c>
      <c r="O33" s="41">
        <f>(D34-D33)*$C$5</f>
        <v>0</v>
      </c>
      <c r="P33" s="42">
        <f t="shared" si="7"/>
        <v>1514.6937876777251</v>
      </c>
      <c r="Q33" s="19">
        <f t="shared" si="8"/>
        <v>1514.6937876777251</v>
      </c>
      <c r="R33" s="7">
        <f>NPV($C$9,Q14:Q33)</f>
        <v>97493.257279070254</v>
      </c>
      <c r="S33" s="41">
        <v>0</v>
      </c>
      <c r="T33" s="42">
        <f t="shared" si="10"/>
        <v>6058.7751507109006</v>
      </c>
      <c r="U33" s="19">
        <f t="shared" si="11"/>
        <v>6058.7751507109006</v>
      </c>
      <c r="V33" s="7">
        <f>NPV($C$9,U14:U33)</f>
        <v>92913.02171655267</v>
      </c>
    </row>
    <row r="34" spans="1:22">
      <c r="A34" s="24">
        <v>2019</v>
      </c>
      <c r="B34" s="23">
        <v>1</v>
      </c>
      <c r="C34" s="23">
        <v>1</v>
      </c>
      <c r="D34" s="23">
        <v>1</v>
      </c>
      <c r="E34" s="23">
        <v>2</v>
      </c>
      <c r="F34">
        <v>20</v>
      </c>
      <c r="G34" s="7">
        <f>(B35-B34)*$C$5</f>
        <v>0</v>
      </c>
      <c r="H34" s="40">
        <f t="shared" si="1"/>
        <v>1514.6937876777251</v>
      </c>
      <c r="I34" s="7">
        <f t="shared" si="2"/>
        <v>1514.6937876777251</v>
      </c>
      <c r="J34" s="7">
        <f>NPV($C$9,I14:I34)</f>
        <v>102672.46407189939</v>
      </c>
      <c r="K34" s="41">
        <f>(C35-C34)*$C$5</f>
        <v>0</v>
      </c>
      <c r="L34" s="42">
        <f t="shared" si="4"/>
        <v>1514.6937876777251</v>
      </c>
      <c r="M34" s="19">
        <f t="shared" si="5"/>
        <v>1514.6937876777251</v>
      </c>
      <c r="N34" s="7">
        <f>NPV($C$9,M14:M34)</f>
        <v>99138.578184797196</v>
      </c>
      <c r="O34" s="41">
        <f>(D35-D34)*$C$5</f>
        <v>0</v>
      </c>
      <c r="P34" s="42">
        <f t="shared" si="7"/>
        <v>1514.6937876777251</v>
      </c>
      <c r="Q34" s="19">
        <f t="shared" si="8"/>
        <v>1514.6937876777251</v>
      </c>
      <c r="R34" s="7">
        <f>NPV($C$9,Q14:Q34)</f>
        <v>98036.945048926267</v>
      </c>
      <c r="S34" s="41">
        <v>0</v>
      </c>
      <c r="T34" s="42">
        <f t="shared" si="10"/>
        <v>3029.3875753554503</v>
      </c>
      <c r="U34" s="19">
        <f t="shared" si="11"/>
        <v>3029.3875753554503</v>
      </c>
      <c r="V34" s="7">
        <f>NPV($C$9,U14:U34)</f>
        <v>94000.397256264667</v>
      </c>
    </row>
    <row r="35" spans="1:22">
      <c r="A35" s="24">
        <v>2020</v>
      </c>
      <c r="B35" s="23">
        <v>1</v>
      </c>
      <c r="C35" s="23">
        <v>1</v>
      </c>
      <c r="D35" s="23">
        <v>1</v>
      </c>
      <c r="E35" s="23">
        <v>1</v>
      </c>
      <c r="F35">
        <v>21</v>
      </c>
      <c r="G35" s="7">
        <v>0</v>
      </c>
      <c r="H35" s="40">
        <f t="shared" si="1"/>
        <v>1514.6937876777251</v>
      </c>
      <c r="I35" s="7">
        <f t="shared" si="2"/>
        <v>1514.6937876777251</v>
      </c>
      <c r="J35" s="7">
        <f>NPV($C$9,I14:I35)</f>
        <v>103190.26194795273</v>
      </c>
      <c r="K35" s="41">
        <v>0</v>
      </c>
      <c r="L35" s="42">
        <f t="shared" si="4"/>
        <v>1514.6937876777251</v>
      </c>
      <c r="M35" s="19">
        <f t="shared" si="5"/>
        <v>1514.6937876777251</v>
      </c>
      <c r="N35" s="7">
        <f>NPV($C$9,M14:M35)</f>
        <v>99656.376060850525</v>
      </c>
      <c r="O35" s="41">
        <v>0</v>
      </c>
      <c r="P35" s="42">
        <f t="shared" si="7"/>
        <v>1514.6937876777251</v>
      </c>
      <c r="Q35" s="19">
        <f t="shared" si="8"/>
        <v>1514.6937876777251</v>
      </c>
      <c r="R35" s="7">
        <f>NPV($C$9,Q14:Q35)</f>
        <v>98554.742924979597</v>
      </c>
      <c r="S35" s="41">
        <v>0</v>
      </c>
      <c r="T35" s="42">
        <f t="shared" si="10"/>
        <v>1514.6937876777251</v>
      </c>
      <c r="U35" s="19">
        <f t="shared" si="11"/>
        <v>1514.6937876777251</v>
      </c>
      <c r="V35" s="7">
        <f>NPV($C$9,U14:U35)</f>
        <v>94518.195132317996</v>
      </c>
    </row>
    <row r="36" spans="1:22">
      <c r="F36" t="s">
        <v>127</v>
      </c>
      <c r="G36" s="7">
        <f>SUM(G14:G34)</f>
        <v>92500</v>
      </c>
      <c r="K36" s="7">
        <f>SUM(K14:K34)</f>
        <v>92500</v>
      </c>
      <c r="O36" s="7">
        <f>SUM(O14:O34)</f>
        <v>92500</v>
      </c>
      <c r="S36" s="7">
        <f>SUM(S14:S34)</f>
        <v>92500</v>
      </c>
    </row>
    <row r="37" spans="1:22">
      <c r="F37" t="s">
        <v>189</v>
      </c>
      <c r="G37" s="7"/>
      <c r="I37" s="7">
        <f>NPV($C$9,I14:I35)</f>
        <v>103190.26194795273</v>
      </c>
      <c r="J37" s="7"/>
      <c r="K37" s="7"/>
      <c r="M37" s="7">
        <f>NPV($C$9,M14:M35)</f>
        <v>99656.376060850525</v>
      </c>
      <c r="N37" s="7"/>
      <c r="O37" s="7"/>
      <c r="Q37" s="7">
        <f>NPV($C$9,Q14:Q35)</f>
        <v>98554.742924979597</v>
      </c>
      <c r="R37" s="7"/>
      <c r="S37" s="7"/>
      <c r="U37" s="7">
        <f>NPV($C$9,U14:U35)</f>
        <v>94518.195132317996</v>
      </c>
    </row>
    <row r="38" spans="1:22">
      <c r="G38" s="7"/>
      <c r="I38" s="7">
        <f>NPV(C9,I14,I15,I16,I17,I18,I19,I20,I21,I22,I23,I24,I25,I26,I27,I28,I29,I30,I31,I32,I33,I34,I35)</f>
        <v>103190.26194795273</v>
      </c>
      <c r="J38" s="7"/>
      <c r="K38" s="7"/>
      <c r="O38" s="7"/>
      <c r="S38" s="7"/>
    </row>
    <row r="40" spans="1:22">
      <c r="A40" t="s">
        <v>193</v>
      </c>
    </row>
    <row r="41" spans="1:22" ht="12" thickBot="1">
      <c r="B41" s="68" t="s">
        <v>116</v>
      </c>
      <c r="C41" s="68" t="s">
        <v>125</v>
      </c>
      <c r="D41" s="68" t="s">
        <v>126</v>
      </c>
      <c r="E41" s="68" t="s">
        <v>120</v>
      </c>
      <c r="F41" t="s">
        <v>190</v>
      </c>
    </row>
    <row r="42" spans="1:22">
      <c r="A42" s="24">
        <v>1999</v>
      </c>
      <c r="B42" s="22">
        <f>C5</f>
        <v>7625</v>
      </c>
      <c r="C42" s="22">
        <v>0</v>
      </c>
      <c r="D42" s="22">
        <f>C42-B42</f>
        <v>-7625</v>
      </c>
      <c r="E42" s="7">
        <f>NPV($C$9, D42)</f>
        <v>-7261.9047619047615</v>
      </c>
      <c r="F42">
        <v>0</v>
      </c>
    </row>
    <row r="43" spans="1:22">
      <c r="A43" s="24">
        <v>2000</v>
      </c>
      <c r="B43" s="22">
        <v>0</v>
      </c>
      <c r="C43" s="22">
        <f>$C$7</f>
        <v>1514.6937876777251</v>
      </c>
      <c r="D43" s="22">
        <f t="shared" ref="D43:D57" si="12">C43-B43</f>
        <v>1514.6937876777251</v>
      </c>
      <c r="E43" s="7">
        <f>NPV($C$9, D42:D43)</f>
        <v>-5888.0328456437865</v>
      </c>
      <c r="F43">
        <v>1</v>
      </c>
    </row>
    <row r="44" spans="1:22">
      <c r="A44" s="24">
        <v>2001</v>
      </c>
      <c r="B44" s="22">
        <v>0</v>
      </c>
      <c r="C44" s="22">
        <f t="shared" ref="C44:C57" si="13">$C$7</f>
        <v>1514.6937876777251</v>
      </c>
      <c r="D44" s="22">
        <f t="shared" si="12"/>
        <v>1514.6937876777251</v>
      </c>
      <c r="E44" s="7">
        <f>NPV($C$9, D42:D44)</f>
        <v>-4579.5834015857154</v>
      </c>
      <c r="F44">
        <v>2</v>
      </c>
    </row>
    <row r="45" spans="1:22">
      <c r="A45" s="24">
        <v>2002</v>
      </c>
      <c r="B45" s="22">
        <v>0</v>
      </c>
      <c r="C45" s="22">
        <f t="shared" si="13"/>
        <v>1514.6937876777251</v>
      </c>
      <c r="D45" s="22">
        <f t="shared" si="12"/>
        <v>1514.6937876777251</v>
      </c>
      <c r="E45" s="7">
        <f>NPV($C$9, D42:D45)</f>
        <v>-3333.4410739113614</v>
      </c>
      <c r="F45">
        <v>3</v>
      </c>
    </row>
    <row r="46" spans="1:22">
      <c r="A46" s="24">
        <v>2003</v>
      </c>
      <c r="B46" s="22">
        <v>0</v>
      </c>
      <c r="C46" s="22">
        <f t="shared" si="13"/>
        <v>1514.6937876777251</v>
      </c>
      <c r="D46" s="22">
        <f t="shared" si="12"/>
        <v>1514.6937876777251</v>
      </c>
      <c r="E46" s="7">
        <f>NPV($C$9, D42:D46)</f>
        <v>-2146.6388570786435</v>
      </c>
      <c r="F46">
        <v>4</v>
      </c>
    </row>
    <row r="47" spans="1:22">
      <c r="A47" s="24">
        <v>2004</v>
      </c>
      <c r="B47" s="22">
        <v>0</v>
      </c>
      <c r="C47" s="22">
        <f t="shared" si="13"/>
        <v>1514.6937876777251</v>
      </c>
      <c r="D47" s="22">
        <f t="shared" si="12"/>
        <v>1514.6937876777251</v>
      </c>
      <c r="E47" s="7">
        <f>NPV($C$9, D42:D47)</f>
        <v>-1016.3510315236741</v>
      </c>
      <c r="F47">
        <v>5</v>
      </c>
    </row>
    <row r="48" spans="1:22">
      <c r="A48" s="24">
        <v>2005</v>
      </c>
      <c r="B48" s="22">
        <v>0</v>
      </c>
      <c r="C48" s="22">
        <f t="shared" si="13"/>
        <v>1514.6937876777251</v>
      </c>
      <c r="D48" s="22">
        <f t="shared" si="12"/>
        <v>1514.6937876777251</v>
      </c>
      <c r="E48" s="7">
        <f>NPV($C$9, D42:D48)</f>
        <v>60.1135642429632</v>
      </c>
      <c r="F48">
        <v>6</v>
      </c>
    </row>
    <row r="49" spans="1:6">
      <c r="A49" s="24">
        <v>2006</v>
      </c>
      <c r="B49" s="22">
        <v>0</v>
      </c>
      <c r="C49" s="22">
        <f t="shared" si="13"/>
        <v>1514.6937876777251</v>
      </c>
      <c r="D49" s="22">
        <f t="shared" si="12"/>
        <v>1514.6937876777251</v>
      </c>
      <c r="E49" s="7">
        <f>NPV($C$9, D42:D49)</f>
        <v>1085.3179411635701</v>
      </c>
      <c r="F49">
        <v>7</v>
      </c>
    </row>
    <row r="50" spans="1:6">
      <c r="A50" s="24">
        <v>2007</v>
      </c>
      <c r="B50" s="22">
        <v>0</v>
      </c>
      <c r="C50" s="22">
        <f t="shared" si="13"/>
        <v>1514.6937876777251</v>
      </c>
      <c r="D50" s="22">
        <f t="shared" si="12"/>
        <v>1514.6937876777251</v>
      </c>
      <c r="E50" s="7">
        <f>NPV($C$9, D42:D50)</f>
        <v>2061.7030620403384</v>
      </c>
      <c r="F50">
        <v>8</v>
      </c>
    </row>
    <row r="51" spans="1:6">
      <c r="A51" s="24">
        <v>2008</v>
      </c>
      <c r="B51" s="22">
        <v>0</v>
      </c>
      <c r="C51" s="22">
        <f t="shared" si="13"/>
        <v>1514.6937876777251</v>
      </c>
      <c r="D51" s="22">
        <f t="shared" si="12"/>
        <v>1514.6937876777251</v>
      </c>
      <c r="E51" s="7">
        <f>NPV($C$9, D42:D51)</f>
        <v>2991.5936533515464</v>
      </c>
      <c r="F51">
        <v>9</v>
      </c>
    </row>
    <row r="52" spans="1:6">
      <c r="A52" s="24">
        <v>2009</v>
      </c>
      <c r="B52" s="22">
        <v>0</v>
      </c>
      <c r="C52" s="22">
        <f t="shared" si="13"/>
        <v>1514.6937876777251</v>
      </c>
      <c r="D52" s="22">
        <f t="shared" si="12"/>
        <v>1514.6937876777251</v>
      </c>
      <c r="E52" s="7">
        <f>NPV($C$9, D42:D52)</f>
        <v>3877.2037403146014</v>
      </c>
      <c r="F52">
        <v>10</v>
      </c>
    </row>
    <row r="53" spans="1:6">
      <c r="A53" s="24">
        <v>2010</v>
      </c>
      <c r="B53" s="22">
        <v>0</v>
      </c>
      <c r="C53" s="22">
        <f t="shared" si="13"/>
        <v>1514.6937876777251</v>
      </c>
      <c r="D53" s="22">
        <f t="shared" si="12"/>
        <v>1514.6937876777251</v>
      </c>
      <c r="E53" s="7">
        <f>NPV($C$9, D42:D53)</f>
        <v>4720.6419183746539</v>
      </c>
      <c r="F53">
        <v>11</v>
      </c>
    </row>
    <row r="54" spans="1:6">
      <c r="A54" s="24">
        <v>2011</v>
      </c>
      <c r="B54" s="22">
        <v>0</v>
      </c>
      <c r="C54" s="22">
        <f t="shared" si="13"/>
        <v>1514.6937876777251</v>
      </c>
      <c r="D54" s="22">
        <f t="shared" si="12"/>
        <v>1514.6937876777251</v>
      </c>
      <c r="E54" s="7">
        <f>NPV($C$9, D42:D54)</f>
        <v>5523.916373669942</v>
      </c>
      <c r="F54">
        <v>12</v>
      </c>
    </row>
    <row r="55" spans="1:6">
      <c r="A55" s="24">
        <v>2012</v>
      </c>
      <c r="B55" s="22">
        <v>0</v>
      </c>
      <c r="C55" s="22">
        <f t="shared" si="13"/>
        <v>1514.6937876777251</v>
      </c>
      <c r="D55" s="22">
        <f t="shared" si="12"/>
        <v>1514.6937876777251</v>
      </c>
      <c r="E55" s="7">
        <f>NPV($C$9, D42:D55)</f>
        <v>6288.9396644273593</v>
      </c>
      <c r="F55">
        <v>13</v>
      </c>
    </row>
    <row r="56" spans="1:6">
      <c r="A56" s="24">
        <v>2013</v>
      </c>
      <c r="B56" s="22">
        <v>0</v>
      </c>
      <c r="C56" s="22">
        <f t="shared" si="13"/>
        <v>1514.6937876777251</v>
      </c>
      <c r="D56" s="22">
        <f t="shared" si="12"/>
        <v>1514.6937876777251</v>
      </c>
      <c r="E56" s="7">
        <f>NPV($C$9, D42:D56)</f>
        <v>7017.533274672518</v>
      </c>
      <c r="F56">
        <v>14</v>
      </c>
    </row>
    <row r="57" spans="1:6">
      <c r="A57" s="24">
        <v>2014</v>
      </c>
      <c r="B57" s="22">
        <v>0</v>
      </c>
      <c r="C57" s="22">
        <f t="shared" si="13"/>
        <v>1514.6937876777251</v>
      </c>
      <c r="D57" s="22">
        <f t="shared" si="12"/>
        <v>1514.6937876777251</v>
      </c>
      <c r="E57" s="7">
        <f>NPV($C$9, D42:D57)</f>
        <v>7711.4319510964797</v>
      </c>
      <c r="F57">
        <v>15</v>
      </c>
    </row>
    <row r="59" spans="1:6">
      <c r="A59" t="s">
        <v>189</v>
      </c>
      <c r="B59" s="7">
        <f>E57</f>
        <v>7711.4319510964797</v>
      </c>
    </row>
    <row r="116" spans="2:2">
      <c r="B116" s="15"/>
    </row>
    <row r="117" spans="2:2">
      <c r="B117" s="15"/>
    </row>
    <row r="118" spans="2:2">
      <c r="B118" s="15"/>
    </row>
  </sheetData>
  <mergeCells count="2">
    <mergeCell ref="B12:E12"/>
    <mergeCell ref="A2:H2"/>
  </mergeCells>
  <pageMargins left="0.75" right="0.75" top="1" bottom="1" header="0.5" footer="0.5"/>
  <pageSetup paperSize="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dimension ref="A1:I44"/>
  <sheetViews>
    <sheetView topLeftCell="A22" workbookViewId="0">
      <selection activeCell="E41" sqref="E41"/>
    </sheetView>
  </sheetViews>
  <sheetFormatPr defaultRowHeight="11.4"/>
  <cols>
    <col min="2" max="2" width="9.875" bestFit="1" customWidth="1"/>
  </cols>
  <sheetData>
    <row r="1" spans="1:9" ht="15.6">
      <c r="A1" s="43" t="s">
        <v>181</v>
      </c>
    </row>
    <row r="2" spans="1:9" ht="36" customHeight="1">
      <c r="A2" s="77" t="s">
        <v>188</v>
      </c>
      <c r="B2" s="77"/>
      <c r="C2" s="77"/>
      <c r="D2" s="77"/>
      <c r="E2" s="77"/>
      <c r="F2" s="77"/>
      <c r="G2" s="77"/>
      <c r="H2" s="77"/>
      <c r="I2" s="77"/>
    </row>
    <row r="18" spans="1:2">
      <c r="A18" t="s">
        <v>114</v>
      </c>
    </row>
    <row r="19" spans="1:2">
      <c r="A19" t="s">
        <v>182</v>
      </c>
      <c r="B19" t="s">
        <v>120</v>
      </c>
    </row>
    <row r="20" spans="1:2">
      <c r="A20">
        <v>0</v>
      </c>
      <c r="B20" s="22">
        <v>202865.28859715644</v>
      </c>
    </row>
    <row r="21" spans="1:2">
      <c r="A21" s="65">
        <v>2.5000000000000001E-2</v>
      </c>
      <c r="B21" s="22">
        <v>142659.48940205123</v>
      </c>
    </row>
    <row r="22" spans="1:2">
      <c r="A22" s="11">
        <v>0.05</v>
      </c>
      <c r="B22" s="22">
        <v>99997.308437053623</v>
      </c>
    </row>
    <row r="23" spans="1:2">
      <c r="A23" s="65">
        <v>7.4999999999999997E-2</v>
      </c>
      <c r="B23" s="22">
        <v>69330.553808352532</v>
      </c>
    </row>
    <row r="24" spans="1:2">
      <c r="A24" s="11">
        <v>0.1</v>
      </c>
      <c r="B24" s="22">
        <v>46998.313501076576</v>
      </c>
    </row>
    <row r="26" spans="1:2">
      <c r="A26" t="s">
        <v>130</v>
      </c>
    </row>
    <row r="27" spans="1:2">
      <c r="A27" t="s">
        <v>183</v>
      </c>
      <c r="B27" t="s">
        <v>120</v>
      </c>
    </row>
    <row r="28" spans="1:2">
      <c r="A28">
        <v>0</v>
      </c>
      <c r="B28" s="22">
        <v>40927.933136402251</v>
      </c>
    </row>
    <row r="29" spans="1:2">
      <c r="A29" s="11">
        <v>0.25</v>
      </c>
      <c r="B29" s="22">
        <v>99997.308437053623</v>
      </c>
    </row>
    <row r="30" spans="1:2">
      <c r="A30" s="11">
        <v>0.5</v>
      </c>
      <c r="B30" s="22">
        <v>159066.683737705</v>
      </c>
    </row>
    <row r="31" spans="1:2">
      <c r="A31" s="11">
        <v>0.75</v>
      </c>
      <c r="B31" s="22">
        <v>218136.05903835638</v>
      </c>
    </row>
    <row r="33" spans="1:3">
      <c r="A33" t="s">
        <v>132</v>
      </c>
    </row>
    <row r="34" spans="1:3">
      <c r="A34" t="s">
        <v>184</v>
      </c>
      <c r="B34" t="s">
        <v>120</v>
      </c>
    </row>
    <row r="35" spans="1:3">
      <c r="A35">
        <v>0</v>
      </c>
      <c r="B35" s="22">
        <v>99997.308437053623</v>
      </c>
    </row>
    <row r="36" spans="1:3">
      <c r="A36">
        <v>1</v>
      </c>
      <c r="B36" s="22">
        <v>135721.69743447175</v>
      </c>
    </row>
    <row r="37" spans="1:3">
      <c r="A37">
        <v>2</v>
      </c>
      <c r="B37" s="22">
        <v>171446.08643188988</v>
      </c>
    </row>
    <row r="38" spans="1:3">
      <c r="A38">
        <v>3</v>
      </c>
      <c r="B38" s="22">
        <v>207170.47542930811</v>
      </c>
    </row>
    <row r="40" spans="1:3">
      <c r="A40" t="s">
        <v>185</v>
      </c>
    </row>
    <row r="41" spans="1:3">
      <c r="A41" t="s">
        <v>186</v>
      </c>
      <c r="B41" t="s">
        <v>120</v>
      </c>
    </row>
    <row r="42" spans="1:3">
      <c r="A42" s="8">
        <v>1.5</v>
      </c>
      <c r="B42" s="22">
        <v>130593.74941556822</v>
      </c>
    </row>
    <row r="43" spans="1:3">
      <c r="A43" s="8">
        <v>6</v>
      </c>
      <c r="B43" s="22">
        <v>99997.308437053623</v>
      </c>
    </row>
    <row r="44" spans="1:3">
      <c r="A44" s="8">
        <v>10</v>
      </c>
      <c r="B44" s="22">
        <v>72800.472011707287</v>
      </c>
      <c r="C44" t="s">
        <v>187</v>
      </c>
    </row>
  </sheetData>
  <mergeCells count="1">
    <mergeCell ref="A2:I2"/>
  </mergeCell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Calculator</vt:lpstr>
      <vt:lpstr>Cost-Ben Worksheet</vt:lpstr>
      <vt:lpstr>NPV and Scenarios</vt:lpstr>
      <vt:lpstr>Charts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