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 defaultThemeVersion="124226"/>
  <bookViews>
    <workbookView xWindow="8520" yWindow="4476" windowWidth="15576" windowHeight="12504" activeTab="3"/>
  </bookViews>
  <sheets>
    <sheet name="About this template" sheetId="12" r:id="rId1"/>
    <sheet name="Introduction" sheetId="8" r:id="rId2"/>
    <sheet name="Inputs" sheetId="7" r:id="rId3"/>
    <sheet name="Outputs" sheetId="5" r:id="rId4"/>
    <sheet name="Sheet2" sheetId="10" state="hidden" r:id="rId5"/>
  </sheets>
  <definedNames>
    <definedName name="LKCountrysize">#REF!</definedName>
    <definedName name="_xlnm.Print_Area" localSheetId="3">Outputs!$B$1:$I$48</definedName>
  </definedName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7" i="7"/>
  <c r="F9"/>
  <c r="G9"/>
  <c r="H9"/>
  <c r="F6"/>
  <c r="G6"/>
  <c r="H6"/>
  <c r="F10"/>
  <c r="G10"/>
  <c r="H10"/>
  <c r="H19" i="5"/>
  <c r="F13" i="7"/>
  <c r="G13"/>
  <c r="H13"/>
  <c r="H22" i="5"/>
  <c r="H43"/>
  <c r="H44"/>
  <c r="H28"/>
  <c r="H29"/>
  <c r="H30"/>
  <c r="H31"/>
  <c r="H27"/>
  <c r="H32"/>
  <c r="H33"/>
  <c r="H34"/>
  <c r="H35"/>
  <c r="H25"/>
  <c r="H39"/>
  <c r="G19"/>
  <c r="G22"/>
  <c r="G43"/>
  <c r="G44"/>
  <c r="G28"/>
  <c r="G29"/>
  <c r="G30"/>
  <c r="G31"/>
  <c r="G27"/>
  <c r="G32"/>
  <c r="G33"/>
  <c r="G34"/>
  <c r="G35"/>
  <c r="G25"/>
  <c r="G39"/>
  <c r="H40"/>
  <c r="F19"/>
  <c r="F22"/>
  <c r="F43"/>
  <c r="F44"/>
  <c r="F28"/>
  <c r="F29"/>
  <c r="F30"/>
  <c r="F31"/>
  <c r="F27"/>
  <c r="F32"/>
  <c r="F33"/>
  <c r="F34"/>
  <c r="F35"/>
  <c r="F25"/>
  <c r="F39"/>
  <c r="G40"/>
  <c r="E19"/>
  <c r="E22"/>
  <c r="E43"/>
  <c r="E44"/>
  <c r="E28"/>
  <c r="E29"/>
  <c r="E30"/>
  <c r="E31"/>
  <c r="E27"/>
  <c r="E32"/>
  <c r="E33"/>
  <c r="E34"/>
  <c r="E35"/>
  <c r="E25"/>
  <c r="E39"/>
  <c r="F40"/>
  <c r="H20"/>
  <c r="G20"/>
  <c r="F20"/>
  <c r="H23"/>
  <c r="G23"/>
  <c r="F23"/>
  <c r="H26"/>
  <c r="G26"/>
  <c r="F26"/>
  <c r="S15"/>
  <c r="R15"/>
  <c r="Q15"/>
  <c r="P15"/>
  <c r="S17"/>
  <c r="S16"/>
  <c r="R17"/>
  <c r="R16"/>
  <c r="Q17"/>
  <c r="Q16"/>
  <c r="P17"/>
  <c r="P16"/>
  <c r="S14"/>
  <c r="R14"/>
  <c r="Q14"/>
  <c r="P14"/>
  <c r="H15"/>
  <c r="H46"/>
  <c r="G15"/>
  <c r="G46"/>
  <c r="F15"/>
  <c r="F46"/>
  <c r="E15"/>
  <c r="E46"/>
  <c r="G37" i="7"/>
  <c r="H37"/>
  <c r="F36"/>
  <c r="G36"/>
  <c r="H36"/>
  <c r="H48" i="5"/>
  <c r="H47"/>
  <c r="H45"/>
  <c r="G48"/>
  <c r="G47"/>
  <c r="G45"/>
  <c r="F48"/>
  <c r="F47"/>
  <c r="F45"/>
  <c r="E48"/>
  <c r="E47"/>
  <c r="E45"/>
  <c r="H37"/>
  <c r="G37"/>
  <c r="F37"/>
  <c r="E37"/>
  <c r="H16"/>
  <c r="G16"/>
  <c r="F16"/>
  <c r="F16" i="7"/>
  <c r="G16"/>
  <c r="H16"/>
  <c r="E16"/>
  <c r="F13" i="10"/>
  <c r="E13"/>
  <c r="D13"/>
  <c r="F10"/>
  <c r="E12"/>
  <c r="G10"/>
  <c r="E11"/>
  <c r="G12"/>
  <c r="D11"/>
  <c r="H10"/>
  <c r="G11"/>
  <c r="E10"/>
  <c r="D10"/>
  <c r="F12"/>
  <c r="F11"/>
  <c r="D12"/>
  <c r="H12"/>
  <c r="D7"/>
  <c r="G13"/>
  <c r="G7"/>
  <c r="H7"/>
  <c r="F7"/>
  <c r="H13"/>
  <c r="H11"/>
  <c r="E7"/>
  <c r="G8"/>
  <c r="F9"/>
  <c r="G9"/>
  <c r="D9"/>
  <c r="D8"/>
  <c r="F8"/>
  <c r="H9"/>
  <c r="H8"/>
  <c r="E9"/>
  <c r="E8"/>
</calcChain>
</file>

<file path=xl/sharedStrings.xml><?xml version="1.0" encoding="utf-8"?>
<sst xmlns="http://schemas.openxmlformats.org/spreadsheetml/2006/main" count="199" uniqueCount="178">
  <si>
    <t>Costs</t>
  </si>
  <si>
    <t>Incremental sales</t>
  </si>
  <si>
    <t>Net margin</t>
  </si>
  <si>
    <t>Internal communications</t>
  </si>
  <si>
    <t>Year</t>
  </si>
  <si>
    <t>Cost as % of sales</t>
  </si>
  <si>
    <t>Contingency</t>
  </si>
  <si>
    <t>Only change these values</t>
  </si>
  <si>
    <t>Postage costs</t>
  </si>
  <si>
    <t>7b</t>
  </si>
  <si>
    <t>7a</t>
  </si>
  <si>
    <t>1b</t>
  </si>
  <si>
    <t>1a</t>
  </si>
  <si>
    <t>Multiplier pa</t>
  </si>
  <si>
    <t>Variables</t>
  </si>
  <si>
    <t>Item</t>
  </si>
  <si>
    <t>Incremental margin</t>
  </si>
  <si>
    <t>% Redemption of margin give-aways</t>
  </si>
  <si>
    <t>Rate</t>
  </si>
  <si>
    <t>Incremental sales / programme costs</t>
  </si>
  <si>
    <t>Incremental sales / cost multiple</t>
  </si>
  <si>
    <t>Costs as % of sales</t>
  </si>
  <si>
    <t>Incremental margin minus costs</t>
  </si>
  <si>
    <t>Total sales</t>
  </si>
  <si>
    <t>Definition</t>
  </si>
  <si>
    <t>Metric</t>
  </si>
  <si>
    <t xml:space="preserve">Quant Presky Maves </t>
  </si>
  <si>
    <t>Other</t>
  </si>
  <si>
    <t>3rd Party</t>
  </si>
  <si>
    <t>Internal</t>
  </si>
  <si>
    <t>Total number of customers</t>
  </si>
  <si>
    <t>2010/11</t>
  </si>
  <si>
    <t>2011/12</t>
  </si>
  <si>
    <t>2012/13</t>
  </si>
  <si>
    <t>2013/14</t>
  </si>
  <si>
    <t>Cost per SMS</t>
  </si>
  <si>
    <t>8a</t>
  </si>
  <si>
    <t>8b</t>
  </si>
  <si>
    <t>8c</t>
  </si>
  <si>
    <t>Cost per email</t>
  </si>
  <si>
    <t xml:space="preserve">Pilot: 20 Stores,              </t>
  </si>
  <si>
    <t>first 6 months</t>
  </si>
  <si>
    <t>Programme costs</t>
  </si>
  <si>
    <t>Business Case - Cost:Benefit Analysis Template</t>
  </si>
  <si>
    <t>The principle behind this template is to demonstrate whether there is incremental financial return on your investment in customer marketing.</t>
  </si>
  <si>
    <t>In order to construct the business case and make it relevant and accurate, you will require a number of metrics. These include:</t>
  </si>
  <si>
    <t>Target new customers (acquisition volume)</t>
  </si>
  <si>
    <t>Average transaction value (Total and for any customer segments)</t>
  </si>
  <si>
    <t>Average visit frequency per year (total and for any customer segments)</t>
  </si>
  <si>
    <t>Gross Margin</t>
  </si>
  <si>
    <t xml:space="preserve">The analysis is based on 3 levers: attracting more customers to the loyalty progamme (Customer Volume), getting customers to spend more money (Average Transaction Value) and getting customer to </t>
  </si>
  <si>
    <t xml:space="preserve">purchase more often (Frequency) </t>
  </si>
  <si>
    <t>Cost:benefit analysis - definitions</t>
  </si>
  <si>
    <t xml:space="preserve">Sales from all customers </t>
  </si>
  <si>
    <t>Incremental sales x gross margin %</t>
  </si>
  <si>
    <t>All programme costs in the year (3rd parties, internal and others)</t>
  </si>
  <si>
    <t>Marketing programme costs / customers</t>
  </si>
  <si>
    <t>Marketing costs / total sales</t>
  </si>
  <si>
    <t>Customer contribution</t>
  </si>
  <si>
    <t>Incremental margin / customers</t>
  </si>
  <si>
    <t>Other metrics can be added to your specific requirements</t>
  </si>
  <si>
    <t>This template has been developed by Conduit. It is based on many other templates and our extensive experience building business cases for clients.</t>
  </si>
  <si>
    <t>While much of the structure will apply regardless of your business and category, there will be tweaks required.</t>
  </si>
  <si>
    <t>In the spirit of openess and developing this as a standard tool for all marketers, please share your feedback, enhancements and tweaks.</t>
  </si>
  <si>
    <t>Enjoy.</t>
  </si>
  <si>
    <t>About Conduit</t>
  </si>
  <si>
    <t>We optimise marketing performance.</t>
  </si>
  <si>
    <t>Too often marketing is unaccountable and delivers poor customer experiences. We don't think that this is acceptable in a data-enabled world.</t>
  </si>
  <si>
    <r>
      <t>It should be considered “</t>
    </r>
    <r>
      <rPr>
        <b/>
        <sz val="12"/>
        <color rgb="FF000090"/>
        <rFont val="Arial"/>
        <family val="2"/>
      </rPr>
      <t>open source</t>
    </r>
    <r>
      <rPr>
        <sz val="12"/>
        <color rgb="FF000090"/>
        <rFont val="Arial"/>
        <family val="2"/>
      </rPr>
      <t>” and you are welcome to adapt it based on your specific requirements and nature of business.</t>
    </r>
  </si>
  <si>
    <t>However, if you need any help completing the cost:benefit analysis or preparing the data and strategy that it supports then please contact us:</t>
  </si>
  <si>
    <t>Year 1</t>
  </si>
  <si>
    <t>Year 2</t>
  </si>
  <si>
    <t>Year 3</t>
  </si>
  <si>
    <t>We deliver commercial benefit fast using a Consultancy-as-a-Service model.</t>
  </si>
  <si>
    <t>First through Data and then through People, Process and Technology.</t>
  </si>
  <si>
    <t>Gross Margin %</t>
  </si>
  <si>
    <t>The cost:benefit analysis uses 4 time periods - current year and 3 years forecast performance based on the assumptions that you make. Additional columns can be added.</t>
  </si>
  <si>
    <t>Current year</t>
  </si>
  <si>
    <t>% of customers who can be contacted for marketing</t>
  </si>
  <si>
    <t>Number of customers who can be contacted</t>
  </si>
  <si>
    <t>Number of new customers</t>
  </si>
  <si>
    <t>Customer retention rate</t>
  </si>
  <si>
    <t>Inflation applied to costs from Current Year</t>
  </si>
  <si>
    <t>Marketing costs</t>
  </si>
  <si>
    <t>Content creation</t>
  </si>
  <si>
    <t>There may well be other significant benefits, such as brand loyalty, customer satisfaction and positive customer experiences, but the business case focuses on financial metrics.</t>
  </si>
  <si>
    <t>Regretably we aren't able to accept any responsibility or provide any warranty for the template or your use of it.</t>
  </si>
  <si>
    <t>3a</t>
  </si>
  <si>
    <t>3b</t>
  </si>
  <si>
    <t>Marketing technology (customer database, ESP etc)</t>
  </si>
  <si>
    <t>Data analytics, reporting and campaign selections</t>
  </si>
  <si>
    <t>All data contained in the cost:benefit analysis is dummy data and should not be considered as benchmarks or quotes for marketing services.</t>
  </si>
  <si>
    <t>Total Sales</t>
  </si>
  <si>
    <t>% chg</t>
  </si>
  <si>
    <t>Created by Conduit Data Services Ltd, April 2014</t>
  </si>
  <si>
    <r>
      <t xml:space="preserve">Please note that it is a </t>
    </r>
    <r>
      <rPr>
        <b/>
        <sz val="12"/>
        <color rgb="FF000090"/>
        <rFont val="Arial"/>
        <family val="2"/>
      </rPr>
      <t>generic cost:benefit analysis template</t>
    </r>
    <r>
      <rPr>
        <sz val="12"/>
        <color rgb="FF000090"/>
        <rFont val="Arial"/>
        <family val="2"/>
      </rPr>
      <t xml:space="preserve"> that leans towards customer marketing, loyalty marketing or CRM (with a Retail flavour) </t>
    </r>
  </si>
  <si>
    <t xml:space="preserve">and is based on the assumptions on the 'Introduction' worksheet. </t>
  </si>
  <si>
    <t xml:space="preserve">The model assumes that there is a customer marketing programme in which a proportion of the customer base participate. This could be because they opt-in to a programme, that only </t>
  </si>
  <si>
    <t>certain customers are eligible or that specific customer segments are targeted.</t>
  </si>
  <si>
    <t>Members of the marketing programme as defined above</t>
  </si>
  <si>
    <t>Average transaction value - marketing programme members</t>
  </si>
  <si>
    <t>Average transaction value - non marketing programme members</t>
  </si>
  <si>
    <t>Frequency of visit pa - marketing programme members</t>
  </si>
  <si>
    <t>Frequency of visit pa - non marketing programme members</t>
  </si>
  <si>
    <t>% of customers participating in marketing programme</t>
  </si>
  <si>
    <t>Cost per Acquisition</t>
  </si>
  <si>
    <t>Welcome pack for new customers eligible for the marketing programme</t>
  </si>
  <si>
    <t>Margin give-away/promotions</t>
  </si>
  <si>
    <t>Printing offer per item</t>
  </si>
  <si>
    <t>Number of margin give-aways per year</t>
  </si>
  <si>
    <t>Incremental sales from marketing programme</t>
  </si>
  <si>
    <t>Incremental margin from marketing programme</t>
  </si>
  <si>
    <t>Incrementality of marketing programme</t>
  </si>
  <si>
    <t>4a</t>
  </si>
  <si>
    <t>4b</t>
  </si>
  <si>
    <t>9a</t>
  </si>
  <si>
    <t>9b</t>
  </si>
  <si>
    <t>9c</t>
  </si>
  <si>
    <t>Average number of programme campaigns per year</t>
  </si>
  <si>
    <t>Average number of triggers per year per programme member</t>
  </si>
  <si>
    <t>Average number of events per year per programme member</t>
  </si>
  <si>
    <t>Marketing programme communications</t>
  </si>
  <si>
    <t>Promotions</t>
  </si>
  <si>
    <t>Data &amp; Technology</t>
  </si>
  <si>
    <t>Member volume</t>
  </si>
  <si>
    <t>Email as % of all communications</t>
  </si>
  <si>
    <t>SMS as % of all communications</t>
  </si>
  <si>
    <t>Snail mail as % of all communications</t>
  </si>
  <si>
    <t>- Email</t>
  </si>
  <si>
    <t>- SMS</t>
  </si>
  <si>
    <t>- Snail Mail</t>
  </si>
  <si>
    <t>- New members welcome pack</t>
  </si>
  <si>
    <t>Marketing programme costs</t>
  </si>
  <si>
    <t>Other marketing costs</t>
  </si>
  <si>
    <t>Resources</t>
  </si>
  <si>
    <t>FTE resources required for programme</t>
  </si>
  <si>
    <t>Average FTE fully-loaded cost</t>
  </si>
  <si>
    <t>Contingency as % of total costs</t>
  </si>
  <si>
    <t>23a</t>
  </si>
  <si>
    <t>23b</t>
  </si>
  <si>
    <t>Marketing programme KPIs</t>
  </si>
  <si>
    <t>Cost per Member</t>
  </si>
  <si>
    <t>Incremental Sales per Member</t>
  </si>
  <si>
    <t>Incremental Sales as % of Total Sales</t>
  </si>
  <si>
    <t>Annual communications volume</t>
  </si>
  <si>
    <t>Number of existing customers per annum</t>
  </si>
  <si>
    <t>Net Margin</t>
  </si>
  <si>
    <t>Incremental Sales</t>
  </si>
  <si>
    <t xml:space="preserve">Remember that a cost:benefit analysis isn't a business case. </t>
  </si>
  <si>
    <t>our free business case template.</t>
  </si>
  <si>
    <t>Discover more about business case best practice and how to build a bullet proof business case by downloading</t>
  </si>
  <si>
    <t>The model works by entering data into 'Programme Inputs' to construct a cost:benefit analsysis that is based on specific commercial variables to your business and the market in which you operate.</t>
  </si>
  <si>
    <t>The list of inputs is not exhaustive: you may wish to add some or to leave some of the existing inputs blank if they don't apply to your business or marketing plan.</t>
  </si>
  <si>
    <t>Make assumptions, leave blank or remove if you don't have the data to enter these variables.</t>
  </si>
  <si>
    <t>% of customers for who you have email addresses</t>
  </si>
  <si>
    <t>% of customers for who you have mobile numbers</t>
  </si>
  <si>
    <t>Estimated marketing costs</t>
  </si>
  <si>
    <t>Retention rates</t>
  </si>
  <si>
    <t>Estimated volume of customer communications</t>
  </si>
  <si>
    <t>Promotional costs</t>
  </si>
  <si>
    <t>Resourcing requriements</t>
  </si>
  <si>
    <t>Cost per member (CPM)</t>
  </si>
  <si>
    <t>The increase in sales that has come from changes in customer behaviour due to the marketing programme vs the behaviour of customers not participating in the marketing programme</t>
  </si>
  <si>
    <t>Notes</t>
  </si>
  <si>
    <t>Enter a multiplier % to forecast future years</t>
  </si>
  <si>
    <t>This is the % of customers retained from one year to the next</t>
  </si>
  <si>
    <t>Your communications mix by channel</t>
  </si>
  <si>
    <t>The number of customised event-based communications that a customer will receive per year (eg. birthday, anniversary)</t>
  </si>
  <si>
    <t xml:space="preserve">The number of planned marketing campaigns you plan to run each year to most customers (eg. new product, sale activity) </t>
  </si>
  <si>
    <t>The number of rule-driven and behaviour-led triggers that a customer is likely to receive per year (eg. cross-sell, win-back)</t>
  </si>
  <si>
    <t>Average cost to acquire a new customer</t>
  </si>
  <si>
    <t>Total cost of producing content for the marketing programme.</t>
  </si>
  <si>
    <t>Production and fulfilment of collateral for new customers</t>
  </si>
  <si>
    <t>Promotional budget for the marketing programme</t>
  </si>
  <si>
    <t>% of customers who receive a promotional offer that go on to redeem</t>
  </si>
  <si>
    <t>Budget for promoting the marketing programme internally, training etc</t>
  </si>
  <si>
    <t>Cost per FTE including all employment costs</t>
  </si>
  <si>
    <t>A contingency rate applied to the total marketing costs</t>
  </si>
</sst>
</file>

<file path=xl/styles.xml><?xml version="1.0" encoding="utf-8"?>
<styleSheet xmlns="http://schemas.openxmlformats.org/spreadsheetml/2006/main">
  <numFmts count="13">
    <numFmt numFmtId="164" formatCode="&quot;£&quot;#,##0;[Red]\-&quot;£&quot;#,##0"/>
    <numFmt numFmtId="165" formatCode="&quot;£&quot;#,##0.00;[Red]\-&quot;£&quot;#,##0.00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* #,##0_-;\-* #,##0_-;_-* &quot;-&quot;??_-;_-@_-"/>
    <numFmt numFmtId="169" formatCode="0.0%"/>
    <numFmt numFmtId="170" formatCode="#,##0\ [$€-1]"/>
    <numFmt numFmtId="171" formatCode="#,##0.0_ ;\-#,##0.0\ "/>
    <numFmt numFmtId="172" formatCode="&quot;£&quot;#,##0"/>
    <numFmt numFmtId="173" formatCode="[$CNY]\ #,##0;\-[$CNY]\ #,##0"/>
    <numFmt numFmtId="174" formatCode="[$RMB]\ #,##0"/>
    <numFmt numFmtId="175" formatCode="_-&quot;£&quot;* #,##0_-;\-&quot;£&quot;* #,##0_-;_-&quot;£&quot;* &quot;-&quot;??_-;_-@_-"/>
    <numFmt numFmtId="176" formatCode="_-* #,##0.0_-;\-* #,##0.0_-;_-* &quot;-&quot;??_-;_-@_-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0"/>
      <color theme="0"/>
      <name val="Trebuchet MS"/>
      <family val="2"/>
    </font>
    <font>
      <sz val="10"/>
      <color rgb="FFFF0000"/>
      <name val="Trebuchet MS"/>
      <family val="2"/>
    </font>
    <font>
      <sz val="10"/>
      <color rgb="FF00B050"/>
      <name val="Trebuchet MS"/>
      <family val="2"/>
    </font>
    <font>
      <sz val="10"/>
      <color rgb="FF0070C0"/>
      <name val="Trebuchet MS"/>
      <family val="2"/>
    </font>
    <font>
      <sz val="10"/>
      <color rgb="FF7030A0"/>
      <name val="Trebuchet MS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90"/>
      <name val="Arial"/>
      <family val="2"/>
    </font>
    <font>
      <b/>
      <sz val="12"/>
      <color rgb="FF000090"/>
      <name val="Arial"/>
      <family val="2"/>
    </font>
    <font>
      <b/>
      <sz val="12"/>
      <color theme="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indexed="8"/>
      <name val="Arial"/>
      <family val="2"/>
    </font>
    <font>
      <sz val="12"/>
      <color indexed="9"/>
      <name val="Arial"/>
      <family val="2"/>
    </font>
    <font>
      <sz val="12"/>
      <color theme="0"/>
      <name val="Arial"/>
      <family val="2"/>
    </font>
    <font>
      <i/>
      <sz val="12"/>
      <color indexed="8"/>
      <name val="Arial"/>
      <family val="2"/>
    </font>
    <font>
      <u/>
      <sz val="12"/>
      <color rgb="FF000090"/>
      <name val="Arial"/>
      <family val="2"/>
    </font>
    <font>
      <u/>
      <sz val="12"/>
      <color rgb="FF0000FF"/>
      <name val="Arial"/>
      <family val="2"/>
    </font>
    <font>
      <b/>
      <u/>
      <sz val="12"/>
      <color theme="10"/>
      <name val="Arial"/>
      <family val="2"/>
    </font>
    <font>
      <sz val="12"/>
      <color rgb="FF00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auto="1"/>
      </right>
      <top/>
      <bottom style="thin">
        <color indexed="23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</borders>
  <cellStyleXfs count="103">
    <xf numFmtId="0" fontId="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75">
    <xf numFmtId="0" fontId="0" fillId="0" borderId="0" xfId="0"/>
    <xf numFmtId="0" fontId="3" fillId="5" borderId="0" xfId="0" applyFont="1" applyFill="1" applyAlignment="1">
      <alignment vertical="center"/>
    </xf>
    <xf numFmtId="174" fontId="4" fillId="0" borderId="3" xfId="3" applyNumberFormat="1" applyFont="1" applyFill="1" applyBorder="1" applyAlignment="1">
      <alignment vertical="center"/>
    </xf>
    <xf numFmtId="174" fontId="4" fillId="0" borderId="11" xfId="3" applyNumberFormat="1" applyFont="1" applyFill="1" applyBorder="1" applyAlignment="1">
      <alignment vertical="center"/>
    </xf>
    <xf numFmtId="174" fontId="4" fillId="0" borderId="12" xfId="3" applyNumberFormat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174" fontId="5" fillId="0" borderId="3" xfId="3" applyNumberFormat="1" applyFont="1" applyFill="1" applyBorder="1" applyAlignment="1">
      <alignment vertical="center"/>
    </xf>
    <xf numFmtId="174" fontId="5" fillId="0" borderId="11" xfId="3" applyNumberFormat="1" applyFont="1" applyFill="1" applyBorder="1" applyAlignment="1">
      <alignment vertical="center"/>
    </xf>
    <xf numFmtId="174" fontId="5" fillId="0" borderId="12" xfId="3" applyNumberFormat="1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174" fontId="6" fillId="0" borderId="3" xfId="3" applyNumberFormat="1" applyFont="1" applyFill="1" applyBorder="1" applyAlignment="1">
      <alignment vertical="center"/>
    </xf>
    <xf numFmtId="174" fontId="6" fillId="0" borderId="11" xfId="3" applyNumberFormat="1" applyFont="1" applyFill="1" applyBorder="1" applyAlignment="1">
      <alignment vertical="center"/>
    </xf>
    <xf numFmtId="174" fontId="6" fillId="0" borderId="12" xfId="3" applyNumberFormat="1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174" fontId="7" fillId="0" borderId="3" xfId="3" applyNumberFormat="1" applyFont="1" applyFill="1" applyBorder="1" applyAlignment="1">
      <alignment vertical="center"/>
    </xf>
    <xf numFmtId="174" fontId="7" fillId="0" borderId="11" xfId="3" applyNumberFormat="1" applyFont="1" applyFill="1" applyBorder="1" applyAlignment="1">
      <alignment vertical="center"/>
    </xf>
    <xf numFmtId="174" fontId="7" fillId="0" borderId="12" xfId="3" applyNumberFormat="1" applyFont="1" applyFill="1" applyBorder="1" applyAlignment="1">
      <alignment vertical="center"/>
    </xf>
    <xf numFmtId="171" fontId="0" fillId="0" borderId="0" xfId="0" applyNumberFormat="1"/>
    <xf numFmtId="174" fontId="0" fillId="0" borderId="0" xfId="0" applyNumberFormat="1"/>
    <xf numFmtId="0" fontId="8" fillId="4" borderId="0" xfId="0" applyFont="1" applyFill="1"/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9" fillId="4" borderId="0" xfId="0" applyFont="1" applyFill="1" applyAlignment="1">
      <alignment horizontal="left" vertical="center" indent="2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 indent="3"/>
    </xf>
    <xf numFmtId="0" fontId="11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indent="3"/>
    </xf>
    <xf numFmtId="0" fontId="9" fillId="4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0" fontId="9" fillId="0" borderId="0" xfId="0" applyFont="1"/>
    <xf numFmtId="0" fontId="8" fillId="2" borderId="0" xfId="0" applyFont="1" applyFill="1"/>
    <xf numFmtId="0" fontId="19" fillId="2" borderId="0" xfId="0" applyFont="1" applyFill="1" applyAlignment="1">
      <alignment horizontal="center"/>
    </xf>
    <xf numFmtId="166" fontId="8" fillId="2" borderId="0" xfId="0" applyNumberFormat="1" applyFont="1" applyFill="1"/>
    <xf numFmtId="167" fontId="8" fillId="2" borderId="0" xfId="0" applyNumberFormat="1" applyFont="1" applyFill="1"/>
    <xf numFmtId="0" fontId="17" fillId="2" borderId="0" xfId="0" applyFont="1" applyFill="1"/>
    <xf numFmtId="0" fontId="8" fillId="2" borderId="0" xfId="0" applyFont="1" applyFill="1" applyBorder="1"/>
    <xf numFmtId="0" fontId="17" fillId="2" borderId="0" xfId="0" applyFont="1" applyFill="1" applyBorder="1" applyAlignment="1">
      <alignment horizontal="center"/>
    </xf>
    <xf numFmtId="166" fontId="8" fillId="2" borderId="0" xfId="0" applyNumberFormat="1" applyFont="1" applyFill="1" applyBorder="1"/>
    <xf numFmtId="166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7" xfId="0" applyFont="1" applyFill="1" applyBorder="1" applyAlignment="1" applyProtection="1">
      <alignment horizontal="center" vertical="center"/>
    </xf>
    <xf numFmtId="0" fontId="19" fillId="2" borderId="8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0" fontId="14" fillId="2" borderId="0" xfId="0" applyFont="1" applyFill="1" applyBorder="1"/>
    <xf numFmtId="168" fontId="14" fillId="4" borderId="0" xfId="1" applyNumberFormat="1" applyFont="1" applyFill="1" applyBorder="1" applyAlignment="1" applyProtection="1">
      <alignment horizontal="center" vertical="center"/>
    </xf>
    <xf numFmtId="168" fontId="14" fillId="4" borderId="4" xfId="1" applyNumberFormat="1" applyFont="1" applyFill="1" applyBorder="1" applyAlignment="1" applyProtection="1">
      <alignment horizontal="center" vertical="center"/>
    </xf>
    <xf numFmtId="168" fontId="14" fillId="9" borderId="0" xfId="1" applyNumberFormat="1" applyFont="1" applyFill="1" applyBorder="1" applyAlignment="1" applyProtection="1">
      <alignment horizontal="center" vertical="center"/>
    </xf>
    <xf numFmtId="168" fontId="14" fillId="9" borderId="4" xfId="1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vertical="center"/>
    </xf>
    <xf numFmtId="9" fontId="14" fillId="9" borderId="0" xfId="5" applyFont="1" applyFill="1" applyBorder="1" applyAlignment="1" applyProtection="1">
      <alignment horizontal="center" vertical="center"/>
    </xf>
    <xf numFmtId="9" fontId="14" fillId="9" borderId="4" xfId="5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>
      <alignment vertical="center"/>
    </xf>
    <xf numFmtId="9" fontId="14" fillId="10" borderId="0" xfId="0" applyNumberFormat="1" applyFont="1" applyFill="1" applyBorder="1" applyAlignment="1">
      <alignment horizontal="center" vertical="center"/>
    </xf>
    <xf numFmtId="9" fontId="14" fillId="2" borderId="0" xfId="0" applyNumberFormat="1" applyFont="1" applyFill="1" applyBorder="1" applyAlignment="1" applyProtection="1">
      <alignment horizontal="center" vertical="center"/>
      <protection locked="0"/>
    </xf>
    <xf numFmtId="171" fontId="14" fillId="9" borderId="0" xfId="2" applyNumberFormat="1" applyFont="1" applyFill="1" applyBorder="1" applyAlignment="1" applyProtection="1">
      <alignment horizontal="center" vertical="center"/>
      <protection locked="0"/>
    </xf>
    <xf numFmtId="171" fontId="14" fillId="9" borderId="4" xfId="2" applyNumberFormat="1" applyFont="1" applyFill="1" applyBorder="1" applyAlignment="1" applyProtection="1">
      <alignment horizontal="center" vertical="center"/>
      <protection locked="0"/>
    </xf>
    <xf numFmtId="170" fontId="18" fillId="2" borderId="0" xfId="0" applyNumberFormat="1" applyFont="1" applyFill="1" applyBorder="1" applyAlignment="1">
      <alignment vertical="center"/>
    </xf>
    <xf numFmtId="9" fontId="14" fillId="9" borderId="0" xfId="0" applyNumberFormat="1" applyFont="1" applyFill="1" applyBorder="1" applyAlignment="1" applyProtection="1">
      <alignment horizontal="center" vertical="center"/>
    </xf>
    <xf numFmtId="9" fontId="14" fillId="9" borderId="4" xfId="0" applyNumberFormat="1" applyFont="1" applyFill="1" applyBorder="1" applyAlignment="1" applyProtection="1">
      <alignment horizontal="center" vertical="center"/>
    </xf>
    <xf numFmtId="9" fontId="14" fillId="2" borderId="0" xfId="0" applyNumberFormat="1" applyFont="1" applyFill="1" applyBorder="1" applyAlignment="1" applyProtection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center" vertical="center"/>
    </xf>
    <xf numFmtId="9" fontId="18" fillId="3" borderId="0" xfId="0" applyNumberFormat="1" applyFont="1" applyFill="1" applyBorder="1" applyAlignment="1" applyProtection="1">
      <alignment horizontal="center" vertical="center"/>
    </xf>
    <xf numFmtId="9" fontId="18" fillId="3" borderId="4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169" fontId="8" fillId="2" borderId="0" xfId="6" applyNumberFormat="1" applyFont="1" applyFill="1" applyBorder="1" applyAlignment="1">
      <alignment vertical="center"/>
    </xf>
    <xf numFmtId="169" fontId="8" fillId="2" borderId="4" xfId="6" applyNumberFormat="1" applyFont="1" applyFill="1" applyBorder="1" applyAlignment="1">
      <alignment vertical="center"/>
    </xf>
    <xf numFmtId="168" fontId="21" fillId="2" borderId="0" xfId="1" applyNumberFormat="1" applyFont="1" applyFill="1" applyBorder="1" applyAlignment="1">
      <alignment horizontal="center" vertical="center"/>
    </xf>
    <xf numFmtId="168" fontId="8" fillId="2" borderId="0" xfId="1" applyNumberFormat="1" applyFont="1" applyFill="1" applyBorder="1" applyAlignment="1">
      <alignment vertical="center"/>
    </xf>
    <xf numFmtId="168" fontId="8" fillId="2" borderId="4" xfId="1" applyNumberFormat="1" applyFont="1" applyFill="1" applyBorder="1" applyAlignment="1">
      <alignment vertical="center"/>
    </xf>
    <xf numFmtId="9" fontId="14" fillId="9" borderId="0" xfId="5" applyFont="1" applyFill="1" applyBorder="1" applyAlignment="1">
      <alignment horizontal="right" vertical="center"/>
    </xf>
    <xf numFmtId="0" fontId="8" fillId="3" borderId="0" xfId="0" applyFont="1" applyFill="1" applyBorder="1" applyAlignment="1">
      <alignment vertical="center"/>
    </xf>
    <xf numFmtId="172" fontId="21" fillId="3" borderId="0" xfId="4" applyNumberFormat="1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169" fontId="8" fillId="3" borderId="0" xfId="6" applyNumberFormat="1" applyFont="1" applyFill="1" applyBorder="1" applyAlignment="1">
      <alignment vertical="center"/>
    </xf>
    <xf numFmtId="169" fontId="8" fillId="3" borderId="4" xfId="6" applyNumberFormat="1" applyFont="1" applyFill="1" applyBorder="1" applyAlignment="1">
      <alignment vertical="center"/>
    </xf>
    <xf numFmtId="172" fontId="19" fillId="2" borderId="0" xfId="4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/>
    </xf>
    <xf numFmtId="0" fontId="8" fillId="2" borderId="9" xfId="0" applyFont="1" applyFill="1" applyBorder="1"/>
    <xf numFmtId="169" fontId="14" fillId="9" borderId="9" xfId="5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169" fontId="8" fillId="2" borderId="9" xfId="6" applyNumberFormat="1" applyFont="1" applyFill="1" applyBorder="1" applyAlignment="1">
      <alignment vertical="center"/>
    </xf>
    <xf numFmtId="169" fontId="8" fillId="2" borderId="10" xfId="6" applyNumberFormat="1" applyFont="1" applyFill="1" applyBorder="1" applyAlignment="1">
      <alignment vertical="center"/>
    </xf>
    <xf numFmtId="0" fontId="8" fillId="2" borderId="0" xfId="0" applyFont="1" applyFill="1" applyAlignment="1"/>
    <xf numFmtId="0" fontId="14" fillId="2" borderId="0" xfId="0" applyFont="1" applyFill="1" applyBorder="1" applyAlignment="1"/>
    <xf numFmtId="169" fontId="8" fillId="2" borderId="0" xfId="6" applyNumberFormat="1" applyFont="1" applyFill="1" applyBorder="1" applyAlignment="1"/>
    <xf numFmtId="0" fontId="15" fillId="9" borderId="0" xfId="0" applyFont="1" applyFill="1" applyBorder="1" applyAlignment="1">
      <alignment horizontal="center" vertical="center" wrapText="1"/>
    </xf>
    <xf numFmtId="0" fontId="17" fillId="2" borderId="0" xfId="0" quotePrefix="1" applyFont="1" applyFill="1" applyAlignment="1">
      <alignment horizontal="right" vertical="center"/>
    </xf>
    <xf numFmtId="166" fontId="14" fillId="4" borderId="0" xfId="3" applyFont="1" applyFill="1" applyBorder="1" applyAlignment="1" applyProtection="1">
      <alignment horizontal="center" vertical="center"/>
      <protection locked="0"/>
    </xf>
    <xf numFmtId="166" fontId="14" fillId="4" borderId="4" xfId="3" applyFont="1" applyFill="1" applyBorder="1" applyAlignment="1" applyProtection="1">
      <alignment horizontal="center" vertical="center"/>
      <protection locked="0"/>
    </xf>
    <xf numFmtId="9" fontId="14" fillId="4" borderId="0" xfId="0" applyNumberFormat="1" applyFont="1" applyFill="1" applyBorder="1" applyAlignment="1" applyProtection="1">
      <alignment horizontal="center" vertical="center"/>
    </xf>
    <xf numFmtId="9" fontId="14" fillId="4" borderId="4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175" fontId="22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6" fillId="11" borderId="14" xfId="0" applyFont="1" applyFill="1" applyBorder="1" applyAlignment="1">
      <alignment horizontal="center" vertical="center"/>
    </xf>
    <xf numFmtId="0" fontId="16" fillId="11" borderId="15" xfId="0" applyFont="1" applyFill="1" applyBorder="1" applyAlignment="1" applyProtection="1">
      <alignment horizontal="center" vertical="center"/>
    </xf>
    <xf numFmtId="0" fontId="16" fillId="11" borderId="16" xfId="0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>
      <alignment vertical="center"/>
    </xf>
    <xf numFmtId="173" fontId="8" fillId="0" borderId="18" xfId="3" applyNumberFormat="1" applyFont="1" applyFill="1" applyBorder="1" applyAlignment="1">
      <alignment vertical="center"/>
    </xf>
    <xf numFmtId="173" fontId="8" fillId="0" borderId="19" xfId="3" applyNumberFormat="1" applyFont="1" applyFill="1" applyBorder="1" applyAlignment="1">
      <alignment vertical="center"/>
    </xf>
    <xf numFmtId="175" fontId="17" fillId="0" borderId="17" xfId="3" applyNumberFormat="1" applyFont="1" applyFill="1" applyBorder="1" applyAlignment="1">
      <alignment vertical="center"/>
    </xf>
    <xf numFmtId="175" fontId="17" fillId="0" borderId="18" xfId="3" applyNumberFormat="1" applyFont="1" applyFill="1" applyBorder="1" applyAlignment="1">
      <alignment vertical="center"/>
    </xf>
    <xf numFmtId="175" fontId="17" fillId="0" borderId="19" xfId="3" applyNumberFormat="1" applyFont="1" applyFill="1" applyBorder="1" applyAlignment="1">
      <alignment vertical="center"/>
    </xf>
    <xf numFmtId="175" fontId="8" fillId="0" borderId="17" xfId="3" applyNumberFormat="1" applyFont="1" applyFill="1" applyBorder="1" applyAlignment="1">
      <alignment vertical="center"/>
    </xf>
    <xf numFmtId="169" fontId="8" fillId="0" borderId="18" xfId="5" applyNumberFormat="1" applyFont="1" applyFill="1" applyBorder="1" applyAlignment="1">
      <alignment vertical="center"/>
    </xf>
    <xf numFmtId="169" fontId="8" fillId="0" borderId="19" xfId="5" applyNumberFormat="1" applyFont="1" applyFill="1" applyBorder="1" applyAlignment="1">
      <alignment vertical="center"/>
    </xf>
    <xf numFmtId="175" fontId="8" fillId="0" borderId="18" xfId="3" applyNumberFormat="1" applyFont="1" applyFill="1" applyBorder="1" applyAlignment="1">
      <alignment vertical="center"/>
    </xf>
    <xf numFmtId="175" fontId="8" fillId="0" borderId="19" xfId="3" applyNumberFormat="1" applyFont="1" applyFill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168" fontId="8" fillId="0" borderId="17" xfId="1" applyNumberFormat="1" applyFont="1" applyFill="1" applyBorder="1" applyAlignment="1">
      <alignment vertical="center"/>
    </xf>
    <xf numFmtId="168" fontId="8" fillId="0" borderId="18" xfId="1" applyNumberFormat="1" applyFont="1" applyFill="1" applyBorder="1" applyAlignment="1">
      <alignment vertical="center"/>
    </xf>
    <xf numFmtId="168" fontId="8" fillId="0" borderId="19" xfId="1" applyNumberFormat="1" applyFont="1" applyFill="1" applyBorder="1" applyAlignment="1">
      <alignment vertical="center"/>
    </xf>
    <xf numFmtId="166" fontId="8" fillId="0" borderId="17" xfId="3" applyFont="1" applyBorder="1" applyAlignment="1">
      <alignment vertical="center"/>
    </xf>
    <xf numFmtId="166" fontId="8" fillId="0" borderId="18" xfId="3" applyFont="1" applyBorder="1" applyAlignment="1">
      <alignment vertical="center"/>
    </xf>
    <xf numFmtId="166" fontId="8" fillId="0" borderId="19" xfId="3" applyFont="1" applyBorder="1" applyAlignment="1">
      <alignment vertical="center"/>
    </xf>
    <xf numFmtId="169" fontId="8" fillId="0" borderId="17" xfId="5" applyNumberFormat="1" applyFont="1" applyBorder="1" applyAlignment="1">
      <alignment vertical="center"/>
    </xf>
    <xf numFmtId="169" fontId="8" fillId="0" borderId="18" xfId="5" applyNumberFormat="1" applyFont="1" applyBorder="1" applyAlignment="1">
      <alignment vertical="center"/>
    </xf>
    <xf numFmtId="169" fontId="8" fillId="0" borderId="19" xfId="5" applyNumberFormat="1" applyFont="1" applyBorder="1" applyAlignment="1">
      <alignment vertical="center"/>
    </xf>
    <xf numFmtId="166" fontId="8" fillId="0" borderId="17" xfId="3" applyFont="1" applyFill="1" applyBorder="1" applyAlignment="1">
      <alignment vertical="center"/>
    </xf>
    <xf numFmtId="166" fontId="8" fillId="0" borderId="18" xfId="3" applyFont="1" applyFill="1" applyBorder="1" applyAlignment="1">
      <alignment vertical="center"/>
    </xf>
    <xf numFmtId="166" fontId="8" fillId="0" borderId="19" xfId="3" applyFont="1" applyFill="1" applyBorder="1" applyAlignment="1">
      <alignment vertical="center"/>
    </xf>
    <xf numFmtId="169" fontId="8" fillId="0" borderId="20" xfId="5" applyNumberFormat="1" applyFont="1" applyBorder="1" applyAlignment="1">
      <alignment vertical="center"/>
    </xf>
    <xf numFmtId="169" fontId="8" fillId="0" borderId="21" xfId="5" applyNumberFormat="1" applyFont="1" applyBorder="1" applyAlignment="1">
      <alignment vertical="center"/>
    </xf>
    <xf numFmtId="169" fontId="8" fillId="0" borderId="22" xfId="5" applyNumberFormat="1" applyFont="1" applyBorder="1" applyAlignment="1">
      <alignment vertical="center"/>
    </xf>
    <xf numFmtId="0" fontId="24" fillId="0" borderId="0" xfId="13" applyFont="1"/>
    <xf numFmtId="0" fontId="25" fillId="0" borderId="0" xfId="13" quotePrefix="1" applyFont="1"/>
    <xf numFmtId="0" fontId="26" fillId="0" borderId="0" xfId="13" applyFont="1"/>
    <xf numFmtId="165" fontId="14" fillId="9" borderId="0" xfId="3" applyNumberFormat="1" applyFont="1" applyFill="1" applyBorder="1" applyAlignment="1">
      <alignment horizontal="right" vertical="center"/>
    </xf>
    <xf numFmtId="165" fontId="8" fillId="2" borderId="0" xfId="3" applyNumberFormat="1" applyFont="1" applyFill="1" applyBorder="1" applyAlignment="1">
      <alignment horizontal="right" vertical="center" wrapText="1"/>
    </xf>
    <xf numFmtId="165" fontId="21" fillId="2" borderId="0" xfId="3" applyNumberFormat="1" applyFont="1" applyFill="1" applyBorder="1" applyAlignment="1">
      <alignment horizontal="right" vertical="center"/>
    </xf>
    <xf numFmtId="165" fontId="21" fillId="2" borderId="4" xfId="3" applyNumberFormat="1" applyFont="1" applyFill="1" applyBorder="1" applyAlignment="1">
      <alignment horizontal="right" vertical="center"/>
    </xf>
    <xf numFmtId="165" fontId="14" fillId="2" borderId="0" xfId="3" applyNumberFormat="1" applyFont="1" applyFill="1" applyBorder="1" applyAlignment="1">
      <alignment horizontal="right" vertical="center" wrapText="1"/>
    </xf>
    <xf numFmtId="165" fontId="8" fillId="2" borderId="0" xfId="3" applyNumberFormat="1" applyFont="1" applyFill="1" applyBorder="1" applyAlignment="1">
      <alignment horizontal="right" vertical="center"/>
    </xf>
    <xf numFmtId="165" fontId="8" fillId="2" borderId="4" xfId="3" applyNumberFormat="1" applyFont="1" applyFill="1" applyBorder="1" applyAlignment="1">
      <alignment horizontal="right" vertical="center"/>
    </xf>
    <xf numFmtId="164" fontId="14" fillId="9" borderId="0" xfId="3" applyNumberFormat="1" applyFont="1" applyFill="1" applyBorder="1" applyAlignment="1">
      <alignment horizontal="right" vertical="center"/>
    </xf>
    <xf numFmtId="164" fontId="21" fillId="9" borderId="0" xfId="3" applyNumberFormat="1" applyFont="1" applyFill="1" applyBorder="1" applyAlignment="1">
      <alignment horizontal="right" vertical="center"/>
    </xf>
    <xf numFmtId="164" fontId="8" fillId="9" borderId="0" xfId="3" applyNumberFormat="1" applyFont="1" applyFill="1" applyBorder="1" applyAlignment="1">
      <alignment horizontal="right" vertical="center"/>
    </xf>
    <xf numFmtId="164" fontId="8" fillId="9" borderId="4" xfId="3" applyNumberFormat="1" applyFont="1" applyFill="1" applyBorder="1" applyAlignment="1">
      <alignment horizontal="right" vertical="center"/>
    </xf>
    <xf numFmtId="168" fontId="27" fillId="9" borderId="0" xfId="1" applyNumberFormat="1" applyFont="1" applyFill="1" applyBorder="1" applyAlignment="1">
      <alignment horizontal="right" vertical="center"/>
    </xf>
    <xf numFmtId="168" fontId="27" fillId="9" borderId="0" xfId="1" applyNumberFormat="1" applyFont="1" applyFill="1" applyBorder="1" applyAlignment="1">
      <alignment horizontal="center" vertical="center"/>
    </xf>
    <xf numFmtId="168" fontId="27" fillId="9" borderId="0" xfId="1" applyNumberFormat="1" applyFont="1" applyFill="1" applyBorder="1" applyAlignment="1">
      <alignment vertical="center"/>
    </xf>
    <xf numFmtId="168" fontId="27" fillId="9" borderId="4" xfId="1" applyNumberFormat="1" applyFont="1" applyFill="1" applyBorder="1" applyAlignment="1">
      <alignment vertical="center"/>
    </xf>
    <xf numFmtId="176" fontId="27" fillId="9" borderId="0" xfId="1" applyNumberFormat="1" applyFont="1" applyFill="1" applyBorder="1" applyAlignment="1">
      <alignment horizontal="right" vertical="center"/>
    </xf>
    <xf numFmtId="176" fontId="27" fillId="9" borderId="0" xfId="1" applyNumberFormat="1" applyFont="1" applyFill="1" applyBorder="1" applyAlignment="1">
      <alignment horizontal="center" vertical="center"/>
    </xf>
    <xf numFmtId="176" fontId="27" fillId="9" borderId="0" xfId="1" applyNumberFormat="1" applyFont="1" applyFill="1" applyBorder="1" applyAlignment="1">
      <alignment vertical="center"/>
    </xf>
    <xf numFmtId="176" fontId="27" fillId="9" borderId="4" xfId="1" applyNumberFormat="1" applyFont="1" applyFill="1" applyBorder="1" applyAlignment="1">
      <alignment vertical="center"/>
    </xf>
    <xf numFmtId="164" fontId="14" fillId="9" borderId="4" xfId="3" applyNumberFormat="1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</cellXfs>
  <cellStyles count="103">
    <cellStyle name="Comma" xfId="1" builtinId="3"/>
    <cellStyle name="Comma 2" xfId="2"/>
    <cellStyle name="Currency" xfId="3" builtinId="4"/>
    <cellStyle name="Currency 2" xfId="4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Hyperlink" xfId="7" builtinId="8" hidden="1"/>
    <cellStyle name="Hyperlink" xfId="9" builtinId="8" hidden="1"/>
    <cellStyle name="Hyperlink" xfId="11" builtinId="8" hidden="1"/>
    <cellStyle name="Hyperlink" xfId="13" builtinId="8"/>
    <cellStyle name="Normal" xfId="0" builtinId="0"/>
    <cellStyle name="Percent" xfId="5" builtinId="5"/>
    <cellStyle name="Percent 2" xfId="6"/>
  </cellStyles>
  <dxfs count="0"/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839445802771004"/>
          <c:y val="1.3698630136986304E-2"/>
          <c:w val="0.76202118989404999"/>
          <c:h val="0.96689497716895034"/>
        </c:manualLayout>
      </c:layout>
      <c:barChart>
        <c:barDir val="col"/>
        <c:grouping val="clustered"/>
        <c:ser>
          <c:idx val="2"/>
          <c:order val="2"/>
          <c:tx>
            <c:strRef>
              <c:f>Sheet2!$C$9</c:f>
              <c:strCache>
                <c:ptCount val="1"/>
                <c:pt idx="0">
                  <c:v>Programme costs</c:v>
                </c:pt>
              </c:strCache>
            </c:strRef>
          </c:tx>
          <c:cat>
            <c:strRef>
              <c:f>Sheet2!$D$6:$H$6</c:f>
              <c:strCache>
                <c:ptCount val="5"/>
                <c:pt idx="0">
                  <c:v>first 6 months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</c:strCache>
            </c:strRef>
          </c:cat>
          <c:val>
            <c:numRef>
              <c:f>Sheet2!$D$9:$H$9</c:f>
              <c:numCache>
                <c:formatCode>[$RMB]\ #,##0</c:formatCode>
                <c:ptCount val="5"/>
                <c:pt idx="0">
                  <c:v>0</c:v>
                </c:pt>
                <c:pt idx="1">
                  <c:v>-1043978.65</c:v>
                </c:pt>
                <c:pt idx="2">
                  <c:v>-1111397.6499999999</c:v>
                </c:pt>
                <c:pt idx="3">
                  <c:v>-1256817.6499999999</c:v>
                </c:pt>
                <c:pt idx="4">
                  <c:v>-1418737.65</c:v>
                </c:pt>
              </c:numCache>
            </c:numRef>
          </c:val>
        </c:ser>
        <c:axId val="56577024"/>
        <c:axId val="56587776"/>
      </c:barChart>
      <c:lineChart>
        <c:grouping val="standard"/>
        <c:ser>
          <c:idx val="0"/>
          <c:order val="0"/>
          <c:tx>
            <c:strRef>
              <c:f>Sheet2!$C$7</c:f>
              <c:strCache>
                <c:ptCount val="1"/>
                <c:pt idx="0">
                  <c:v>Incremental sales</c:v>
                </c:pt>
              </c:strCache>
            </c:strRef>
          </c:tx>
          <c:marker>
            <c:symbol val="none"/>
          </c:marker>
          <c:cat>
            <c:strRef>
              <c:f>Sheet2!$D$6:$H$6</c:f>
              <c:strCache>
                <c:ptCount val="5"/>
                <c:pt idx="0">
                  <c:v>first 6 months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</c:strCache>
            </c:strRef>
          </c:cat>
          <c:val>
            <c:numRef>
              <c:f>Sheet2!$D$7:$H$7</c:f>
              <c:numCache>
                <c:formatCode>[$RMB]\ #,##0</c:formatCode>
                <c:ptCount val="5"/>
                <c:pt idx="0">
                  <c:v>0</c:v>
                </c:pt>
                <c:pt idx="1">
                  <c:v>4225000</c:v>
                </c:pt>
                <c:pt idx="2">
                  <c:v>8968500.0000000075</c:v>
                </c:pt>
                <c:pt idx="3">
                  <c:v>13479825.000000015</c:v>
                </c:pt>
                <c:pt idx="4">
                  <c:v>24065523.425000012</c:v>
                </c:pt>
              </c:numCache>
            </c:numRef>
          </c:val>
        </c:ser>
        <c:ser>
          <c:idx val="1"/>
          <c:order val="1"/>
          <c:tx>
            <c:strRef>
              <c:f>Sheet2!$C$8</c:f>
              <c:strCache>
                <c:ptCount val="1"/>
                <c:pt idx="0">
                  <c:v>Net margin</c:v>
                </c:pt>
              </c:strCache>
            </c:strRef>
          </c:tx>
          <c:marker>
            <c:symbol val="none"/>
          </c:marker>
          <c:cat>
            <c:strRef>
              <c:f>Sheet2!$D$6:$H$6</c:f>
              <c:strCache>
                <c:ptCount val="5"/>
                <c:pt idx="0">
                  <c:v>first 6 months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</c:strCache>
            </c:strRef>
          </c:cat>
          <c:val>
            <c:numRef>
              <c:f>Sheet2!$D$8:$H$8</c:f>
              <c:numCache>
                <c:formatCode>[$RMB]\ #,##0</c:formatCode>
                <c:ptCount val="5"/>
                <c:pt idx="0">
                  <c:v>0</c:v>
                </c:pt>
                <c:pt idx="1">
                  <c:v>984021.35</c:v>
                </c:pt>
                <c:pt idx="2">
                  <c:v>3107384.7500000033</c:v>
                </c:pt>
                <c:pt idx="3">
                  <c:v>4957273.836400006</c:v>
                </c:pt>
                <c:pt idx="4">
                  <c:v>9453395.8492428511</c:v>
                </c:pt>
              </c:numCache>
            </c:numRef>
          </c:val>
        </c:ser>
        <c:marker val="1"/>
        <c:axId val="56577024"/>
        <c:axId val="56587776"/>
      </c:lineChart>
      <c:catAx>
        <c:axId val="56577024"/>
        <c:scaling>
          <c:orientation val="minMax"/>
        </c:scaling>
        <c:axPos val="b"/>
        <c:numFmt formatCode="General" sourceLinked="1"/>
        <c:tickLblPos val="nextTo"/>
        <c:crossAx val="56587776"/>
        <c:crosses val="autoZero"/>
        <c:auto val="1"/>
        <c:lblAlgn val="ctr"/>
        <c:lblOffset val="100"/>
      </c:catAx>
      <c:valAx>
        <c:axId val="56587776"/>
        <c:scaling>
          <c:orientation val="minMax"/>
        </c:scaling>
        <c:axPos val="l"/>
        <c:majorGridlines/>
        <c:numFmt formatCode="[$RMB]\ #,##0" sourceLinked="1"/>
        <c:tickLblPos val="nextTo"/>
        <c:crossAx val="5657702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895833333333337E-2"/>
          <c:y val="2.5000000000000012E-2"/>
          <c:w val="0.7686011904761918"/>
          <c:h val="0.94642857142857262"/>
        </c:manualLayout>
      </c:layout>
      <c:barChart>
        <c:barDir val="col"/>
        <c:grouping val="stacked"/>
        <c:ser>
          <c:idx val="3"/>
          <c:order val="2"/>
          <c:tx>
            <c:strRef>
              <c:f>Sheet2!$C$10</c:f>
              <c:strCache>
                <c:ptCount val="1"/>
                <c:pt idx="0">
                  <c:v>Quant Presky Maves </c:v>
                </c:pt>
              </c:strCache>
            </c:strRef>
          </c:tx>
          <c:cat>
            <c:strRef>
              <c:f>Sheet2!$D$6:$H$6</c:f>
              <c:strCache>
                <c:ptCount val="5"/>
                <c:pt idx="0">
                  <c:v>first 6 months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</c:strCache>
            </c:strRef>
          </c:cat>
          <c:val>
            <c:numRef>
              <c:f>Sheet2!$D$10:$H$10</c:f>
              <c:numCache>
                <c:formatCode>[$RMB]\ 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3"/>
          <c:tx>
            <c:strRef>
              <c:f>Sheet2!$C$11</c:f>
              <c:strCache>
                <c:ptCount val="1"/>
                <c:pt idx="0">
                  <c:v>3rd Party</c:v>
                </c:pt>
              </c:strCache>
            </c:strRef>
          </c:tx>
          <c:cat>
            <c:strRef>
              <c:f>Sheet2!$D$6:$H$6</c:f>
              <c:strCache>
                <c:ptCount val="5"/>
                <c:pt idx="0">
                  <c:v>first 6 months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</c:strCache>
            </c:strRef>
          </c:cat>
          <c:val>
            <c:numRef>
              <c:f>Sheet2!$D$11:$H$11</c:f>
              <c:numCache>
                <c:formatCode>[$RMB]\ 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4"/>
          <c:tx>
            <c:strRef>
              <c:f>Sheet2!$C$12</c:f>
              <c:strCache>
                <c:ptCount val="1"/>
                <c:pt idx="0">
                  <c:v>Internal</c:v>
                </c:pt>
              </c:strCache>
            </c:strRef>
          </c:tx>
          <c:cat>
            <c:strRef>
              <c:f>Sheet2!$D$6:$H$6</c:f>
              <c:strCache>
                <c:ptCount val="5"/>
                <c:pt idx="0">
                  <c:v>first 6 months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</c:strCache>
            </c:strRef>
          </c:cat>
          <c:val>
            <c:numRef>
              <c:f>Sheet2!$D$12:$H$12</c:f>
              <c:numCache>
                <c:formatCode>[$RMB]\ 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"/>
          <c:order val="5"/>
          <c:tx>
            <c:strRef>
              <c:f>Sheet2!$C$13</c:f>
              <c:strCache>
                <c:ptCount val="1"/>
                <c:pt idx="0">
                  <c:v>Other</c:v>
                </c:pt>
              </c:strCache>
            </c:strRef>
          </c:tx>
          <c:cat>
            <c:strRef>
              <c:f>Sheet2!$D$6:$H$6</c:f>
              <c:strCache>
                <c:ptCount val="5"/>
                <c:pt idx="0">
                  <c:v>first 6 months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</c:strCache>
            </c:strRef>
          </c:cat>
          <c:val>
            <c:numRef>
              <c:f>Sheet2!$D$13:$H$13</c:f>
              <c:numCache>
                <c:formatCode>[$RMB]\ 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overlap val="100"/>
        <c:axId val="65121664"/>
        <c:axId val="72614656"/>
      </c:barChart>
      <c:lineChart>
        <c:grouping val="standard"/>
        <c:ser>
          <c:idx val="0"/>
          <c:order val="0"/>
          <c:tx>
            <c:strRef>
              <c:f>Sheet2!$C$7</c:f>
              <c:strCache>
                <c:ptCount val="1"/>
                <c:pt idx="0">
                  <c:v>Incremental sales</c:v>
                </c:pt>
              </c:strCache>
            </c:strRef>
          </c:tx>
          <c:marker>
            <c:symbol val="none"/>
          </c:marker>
          <c:cat>
            <c:strRef>
              <c:f>Sheet2!$D$6:$H$6</c:f>
              <c:strCache>
                <c:ptCount val="5"/>
                <c:pt idx="0">
                  <c:v>first 6 months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</c:strCache>
            </c:strRef>
          </c:cat>
          <c:val>
            <c:numRef>
              <c:f>Sheet2!$D$7:$H$7</c:f>
              <c:numCache>
                <c:formatCode>[$RMB]\ #,##0</c:formatCode>
                <c:ptCount val="5"/>
                <c:pt idx="0">
                  <c:v>0</c:v>
                </c:pt>
                <c:pt idx="1">
                  <c:v>4225000</c:v>
                </c:pt>
                <c:pt idx="2">
                  <c:v>8968500.0000000075</c:v>
                </c:pt>
                <c:pt idx="3">
                  <c:v>13479825.000000015</c:v>
                </c:pt>
                <c:pt idx="4">
                  <c:v>24065523.425000012</c:v>
                </c:pt>
              </c:numCache>
            </c:numRef>
          </c:val>
        </c:ser>
        <c:ser>
          <c:idx val="1"/>
          <c:order val="1"/>
          <c:tx>
            <c:strRef>
              <c:f>Sheet2!$C$8</c:f>
              <c:strCache>
                <c:ptCount val="1"/>
                <c:pt idx="0">
                  <c:v>Net margin</c:v>
                </c:pt>
              </c:strCache>
            </c:strRef>
          </c:tx>
          <c:marker>
            <c:symbol val="none"/>
          </c:marker>
          <c:cat>
            <c:strRef>
              <c:f>Sheet2!$D$6:$H$6</c:f>
              <c:strCache>
                <c:ptCount val="5"/>
                <c:pt idx="0">
                  <c:v>first 6 months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</c:strCache>
            </c:strRef>
          </c:cat>
          <c:val>
            <c:numRef>
              <c:f>Sheet2!$D$8:$H$8</c:f>
              <c:numCache>
                <c:formatCode>[$RMB]\ #,##0</c:formatCode>
                <c:ptCount val="5"/>
                <c:pt idx="0">
                  <c:v>0</c:v>
                </c:pt>
                <c:pt idx="1">
                  <c:v>984021.35</c:v>
                </c:pt>
                <c:pt idx="2">
                  <c:v>3107384.7500000033</c:v>
                </c:pt>
                <c:pt idx="3">
                  <c:v>4957273.836400006</c:v>
                </c:pt>
                <c:pt idx="4">
                  <c:v>9453395.8492428511</c:v>
                </c:pt>
              </c:numCache>
            </c:numRef>
          </c:val>
        </c:ser>
        <c:marker val="1"/>
        <c:axId val="65121664"/>
        <c:axId val="72614656"/>
      </c:lineChart>
      <c:catAx>
        <c:axId val="65121664"/>
        <c:scaling>
          <c:orientation val="minMax"/>
        </c:scaling>
        <c:axPos val="b"/>
        <c:numFmt formatCode="General" sourceLinked="1"/>
        <c:tickLblPos val="nextTo"/>
        <c:crossAx val="72614656"/>
        <c:crosses val="autoZero"/>
        <c:auto val="1"/>
        <c:lblAlgn val="ctr"/>
        <c:lblOffset val="100"/>
      </c:catAx>
      <c:valAx>
        <c:axId val="72614656"/>
        <c:scaling>
          <c:orientation val="minMax"/>
        </c:scaling>
        <c:axPos val="l"/>
        <c:majorGridlines/>
        <c:numFmt formatCode="[$RMB]\ #,##0" sourceLinked="1"/>
        <c:tickLblPos val="nextTo"/>
        <c:crossAx val="6512166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17</xdr:row>
      <xdr:rowOff>47625</xdr:rowOff>
    </xdr:from>
    <xdr:to>
      <xdr:col>9</xdr:col>
      <xdr:colOff>247650</xdr:colOff>
      <xdr:row>61</xdr:row>
      <xdr:rowOff>9525</xdr:rowOff>
    </xdr:to>
    <xdr:graphicFrame macro="">
      <xdr:nvGraphicFramePr>
        <xdr:cNvPr id="5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14</xdr:row>
      <xdr:rowOff>133350</xdr:rowOff>
    </xdr:from>
    <xdr:to>
      <xdr:col>31</xdr:col>
      <xdr:colOff>0</xdr:colOff>
      <xdr:row>42</xdr:row>
      <xdr:rowOff>133350</xdr:rowOff>
    </xdr:to>
    <xdr:graphicFrame macro="">
      <xdr:nvGraphicFramePr>
        <xdr:cNvPr id="51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://www.conduitltd.com/ultimate-business-case-template" TargetMode="External" Type="http://schemas.openxmlformats.org/officeDocument/2006/relationships/hyperlink"/>
<Relationship Id="rId2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rgb="FF000090"/>
  </sheetPr>
  <dimension ref="B9:K43"/>
  <sheetViews>
    <sheetView showGridLines="0" showRowColHeaders="0" workbookViewId="0">
      <selection activeCell="G3" sqref="G3"/>
    </sheetView>
  </sheetViews>
  <sheetFormatPr defaultColWidth="10.77734375" defaultRowHeight="15"/>
  <cols>
    <col min="1" max="9" width="10.77734375" style="29"/>
    <col min="10" max="10" width="12.77734375" style="29" customWidth="1"/>
    <col min="11" max="16384" width="10.77734375" style="29"/>
  </cols>
  <sheetData>
    <row r="9" spans="2:2">
      <c r="B9" s="28" t="s">
        <v>61</v>
      </c>
    </row>
    <row r="11" spans="2:2" ht="15.6">
      <c r="B11" s="28" t="s">
        <v>68</v>
      </c>
    </row>
    <row r="13" spans="2:2" ht="15.6">
      <c r="B13" s="29" t="s">
        <v>95</v>
      </c>
    </row>
    <row r="14" spans="2:2">
      <c r="B14" s="29" t="s">
        <v>96</v>
      </c>
    </row>
    <row r="16" spans="2:2">
      <c r="B16" s="29" t="s">
        <v>62</v>
      </c>
    </row>
    <row r="18" spans="2:11">
      <c r="B18" s="29" t="s">
        <v>86</v>
      </c>
    </row>
    <row r="20" spans="2:11">
      <c r="B20" s="29" t="s">
        <v>69</v>
      </c>
    </row>
    <row r="22" spans="2:11">
      <c r="C22" s="150"/>
    </row>
    <row r="23" spans="2:11">
      <c r="C23" s="150"/>
    </row>
    <row r="24" spans="2:11">
      <c r="C24" s="151"/>
    </row>
    <row r="26" spans="2:11">
      <c r="B26" s="29" t="s">
        <v>148</v>
      </c>
    </row>
    <row r="28" spans="2:11" ht="15.6">
      <c r="B28" s="29" t="s">
        <v>150</v>
      </c>
      <c r="K28" s="152" t="s">
        <v>149</v>
      </c>
    </row>
    <row r="30" spans="2:11">
      <c r="B30" s="29" t="s">
        <v>63</v>
      </c>
    </row>
    <row r="32" spans="2:11">
      <c r="B32" s="29" t="s">
        <v>64</v>
      </c>
    </row>
    <row r="35" spans="2:3" ht="15.6">
      <c r="B35" s="30" t="s">
        <v>65</v>
      </c>
    </row>
    <row r="37" spans="2:3">
      <c r="C37" s="29" t="s">
        <v>66</v>
      </c>
    </row>
    <row r="39" spans="2:3">
      <c r="C39" s="29" t="s">
        <v>74</v>
      </c>
    </row>
    <row r="41" spans="2:3">
      <c r="C41" s="29" t="s">
        <v>67</v>
      </c>
    </row>
    <row r="43" spans="2:3">
      <c r="C43" s="29" t="s">
        <v>73</v>
      </c>
    </row>
  </sheetData>
  <sheetProtection selectLockedCells="1" selectUnlockedCells="1"/>
  <hyperlinks>
    <hyperlink ref="K28" r:id="rId1" display=" our free business case template."/>
  </hyperlinks>
  <pageMargins left="0.75" right="0.75" top="1" bottom="1" header="0.5" footer="0.5"/>
  <pageSetup paperSize="9"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rgb="FF660066"/>
    <pageSetUpPr fitToPage="1"/>
  </sheetPr>
  <dimension ref="B4:P45"/>
  <sheetViews>
    <sheetView showGridLines="0" showRowColHeaders="0" workbookViewId="0">
      <pane ySplit="6" topLeftCell="A7" activePane="bottomLeft" state="frozen"/>
      <selection pane="bottomLeft" activeCell="B6" sqref="B6:G6"/>
    </sheetView>
  </sheetViews>
  <sheetFormatPr defaultColWidth="8.77734375" defaultRowHeight="24" customHeight="1"/>
  <cols>
    <col min="1" max="5" width="8.77734375" style="20"/>
    <col min="6" max="6" width="7.44140625" style="20" customWidth="1"/>
    <col min="7" max="7" width="9" style="20" customWidth="1"/>
    <col min="8" max="8" width="5.33203125" style="20" customWidth="1"/>
    <col min="9" max="9" width="10.109375" style="20" customWidth="1"/>
    <col min="10" max="16384" width="8.77734375" style="20"/>
  </cols>
  <sheetData>
    <row r="4" spans="2:2" ht="24" customHeight="1">
      <c r="B4" s="19"/>
    </row>
    <row r="5" spans="2:2" ht="24" customHeight="1">
      <c r="B5" s="21" t="s">
        <v>43</v>
      </c>
    </row>
    <row r="6" spans="2:2" ht="24" customHeight="1">
      <c r="B6" s="19"/>
    </row>
    <row r="7" spans="2:2" ht="24" customHeight="1">
      <c r="B7" s="19"/>
    </row>
    <row r="8" spans="2:2" ht="24" customHeight="1">
      <c r="B8" s="20" t="s">
        <v>44</v>
      </c>
    </row>
    <row r="9" spans="2:2" ht="24" customHeight="1">
      <c r="B9" s="20" t="s">
        <v>85</v>
      </c>
    </row>
    <row r="10" spans="2:2" ht="24" customHeight="1">
      <c r="B10" s="20" t="s">
        <v>97</v>
      </c>
    </row>
    <row r="11" spans="2:2" ht="24" customHeight="1">
      <c r="B11" s="20" t="s">
        <v>98</v>
      </c>
    </row>
    <row r="13" spans="2:2" ht="24" customHeight="1">
      <c r="B13" s="20" t="s">
        <v>50</v>
      </c>
    </row>
    <row r="14" spans="2:2" ht="24" customHeight="1">
      <c r="B14" s="20" t="s">
        <v>51</v>
      </c>
    </row>
    <row r="16" spans="2:2" ht="24" customHeight="1">
      <c r="B16" s="20" t="s">
        <v>151</v>
      </c>
    </row>
    <row r="17" spans="2:16" ht="24" customHeight="1">
      <c r="B17" s="20" t="s">
        <v>152</v>
      </c>
    </row>
    <row r="19" spans="2:16" ht="24" customHeight="1">
      <c r="B19" s="20" t="s">
        <v>76</v>
      </c>
    </row>
    <row r="21" spans="2:16" ht="24" customHeight="1">
      <c r="B21" s="20" t="s">
        <v>45</v>
      </c>
    </row>
    <row r="22" spans="2:16" ht="24" customHeight="1">
      <c r="B22" s="22" t="s">
        <v>30</v>
      </c>
      <c r="C22" s="22"/>
      <c r="J22" s="22" t="s">
        <v>154</v>
      </c>
      <c r="O22" s="22"/>
      <c r="P22" s="20" t="s">
        <v>159</v>
      </c>
    </row>
    <row r="23" spans="2:16" ht="24" customHeight="1">
      <c r="B23" s="22" t="s">
        <v>99</v>
      </c>
      <c r="C23" s="22"/>
      <c r="J23" s="22" t="s">
        <v>155</v>
      </c>
      <c r="O23" s="22"/>
      <c r="P23" s="20" t="s">
        <v>160</v>
      </c>
    </row>
    <row r="24" spans="2:16" ht="24" customHeight="1">
      <c r="B24" s="22" t="s">
        <v>46</v>
      </c>
      <c r="C24" s="22"/>
      <c r="J24" s="22" t="s">
        <v>156</v>
      </c>
    </row>
    <row r="25" spans="2:16" ht="24" customHeight="1">
      <c r="B25" s="22" t="s">
        <v>47</v>
      </c>
      <c r="C25" s="22"/>
      <c r="J25" s="22" t="s">
        <v>157</v>
      </c>
      <c r="O25" s="22"/>
    </row>
    <row r="26" spans="2:16" ht="24" customHeight="1">
      <c r="B26" s="22" t="s">
        <v>48</v>
      </c>
      <c r="C26" s="22"/>
      <c r="J26" s="22" t="s">
        <v>158</v>
      </c>
      <c r="M26" s="22"/>
      <c r="O26" s="22"/>
    </row>
    <row r="27" spans="2:16" ht="24" customHeight="1">
      <c r="B27" s="22" t="s">
        <v>49</v>
      </c>
      <c r="C27" s="22"/>
      <c r="M27" s="22"/>
      <c r="O27" s="22"/>
    </row>
    <row r="28" spans="2:16" ht="24" customHeight="1">
      <c r="B28" s="20" t="s">
        <v>153</v>
      </c>
      <c r="C28" s="22"/>
      <c r="J28" s="22"/>
      <c r="M28" s="22"/>
      <c r="O28" s="22"/>
    </row>
    <row r="30" spans="2:16" ht="24" customHeight="1">
      <c r="B30" s="23" t="s">
        <v>52</v>
      </c>
    </row>
    <row r="31" spans="2:16" ht="24" customHeight="1">
      <c r="B31" s="24" t="s">
        <v>25</v>
      </c>
      <c r="G31" s="25" t="s">
        <v>24</v>
      </c>
    </row>
    <row r="32" spans="2:16" ht="24" customHeight="1">
      <c r="B32" s="26" t="s">
        <v>23</v>
      </c>
      <c r="G32" s="20" t="s">
        <v>53</v>
      </c>
    </row>
    <row r="33" spans="2:12" ht="24" customHeight="1">
      <c r="B33" s="26" t="s">
        <v>1</v>
      </c>
      <c r="G33" s="20" t="s">
        <v>162</v>
      </c>
    </row>
    <row r="34" spans="2:12" ht="24" customHeight="1">
      <c r="B34" s="26" t="s">
        <v>16</v>
      </c>
      <c r="G34" s="20" t="s">
        <v>54</v>
      </c>
    </row>
    <row r="35" spans="2:12" ht="24" customHeight="1">
      <c r="B35" s="26" t="s">
        <v>0</v>
      </c>
      <c r="G35" s="20" t="s">
        <v>55</v>
      </c>
    </row>
    <row r="36" spans="2:12" ht="24" customHeight="1">
      <c r="B36" s="26" t="s">
        <v>2</v>
      </c>
      <c r="G36" s="20" t="s">
        <v>22</v>
      </c>
    </row>
    <row r="37" spans="2:12" ht="24" customHeight="1">
      <c r="B37" s="26" t="s">
        <v>161</v>
      </c>
      <c r="G37" s="20" t="s">
        <v>56</v>
      </c>
      <c r="L37" s="22"/>
    </row>
    <row r="38" spans="2:12" ht="24" customHeight="1">
      <c r="B38" s="26" t="s">
        <v>58</v>
      </c>
      <c r="G38" s="20" t="s">
        <v>59</v>
      </c>
      <c r="L38" s="22"/>
    </row>
    <row r="39" spans="2:12" ht="24" customHeight="1">
      <c r="B39" s="26"/>
      <c r="L39" s="22"/>
    </row>
    <row r="40" spans="2:12" ht="24" customHeight="1">
      <c r="B40" s="26" t="s">
        <v>21</v>
      </c>
      <c r="G40" s="20" t="s">
        <v>57</v>
      </c>
      <c r="L40" s="22"/>
    </row>
    <row r="41" spans="2:12" ht="24" customHeight="1">
      <c r="B41" s="26" t="s">
        <v>20</v>
      </c>
      <c r="G41" s="20" t="s">
        <v>19</v>
      </c>
      <c r="L41" s="22"/>
    </row>
    <row r="42" spans="2:12" ht="15.75" customHeight="1">
      <c r="B42" s="22"/>
      <c r="H42" s="22"/>
    </row>
    <row r="43" spans="2:12" ht="24" customHeight="1">
      <c r="B43" s="27" t="s">
        <v>60</v>
      </c>
      <c r="H43" s="22"/>
    </row>
    <row r="45" spans="2:12" ht="24" customHeight="1">
      <c r="B45" s="23" t="s">
        <v>91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Footer>&amp;L&amp;"Arial,Bold"&amp;8&amp;A&amp;R&amp;"Arial,Bold"&amp;8Quant Presky Maves, Confidential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rgb="FF800000"/>
    <pageSetUpPr fitToPage="1"/>
  </sheetPr>
  <dimension ref="A1:J51"/>
  <sheetViews>
    <sheetView workbookViewId="0">
      <selection activeCell="B3" sqref="B3"/>
    </sheetView>
  </sheetViews>
  <sheetFormatPr defaultColWidth="8.77734375" defaultRowHeight="30" customHeight="1"/>
  <cols>
    <col min="1" max="1" width="8.77734375" style="37"/>
    <col min="2" max="2" width="22" style="37" customWidth="1"/>
    <col min="3" max="3" width="71" style="37" customWidth="1"/>
    <col min="4" max="4" width="17.77734375" style="37" bestFit="1" customWidth="1"/>
    <col min="5" max="5" width="20.6640625" style="37" customWidth="1"/>
    <col min="6" max="6" width="18.77734375" style="37" bestFit="1" customWidth="1"/>
    <col min="7" max="7" width="18.44140625" style="37" bestFit="1" customWidth="1"/>
    <col min="8" max="8" width="18.44140625" style="37" customWidth="1"/>
    <col min="9" max="9" width="7.33203125" style="37" customWidth="1"/>
    <col min="10" max="16384" width="8.77734375" style="37"/>
  </cols>
  <sheetData>
    <row r="1" spans="2:10" ht="30" customHeight="1">
      <c r="B1" s="23" t="s">
        <v>43</v>
      </c>
      <c r="C1" s="38"/>
      <c r="D1" s="38"/>
      <c r="E1" s="39"/>
      <c r="F1" s="39"/>
      <c r="G1" s="39"/>
      <c r="H1" s="39"/>
    </row>
    <row r="2" spans="2:10" ht="30" customHeight="1">
      <c r="B2" s="31"/>
      <c r="C2" s="38"/>
      <c r="D2" s="38"/>
      <c r="E2" s="40"/>
      <c r="F2" s="40"/>
      <c r="G2" s="40"/>
      <c r="H2" s="40"/>
      <c r="J2" s="41"/>
    </row>
    <row r="3" spans="2:10" ht="30" customHeight="1" thickBot="1">
      <c r="B3" s="42"/>
      <c r="C3" s="43"/>
      <c r="D3" s="43"/>
      <c r="E3" s="44"/>
      <c r="F3" s="45"/>
      <c r="G3" s="45"/>
      <c r="H3" s="46"/>
    </row>
    <row r="4" spans="2:10" ht="30" customHeight="1">
      <c r="B4" s="47"/>
      <c r="C4" s="48"/>
      <c r="D4" s="49"/>
      <c r="E4" s="173" t="s">
        <v>4</v>
      </c>
      <c r="F4" s="173"/>
      <c r="G4" s="173"/>
      <c r="H4" s="174"/>
    </row>
    <row r="5" spans="2:10" ht="30" customHeight="1">
      <c r="B5" s="50" t="s">
        <v>15</v>
      </c>
      <c r="C5" s="51" t="s">
        <v>14</v>
      </c>
      <c r="D5" s="52" t="s">
        <v>13</v>
      </c>
      <c r="E5" s="53" t="s">
        <v>77</v>
      </c>
      <c r="F5" s="54" t="s">
        <v>70</v>
      </c>
      <c r="G5" s="54" t="s">
        <v>71</v>
      </c>
      <c r="H5" s="55" t="s">
        <v>72</v>
      </c>
      <c r="J5" s="37" t="s">
        <v>163</v>
      </c>
    </row>
    <row r="6" spans="2:10" ht="30" customHeight="1">
      <c r="B6" s="56" t="s">
        <v>12</v>
      </c>
      <c r="C6" s="57" t="s">
        <v>145</v>
      </c>
      <c r="D6" s="58"/>
      <c r="E6" s="59">
        <v>500000</v>
      </c>
      <c r="F6" s="59">
        <f>(E6*E14)+F7</f>
        <v>475000</v>
      </c>
      <c r="G6" s="59">
        <f>F6+F7*G14</f>
        <v>550000</v>
      </c>
      <c r="H6" s="60">
        <f>G6+G7*H14</f>
        <v>625000</v>
      </c>
    </row>
    <row r="7" spans="2:10" ht="30" customHeight="1">
      <c r="B7" s="56" t="s">
        <v>11</v>
      </c>
      <c r="C7" s="57" t="s">
        <v>80</v>
      </c>
      <c r="D7" s="58"/>
      <c r="E7" s="61">
        <v>75000</v>
      </c>
      <c r="F7" s="61">
        <v>100000</v>
      </c>
      <c r="G7" s="61">
        <v>100000</v>
      </c>
      <c r="H7" s="62">
        <v>100000</v>
      </c>
      <c r="J7" s="63"/>
    </row>
    <row r="8" spans="2:10" ht="30" customHeight="1">
      <c r="B8" s="56">
        <v>2</v>
      </c>
      <c r="C8" s="57" t="s">
        <v>104</v>
      </c>
      <c r="D8" s="58"/>
      <c r="E8" s="64">
        <v>0.6</v>
      </c>
      <c r="F8" s="64">
        <v>0.6</v>
      </c>
      <c r="G8" s="64">
        <v>0.6</v>
      </c>
      <c r="H8" s="65">
        <v>0.6</v>
      </c>
      <c r="J8" s="63"/>
    </row>
    <row r="9" spans="2:10" ht="30" customHeight="1">
      <c r="B9" s="56" t="s">
        <v>87</v>
      </c>
      <c r="C9" s="66" t="s">
        <v>100</v>
      </c>
      <c r="D9" s="67">
        <v>0.01</v>
      </c>
      <c r="E9" s="110">
        <v>25</v>
      </c>
      <c r="F9" s="110">
        <f t="shared" ref="F9:H10" si="0">E9*(1+$D9)</f>
        <v>25.25</v>
      </c>
      <c r="G9" s="110">
        <f t="shared" si="0"/>
        <v>25.502500000000001</v>
      </c>
      <c r="H9" s="111">
        <f>G9*(1+$D9)</f>
        <v>25.757525000000001</v>
      </c>
      <c r="J9" s="63" t="s">
        <v>164</v>
      </c>
    </row>
    <row r="10" spans="2:10" ht="30" customHeight="1">
      <c r="B10" s="56" t="s">
        <v>88</v>
      </c>
      <c r="C10" s="66" t="s">
        <v>101</v>
      </c>
      <c r="D10" s="67">
        <v>-0.02</v>
      </c>
      <c r="E10" s="110">
        <v>25</v>
      </c>
      <c r="F10" s="110">
        <f t="shared" si="0"/>
        <v>24.5</v>
      </c>
      <c r="G10" s="110">
        <f t="shared" si="0"/>
        <v>24.009999999999998</v>
      </c>
      <c r="H10" s="111">
        <f t="shared" si="0"/>
        <v>23.529799999999998</v>
      </c>
      <c r="J10" s="63" t="s">
        <v>164</v>
      </c>
    </row>
    <row r="11" spans="2:10" ht="30" customHeight="1">
      <c r="B11" s="56" t="s">
        <v>113</v>
      </c>
      <c r="C11" s="66" t="s">
        <v>102</v>
      </c>
      <c r="D11" s="68"/>
      <c r="E11" s="69">
        <v>4.2</v>
      </c>
      <c r="F11" s="69">
        <v>4.4000000000000004</v>
      </c>
      <c r="G11" s="69">
        <v>4.5999999999999996</v>
      </c>
      <c r="H11" s="70">
        <v>5</v>
      </c>
      <c r="J11" s="63"/>
    </row>
    <row r="12" spans="2:10" ht="30" customHeight="1">
      <c r="B12" s="56" t="s">
        <v>114</v>
      </c>
      <c r="C12" s="66" t="s">
        <v>103</v>
      </c>
      <c r="D12" s="68"/>
      <c r="E12" s="69">
        <v>4</v>
      </c>
      <c r="F12" s="69">
        <v>4</v>
      </c>
      <c r="G12" s="69">
        <v>4.0999999999999996</v>
      </c>
      <c r="H12" s="70">
        <v>4.0999999999999996</v>
      </c>
      <c r="J12" s="63"/>
    </row>
    <row r="13" spans="2:10" ht="30" customHeight="1">
      <c r="B13" s="56">
        <v>5</v>
      </c>
      <c r="C13" s="71" t="s">
        <v>75</v>
      </c>
      <c r="D13" s="67">
        <v>-0.02</v>
      </c>
      <c r="E13" s="112">
        <v>0.48</v>
      </c>
      <c r="F13" s="112">
        <f>E13*(1+$D$13)</f>
        <v>0.47039999999999998</v>
      </c>
      <c r="G13" s="112">
        <f>F13*(1+$D$13)</f>
        <v>0.46099199999999996</v>
      </c>
      <c r="H13" s="113">
        <f>G13*(1+$D$13)</f>
        <v>0.45177215999999992</v>
      </c>
      <c r="J13" s="63" t="s">
        <v>164</v>
      </c>
    </row>
    <row r="14" spans="2:10" ht="30" customHeight="1">
      <c r="B14" s="56">
        <v>6</v>
      </c>
      <c r="C14" s="57" t="s">
        <v>81</v>
      </c>
      <c r="D14" s="58"/>
      <c r="E14" s="64">
        <v>0.75</v>
      </c>
      <c r="F14" s="64">
        <v>0.75</v>
      </c>
      <c r="G14" s="64">
        <v>0.75</v>
      </c>
      <c r="H14" s="65">
        <v>0.75</v>
      </c>
      <c r="J14" s="63" t="s">
        <v>165</v>
      </c>
    </row>
    <row r="15" spans="2:10" ht="30" customHeight="1">
      <c r="B15" s="56" t="s">
        <v>10</v>
      </c>
      <c r="C15" s="57" t="s">
        <v>78</v>
      </c>
      <c r="D15" s="74"/>
      <c r="E15" s="72">
        <v>0.8</v>
      </c>
      <c r="F15" s="72">
        <v>0.8</v>
      </c>
      <c r="G15" s="72">
        <v>0.8</v>
      </c>
      <c r="H15" s="73">
        <v>0.8</v>
      </c>
      <c r="J15" s="63"/>
    </row>
    <row r="16" spans="2:10" ht="30" customHeight="1">
      <c r="B16" s="56" t="s">
        <v>9</v>
      </c>
      <c r="C16" s="57" t="s">
        <v>79</v>
      </c>
      <c r="D16" s="58"/>
      <c r="E16" s="61">
        <f>E15*E6</f>
        <v>400000</v>
      </c>
      <c r="F16" s="61">
        <f>F15*F6</f>
        <v>380000</v>
      </c>
      <c r="G16" s="61">
        <f>G15*G6</f>
        <v>440000</v>
      </c>
      <c r="H16" s="62">
        <f>H15*H6</f>
        <v>500000</v>
      </c>
    </row>
    <row r="17" spans="2:10" ht="30" customHeight="1">
      <c r="B17" s="56" t="s">
        <v>36</v>
      </c>
      <c r="C17" s="57" t="s">
        <v>125</v>
      </c>
      <c r="D17" s="58"/>
      <c r="E17" s="72">
        <v>0.73</v>
      </c>
      <c r="F17" s="72">
        <v>0.73</v>
      </c>
      <c r="G17" s="72">
        <v>0.73</v>
      </c>
      <c r="H17" s="73">
        <v>0.73</v>
      </c>
      <c r="J17" s="63" t="s">
        <v>166</v>
      </c>
    </row>
    <row r="18" spans="2:10" ht="30" customHeight="1">
      <c r="B18" s="56" t="s">
        <v>37</v>
      </c>
      <c r="C18" s="57" t="s">
        <v>126</v>
      </c>
      <c r="D18" s="58"/>
      <c r="E18" s="72">
        <v>0.25</v>
      </c>
      <c r="F18" s="72">
        <v>0.25</v>
      </c>
      <c r="G18" s="72">
        <v>0.25</v>
      </c>
      <c r="H18" s="73">
        <v>0.25</v>
      </c>
      <c r="J18" s="63" t="s">
        <v>166</v>
      </c>
    </row>
    <row r="19" spans="2:10" ht="30" customHeight="1">
      <c r="B19" s="56" t="s">
        <v>38</v>
      </c>
      <c r="C19" s="57" t="s">
        <v>127</v>
      </c>
      <c r="D19" s="58"/>
      <c r="E19" s="72">
        <v>0.02</v>
      </c>
      <c r="F19" s="72">
        <v>0.02</v>
      </c>
      <c r="G19" s="72">
        <v>0.02</v>
      </c>
      <c r="H19" s="73">
        <v>0.02</v>
      </c>
      <c r="J19" s="63" t="s">
        <v>166</v>
      </c>
    </row>
    <row r="20" spans="2:10" ht="30" customHeight="1">
      <c r="B20" s="56" t="s">
        <v>115</v>
      </c>
      <c r="C20" s="57" t="s">
        <v>118</v>
      </c>
      <c r="D20" s="58"/>
      <c r="E20" s="75">
        <v>6</v>
      </c>
      <c r="F20" s="75">
        <v>6</v>
      </c>
      <c r="G20" s="75">
        <v>6</v>
      </c>
      <c r="H20" s="76">
        <v>6</v>
      </c>
      <c r="J20" s="63" t="s">
        <v>168</v>
      </c>
    </row>
    <row r="21" spans="2:10" ht="30" customHeight="1">
      <c r="B21" s="56" t="s">
        <v>116</v>
      </c>
      <c r="C21" s="57" t="s">
        <v>119</v>
      </c>
      <c r="D21" s="58"/>
      <c r="E21" s="75">
        <v>12</v>
      </c>
      <c r="F21" s="75">
        <v>12</v>
      </c>
      <c r="G21" s="75">
        <v>12</v>
      </c>
      <c r="H21" s="76">
        <v>12</v>
      </c>
      <c r="J21" s="63" t="s">
        <v>169</v>
      </c>
    </row>
    <row r="22" spans="2:10" ht="30" customHeight="1">
      <c r="B22" s="56" t="s">
        <v>117</v>
      </c>
      <c r="C22" s="57" t="s">
        <v>120</v>
      </c>
      <c r="D22" s="58"/>
      <c r="E22" s="75">
        <v>2</v>
      </c>
      <c r="F22" s="75">
        <v>2</v>
      </c>
      <c r="G22" s="75">
        <v>2</v>
      </c>
      <c r="H22" s="76">
        <v>2</v>
      </c>
      <c r="J22" s="63" t="s">
        <v>167</v>
      </c>
    </row>
    <row r="23" spans="2:10" ht="30" customHeight="1">
      <c r="B23" s="77"/>
      <c r="C23" s="78"/>
      <c r="D23" s="79"/>
      <c r="E23" s="80"/>
      <c r="F23" s="80"/>
      <c r="G23" s="80"/>
      <c r="H23" s="81"/>
    </row>
    <row r="24" spans="2:10" ht="43.5" customHeight="1">
      <c r="B24" s="56"/>
      <c r="C24" s="82"/>
      <c r="D24" s="42"/>
      <c r="E24" s="83" t="s">
        <v>83</v>
      </c>
      <c r="F24" s="84"/>
      <c r="G24" s="84"/>
      <c r="H24" s="85"/>
    </row>
    <row r="25" spans="2:10" ht="30" customHeight="1">
      <c r="B25" s="56">
        <v>10</v>
      </c>
      <c r="C25" s="82" t="s">
        <v>105</v>
      </c>
      <c r="D25" s="42"/>
      <c r="E25" s="154">
        <v>-5</v>
      </c>
      <c r="F25" s="155"/>
      <c r="G25" s="155"/>
      <c r="H25" s="156"/>
      <c r="J25" s="37" t="s">
        <v>170</v>
      </c>
    </row>
    <row r="26" spans="2:10" ht="30" customHeight="1">
      <c r="B26" s="56">
        <v>11</v>
      </c>
      <c r="C26" s="82" t="s">
        <v>84</v>
      </c>
      <c r="D26" s="42"/>
      <c r="E26" s="157">
        <v>-20000</v>
      </c>
      <c r="F26" s="155"/>
      <c r="G26" s="155"/>
      <c r="H26" s="156"/>
      <c r="J26" s="37" t="s">
        <v>171</v>
      </c>
    </row>
    <row r="27" spans="2:10" ht="30" customHeight="1">
      <c r="B27" s="56">
        <v>12</v>
      </c>
      <c r="C27" s="82" t="s">
        <v>108</v>
      </c>
      <c r="D27" s="42"/>
      <c r="E27" s="153">
        <v>-0.5</v>
      </c>
      <c r="F27" s="155"/>
      <c r="G27" s="158"/>
      <c r="H27" s="159"/>
    </row>
    <row r="28" spans="2:10" ht="30" customHeight="1">
      <c r="B28" s="56">
        <v>13</v>
      </c>
      <c r="C28" s="82" t="s">
        <v>8</v>
      </c>
      <c r="D28" s="42"/>
      <c r="E28" s="153">
        <v>-1</v>
      </c>
      <c r="F28" s="155"/>
      <c r="G28" s="158"/>
      <c r="H28" s="159"/>
    </row>
    <row r="29" spans="2:10" ht="30" customHeight="1">
      <c r="B29" s="56">
        <v>14</v>
      </c>
      <c r="C29" s="82" t="s">
        <v>35</v>
      </c>
      <c r="D29" s="42"/>
      <c r="E29" s="153">
        <v>-0.03</v>
      </c>
      <c r="F29" s="155"/>
      <c r="G29" s="158"/>
      <c r="H29" s="159"/>
    </row>
    <row r="30" spans="2:10" ht="30" customHeight="1">
      <c r="B30" s="56">
        <v>15</v>
      </c>
      <c r="C30" s="82" t="s">
        <v>39</v>
      </c>
      <c r="D30" s="42"/>
      <c r="E30" s="153">
        <v>-0.01</v>
      </c>
      <c r="F30" s="155"/>
      <c r="G30" s="158"/>
      <c r="H30" s="159"/>
    </row>
    <row r="31" spans="2:10" ht="30" customHeight="1">
      <c r="B31" s="56">
        <v>16</v>
      </c>
      <c r="C31" s="82" t="s">
        <v>106</v>
      </c>
      <c r="D31" s="42"/>
      <c r="E31" s="153">
        <v>-2.75</v>
      </c>
      <c r="F31" s="155"/>
      <c r="G31" s="158"/>
      <c r="H31" s="159"/>
      <c r="J31" s="37" t="s">
        <v>172</v>
      </c>
    </row>
    <row r="32" spans="2:10" ht="30" customHeight="1">
      <c r="B32" s="56">
        <v>17</v>
      </c>
      <c r="C32" s="57" t="s">
        <v>107</v>
      </c>
      <c r="D32" s="42"/>
      <c r="E32" s="160">
        <v>-200000</v>
      </c>
      <c r="F32" s="161">
        <v>-250000</v>
      </c>
      <c r="G32" s="162">
        <v>-300000</v>
      </c>
      <c r="H32" s="163">
        <v>-400000</v>
      </c>
      <c r="J32" s="37" t="s">
        <v>173</v>
      </c>
    </row>
    <row r="33" spans="1:10" ht="30" customHeight="1">
      <c r="B33" s="56">
        <v>18</v>
      </c>
      <c r="C33" s="57" t="s">
        <v>109</v>
      </c>
      <c r="D33" s="42"/>
      <c r="E33" s="164">
        <v>4</v>
      </c>
      <c r="F33" s="165">
        <v>5</v>
      </c>
      <c r="G33" s="166">
        <v>6</v>
      </c>
      <c r="H33" s="167">
        <v>8</v>
      </c>
    </row>
    <row r="34" spans="1:10" ht="30" customHeight="1">
      <c r="B34" s="56">
        <v>19</v>
      </c>
      <c r="C34" s="57" t="s">
        <v>17</v>
      </c>
      <c r="D34" s="42"/>
      <c r="E34" s="91">
        <v>0.35</v>
      </c>
      <c r="F34" s="84"/>
      <c r="G34" s="86"/>
      <c r="H34" s="87"/>
      <c r="J34" s="37" t="s">
        <v>174</v>
      </c>
    </row>
    <row r="35" spans="1:10" ht="30" customHeight="1">
      <c r="B35" s="56">
        <v>20</v>
      </c>
      <c r="C35" s="57" t="s">
        <v>3</v>
      </c>
      <c r="D35" s="42"/>
      <c r="E35" s="160">
        <v>-100000</v>
      </c>
      <c r="F35" s="84"/>
      <c r="G35" s="86"/>
      <c r="H35" s="87"/>
      <c r="J35" s="63" t="s">
        <v>175</v>
      </c>
    </row>
    <row r="36" spans="1:10" ht="30" customHeight="1">
      <c r="B36" s="56">
        <v>21</v>
      </c>
      <c r="C36" s="57" t="s">
        <v>89</v>
      </c>
      <c r="D36" s="67">
        <v>0.1</v>
      </c>
      <c r="E36" s="160">
        <v>-100000</v>
      </c>
      <c r="F36" s="160">
        <f t="shared" ref="F36:H37" si="1">E36*(1+$D36)</f>
        <v>-110000.00000000001</v>
      </c>
      <c r="G36" s="160">
        <f t="shared" si="1"/>
        <v>-121000.00000000003</v>
      </c>
      <c r="H36" s="160">
        <f t="shared" si="1"/>
        <v>-133100.00000000003</v>
      </c>
      <c r="J36" s="63" t="s">
        <v>164</v>
      </c>
    </row>
    <row r="37" spans="1:10" ht="30" customHeight="1">
      <c r="B37" s="56">
        <v>22</v>
      </c>
      <c r="C37" s="57" t="s">
        <v>90</v>
      </c>
      <c r="D37" s="67">
        <v>0.1</v>
      </c>
      <c r="E37" s="160">
        <v>-75000</v>
      </c>
      <c r="F37" s="160">
        <f>E37*(1+$D37)</f>
        <v>-82500</v>
      </c>
      <c r="G37" s="160">
        <f t="shared" si="1"/>
        <v>-90750.000000000015</v>
      </c>
      <c r="H37" s="160">
        <f t="shared" si="1"/>
        <v>-99825.000000000029</v>
      </c>
      <c r="J37" s="63" t="s">
        <v>164</v>
      </c>
    </row>
    <row r="38" spans="1:10" ht="30" customHeight="1">
      <c r="B38" s="56" t="s">
        <v>138</v>
      </c>
      <c r="C38" s="57" t="s">
        <v>135</v>
      </c>
      <c r="D38" s="42"/>
      <c r="E38" s="168">
        <v>2</v>
      </c>
      <c r="F38" s="169">
        <v>2.5</v>
      </c>
      <c r="G38" s="170">
        <v>4</v>
      </c>
      <c r="H38" s="171">
        <v>6</v>
      </c>
      <c r="J38" s="63"/>
    </row>
    <row r="39" spans="1:10" ht="30" customHeight="1">
      <c r="B39" s="56" t="s">
        <v>139</v>
      </c>
      <c r="C39" s="57" t="s">
        <v>136</v>
      </c>
      <c r="D39" s="42"/>
      <c r="E39" s="160">
        <v>-50000</v>
      </c>
      <c r="F39" s="160">
        <v>-50000</v>
      </c>
      <c r="G39" s="160">
        <v>-55000</v>
      </c>
      <c r="H39" s="172">
        <v>-55000</v>
      </c>
      <c r="J39" s="63" t="s">
        <v>176</v>
      </c>
    </row>
    <row r="40" spans="1:10" ht="30" customHeight="1">
      <c r="B40" s="56">
        <v>24</v>
      </c>
      <c r="C40" s="57" t="s">
        <v>137</v>
      </c>
      <c r="D40" s="42"/>
      <c r="E40" s="91">
        <v>0.1</v>
      </c>
      <c r="F40" s="88"/>
      <c r="G40" s="89"/>
      <c r="H40" s="90"/>
      <c r="J40" s="63" t="s">
        <v>177</v>
      </c>
    </row>
    <row r="41" spans="1:10" ht="30" customHeight="1">
      <c r="B41" s="77"/>
      <c r="C41" s="92"/>
      <c r="D41" s="93"/>
      <c r="E41" s="93"/>
      <c r="F41" s="94"/>
      <c r="G41" s="95"/>
      <c r="H41" s="96"/>
    </row>
    <row r="42" spans="1:10" ht="30" customHeight="1">
      <c r="B42" s="56"/>
      <c r="C42" s="82"/>
      <c r="D42" s="42"/>
      <c r="E42" s="97" t="s">
        <v>18</v>
      </c>
      <c r="F42" s="84"/>
      <c r="G42" s="86"/>
      <c r="H42" s="87"/>
    </row>
    <row r="43" spans="1:10" ht="30" customHeight="1" thickBot="1">
      <c r="B43" s="98">
        <v>23</v>
      </c>
      <c r="C43" s="99" t="s">
        <v>82</v>
      </c>
      <c r="D43" s="100"/>
      <c r="E43" s="101">
        <v>0.03</v>
      </c>
      <c r="F43" s="102"/>
      <c r="G43" s="103"/>
      <c r="H43" s="104"/>
    </row>
    <row r="44" spans="1:10" ht="30" customHeight="1">
      <c r="B44" s="105"/>
      <c r="C44" s="105"/>
      <c r="D44" s="105"/>
      <c r="E44" s="106"/>
      <c r="F44" s="107"/>
      <c r="G44" s="107"/>
      <c r="H44" s="107"/>
    </row>
    <row r="45" spans="1:10" ht="48.75" customHeight="1">
      <c r="B45" s="105"/>
      <c r="C45" s="105"/>
      <c r="E45" s="108" t="s">
        <v>7</v>
      </c>
      <c r="F45" s="105"/>
      <c r="G45" s="105"/>
      <c r="H45" s="105"/>
    </row>
    <row r="46" spans="1:10" ht="30" customHeight="1">
      <c r="A46" s="41"/>
      <c r="B46" s="41"/>
      <c r="C46" s="36"/>
    </row>
    <row r="47" spans="1:10" ht="30" customHeight="1">
      <c r="B47" s="63"/>
    </row>
    <row r="48" spans="1:10" ht="30" customHeight="1">
      <c r="B48" s="20"/>
    </row>
    <row r="49" spans="1:2" ht="30" customHeight="1">
      <c r="B49" s="20"/>
    </row>
    <row r="50" spans="1:2" ht="30" customHeight="1">
      <c r="A50" s="109"/>
      <c r="B50" s="63"/>
    </row>
    <row r="51" spans="1:2" ht="30" customHeight="1">
      <c r="A51" s="109"/>
      <c r="B51" s="63"/>
    </row>
  </sheetData>
  <sheetProtection insertColumns="0" insertRows="0" sort="0" autoFilter="0" pivotTables="0"/>
  <dataConsolidate/>
  <mergeCells count="1">
    <mergeCell ref="E4:H4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46" orientation="landscape" r:id="rId1"/>
  <headerFooter>
    <oddFooter>&amp;L&amp;"Trebuchet MS,Bold"&amp;9&amp;A&amp;R&amp;"Trebuchet MS,Bold"&amp;9Quant Presky Maves, Confidential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rgb="FF000090"/>
    <pageSetUpPr fitToPage="1"/>
  </sheetPr>
  <dimension ref="B8:S48"/>
  <sheetViews>
    <sheetView showGridLines="0" showRowColHeaders="0" tabSelected="1" workbookViewId="0">
      <selection activeCell="D6" sqref="D6"/>
    </sheetView>
  </sheetViews>
  <sheetFormatPr defaultColWidth="8.77734375" defaultRowHeight="15" outlineLevelRow="2"/>
  <cols>
    <col min="1" max="1" width="8.77734375" style="31"/>
    <col min="2" max="2" width="2.44140625" style="31" customWidth="1"/>
    <col min="3" max="3" width="48.33203125" style="31" customWidth="1"/>
    <col min="4" max="4" width="6.109375" style="31" customWidth="1"/>
    <col min="5" max="8" width="15.6640625" style="31" customWidth="1"/>
    <col min="9" max="9" width="1.33203125" style="31" customWidth="1"/>
    <col min="10" max="14" width="8.77734375" style="31"/>
    <col min="15" max="15" width="8.77734375" style="114"/>
    <col min="16" max="16" width="13.77734375" style="114" bestFit="1" customWidth="1"/>
    <col min="17" max="17" width="12.6640625" style="114" bestFit="1" customWidth="1"/>
    <col min="18" max="18" width="13.6640625" style="114" bestFit="1" customWidth="1"/>
    <col min="19" max="19" width="12.6640625" style="114" bestFit="1" customWidth="1"/>
    <col min="20" max="16384" width="8.77734375" style="31"/>
  </cols>
  <sheetData>
    <row r="8" spans="2:19" ht="15.6">
      <c r="B8" s="23" t="s">
        <v>43</v>
      </c>
    </row>
    <row r="9" spans="2:19" ht="15.6">
      <c r="B9" s="23"/>
    </row>
    <row r="10" spans="2:19">
      <c r="B10" s="31" t="s">
        <v>94</v>
      </c>
    </row>
    <row r="12" spans="2:19" ht="15.6" thickBot="1"/>
    <row r="13" spans="2:19" ht="25.05" customHeight="1">
      <c r="B13" s="32"/>
      <c r="C13" s="32"/>
      <c r="D13" s="32"/>
      <c r="E13" s="118" t="s">
        <v>77</v>
      </c>
      <c r="F13" s="119" t="s">
        <v>70</v>
      </c>
      <c r="G13" s="119" t="s">
        <v>71</v>
      </c>
      <c r="H13" s="120" t="s">
        <v>72</v>
      </c>
    </row>
    <row r="14" spans="2:19" s="32" customFormat="1">
      <c r="E14" s="121"/>
      <c r="F14" s="122"/>
      <c r="G14" s="122"/>
      <c r="H14" s="123"/>
      <c r="O14" s="115"/>
      <c r="P14" s="115" t="str">
        <f>E13</f>
        <v>Current year</v>
      </c>
      <c r="Q14" s="115" t="str">
        <f>F13</f>
        <v>Year 1</v>
      </c>
      <c r="R14" s="115" t="str">
        <f>G13</f>
        <v>Year 2</v>
      </c>
      <c r="S14" s="115" t="str">
        <f>H13</f>
        <v>Year 3</v>
      </c>
    </row>
    <row r="15" spans="2:19" s="32" customFormat="1" ht="15.6">
      <c r="B15" s="33" t="s">
        <v>92</v>
      </c>
      <c r="E15" s="124">
        <f>(Inputs!E6*Inputs!E9*Inputs!E11)+(Inputs!E7*Inputs!E10*Inputs!E12)</f>
        <v>60000000</v>
      </c>
      <c r="F15" s="125">
        <f>(Inputs!F6*Inputs!F9*Inputs!F11)+(Inputs!F7*Inputs!F10*Inputs!F12)</f>
        <v>62572500.000000007</v>
      </c>
      <c r="G15" s="125">
        <f>(Inputs!G6*Inputs!G9*Inputs!G11)+(Inputs!G7*Inputs!G10*Inputs!G12)</f>
        <v>74365425</v>
      </c>
      <c r="H15" s="126">
        <f>(Inputs!H6*Inputs!H9*Inputs!H11)+(Inputs!H7*Inputs!H10*Inputs!H12)</f>
        <v>90139483.625</v>
      </c>
      <c r="O15" s="115" t="s">
        <v>147</v>
      </c>
      <c r="P15" s="116">
        <f>E19</f>
        <v>4225000</v>
      </c>
      <c r="Q15" s="116">
        <f>F19</f>
        <v>8968500.0000000075</v>
      </c>
      <c r="R15" s="116">
        <f>G19</f>
        <v>13479825.000000015</v>
      </c>
      <c r="S15" s="116">
        <f>H19</f>
        <v>24065523.425000012</v>
      </c>
    </row>
    <row r="16" spans="2:19" s="32" customFormat="1" ht="15.6">
      <c r="B16" s="33"/>
      <c r="C16" s="117" t="s">
        <v>93</v>
      </c>
      <c r="E16" s="127"/>
      <c r="F16" s="128">
        <f>F15/E15-1</f>
        <v>4.2875000000000218E-2</v>
      </c>
      <c r="G16" s="128">
        <f>G15/F15-1</f>
        <v>0.18846817691477868</v>
      </c>
      <c r="H16" s="129">
        <f>H15/G15-1</f>
        <v>0.21211549083461834</v>
      </c>
      <c r="O16" s="115" t="s">
        <v>146</v>
      </c>
      <c r="P16" s="116">
        <f>E39</f>
        <v>984021.35</v>
      </c>
      <c r="Q16" s="116">
        <f>F39</f>
        <v>3107384.7500000033</v>
      </c>
      <c r="R16" s="116">
        <f>G39</f>
        <v>4957273.836400006</v>
      </c>
      <c r="S16" s="116">
        <f>H39</f>
        <v>9453395.8492428511</v>
      </c>
    </row>
    <row r="17" spans="2:19" s="32" customFormat="1" ht="15.6">
      <c r="B17" s="33"/>
      <c r="E17" s="127"/>
      <c r="F17" s="128"/>
      <c r="G17" s="128"/>
      <c r="H17" s="129"/>
      <c r="O17" s="115" t="s">
        <v>42</v>
      </c>
      <c r="P17" s="116">
        <f>E25</f>
        <v>-1043978.65</v>
      </c>
      <c r="Q17" s="116">
        <f>F25</f>
        <v>-1111397.6499999999</v>
      </c>
      <c r="R17" s="116">
        <f>G25</f>
        <v>-1256817.6499999999</v>
      </c>
      <c r="S17" s="116">
        <f>H25</f>
        <v>-1418737.65</v>
      </c>
    </row>
    <row r="18" spans="2:19" s="32" customFormat="1" ht="15.6">
      <c r="B18" s="33" t="s">
        <v>112</v>
      </c>
      <c r="E18" s="127"/>
      <c r="F18" s="130"/>
      <c r="G18" s="130"/>
      <c r="H18" s="131"/>
      <c r="O18" s="115"/>
      <c r="P18" s="115"/>
      <c r="Q18" s="115"/>
      <c r="R18" s="115"/>
      <c r="S18" s="115"/>
    </row>
    <row r="19" spans="2:19">
      <c r="C19" s="31" t="s">
        <v>110</v>
      </c>
      <c r="E19" s="127">
        <f>((Inputs!E6+Inputs!E7*Inputs!E8)*Inputs!E9*Inputs!E11)-((Inputs!E6+Inputs!E7*(1-Inputs!E8))*Inputs!E10*Inputs!E12)</f>
        <v>4225000</v>
      </c>
      <c r="F19" s="130">
        <f>((Inputs!F6+Inputs!F7*Inputs!F8)*Inputs!F9*Inputs!F11)-((Inputs!F6+Inputs!F7*(1-Inputs!F8))*Inputs!F10*Inputs!F12)</f>
        <v>8968500.0000000075</v>
      </c>
      <c r="G19" s="130">
        <f>((Inputs!G6+Inputs!G7*Inputs!G8)*Inputs!G9*Inputs!G11)-((Inputs!G6+Inputs!G7*(1-Inputs!G8))*Inputs!G10*Inputs!G12)</f>
        <v>13479825.000000015</v>
      </c>
      <c r="H19" s="131">
        <f>((Inputs!H6+Inputs!H7*Inputs!H8)*Inputs!H9*Inputs!H11)-((Inputs!H6+Inputs!H7*(1-Inputs!H8))*Inputs!H10*Inputs!H12)</f>
        <v>24065523.425000012</v>
      </c>
    </row>
    <row r="20" spans="2:19" ht="15.6">
      <c r="C20" s="117" t="s">
        <v>93</v>
      </c>
      <c r="E20" s="127"/>
      <c r="F20" s="128">
        <f>F19/E19-1</f>
        <v>1.1227218934911258</v>
      </c>
      <c r="G20" s="128">
        <f>G19/F19-1</f>
        <v>0.50301889948151901</v>
      </c>
      <c r="H20" s="129">
        <f>H19/G19-1</f>
        <v>0.78529939557820549</v>
      </c>
    </row>
    <row r="21" spans="2:19" ht="15.6">
      <c r="C21" s="117"/>
      <c r="E21" s="127"/>
      <c r="F21" s="128"/>
      <c r="G21" s="128"/>
      <c r="H21" s="129"/>
    </row>
    <row r="22" spans="2:19">
      <c r="C22" s="31" t="s">
        <v>111</v>
      </c>
      <c r="E22" s="127">
        <f>E19*Inputs!E13</f>
        <v>2028000</v>
      </c>
      <c r="F22" s="130">
        <f>F19*Inputs!F13</f>
        <v>4218782.4000000032</v>
      </c>
      <c r="G22" s="130">
        <f>G19*Inputs!G13</f>
        <v>6214091.4864000063</v>
      </c>
      <c r="H22" s="131">
        <f>H19*Inputs!H13</f>
        <v>10872133.499242852</v>
      </c>
    </row>
    <row r="23" spans="2:19" ht="15.6">
      <c r="C23" s="117" t="s">
        <v>93</v>
      </c>
      <c r="E23" s="127"/>
      <c r="F23" s="128">
        <f>F22/E22-1</f>
        <v>1.0802674556213034</v>
      </c>
      <c r="G23" s="128">
        <f>G22/F22-1</f>
        <v>0.47295852149188877</v>
      </c>
      <c r="H23" s="129">
        <f>H22/G22-1</f>
        <v>0.74959340766664129</v>
      </c>
    </row>
    <row r="24" spans="2:19">
      <c r="C24" s="32"/>
      <c r="E24" s="127"/>
      <c r="F24" s="130"/>
      <c r="G24" s="130"/>
      <c r="H24" s="131"/>
    </row>
    <row r="25" spans="2:19" ht="15.6">
      <c r="B25" s="34" t="s">
        <v>132</v>
      </c>
      <c r="E25" s="127">
        <f>SUM(E27,E32,E33,E34,E35)</f>
        <v>-1043978.65</v>
      </c>
      <c r="F25" s="130">
        <f>SUM(F27,F32,F33,F34,F35)</f>
        <v>-1111397.6499999999</v>
      </c>
      <c r="G25" s="130">
        <f>SUM(G27,G32,G33,G34,G35)</f>
        <v>-1256817.6499999999</v>
      </c>
      <c r="H25" s="131">
        <f>SUM(H27,H32,H33,H34,H35)</f>
        <v>-1418737.65</v>
      </c>
    </row>
    <row r="26" spans="2:19" ht="15.6">
      <c r="B26" s="34"/>
      <c r="C26" s="117" t="s">
        <v>93</v>
      </c>
      <c r="E26" s="127"/>
      <c r="F26" s="128">
        <f>F25/E25-1</f>
        <v>6.4578906857913232E-2</v>
      </c>
      <c r="G26" s="128">
        <f>G25/F25-1</f>
        <v>0.1308442572287245</v>
      </c>
      <c r="H26" s="129">
        <f>H25/G25-1</f>
        <v>0.12883332757142618</v>
      </c>
    </row>
    <row r="27" spans="2:19" hidden="1" outlineLevel="1">
      <c r="C27" s="31" t="s">
        <v>121</v>
      </c>
      <c r="E27" s="127">
        <f>SUM(E28:E31)</f>
        <v>-394071.5</v>
      </c>
      <c r="F27" s="130">
        <f>SUM(F28:F31)</f>
        <v>-430361.5</v>
      </c>
      <c r="G27" s="130">
        <f>SUM(G28:G31)</f>
        <v>-467561.5</v>
      </c>
      <c r="H27" s="131">
        <f>SUM(H28:H31)</f>
        <v>-504761.5</v>
      </c>
    </row>
    <row r="28" spans="2:19" hidden="1" outlineLevel="2">
      <c r="C28" s="35" t="s">
        <v>128</v>
      </c>
      <c r="E28" s="127">
        <f>E44*Inputs!$E17*Inputs!$E30</f>
        <v>-79570</v>
      </c>
      <c r="F28" s="130">
        <f>F44*Inputs!$E17*Inputs!$E30</f>
        <v>-78110</v>
      </c>
      <c r="G28" s="130">
        <f>G44*Inputs!$E17*Inputs!$E30</f>
        <v>-89060</v>
      </c>
      <c r="H28" s="131">
        <f>H44*Inputs!$E17*Inputs!$E30</f>
        <v>-100010</v>
      </c>
    </row>
    <row r="29" spans="2:19" hidden="1" outlineLevel="2">
      <c r="C29" s="35" t="s">
        <v>129</v>
      </c>
      <c r="E29" s="127">
        <f>E44*Inputs!$E18*Inputs!$E29</f>
        <v>-81750</v>
      </c>
      <c r="F29" s="130">
        <f>F44*Inputs!$E18*Inputs!$E29</f>
        <v>-80250</v>
      </c>
      <c r="G29" s="130">
        <f>G44*Inputs!$E18*Inputs!$E29</f>
        <v>-91500</v>
      </c>
      <c r="H29" s="131">
        <f>H44*Inputs!$E18*Inputs!$E29</f>
        <v>-102750</v>
      </c>
    </row>
    <row r="30" spans="2:19" hidden="1" outlineLevel="2">
      <c r="C30" s="35" t="s">
        <v>130</v>
      </c>
      <c r="E30" s="127">
        <f>E44*Inputs!$E19*Inputs!$E27+(Inputs!$E28+Inputs!$E27)</f>
        <v>-109001.5</v>
      </c>
      <c r="F30" s="130">
        <f>F44*Inputs!$E19*Inputs!$E27+(Inputs!$E28+Inputs!$E27)</f>
        <v>-107001.5</v>
      </c>
      <c r="G30" s="130">
        <f>G44*Inputs!$E19*Inputs!$E27+(Inputs!$E28+Inputs!$E27)</f>
        <v>-122001.5</v>
      </c>
      <c r="H30" s="131">
        <f>H44*Inputs!$E19*Inputs!$E27+(Inputs!$E28+Inputs!$E27)</f>
        <v>-137001.5</v>
      </c>
    </row>
    <row r="31" spans="2:19" hidden="1" outlineLevel="2">
      <c r="C31" s="35" t="s">
        <v>131</v>
      </c>
      <c r="E31" s="127">
        <f>Inputs!E7*Inputs!E8*Inputs!$E31</f>
        <v>-123750</v>
      </c>
      <c r="F31" s="130">
        <f>Inputs!F7*Inputs!F8*Inputs!$E31</f>
        <v>-165000</v>
      </c>
      <c r="G31" s="130">
        <f>Inputs!G7*Inputs!G8*Inputs!$E31</f>
        <v>-165000</v>
      </c>
      <c r="H31" s="131">
        <f>Inputs!H7*Inputs!H8*Inputs!$E31</f>
        <v>-165000</v>
      </c>
    </row>
    <row r="32" spans="2:19" hidden="1" outlineLevel="1" collapsed="1">
      <c r="C32" s="31" t="s">
        <v>122</v>
      </c>
      <c r="E32" s="127">
        <f>Inputs!$E32*Inputs!$E33*Inputs!$E34</f>
        <v>-280000</v>
      </c>
      <c r="F32" s="130">
        <f>Inputs!$E32*Inputs!$E33*Inputs!$E34</f>
        <v>-280000</v>
      </c>
      <c r="G32" s="130">
        <f>Inputs!$E32*Inputs!$E33*Inputs!$E34</f>
        <v>-280000</v>
      </c>
      <c r="H32" s="131">
        <f>Inputs!$E32*Inputs!$E33*Inputs!$E34</f>
        <v>-280000</v>
      </c>
    </row>
    <row r="33" spans="2:8" hidden="1" outlineLevel="1">
      <c r="C33" s="31" t="s">
        <v>123</v>
      </c>
      <c r="E33" s="127">
        <f>Inputs!$E36+Inputs!$E37</f>
        <v>-175000</v>
      </c>
      <c r="F33" s="130">
        <f>Inputs!$E36+Inputs!$E37</f>
        <v>-175000</v>
      </c>
      <c r="G33" s="130">
        <f>Inputs!$E36+Inputs!$E37</f>
        <v>-175000</v>
      </c>
      <c r="H33" s="131">
        <f>Inputs!$E36+Inputs!$E37</f>
        <v>-175000</v>
      </c>
    </row>
    <row r="34" spans="2:8" hidden="1" outlineLevel="1">
      <c r="C34" s="31" t="s">
        <v>134</v>
      </c>
      <c r="E34" s="127">
        <f>Inputs!E38*Inputs!E39</f>
        <v>-100000</v>
      </c>
      <c r="F34" s="130">
        <f>Inputs!F38*Inputs!F39</f>
        <v>-125000</v>
      </c>
      <c r="G34" s="130">
        <f>Inputs!G38*Inputs!G39</f>
        <v>-220000</v>
      </c>
      <c r="H34" s="131">
        <f>Inputs!H38*Inputs!H39</f>
        <v>-330000</v>
      </c>
    </row>
    <row r="35" spans="2:8" hidden="1" outlineLevel="1">
      <c r="C35" s="31" t="s">
        <v>6</v>
      </c>
      <c r="E35" s="127">
        <f>(Inputs!$E40)*(E27+E32+E33+E34)</f>
        <v>-94907.150000000009</v>
      </c>
      <c r="F35" s="130">
        <f>(Inputs!$E40)*(F27+F32+F33+F34)</f>
        <v>-101036.15000000001</v>
      </c>
      <c r="G35" s="130">
        <f>(Inputs!$E40)*(G27+G32+G33+G34)</f>
        <v>-114256.15000000001</v>
      </c>
      <c r="H35" s="131">
        <f>(Inputs!$E40)*(H27+H32+H33+H34)</f>
        <v>-128976.15000000001</v>
      </c>
    </row>
    <row r="36" spans="2:8" outlineLevel="1">
      <c r="E36" s="127"/>
      <c r="F36" s="130"/>
      <c r="G36" s="130"/>
      <c r="H36" s="131"/>
    </row>
    <row r="37" spans="2:8">
      <c r="B37" s="31" t="s">
        <v>133</v>
      </c>
      <c r="E37" s="127">
        <f>Inputs!E7*Inputs!$E25</f>
        <v>-375000</v>
      </c>
      <c r="F37" s="130">
        <f>Inputs!F7*Inputs!$E25</f>
        <v>-500000</v>
      </c>
      <c r="G37" s="130">
        <f>Inputs!G7*Inputs!$E25</f>
        <v>-500000</v>
      </c>
      <c r="H37" s="131">
        <f>Inputs!H7*Inputs!$E25</f>
        <v>-500000</v>
      </c>
    </row>
    <row r="38" spans="2:8">
      <c r="E38" s="127"/>
      <c r="F38" s="130"/>
      <c r="G38" s="130"/>
      <c r="H38" s="131"/>
    </row>
    <row r="39" spans="2:8" ht="15.6">
      <c r="B39" s="34" t="s">
        <v>2</v>
      </c>
      <c r="E39" s="127">
        <f>E22+E25</f>
        <v>984021.35</v>
      </c>
      <c r="F39" s="130">
        <f>F22+F25</f>
        <v>3107384.7500000033</v>
      </c>
      <c r="G39" s="130">
        <f>G22+G25</f>
        <v>4957273.836400006</v>
      </c>
      <c r="H39" s="131">
        <f>H22+H25</f>
        <v>9453395.8492428511</v>
      </c>
    </row>
    <row r="40" spans="2:8" ht="15.6">
      <c r="C40" s="117" t="s">
        <v>93</v>
      </c>
      <c r="E40" s="132"/>
      <c r="F40" s="128">
        <f>F39/E39-1</f>
        <v>2.1578428150974602</v>
      </c>
      <c r="G40" s="128">
        <f>G39/F39-1</f>
        <v>0.5953202564954343</v>
      </c>
      <c r="H40" s="129">
        <f>H39/G39-1</f>
        <v>0.90697471255853568</v>
      </c>
    </row>
    <row r="41" spans="2:8" ht="15.6">
      <c r="C41" s="117"/>
      <c r="E41" s="132"/>
      <c r="F41" s="133"/>
      <c r="G41" s="133"/>
      <c r="H41" s="134"/>
    </row>
    <row r="42" spans="2:8" ht="15.6">
      <c r="B42" s="34" t="s">
        <v>140</v>
      </c>
      <c r="E42" s="132"/>
      <c r="F42" s="133"/>
      <c r="G42" s="133"/>
      <c r="H42" s="134"/>
    </row>
    <row r="43" spans="2:8">
      <c r="C43" s="31" t="s">
        <v>124</v>
      </c>
      <c r="E43" s="135">
        <f>(Inputs!E6+Inputs!E7*Inputs!E8)</f>
        <v>545000</v>
      </c>
      <c r="F43" s="136">
        <f>(Inputs!F6+Inputs!F7*Inputs!F8)</f>
        <v>535000</v>
      </c>
      <c r="G43" s="136">
        <f>(Inputs!G6+Inputs!G7*Inputs!G8)</f>
        <v>610000</v>
      </c>
      <c r="H43" s="137">
        <f>(Inputs!H6+Inputs!H7*Inputs!H8)</f>
        <v>685000</v>
      </c>
    </row>
    <row r="44" spans="2:8" hidden="1">
      <c r="C44" s="31" t="s">
        <v>144</v>
      </c>
      <c r="E44" s="135">
        <f>(E43*Inputs!E20)+(Outputs!E43*Inputs!E21)+(Outputs!E43*Inputs!E22)</f>
        <v>10900000</v>
      </c>
      <c r="F44" s="136">
        <f>(F43*Inputs!F20)+(Outputs!F43*Inputs!F21)+(Outputs!F43*Inputs!F22)</f>
        <v>10700000</v>
      </c>
      <c r="G44" s="136">
        <f>(G43*Inputs!G20)+(Outputs!G43*Inputs!G21)+(Outputs!G43*Inputs!G22)</f>
        <v>12200000</v>
      </c>
      <c r="H44" s="137">
        <f>(H43*Inputs!H20)+(Outputs!H43*Inputs!H21)+(Outputs!H43*Inputs!H22)</f>
        <v>13700000</v>
      </c>
    </row>
    <row r="45" spans="2:8">
      <c r="C45" s="31" t="s">
        <v>142</v>
      </c>
      <c r="E45" s="138">
        <f>E19/E43</f>
        <v>7.7522935779816518</v>
      </c>
      <c r="F45" s="139">
        <f>F19/F43</f>
        <v>16.763551401869172</v>
      </c>
      <c r="G45" s="139">
        <f>G19/G43</f>
        <v>22.098073770491826</v>
      </c>
      <c r="H45" s="140">
        <f>H19/H43</f>
        <v>35.132150985401481</v>
      </c>
    </row>
    <row r="46" spans="2:8">
      <c r="C46" s="31" t="s">
        <v>143</v>
      </c>
      <c r="E46" s="141">
        <f>E19/E15</f>
        <v>7.0416666666666669E-2</v>
      </c>
      <c r="F46" s="142">
        <f>F19/F15</f>
        <v>0.14332973750449488</v>
      </c>
      <c r="G46" s="142">
        <f>G19/G15</f>
        <v>0.18126468046138397</v>
      </c>
      <c r="H46" s="143">
        <f>H19/H15</f>
        <v>0.26698093285199925</v>
      </c>
    </row>
    <row r="47" spans="2:8">
      <c r="C47" s="31" t="s">
        <v>141</v>
      </c>
      <c r="E47" s="144">
        <f>E25/E43</f>
        <v>-1.9155571559633029</v>
      </c>
      <c r="F47" s="145">
        <f>F25/F43</f>
        <v>-2.0773787850467289</v>
      </c>
      <c r="G47" s="145">
        <f>G25/G43</f>
        <v>-2.0603568032786885</v>
      </c>
      <c r="H47" s="146">
        <f>H25/H43</f>
        <v>-2.0711498540145983</v>
      </c>
    </row>
    <row r="48" spans="2:8" ht="15.6" thickBot="1">
      <c r="C48" s="31" t="s">
        <v>5</v>
      </c>
      <c r="E48" s="147">
        <f>1-(E25/E15)-1</f>
        <v>1.7399644166666617E-2</v>
      </c>
      <c r="F48" s="148">
        <f>1-(F25/F15)-1</f>
        <v>1.7761758759838653E-2</v>
      </c>
      <c r="G48" s="148">
        <f>1-(G25/G15)-1</f>
        <v>1.6900564341560509E-2</v>
      </c>
      <c r="H48" s="149">
        <f>1-(H25/H15)-1</f>
        <v>1.5739358524642366E-2</v>
      </c>
    </row>
  </sheetData>
  <sheetProtection insertColumns="0" insertRows="0" deleteColumns="0" deleteRows="0" selectLockedCells="1"/>
  <phoneticPr fontId="2" type="noConversion"/>
  <pageMargins left="0.78" right="0.70866141732283472" top="0.74803149606299213" bottom="0.74803149606299213" header="0.31496062992125984" footer="0.31496062992125984"/>
  <pageSetup paperSize="8" orientation="landscape" r:id="rId1"/>
  <headerFooter>
    <oddFooter>&amp;L&amp;"Trebuchet MS,Bold"&amp;9&amp;A&amp;R&amp;"Trebuchet MS,Bold"&amp;9Quant Presky Maves, Confidential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C5:H13"/>
  <sheetViews>
    <sheetView workbookViewId="0">
      <selection activeCell="C16" sqref="C16"/>
    </sheetView>
  </sheetViews>
  <sheetFormatPr defaultColWidth="8.77734375" defaultRowHeight="14.4"/>
  <cols>
    <col min="2" max="2" width="38.44140625" bestFit="1" customWidth="1"/>
    <col min="3" max="3" width="45.33203125" bestFit="1" customWidth="1"/>
    <col min="4" max="4" width="25.77734375" customWidth="1"/>
    <col min="5" max="8" width="17.44140625" bestFit="1" customWidth="1"/>
  </cols>
  <sheetData>
    <row r="5" spans="3:8">
      <c r="D5" t="s">
        <v>40</v>
      </c>
      <c r="E5" s="17" t="s">
        <v>4</v>
      </c>
    </row>
    <row r="6" spans="3:8">
      <c r="D6" t="s">
        <v>41</v>
      </c>
      <c r="E6" t="s">
        <v>31</v>
      </c>
      <c r="F6" t="s">
        <v>32</v>
      </c>
      <c r="G6" t="s">
        <v>33</v>
      </c>
      <c r="H6" t="s">
        <v>34</v>
      </c>
    </row>
    <row r="7" spans="3:8">
      <c r="C7" t="s">
        <v>1</v>
      </c>
      <c r="D7" s="18" t="e">
        <f>Outputs!#REF!</f>
        <v>#REF!</v>
      </c>
      <c r="E7" s="18">
        <f>Outputs!E19</f>
        <v>4225000</v>
      </c>
      <c r="F7" s="18">
        <f>Outputs!F19</f>
        <v>8968500.0000000075</v>
      </c>
      <c r="G7" s="18">
        <f>Outputs!G19</f>
        <v>13479825.000000015</v>
      </c>
      <c r="H7" s="18">
        <f>Outputs!H19</f>
        <v>24065523.425000012</v>
      </c>
    </row>
    <row r="8" spans="3:8">
      <c r="C8" t="s">
        <v>2</v>
      </c>
      <c r="D8" s="18" t="e">
        <f>Outputs!#REF!</f>
        <v>#REF!</v>
      </c>
      <c r="E8" s="18">
        <f>Outputs!E39</f>
        <v>984021.35</v>
      </c>
      <c r="F8" s="18">
        <f>Outputs!F39</f>
        <v>3107384.7500000033</v>
      </c>
      <c r="G8" s="18">
        <f>Outputs!G39</f>
        <v>4957273.836400006</v>
      </c>
      <c r="H8" s="18">
        <f>Outputs!H39</f>
        <v>9453395.8492428511</v>
      </c>
    </row>
    <row r="9" spans="3:8">
      <c r="C9" t="s">
        <v>42</v>
      </c>
      <c r="D9" s="18" t="e">
        <f>Outputs!#REF!</f>
        <v>#REF!</v>
      </c>
      <c r="E9" s="18">
        <f>Outputs!E25</f>
        <v>-1043978.65</v>
      </c>
      <c r="F9" s="18">
        <f>Outputs!F25</f>
        <v>-1111397.6499999999</v>
      </c>
      <c r="G9" s="18">
        <f>Outputs!G25</f>
        <v>-1256817.6499999999</v>
      </c>
      <c r="H9" s="18">
        <f>Outputs!H25</f>
        <v>-1418737.65</v>
      </c>
    </row>
    <row r="10" spans="3:8">
      <c r="C10" s="1" t="s">
        <v>26</v>
      </c>
      <c r="D10" s="2" t="e">
        <f>Outputs!#REF!</f>
        <v>#REF!</v>
      </c>
      <c r="E10" s="2" t="e">
        <f>Outputs!#REF!</f>
        <v>#REF!</v>
      </c>
      <c r="F10" s="3" t="e">
        <f>Outputs!#REF!</f>
        <v>#REF!</v>
      </c>
      <c r="G10" s="3" t="e">
        <f>Outputs!#REF!</f>
        <v>#REF!</v>
      </c>
      <c r="H10" s="4" t="e">
        <f>Outputs!#REF!</f>
        <v>#REF!</v>
      </c>
    </row>
    <row r="11" spans="3:8">
      <c r="C11" s="5" t="s">
        <v>28</v>
      </c>
      <c r="D11" s="6" t="e">
        <f>Outputs!#REF!</f>
        <v>#REF!</v>
      </c>
      <c r="E11" s="6" t="e">
        <f>Outputs!#REF!</f>
        <v>#REF!</v>
      </c>
      <c r="F11" s="7" t="e">
        <f>Outputs!#REF!</f>
        <v>#REF!</v>
      </c>
      <c r="G11" s="7" t="e">
        <f>Outputs!#REF!</f>
        <v>#REF!</v>
      </c>
      <c r="H11" s="8" t="e">
        <f>Outputs!#REF!</f>
        <v>#REF!</v>
      </c>
    </row>
    <row r="12" spans="3:8">
      <c r="C12" s="9" t="s">
        <v>29</v>
      </c>
      <c r="D12" s="10" t="e">
        <f>Outputs!#REF!</f>
        <v>#REF!</v>
      </c>
      <c r="E12" s="10" t="e">
        <f>Outputs!#REF!</f>
        <v>#REF!</v>
      </c>
      <c r="F12" s="11" t="e">
        <f>Outputs!#REF!</f>
        <v>#REF!</v>
      </c>
      <c r="G12" s="11" t="e">
        <f>Outputs!#REF!</f>
        <v>#REF!</v>
      </c>
      <c r="H12" s="12" t="e">
        <f>Outputs!#REF!</f>
        <v>#REF!</v>
      </c>
    </row>
    <row r="13" spans="3:8">
      <c r="C13" s="13" t="s">
        <v>27</v>
      </c>
      <c r="D13" s="14" t="e">
        <f>Outputs!#REF!</f>
        <v>#REF!</v>
      </c>
      <c r="E13" s="14" t="e">
        <f>Outputs!#REF!</f>
        <v>#REF!</v>
      </c>
      <c r="F13" s="15" t="e">
        <f>Outputs!#REF!</f>
        <v>#REF!</v>
      </c>
      <c r="G13" s="15" t="e">
        <f>Outputs!#REF!</f>
        <v>#REF!</v>
      </c>
      <c r="H13" s="16" t="e">
        <f>Outputs!#REF!</f>
        <v>#REF!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baseType="lpstr" size="6">
      <vt:lpstr>About this template</vt:lpstr>
      <vt:lpstr>Introduction</vt:lpstr>
      <vt:lpstr>Inputs</vt:lpstr>
      <vt:lpstr>Outputs</vt:lpstr>
      <vt:lpstr>Sheet2</vt:lpstr>
      <vt:lpstr>Outputs!Print_Area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