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5132" windowHeight="9300"/>
  </bookViews>
  <sheets>
    <sheet name="ATF" sheetId="1" r:id="rId1"/>
  </sheets>
  <calcPr calcId="124519"/>
</workbook>
</file>

<file path=xl/calcChain.xml><?xml version="1.0" encoding="utf-8"?>
<calcChain xmlns="http://schemas.openxmlformats.org/spreadsheetml/2006/main">
  <c r="C50" i="1"/>
  <c r="B59" s="1"/>
  <c r="E51"/>
  <c r="B60" s="1"/>
  <c r="G33"/>
  <c r="G34"/>
  <c r="F33"/>
  <c r="F34"/>
  <c r="G35"/>
  <c r="G140"/>
  <c r="G153"/>
  <c r="G154"/>
  <c r="G155" s="1"/>
  <c r="G157" s="1"/>
  <c r="G158" s="1"/>
  <c r="M158" s="1"/>
  <c r="E170" s="1"/>
  <c r="G82"/>
  <c r="G83"/>
  <c r="G84"/>
  <c r="G85"/>
  <c r="G87" s="1"/>
  <c r="G88" s="1"/>
  <c r="F35"/>
  <c r="G135"/>
  <c r="G136"/>
  <c r="G137" s="1"/>
  <c r="G143" s="1"/>
  <c r="G144" s="1"/>
  <c r="M144" s="1"/>
  <c r="E169" s="1"/>
  <c r="G141"/>
  <c r="C59" l="1"/>
  <c r="B61"/>
  <c r="C60"/>
  <c r="H75"/>
  <c r="H77"/>
  <c r="H94"/>
  <c r="H95" s="1"/>
  <c r="H100" s="1"/>
  <c r="H101" s="1"/>
  <c r="D60" l="1"/>
  <c r="I75"/>
  <c r="I77"/>
  <c r="I94"/>
  <c r="I95" s="1"/>
  <c r="I100" s="1"/>
  <c r="I101" s="1"/>
  <c r="C61"/>
  <c r="D59"/>
  <c r="H81"/>
  <c r="H85" s="1"/>
  <c r="H110"/>
  <c r="H111" s="1"/>
  <c r="H113" s="1"/>
  <c r="H114" s="1"/>
  <c r="H76"/>
  <c r="H78" s="1"/>
  <c r="H87" s="1"/>
  <c r="H88" s="1"/>
  <c r="D61" l="1"/>
  <c r="E59"/>
  <c r="I81"/>
  <c r="I85" s="1"/>
  <c r="I110"/>
  <c r="I111" s="1"/>
  <c r="I113" s="1"/>
  <c r="I114" s="1"/>
  <c r="I76"/>
  <c r="E60"/>
  <c r="J75"/>
  <c r="J77"/>
  <c r="J94"/>
  <c r="J95" s="1"/>
  <c r="J100" s="1"/>
  <c r="J101" s="1"/>
  <c r="I78"/>
  <c r="I87" s="1"/>
  <c r="I88" s="1"/>
  <c r="J81" l="1"/>
  <c r="J85" s="1"/>
  <c r="J76"/>
  <c r="J110"/>
  <c r="J111" s="1"/>
  <c r="J113" s="1"/>
  <c r="J114" s="1"/>
  <c r="J78"/>
  <c r="J87" s="1"/>
  <c r="J88" s="1"/>
  <c r="F60"/>
  <c r="K75"/>
  <c r="K77"/>
  <c r="K94"/>
  <c r="K95" s="1"/>
  <c r="K100" s="1"/>
  <c r="K101" s="1"/>
  <c r="E61"/>
  <c r="F59"/>
  <c r="F61" s="1"/>
  <c r="L81" l="1"/>
  <c r="L85" s="1"/>
  <c r="L76"/>
  <c r="B64"/>
  <c r="E175" s="1"/>
  <c r="E53"/>
  <c r="L110"/>
  <c r="L111" s="1"/>
  <c r="L113" s="1"/>
  <c r="L114" s="1"/>
  <c r="K81"/>
  <c r="K85" s="1"/>
  <c r="K110"/>
  <c r="K111" s="1"/>
  <c r="K113" s="1"/>
  <c r="K114" s="1"/>
  <c r="K76"/>
  <c r="F52"/>
  <c r="L75"/>
  <c r="L77"/>
  <c r="L94"/>
  <c r="L95" s="1"/>
  <c r="L100" s="1"/>
  <c r="L101" s="1"/>
  <c r="M101" s="1"/>
  <c r="E167" s="1"/>
  <c r="K78"/>
  <c r="K87" s="1"/>
  <c r="K88" s="1"/>
  <c r="M114" l="1"/>
  <c r="E165" s="1"/>
  <c r="L78"/>
  <c r="L87" s="1"/>
  <c r="L88" s="1"/>
  <c r="M88" s="1"/>
  <c r="E164" s="1"/>
  <c r="E166" s="1"/>
  <c r="E172" s="1"/>
  <c r="E176" l="1"/>
  <c r="E173"/>
  <c r="E174" s="1"/>
  <c r="E177"/>
</calcChain>
</file>

<file path=xl/sharedStrings.xml><?xml version="1.0" encoding="utf-8"?>
<sst xmlns="http://schemas.openxmlformats.org/spreadsheetml/2006/main" count="191" uniqueCount="113">
  <si>
    <t>Enter value</t>
  </si>
  <si>
    <t>Year 0</t>
  </si>
  <si>
    <t>Year 1</t>
  </si>
  <si>
    <t>Year 2</t>
  </si>
  <si>
    <t>Year 3</t>
  </si>
  <si>
    <t>Year 4</t>
  </si>
  <si>
    <t>Year 5</t>
  </si>
  <si>
    <t>Benefits</t>
  </si>
  <si>
    <t>Costs</t>
  </si>
  <si>
    <t>Client cost-share (cash)</t>
  </si>
  <si>
    <t>Start-up cost for implementation of new systems</t>
  </si>
  <si>
    <t>Sub-total costs</t>
  </si>
  <si>
    <t>Sub-total benefits</t>
  </si>
  <si>
    <t>Net Benefits</t>
  </si>
  <si>
    <t>NPV</t>
  </si>
  <si>
    <t>Difference</t>
  </si>
  <si>
    <t xml:space="preserve">BCA from Perspective of Consumers and Society </t>
  </si>
  <si>
    <t>Increase in consumer surplus</t>
  </si>
  <si>
    <t>Increase in income for new employees</t>
  </si>
  <si>
    <t xml:space="preserve">Non-quantifiable, but likely to be positive  </t>
  </si>
  <si>
    <t>BCA from Perspective of IFC</t>
  </si>
  <si>
    <t>Improvements in IFC image</t>
  </si>
  <si>
    <t>Donor cost-share (cash)</t>
  </si>
  <si>
    <t>Non-quantifiable</t>
  </si>
  <si>
    <t xml:space="preserve">IFC project expenditures </t>
  </si>
  <si>
    <t>BCA from Perspective of Donors</t>
  </si>
  <si>
    <t>Improvements in donor image</t>
  </si>
  <si>
    <t>Other donor project expenditures</t>
  </si>
  <si>
    <t>NPV OF PROJECT</t>
  </si>
  <si>
    <t>Summary of Costs and Benefits</t>
  </si>
  <si>
    <t>Affected Party</t>
  </si>
  <si>
    <t xml:space="preserve">Non-quantifiable, but likely to be positive </t>
  </si>
  <si>
    <t>Client Bank</t>
  </si>
  <si>
    <t>Other Banks</t>
  </si>
  <si>
    <t>Consumers/Society</t>
  </si>
  <si>
    <t>IFC</t>
  </si>
  <si>
    <t xml:space="preserve">   Banks, net</t>
  </si>
  <si>
    <t>BCA from Perspective of the Client Bank</t>
  </si>
  <si>
    <t>Donors</t>
  </si>
  <si>
    <t>Bank Customers</t>
  </si>
  <si>
    <t>Net Benefit/Cost</t>
  </si>
  <si>
    <t>BCA from Perspective of Other (non-client) Banks</t>
  </si>
  <si>
    <t>Client cost-share (other)</t>
  </si>
  <si>
    <t>Additional net commercial loan revenue from increased profit on loans</t>
  </si>
  <si>
    <t>No. of Loans</t>
  </si>
  <si>
    <t>Additional net commercial loan revenue from additional loans made</t>
  </si>
  <si>
    <t>NPV OF PROJECT PER CAPITA</t>
  </si>
  <si>
    <t>NPV OF PROJECT PER CAPITA, PPP-ADJUSTED</t>
  </si>
  <si>
    <t>RATIO: NPV OF PROJECT / IFC COSTS</t>
  </si>
  <si>
    <t>RATIO: NPV OF PROJECT / PROJECT COSTS</t>
  </si>
  <si>
    <t>SME Loans</t>
  </si>
  <si>
    <t xml:space="preserve">1. Of the </t>
  </si>
  <si>
    <t xml:space="preserve">SME loans that the client bank is  </t>
  </si>
  <si>
    <t>banks?</t>
  </si>
  <si>
    <t xml:space="preserve">displace loans that would have been made by other (non-client) </t>
  </si>
  <si>
    <t>I. Project Assumptions</t>
  </si>
  <si>
    <t>III. Estimated Benefits and Costs</t>
  </si>
  <si>
    <t>This section is automatically generated based on the assumptions that you entered above.</t>
  </si>
  <si>
    <t>1. IFC project budget (excluding in-kind)</t>
  </si>
  <si>
    <t xml:space="preserve">3. Value of other resources allocated by bank to IFC project </t>
  </si>
  <si>
    <t>4. Value of resources allocated by bank to establish systems</t>
  </si>
  <si>
    <t>5. Project contribution paid by donors to IFC</t>
  </si>
  <si>
    <t>2. Project fee paid by bank (client) to IFC</t>
  </si>
  <si>
    <t>6. Cash and in-kind expenditures incurred directly by donors</t>
  </si>
  <si>
    <t>1. Discount rate</t>
  </si>
  <si>
    <t>2. Population</t>
  </si>
  <si>
    <t>3. PPP conversion factor (WDI database)</t>
  </si>
  <si>
    <t>1. What is the average SME loan size?</t>
  </si>
  <si>
    <t xml:space="preserve">2. Average gross rate of return (RoR) on loans </t>
  </si>
  <si>
    <t>Banking Reforms</t>
  </si>
  <si>
    <t>Loan Size and Profitability</t>
  </si>
  <si>
    <t>Economic and Fiscal Data</t>
  </si>
  <si>
    <t>Project Budget</t>
  </si>
  <si>
    <t xml:space="preserve">2. Five years from now (after the IFC project), how many SME </t>
  </si>
  <si>
    <t>3. What percentage of these loans do you think the</t>
  </si>
  <si>
    <t>Please fill in the GREEN BOXES with your assumptions.</t>
  </si>
  <si>
    <t>According to your projections, the compound annual growth rate in the number of SME</t>
  </si>
  <si>
    <t>loans with the project is</t>
  </si>
  <si>
    <t>and the compound annual growth rate in the</t>
  </si>
  <si>
    <t>number of SME loans without the project is</t>
  </si>
  <si>
    <t>Displacement</t>
  </si>
  <si>
    <t>1. Interest rate charged by bank to borrowers</t>
  </si>
  <si>
    <t>2. Bank borrowing rate</t>
  </si>
  <si>
    <t>3. NPL rate</t>
  </si>
  <si>
    <t>Net RoR on loans</t>
  </si>
  <si>
    <t>1-(NPL rate)</t>
  </si>
  <si>
    <t>Bank spread</t>
  </si>
  <si>
    <t>II. Projected Growth in SME Loans</t>
  </si>
  <si>
    <t>Without IFC</t>
  </si>
  <si>
    <t>With        IFC</t>
  </si>
  <si>
    <t>The following box presents three key figures - with and without the IFC project - that will be used extensively:</t>
  </si>
  <si>
    <t xml:space="preserve"> bank would have disbursed WITHOUT the project?</t>
  </si>
  <si>
    <t>According to these growth rates, the bank is expected to disburse</t>
  </si>
  <si>
    <t xml:space="preserve">SME loans without the project, and an additional </t>
  </si>
  <si>
    <t>SME loans</t>
  </si>
  <si>
    <t>as a direct result of the project.  This is shown in the following table:</t>
  </si>
  <si>
    <t xml:space="preserve"> </t>
  </si>
  <si>
    <t>Projected Increase in Client Bank's SME Lending</t>
  </si>
  <si>
    <t xml:space="preserve">expected to make as a result of the project, what percent </t>
  </si>
  <si>
    <t xml:space="preserve">Efficiency gains from loans that would have been made </t>
  </si>
  <si>
    <t>4. Adminstrative cost per loan</t>
  </si>
  <si>
    <t>BCA from Perspective of the Bank's SME Borrowers</t>
  </si>
  <si>
    <t xml:space="preserve">Additional administrative costs on loans that would not have been made </t>
  </si>
  <si>
    <t>Reduction in profit from displacement of loans borrowed</t>
  </si>
  <si>
    <t>$ LENT PER $ SPENT</t>
  </si>
  <si>
    <t>SME Lending Projects: Cost-Benefit Analysis</t>
  </si>
  <si>
    <t>loans do you expect the bank to disburse annually?</t>
  </si>
  <si>
    <r>
      <t>With</t>
    </r>
    <r>
      <rPr>
        <sz val="8"/>
        <rFont val="Arial"/>
        <family val="2"/>
      </rPr>
      <t xml:space="preserve"> IFC project</t>
    </r>
  </si>
  <si>
    <r>
      <t>Without</t>
    </r>
    <r>
      <rPr>
        <sz val="8"/>
        <rFont val="Arial"/>
        <family val="2"/>
      </rPr>
      <t xml:space="preserve"> IFC project</t>
    </r>
  </si>
  <si>
    <t>fiscal year?</t>
  </si>
  <si>
    <t>1. How many SME loans did the bank disburse in the previous</t>
  </si>
  <si>
    <t>Net return on loans</t>
  </si>
  <si>
    <t>N/A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</si>
</sst>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0.0%"/>
  </numFmts>
  <fonts count="1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</font>
    <font>
      <i/>
      <sz val="8"/>
      <name val="Arial"/>
      <family val="2"/>
    </font>
    <font>
      <b/>
      <u/>
      <sz val="8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166" fontId="3" fillId="3" borderId="2" xfId="0" applyNumberFormat="1" applyFont="1" applyFill="1" applyBorder="1" applyAlignment="1">
      <alignment horizontal="right"/>
    </xf>
    <xf numFmtId="166" fontId="3" fillId="3" borderId="2" xfId="0" applyNumberFormat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3" borderId="1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right"/>
    </xf>
    <xf numFmtId="0" fontId="3" fillId="3" borderId="2" xfId="0" applyFont="1" applyFill="1" applyBorder="1"/>
    <xf numFmtId="3" fontId="3" fillId="3" borderId="8" xfId="0" applyNumberFormat="1" applyFont="1" applyFill="1" applyBorder="1"/>
    <xf numFmtId="0" fontId="7" fillId="3" borderId="6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3" borderId="2" xfId="0" applyFont="1" applyFill="1" applyBorder="1" applyAlignment="1">
      <alignment horizontal="right"/>
    </xf>
    <xf numFmtId="0" fontId="4" fillId="3" borderId="1" xfId="0" applyFont="1" applyFill="1" applyBorder="1"/>
    <xf numFmtId="3" fontId="3" fillId="3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6" fillId="3" borderId="1" xfId="0" applyFont="1" applyFill="1" applyBorder="1"/>
    <xf numFmtId="164" fontId="3" fillId="3" borderId="0" xfId="0" applyNumberFormat="1" applyFont="1" applyFill="1" applyBorder="1"/>
    <xf numFmtId="0" fontId="4" fillId="3" borderId="3" xfId="0" applyFont="1" applyFill="1" applyBorder="1"/>
    <xf numFmtId="164" fontId="3" fillId="3" borderId="4" xfId="0" applyNumberFormat="1" applyFont="1" applyFill="1" applyBorder="1" applyAlignment="1">
      <alignment horizontal="right"/>
    </xf>
    <xf numFmtId="164" fontId="2" fillId="3" borderId="9" xfId="0" applyNumberFormat="1" applyFont="1" applyFill="1" applyBorder="1" applyAlignment="1">
      <alignment horizontal="right"/>
    </xf>
    <xf numFmtId="0" fontId="4" fillId="3" borderId="4" xfId="0" applyFont="1" applyFill="1" applyBorder="1"/>
    <xf numFmtId="164" fontId="2" fillId="3" borderId="9" xfId="0" applyNumberFormat="1" applyFont="1" applyFill="1" applyBorder="1"/>
    <xf numFmtId="0" fontId="3" fillId="3" borderId="9" xfId="0" applyFont="1" applyFill="1" applyBorder="1"/>
    <xf numFmtId="0" fontId="7" fillId="3" borderId="1" xfId="0" applyFont="1" applyFill="1" applyBorder="1"/>
    <xf numFmtId="164" fontId="3" fillId="3" borderId="4" xfId="0" applyNumberFormat="1" applyFont="1" applyFill="1" applyBorder="1"/>
    <xf numFmtId="0" fontId="4" fillId="3" borderId="0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4" fontId="3" fillId="3" borderId="2" xfId="0" applyNumberFormat="1" applyFont="1" applyFill="1" applyBorder="1"/>
    <xf numFmtId="0" fontId="2" fillId="3" borderId="1" xfId="0" applyFont="1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right"/>
    </xf>
    <xf numFmtId="3" fontId="2" fillId="3" borderId="2" xfId="0" applyNumberFormat="1" applyFont="1" applyFill="1" applyBorder="1"/>
    <xf numFmtId="0" fontId="2" fillId="3" borderId="1" xfId="0" applyFont="1" applyFill="1" applyBorder="1" applyAlignment="1">
      <alignment horizontal="left"/>
    </xf>
    <xf numFmtId="2" fontId="2" fillId="3" borderId="2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2" fillId="3" borderId="4" xfId="0" applyFont="1" applyFill="1" applyBorder="1"/>
    <xf numFmtId="0" fontId="0" fillId="3" borderId="4" xfId="0" applyFill="1" applyBorder="1"/>
    <xf numFmtId="8" fontId="3" fillId="0" borderId="0" xfId="0" applyNumberFormat="1" applyFont="1"/>
    <xf numFmtId="4" fontId="2" fillId="3" borderId="2" xfId="0" applyNumberFormat="1" applyFont="1" applyFill="1" applyBorder="1"/>
    <xf numFmtId="9" fontId="3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9" fontId="3" fillId="0" borderId="0" xfId="0" applyNumberFormat="1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Fill="1" applyBorder="1"/>
    <xf numFmtId="165" fontId="3" fillId="0" borderId="0" xfId="0" applyNumberFormat="1" applyFont="1"/>
    <xf numFmtId="2" fontId="2" fillId="3" borderId="9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64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" fontId="3" fillId="0" borderId="0" xfId="0" applyNumberFormat="1" applyFont="1" applyFill="1" applyBorder="1"/>
    <xf numFmtId="0" fontId="2" fillId="2" borderId="2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6" fontId="3" fillId="2" borderId="8" xfId="0" applyNumberFormat="1" applyFont="1" applyFill="1" applyBorder="1" applyAlignment="1">
      <alignment horizontal="right"/>
    </xf>
    <xf numFmtId="9" fontId="3" fillId="2" borderId="8" xfId="0" applyNumberFormat="1" applyFont="1" applyFill="1" applyBorder="1" applyAlignment="1">
      <alignment horizontal="right"/>
    </xf>
    <xf numFmtId="10" fontId="3" fillId="2" borderId="8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0" fontId="3" fillId="2" borderId="8" xfId="0" applyFont="1" applyFill="1" applyBorder="1"/>
    <xf numFmtId="0" fontId="3" fillId="0" borderId="10" xfId="0" applyFont="1" applyFill="1" applyBorder="1"/>
    <xf numFmtId="0" fontId="8" fillId="0" borderId="0" xfId="0" applyFont="1"/>
    <xf numFmtId="0" fontId="9" fillId="0" borderId="0" xfId="0" applyFont="1"/>
    <xf numFmtId="0" fontId="3" fillId="2" borderId="4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2" borderId="6" xfId="0" applyFont="1" applyFill="1" applyBorder="1"/>
    <xf numFmtId="0" fontId="3" fillId="3" borderId="4" xfId="0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2" fillId="2" borderId="1" xfId="0" applyFont="1" applyFill="1" applyBorder="1"/>
    <xf numFmtId="10" fontId="3" fillId="0" borderId="5" xfId="0" applyNumberFormat="1" applyFont="1" applyFill="1" applyBorder="1" applyAlignment="1">
      <alignment horizontal="right"/>
    </xf>
    <xf numFmtId="10" fontId="3" fillId="3" borderId="9" xfId="0" applyNumberFormat="1" applyFont="1" applyFill="1" applyBorder="1"/>
    <xf numFmtId="0" fontId="3" fillId="0" borderId="4" xfId="0" applyFont="1" applyFill="1" applyBorder="1"/>
    <xf numFmtId="10" fontId="3" fillId="3" borderId="11" xfId="0" applyNumberFormat="1" applyFont="1" applyFill="1" applyBorder="1" applyAlignment="1">
      <alignment horizontal="right"/>
    </xf>
    <xf numFmtId="166" fontId="3" fillId="3" borderId="11" xfId="0" applyNumberFormat="1" applyFont="1" applyFill="1" applyBorder="1"/>
    <xf numFmtId="10" fontId="3" fillId="3" borderId="12" xfId="0" applyNumberFormat="1" applyFont="1" applyFill="1" applyBorder="1" applyAlignment="1">
      <alignment horizontal="right"/>
    </xf>
    <xf numFmtId="10" fontId="3" fillId="2" borderId="8" xfId="1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center" wrapText="1"/>
    </xf>
    <xf numFmtId="164" fontId="10" fillId="3" borderId="2" xfId="0" applyNumberFormat="1" applyFont="1" applyFill="1" applyBorder="1"/>
    <xf numFmtId="0" fontId="2" fillId="3" borderId="6" xfId="0" applyFont="1" applyFill="1" applyBorder="1" applyAlignment="1"/>
    <xf numFmtId="164" fontId="4" fillId="3" borderId="0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177"/>
  <sheetViews>
    <sheetView tabSelected="1" workbookViewId="0">
      <selection activeCell="I5" sqref="I5"/>
    </sheetView>
  </sheetViews>
  <sheetFormatPr defaultColWidth="9.109375" defaultRowHeight="10.199999999999999"/>
  <cols>
    <col min="1" max="1" width="9.109375" style="2"/>
    <col min="2" max="2" width="9.44140625" style="2" customWidth="1"/>
    <col min="3" max="4" width="9.109375" style="2"/>
    <col min="5" max="5" width="12.109375" style="2" bestFit="1" customWidth="1"/>
    <col min="6" max="7" width="9.109375" style="2"/>
    <col min="8" max="8" width="11.33203125" style="2" customWidth="1"/>
    <col min="9" max="9" width="13.33203125" style="2" customWidth="1"/>
    <col min="10" max="12" width="11.33203125" style="2" customWidth="1"/>
    <col min="13" max="13" width="9.6640625" style="2" bestFit="1" customWidth="1"/>
    <col min="14" max="14" width="9.5546875" style="2" bestFit="1" customWidth="1"/>
    <col min="15" max="15" width="9.33203125" style="2" bestFit="1" customWidth="1"/>
    <col min="16" max="16" width="9.109375" style="2"/>
    <col min="17" max="17" width="10.109375" style="2" bestFit="1" customWidth="1"/>
    <col min="18" max="16384" width="9.109375" style="2"/>
  </cols>
  <sheetData>
    <row r="1" spans="1:7" ht="15.6">
      <c r="A1" s="85" t="s">
        <v>105</v>
      </c>
      <c r="G1"/>
    </row>
    <row r="2" spans="1:7">
      <c r="A2" s="1"/>
    </row>
    <row r="3" spans="1:7" ht="13.2">
      <c r="A3" s="86" t="s">
        <v>55</v>
      </c>
    </row>
    <row r="4" spans="1:7">
      <c r="A4" s="2" t="s">
        <v>75</v>
      </c>
    </row>
    <row r="5" spans="1:7">
      <c r="A5" s="1"/>
    </row>
    <row r="6" spans="1:7">
      <c r="A6" s="14" t="s">
        <v>72</v>
      </c>
      <c r="B6" s="13"/>
      <c r="C6" s="13"/>
      <c r="D6" s="13"/>
      <c r="E6" s="13"/>
      <c r="F6" s="15" t="s">
        <v>0</v>
      </c>
    </row>
    <row r="7" spans="1:7">
      <c r="A7" s="5" t="s">
        <v>58</v>
      </c>
      <c r="B7" s="6"/>
      <c r="C7" s="10"/>
      <c r="D7" s="6"/>
      <c r="E7" s="6"/>
      <c r="F7" s="81">
        <v>80000</v>
      </c>
    </row>
    <row r="8" spans="1:7">
      <c r="A8" s="5" t="s">
        <v>62</v>
      </c>
      <c r="B8" s="6"/>
      <c r="C8" s="6"/>
      <c r="D8" s="6"/>
      <c r="E8" s="6"/>
      <c r="F8" s="81">
        <v>8000</v>
      </c>
    </row>
    <row r="9" spans="1:7">
      <c r="A9" s="5" t="s">
        <v>59</v>
      </c>
      <c r="B9" s="6"/>
      <c r="C9" s="6"/>
      <c r="D9" s="6"/>
      <c r="E9" s="6"/>
      <c r="F9" s="81">
        <v>1000</v>
      </c>
    </row>
    <row r="10" spans="1:7">
      <c r="A10" s="5" t="s">
        <v>60</v>
      </c>
      <c r="B10" s="6"/>
      <c r="C10" s="6"/>
      <c r="D10" s="6"/>
      <c r="E10" s="6"/>
      <c r="F10" s="81">
        <v>6000</v>
      </c>
    </row>
    <row r="11" spans="1:7">
      <c r="A11" s="5" t="s">
        <v>61</v>
      </c>
      <c r="B11" s="6"/>
      <c r="C11" s="10"/>
      <c r="D11" s="6"/>
      <c r="E11" s="6"/>
      <c r="F11" s="81">
        <v>35000</v>
      </c>
    </row>
    <row r="12" spans="1:7">
      <c r="A12" s="8" t="s">
        <v>63</v>
      </c>
      <c r="B12" s="9"/>
      <c r="C12" s="87"/>
      <c r="D12" s="9"/>
      <c r="E12" s="9"/>
      <c r="F12" s="81">
        <v>10000</v>
      </c>
    </row>
    <row r="14" spans="1:7">
      <c r="A14" s="14" t="s">
        <v>71</v>
      </c>
      <c r="B14" s="64"/>
      <c r="C14" s="64"/>
      <c r="D14" s="64"/>
      <c r="E14" s="64"/>
      <c r="F14" s="15" t="s">
        <v>0</v>
      </c>
    </row>
    <row r="15" spans="1:7">
      <c r="A15" s="5" t="s">
        <v>64</v>
      </c>
      <c r="B15" s="6"/>
      <c r="C15" s="6"/>
      <c r="D15" s="6"/>
      <c r="E15" s="6"/>
      <c r="F15" s="80">
        <v>0.03</v>
      </c>
    </row>
    <row r="16" spans="1:7">
      <c r="A16" s="5" t="s">
        <v>65</v>
      </c>
      <c r="B16" s="6"/>
      <c r="C16" s="6"/>
      <c r="D16" s="6"/>
      <c r="E16" s="6"/>
      <c r="F16" s="82">
        <v>3500000</v>
      </c>
    </row>
    <row r="17" spans="1:11">
      <c r="A17" s="8" t="s">
        <v>66</v>
      </c>
      <c r="B17" s="9"/>
      <c r="C17" s="9"/>
      <c r="D17" s="9"/>
      <c r="E17" s="9"/>
      <c r="F17" s="83">
        <v>0.83099999999999996</v>
      </c>
    </row>
    <row r="19" spans="1:11">
      <c r="A19" s="14" t="s">
        <v>70</v>
      </c>
      <c r="B19" s="64"/>
      <c r="C19" s="64"/>
      <c r="D19" s="64"/>
      <c r="E19" s="64"/>
      <c r="F19" s="15" t="s">
        <v>0</v>
      </c>
    </row>
    <row r="20" spans="1:11">
      <c r="A20" s="5" t="s">
        <v>67</v>
      </c>
      <c r="B20" s="6"/>
      <c r="C20" s="6"/>
      <c r="D20" s="6"/>
      <c r="E20" s="6"/>
      <c r="F20" s="78">
        <v>50000</v>
      </c>
    </row>
    <row r="21" spans="1:11">
      <c r="A21" s="8" t="s">
        <v>68</v>
      </c>
      <c r="B21" s="9"/>
      <c r="C21" s="9"/>
      <c r="D21" s="9"/>
      <c r="E21" s="9"/>
      <c r="F21" s="80">
        <v>0.1</v>
      </c>
    </row>
    <row r="22" spans="1:11">
      <c r="A22" s="84"/>
      <c r="B22" s="84"/>
      <c r="C22" s="84"/>
      <c r="D22" s="84"/>
      <c r="E22" s="84"/>
      <c r="F22" s="95"/>
    </row>
    <row r="23" spans="1:11" ht="12.75" customHeight="1">
      <c r="A23" s="14" t="s">
        <v>69</v>
      </c>
      <c r="B23" s="64"/>
      <c r="C23" s="64"/>
      <c r="D23" s="64"/>
      <c r="E23" s="64"/>
      <c r="F23" s="111" t="s">
        <v>88</v>
      </c>
      <c r="G23" s="111" t="s">
        <v>89</v>
      </c>
    </row>
    <row r="24" spans="1:11">
      <c r="A24" s="94"/>
      <c r="B24" s="6"/>
      <c r="C24" s="6"/>
      <c r="D24" s="6"/>
      <c r="E24" s="6"/>
      <c r="F24" s="112"/>
      <c r="G24" s="112"/>
    </row>
    <row r="25" spans="1:11">
      <c r="A25" s="5" t="s">
        <v>81</v>
      </c>
      <c r="B25" s="6"/>
      <c r="C25" s="6"/>
      <c r="D25" s="6"/>
      <c r="E25" s="6"/>
      <c r="F25" s="80">
        <v>0.08</v>
      </c>
      <c r="G25" s="80">
        <v>7.4999999999999997E-2</v>
      </c>
    </row>
    <row r="26" spans="1:11">
      <c r="A26" s="5" t="s">
        <v>82</v>
      </c>
      <c r="B26" s="6"/>
      <c r="C26" s="6"/>
      <c r="D26" s="6"/>
      <c r="E26" s="6"/>
      <c r="F26" s="80">
        <v>5.2499999999999998E-2</v>
      </c>
      <c r="G26" s="80">
        <v>0.04</v>
      </c>
    </row>
    <row r="27" spans="1:11">
      <c r="A27" s="5" t="s">
        <v>83</v>
      </c>
      <c r="B27" s="6"/>
      <c r="C27" s="6"/>
      <c r="D27" s="6"/>
      <c r="E27" s="6"/>
      <c r="F27" s="80">
        <v>0.1</v>
      </c>
      <c r="G27" s="80">
        <v>0.06</v>
      </c>
    </row>
    <row r="28" spans="1:11">
      <c r="A28" s="8" t="s">
        <v>100</v>
      </c>
      <c r="B28" s="9"/>
      <c r="C28" s="9"/>
      <c r="D28" s="9"/>
      <c r="E28" s="9"/>
      <c r="F28" s="101">
        <v>0.02</v>
      </c>
      <c r="G28" s="101">
        <v>1.9800000000000002E-2</v>
      </c>
    </row>
    <row r="29" spans="1:11">
      <c r="A29" s="1"/>
      <c r="F29" s="11"/>
      <c r="G29" s="11"/>
      <c r="H29" s="11"/>
      <c r="K29" s="88"/>
    </row>
    <row r="30" spans="1:11">
      <c r="A30" s="2" t="s">
        <v>90</v>
      </c>
      <c r="F30" s="11"/>
      <c r="G30" s="11"/>
      <c r="H30" s="11"/>
      <c r="K30" s="88"/>
    </row>
    <row r="31" spans="1:11">
      <c r="F31" s="11"/>
      <c r="G31" s="97"/>
      <c r="H31" s="11"/>
      <c r="I31" s="11"/>
      <c r="J31" s="11"/>
      <c r="K31" s="88"/>
    </row>
    <row r="32" spans="1:11" ht="20.399999999999999">
      <c r="A32" s="104"/>
      <c r="B32" s="93"/>
      <c r="C32" s="93"/>
      <c r="D32" s="93"/>
      <c r="E32" s="93"/>
      <c r="F32" s="102" t="s">
        <v>88</v>
      </c>
      <c r="G32" s="102" t="s">
        <v>89</v>
      </c>
      <c r="H32" s="11"/>
      <c r="I32" s="11"/>
      <c r="J32" s="11"/>
      <c r="K32" s="88"/>
    </row>
    <row r="33" spans="1:15">
      <c r="A33" s="16" t="s">
        <v>86</v>
      </c>
      <c r="B33" s="17"/>
      <c r="C33" s="17"/>
      <c r="D33" s="18"/>
      <c r="E33" s="17"/>
      <c r="F33" s="98">
        <f>F25-F26</f>
        <v>2.7500000000000004E-2</v>
      </c>
      <c r="G33" s="19">
        <f>G25-G26</f>
        <v>3.4999999999999996E-2</v>
      </c>
      <c r="H33" s="11"/>
      <c r="I33" s="11"/>
      <c r="J33" s="11"/>
      <c r="K33" s="88"/>
    </row>
    <row r="34" spans="1:15">
      <c r="A34" s="16" t="s">
        <v>85</v>
      </c>
      <c r="B34" s="17"/>
      <c r="C34" s="17"/>
      <c r="D34" s="17"/>
      <c r="E34" s="17"/>
      <c r="F34" s="99">
        <f>1-F27</f>
        <v>0.9</v>
      </c>
      <c r="G34" s="20">
        <f>1-G27</f>
        <v>0.94</v>
      </c>
      <c r="H34" s="11"/>
      <c r="I34" s="11"/>
      <c r="J34" s="11"/>
      <c r="K34" s="88"/>
    </row>
    <row r="35" spans="1:15">
      <c r="A35" s="21" t="s">
        <v>84</v>
      </c>
      <c r="B35" s="22"/>
      <c r="C35" s="22"/>
      <c r="D35" s="90"/>
      <c r="E35" s="22"/>
      <c r="F35" s="100">
        <f>(F21-F25)</f>
        <v>2.0000000000000004E-2</v>
      </c>
      <c r="G35" s="96">
        <f>(F21-G25)</f>
        <v>2.5000000000000008E-2</v>
      </c>
      <c r="H35" s="11"/>
      <c r="I35" s="11"/>
      <c r="J35" s="11"/>
      <c r="K35" s="88"/>
    </row>
    <row r="36" spans="1:15">
      <c r="A36" s="1"/>
      <c r="F36" s="11"/>
      <c r="G36" s="11"/>
      <c r="H36" s="11"/>
      <c r="I36" s="11"/>
      <c r="J36" s="11"/>
      <c r="K36" s="88"/>
    </row>
    <row r="37" spans="1:15" ht="13.2">
      <c r="A37" s="86" t="s">
        <v>87</v>
      </c>
    </row>
    <row r="38" spans="1:15">
      <c r="A38" s="2" t="s">
        <v>75</v>
      </c>
    </row>
    <row r="39" spans="1:15">
      <c r="A39" s="11"/>
      <c r="B39" s="11"/>
      <c r="C39" s="11"/>
      <c r="D39" s="11"/>
      <c r="E39" s="11"/>
      <c r="F39" s="11"/>
      <c r="O39" s="11"/>
    </row>
    <row r="40" spans="1:15">
      <c r="A40" s="14" t="s">
        <v>50</v>
      </c>
      <c r="B40" s="64"/>
      <c r="C40" s="64"/>
      <c r="D40" s="64"/>
      <c r="E40" s="64"/>
      <c r="F40" s="15" t="s">
        <v>0</v>
      </c>
      <c r="O40" s="11"/>
    </row>
    <row r="41" spans="1:15">
      <c r="A41" s="5" t="s">
        <v>110</v>
      </c>
      <c r="B41" s="6"/>
      <c r="C41" s="6"/>
      <c r="D41" s="6"/>
      <c r="E41" s="6"/>
      <c r="F41" s="12"/>
      <c r="O41" s="11"/>
    </row>
    <row r="42" spans="1:15">
      <c r="A42" s="5" t="s">
        <v>109</v>
      </c>
      <c r="B42" s="6"/>
      <c r="C42" s="6"/>
      <c r="D42" s="6"/>
      <c r="E42" s="6"/>
      <c r="F42" s="77">
        <v>10000</v>
      </c>
      <c r="O42" s="11"/>
    </row>
    <row r="43" spans="1:15">
      <c r="A43" s="5" t="s">
        <v>73</v>
      </c>
      <c r="B43" s="6"/>
      <c r="C43" s="6"/>
      <c r="D43" s="6"/>
      <c r="E43" s="6"/>
      <c r="F43" s="74"/>
      <c r="O43" s="11"/>
    </row>
    <row r="44" spans="1:15">
      <c r="A44" s="5" t="s">
        <v>106</v>
      </c>
      <c r="B44" s="6"/>
      <c r="C44" s="6"/>
      <c r="D44" s="6"/>
      <c r="E44" s="6"/>
      <c r="F44" s="77">
        <v>12000</v>
      </c>
      <c r="O44" s="11"/>
    </row>
    <row r="45" spans="1:15">
      <c r="A45" s="5" t="s">
        <v>74</v>
      </c>
      <c r="B45" s="6"/>
      <c r="C45" s="6"/>
      <c r="D45" s="6"/>
      <c r="E45" s="6"/>
      <c r="F45" s="7"/>
      <c r="O45" s="11"/>
    </row>
    <row r="46" spans="1:15">
      <c r="A46" s="8" t="s">
        <v>91</v>
      </c>
      <c r="B46" s="9"/>
      <c r="C46" s="9"/>
      <c r="D46" s="9"/>
      <c r="E46" s="9"/>
      <c r="F46" s="79">
        <v>0.85</v>
      </c>
      <c r="O46" s="11"/>
    </row>
    <row r="47" spans="1:15">
      <c r="A47" s="65"/>
      <c r="B47" s="11"/>
      <c r="C47" s="11"/>
      <c r="D47" s="11"/>
      <c r="E47" s="11"/>
      <c r="F47" s="63"/>
      <c r="G47" s="4"/>
      <c r="N47" s="71"/>
      <c r="O47" s="11"/>
    </row>
    <row r="48" spans="1:15">
      <c r="A48" s="11"/>
      <c r="B48" s="11"/>
      <c r="C48" s="11"/>
      <c r="D48" s="11"/>
      <c r="E48" s="11"/>
      <c r="F48" s="63"/>
      <c r="G48" s="4"/>
      <c r="N48" s="71"/>
      <c r="O48" s="11"/>
    </row>
    <row r="49" spans="1:15">
      <c r="A49" s="11" t="s">
        <v>76</v>
      </c>
      <c r="B49" s="11"/>
      <c r="C49" s="11"/>
      <c r="D49" s="11"/>
      <c r="E49" s="11"/>
      <c r="F49" s="63"/>
      <c r="G49" s="4"/>
      <c r="N49" s="71"/>
      <c r="O49" s="11"/>
    </row>
    <row r="50" spans="1:15">
      <c r="A50" s="11" t="s">
        <v>77</v>
      </c>
      <c r="B50" s="11"/>
      <c r="C50" s="91">
        <f>(F44/F42)^(1/5)-1</f>
        <v>3.7137289336648172E-2</v>
      </c>
      <c r="D50" s="11" t="s">
        <v>78</v>
      </c>
      <c r="E50" s="11"/>
      <c r="F50" s="63"/>
      <c r="G50" s="4"/>
      <c r="N50" s="71"/>
      <c r="O50" s="11"/>
    </row>
    <row r="51" spans="1:15">
      <c r="A51" s="11" t="s">
        <v>79</v>
      </c>
      <c r="B51" s="11"/>
      <c r="C51" s="11"/>
      <c r="D51" s="11"/>
      <c r="E51" s="91">
        <f>((F46*F44)/F42)^(1/5)-1</f>
        <v>3.9683787044291208E-3</v>
      </c>
      <c r="F51" s="63"/>
      <c r="G51" s="4"/>
      <c r="N51" s="71"/>
      <c r="O51" s="11"/>
    </row>
    <row r="52" spans="1:15">
      <c r="A52" s="11" t="s">
        <v>92</v>
      </c>
      <c r="B52" s="11"/>
      <c r="C52" s="11"/>
      <c r="D52" s="11"/>
      <c r="E52" s="11"/>
      <c r="F52" s="92">
        <f>F60</f>
        <v>10200.000000000004</v>
      </c>
      <c r="G52" s="4"/>
      <c r="K52" s="2" t="s">
        <v>96</v>
      </c>
      <c r="N52" s="71"/>
      <c r="O52" s="11"/>
    </row>
    <row r="53" spans="1:15">
      <c r="A53" s="11" t="s">
        <v>93</v>
      </c>
      <c r="B53" s="11"/>
      <c r="C53" s="11"/>
      <c r="D53" s="11"/>
      <c r="E53" s="92">
        <f>F61</f>
        <v>1800</v>
      </c>
      <c r="F53" s="2" t="s">
        <v>94</v>
      </c>
      <c r="G53" s="4"/>
      <c r="N53" s="71"/>
      <c r="O53" s="11"/>
    </row>
    <row r="54" spans="1:15">
      <c r="A54" s="11" t="s">
        <v>95</v>
      </c>
      <c r="B54" s="11"/>
      <c r="C54" s="11"/>
      <c r="D54" s="11"/>
      <c r="E54" s="11"/>
      <c r="F54" s="63"/>
      <c r="G54" s="4"/>
      <c r="N54" s="71"/>
      <c r="O54" s="11"/>
    </row>
    <row r="55" spans="1:15">
      <c r="A55" s="11"/>
      <c r="B55" s="11"/>
      <c r="C55" s="11"/>
      <c r="D55" s="11"/>
      <c r="E55" s="11"/>
      <c r="F55" s="63"/>
      <c r="G55" s="4"/>
      <c r="N55" s="71"/>
      <c r="O55" s="11"/>
    </row>
    <row r="56" spans="1:15" ht="13.2">
      <c r="A56" s="108" t="s">
        <v>97</v>
      </c>
      <c r="B56" s="109"/>
      <c r="C56" s="109"/>
      <c r="D56" s="109"/>
      <c r="E56" s="109"/>
      <c r="F56" s="110"/>
      <c r="G56" s="61"/>
      <c r="H56" s="61"/>
      <c r="I56" s="61"/>
      <c r="J56" s="70"/>
      <c r="K56" s="68"/>
      <c r="L56" s="69"/>
      <c r="M56" s="11"/>
      <c r="N56" s="71"/>
      <c r="O56" s="11"/>
    </row>
    <row r="57" spans="1:15" ht="13.2">
      <c r="A57" s="16"/>
      <c r="B57" s="17"/>
      <c r="C57" s="17"/>
      <c r="D57" s="17"/>
      <c r="E57" s="17"/>
      <c r="F57" s="27"/>
      <c r="H57" s="11"/>
      <c r="I57" s="11"/>
      <c r="J57" s="72"/>
      <c r="K57" s="68"/>
      <c r="L57" s="68"/>
      <c r="M57" s="11"/>
      <c r="N57" s="73"/>
      <c r="O57" s="11"/>
    </row>
    <row r="58" spans="1:15" ht="13.2">
      <c r="A58" s="23" t="s">
        <v>44</v>
      </c>
      <c r="B58" s="24" t="s">
        <v>2</v>
      </c>
      <c r="C58" s="24" t="s">
        <v>3</v>
      </c>
      <c r="D58" s="24" t="s">
        <v>4</v>
      </c>
      <c r="E58" s="24" t="s">
        <v>5</v>
      </c>
      <c r="F58" s="25" t="s">
        <v>6</v>
      </c>
      <c r="H58" s="11"/>
      <c r="I58" s="11"/>
      <c r="J58" s="70"/>
      <c r="K58" s="70"/>
      <c r="L58" s="68"/>
      <c r="M58" s="11"/>
      <c r="N58" s="71"/>
      <c r="O58" s="11"/>
    </row>
    <row r="59" spans="1:15" ht="21">
      <c r="A59" s="107" t="s">
        <v>107</v>
      </c>
      <c r="B59" s="26">
        <f>(C50*F42)+F42</f>
        <v>10371.372893366482</v>
      </c>
      <c r="C59" s="26">
        <f>(C50*B59)+B59</f>
        <v>10756.537569325703</v>
      </c>
      <c r="D59" s="26">
        <f>(C50*C59)+C59</f>
        <v>11156.006217298278</v>
      </c>
      <c r="E59" s="26">
        <f>(C50*D59)+D59</f>
        <v>11570.31004803153</v>
      </c>
      <c r="F59" s="26">
        <f>(C50*E59)+E59</f>
        <v>12000.000000000004</v>
      </c>
      <c r="H59" s="11"/>
      <c r="I59" s="11"/>
      <c r="J59" s="70"/>
      <c r="K59" s="70"/>
      <c r="L59" s="68"/>
      <c r="M59" s="11"/>
      <c r="N59" s="71"/>
      <c r="O59" s="11"/>
    </row>
    <row r="60" spans="1:15" ht="20.399999999999999">
      <c r="A60" s="107" t="s">
        <v>108</v>
      </c>
      <c r="B60" s="26">
        <f>(E51*F42)+F42</f>
        <v>10039.683787044291</v>
      </c>
      <c r="C60" s="26">
        <f>(E51*B60)+B60</f>
        <v>10079.525054383999</v>
      </c>
      <c r="D60" s="26">
        <f>(E51*C60)+C60</f>
        <v>10119.524426960577</v>
      </c>
      <c r="E60" s="26">
        <f>(E51*D60)+D60</f>
        <v>10159.682532195478</v>
      </c>
      <c r="F60" s="26">
        <f>(E51*E60)+E60</f>
        <v>10200.000000000004</v>
      </c>
      <c r="H60" s="11"/>
      <c r="I60" s="11"/>
      <c r="J60" s="11"/>
      <c r="K60" s="11"/>
      <c r="L60" s="11"/>
      <c r="M60" s="11"/>
      <c r="N60" s="11"/>
      <c r="O60" s="11"/>
    </row>
    <row r="61" spans="1:15">
      <c r="A61" s="106" t="s">
        <v>15</v>
      </c>
      <c r="B61" s="28">
        <f>B59-B60</f>
        <v>331.68910632219195</v>
      </c>
      <c r="C61" s="28">
        <f>C59-C60</f>
        <v>677.01251494170356</v>
      </c>
      <c r="D61" s="28">
        <f>D59-D60</f>
        <v>1036.4817903377007</v>
      </c>
      <c r="E61" s="28">
        <f>E59-E60</f>
        <v>1410.6275158360513</v>
      </c>
      <c r="F61" s="28">
        <f>F59-F60</f>
        <v>1800</v>
      </c>
      <c r="H61" s="11"/>
      <c r="I61" s="11"/>
      <c r="J61" s="11"/>
      <c r="K61" s="11"/>
      <c r="L61" s="11"/>
      <c r="M61" s="11"/>
      <c r="N61" s="11"/>
      <c r="O61" s="11"/>
    </row>
    <row r="62" spans="1:15" s="62" customFormat="1">
      <c r="A62" s="65"/>
      <c r="B62" s="65"/>
      <c r="C62" s="65"/>
      <c r="D62" s="65"/>
      <c r="E62" s="65"/>
      <c r="F62" s="76"/>
      <c r="H62" s="11"/>
      <c r="I62" s="11"/>
      <c r="J62" s="11"/>
      <c r="K62" s="11"/>
      <c r="L62" s="11"/>
      <c r="M62" s="11"/>
      <c r="N62" s="11"/>
      <c r="O62" s="11"/>
    </row>
    <row r="63" spans="1:15">
      <c r="A63" s="89" t="s">
        <v>80</v>
      </c>
      <c r="B63" s="64"/>
      <c r="C63" s="64"/>
      <c r="D63" s="64"/>
      <c r="E63" s="64"/>
      <c r="F63" s="15" t="s">
        <v>0</v>
      </c>
      <c r="H63" s="11"/>
      <c r="I63" s="11"/>
      <c r="J63" s="11"/>
      <c r="K63" s="11"/>
      <c r="L63" s="11"/>
      <c r="M63" s="11"/>
      <c r="N63" s="11"/>
      <c r="O63" s="11"/>
    </row>
    <row r="64" spans="1:15">
      <c r="A64" s="5" t="s">
        <v>51</v>
      </c>
      <c r="B64" s="75">
        <f>F61</f>
        <v>1800</v>
      </c>
      <c r="C64" s="6" t="s">
        <v>52</v>
      </c>
      <c r="D64" s="6"/>
      <c r="E64" s="6"/>
      <c r="F64" s="60"/>
      <c r="H64" s="11"/>
      <c r="I64" s="11"/>
      <c r="J64" s="11"/>
      <c r="K64" s="11"/>
      <c r="L64" s="11"/>
      <c r="M64" s="11"/>
      <c r="N64" s="11"/>
      <c r="O64" s="11"/>
    </row>
    <row r="65" spans="1:15">
      <c r="A65" s="5" t="s">
        <v>98</v>
      </c>
      <c r="B65" s="6"/>
      <c r="C65" s="6"/>
      <c r="D65" s="6"/>
      <c r="E65" s="6"/>
      <c r="F65" s="12"/>
      <c r="H65" s="11"/>
      <c r="I65" s="11"/>
      <c r="J65" s="11"/>
      <c r="K65" s="11"/>
      <c r="L65" s="11"/>
      <c r="M65" s="11"/>
      <c r="N65" s="11"/>
      <c r="O65" s="11"/>
    </row>
    <row r="66" spans="1:15">
      <c r="A66" s="5" t="s">
        <v>54</v>
      </c>
      <c r="B66" s="6"/>
      <c r="C66" s="6"/>
      <c r="D66" s="6"/>
      <c r="E66" s="6"/>
      <c r="F66" s="12"/>
      <c r="H66" s="11"/>
      <c r="I66" s="11"/>
      <c r="J66" s="11"/>
      <c r="K66" s="11"/>
    </row>
    <row r="67" spans="1:15">
      <c r="A67" s="8" t="s">
        <v>53</v>
      </c>
      <c r="B67" s="9"/>
      <c r="C67" s="9"/>
      <c r="D67" s="9"/>
      <c r="E67" s="9"/>
      <c r="F67" s="79">
        <v>0.8</v>
      </c>
      <c r="H67" s="11"/>
      <c r="I67" s="11"/>
      <c r="J67" s="11"/>
      <c r="K67" s="11"/>
    </row>
    <row r="68" spans="1:15" s="62" customFormat="1">
      <c r="A68" s="65"/>
      <c r="B68" s="11"/>
      <c r="C68" s="11"/>
      <c r="D68" s="11"/>
      <c r="E68" s="11"/>
      <c r="H68" s="11"/>
      <c r="I68" s="11"/>
      <c r="J68" s="11"/>
      <c r="K68" s="11"/>
      <c r="L68" s="11"/>
      <c r="M68" s="11"/>
    </row>
    <row r="69" spans="1:15" ht="13.2">
      <c r="A69" s="86" t="s">
        <v>56</v>
      </c>
    </row>
    <row r="70" spans="1:15">
      <c r="A70" s="2" t="s">
        <v>57</v>
      </c>
    </row>
    <row r="72" spans="1:15">
      <c r="A72" s="29" t="s">
        <v>37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1"/>
    </row>
    <row r="73" spans="1:15">
      <c r="A73" s="16"/>
      <c r="B73" s="17"/>
      <c r="C73" s="17"/>
      <c r="D73" s="17"/>
      <c r="E73" s="17"/>
      <c r="F73" s="17"/>
      <c r="G73" s="24" t="s">
        <v>1</v>
      </c>
      <c r="H73" s="24" t="s">
        <v>2</v>
      </c>
      <c r="I73" s="24" t="s">
        <v>3</v>
      </c>
      <c r="J73" s="24" t="s">
        <v>4</v>
      </c>
      <c r="K73" s="24" t="s">
        <v>5</v>
      </c>
      <c r="L73" s="24" t="s">
        <v>6</v>
      </c>
      <c r="M73" s="32"/>
    </row>
    <row r="74" spans="1:15">
      <c r="A74" s="33" t="s">
        <v>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5"/>
    </row>
    <row r="75" spans="1:15">
      <c r="A75" s="16" t="s">
        <v>43</v>
      </c>
      <c r="B75" s="17"/>
      <c r="C75" s="17"/>
      <c r="D75" s="17"/>
      <c r="E75" s="17"/>
      <c r="F75" s="17"/>
      <c r="G75" s="34"/>
      <c r="H75" s="35">
        <f>(G33*B60*F20*G34-F33*B60*F20*F34)</f>
        <v>4091171.143220542</v>
      </c>
      <c r="I75" s="35">
        <f>(G33*C60*G34*F20-F33*C60*F20*F34)</f>
        <v>4107406.4596614763</v>
      </c>
      <c r="J75" s="35">
        <f>(G33*D60*F20*G34-F33*D60*F20*F34)</f>
        <v>4123706.2039864268</v>
      </c>
      <c r="K75" s="35">
        <f>(G33*E60*F20*G34-F33*E60*F20*F34)</f>
        <v>4140070.6318696514</v>
      </c>
      <c r="L75" s="35">
        <f>(G33*F60*F20*G34-F33*F60*F20*F34)</f>
        <v>4156500.0000000019</v>
      </c>
      <c r="M75" s="32"/>
    </row>
    <row r="76" spans="1:15">
      <c r="A76" s="16" t="s">
        <v>45</v>
      </c>
      <c r="B76" s="17"/>
      <c r="C76" s="17"/>
      <c r="D76" s="17"/>
      <c r="E76" s="17"/>
      <c r="F76" s="17"/>
      <c r="G76" s="34"/>
      <c r="H76" s="35">
        <f>G33*B61*F20*G34</f>
        <v>545628.57990000572</v>
      </c>
      <c r="I76" s="35">
        <f>G33*C61*F20*G34</f>
        <v>1113685.5870791019</v>
      </c>
      <c r="J76" s="35">
        <f>G33*D61*F20*G34</f>
        <v>1705012.5451055176</v>
      </c>
      <c r="K76" s="35">
        <f>G33*E61*F20*G34</f>
        <v>2320482.2635503043</v>
      </c>
      <c r="L76" s="35">
        <f>G33*F61*F20*G34</f>
        <v>2960999.9999999995</v>
      </c>
      <c r="M76" s="32"/>
    </row>
    <row r="77" spans="1:15" s="1" customFormat="1">
      <c r="A77" s="16" t="s">
        <v>99</v>
      </c>
      <c r="B77" s="17"/>
      <c r="C77" s="17"/>
      <c r="D77" s="17"/>
      <c r="E77" s="17"/>
      <c r="F77" s="17"/>
      <c r="G77" s="34"/>
      <c r="H77" s="35">
        <f>B60*$F$28*$F$20-B60*$G$28*$F$20</f>
        <v>100396.83787044324</v>
      </c>
      <c r="I77" s="35">
        <f>C60*$F$28*$F$20-C60*$G$28*$F$20</f>
        <v>100795.25054384023</v>
      </c>
      <c r="J77" s="35">
        <f>D60*$F$28*$F$20-D60*$G$28*$F$20</f>
        <v>101195.24426960573</v>
      </c>
      <c r="K77" s="35">
        <f>E60*$F$28*$F$20-E60*$G$28*$F$20</f>
        <v>101596.82532195374</v>
      </c>
      <c r="L77" s="35">
        <f>F60*$F$28*$F$20-F60*$G$28*$F$20</f>
        <v>101999.99999999814</v>
      </c>
      <c r="M77" s="27"/>
    </row>
    <row r="78" spans="1:15">
      <c r="A78" s="36" t="s">
        <v>12</v>
      </c>
      <c r="B78" s="17"/>
      <c r="C78" s="17"/>
      <c r="D78" s="17"/>
      <c r="E78" s="17"/>
      <c r="F78" s="17"/>
      <c r="G78" s="34"/>
      <c r="H78" s="37">
        <f>SUM(H75:H77)</f>
        <v>4737196.5609909911</v>
      </c>
      <c r="I78" s="37">
        <f>SUM(I75:I77)</f>
        <v>5321887.2972844187</v>
      </c>
      <c r="J78" s="37">
        <f>SUM(J75:J77)</f>
        <v>5929913.9933615504</v>
      </c>
      <c r="K78" s="37">
        <f>SUM(K75:K77)</f>
        <v>6562149.720741909</v>
      </c>
      <c r="L78" s="37">
        <f>SUM(L75:L77)</f>
        <v>7219500</v>
      </c>
      <c r="M78" s="27"/>
      <c r="O78" s="58"/>
    </row>
    <row r="79" spans="1:15">
      <c r="A79" s="36"/>
      <c r="B79" s="17"/>
      <c r="C79" s="17"/>
      <c r="D79" s="17"/>
      <c r="E79" s="17"/>
      <c r="F79" s="17"/>
      <c r="G79" s="34"/>
      <c r="H79" s="17"/>
      <c r="I79" s="17"/>
      <c r="J79" s="17"/>
      <c r="K79" s="17"/>
      <c r="L79" s="17"/>
      <c r="M79" s="48"/>
    </row>
    <row r="80" spans="1:15">
      <c r="A80" s="33" t="s">
        <v>8</v>
      </c>
      <c r="B80" s="17"/>
      <c r="C80" s="17"/>
      <c r="D80" s="17"/>
      <c r="E80" s="17"/>
      <c r="F80" s="17"/>
      <c r="G80" s="24"/>
      <c r="H80" s="24"/>
      <c r="I80" s="24"/>
      <c r="J80" s="24"/>
      <c r="K80" s="24"/>
      <c r="L80" s="24"/>
      <c r="M80" s="48"/>
    </row>
    <row r="81" spans="1:13" s="62" customFormat="1">
      <c r="A81" s="16" t="s">
        <v>102</v>
      </c>
      <c r="B81" s="17"/>
      <c r="C81" s="17"/>
      <c r="D81" s="17"/>
      <c r="E81" s="17"/>
      <c r="F81" s="17"/>
      <c r="G81" s="105"/>
      <c r="H81" s="35">
        <f>B$61*$F$20*$G$28</f>
        <v>328372.21525897004</v>
      </c>
      <c r="I81" s="35">
        <f>C$61*$F$20*$G$28</f>
        <v>670242.38979228656</v>
      </c>
      <c r="J81" s="35">
        <f>D$61*$F$20*$G$28</f>
        <v>1026116.9724343237</v>
      </c>
      <c r="K81" s="35">
        <f>E$61*$F$20*$G$28</f>
        <v>1396521.2406776911</v>
      </c>
      <c r="L81" s="35">
        <f>F$61*$F$20*$G$28</f>
        <v>1782000.0000000002</v>
      </c>
      <c r="M81" s="103"/>
    </row>
    <row r="82" spans="1:13">
      <c r="A82" s="16" t="s">
        <v>9</v>
      </c>
      <c r="B82" s="17"/>
      <c r="C82" s="17"/>
      <c r="D82" s="17"/>
      <c r="E82" s="17"/>
      <c r="F82" s="17"/>
      <c r="G82" s="35">
        <f>F8</f>
        <v>8000</v>
      </c>
      <c r="H82" s="35"/>
      <c r="I82" s="35"/>
      <c r="J82" s="35"/>
      <c r="K82" s="35"/>
      <c r="L82" s="35"/>
      <c r="M82" s="48"/>
    </row>
    <row r="83" spans="1:13">
      <c r="A83" s="16" t="s">
        <v>42</v>
      </c>
      <c r="B83" s="17"/>
      <c r="C83" s="17"/>
      <c r="D83" s="17"/>
      <c r="E83" s="17"/>
      <c r="F83" s="17"/>
      <c r="G83" s="35">
        <f>F9</f>
        <v>1000</v>
      </c>
      <c r="H83" s="35"/>
      <c r="I83" s="35"/>
      <c r="J83" s="35"/>
      <c r="K83" s="35"/>
      <c r="L83" s="35"/>
      <c r="M83" s="48"/>
    </row>
    <row r="84" spans="1:13">
      <c r="A84" s="16" t="s">
        <v>10</v>
      </c>
      <c r="B84" s="17"/>
      <c r="C84" s="17"/>
      <c r="D84" s="17"/>
      <c r="E84" s="17"/>
      <c r="F84" s="17"/>
      <c r="G84" s="35">
        <f>F10</f>
        <v>6000</v>
      </c>
      <c r="H84" s="35"/>
      <c r="I84" s="35"/>
      <c r="J84" s="35"/>
      <c r="K84" s="35"/>
      <c r="L84" s="35"/>
      <c r="M84" s="48"/>
    </row>
    <row r="85" spans="1:13" s="62" customFormat="1">
      <c r="A85" s="36" t="s">
        <v>11</v>
      </c>
      <c r="B85" s="17"/>
      <c r="C85" s="17"/>
      <c r="D85" s="17"/>
      <c r="E85" s="17"/>
      <c r="F85" s="17"/>
      <c r="G85" s="35">
        <f>SUM(G82:G84)</f>
        <v>15000</v>
      </c>
      <c r="H85" s="35">
        <f>H81</f>
        <v>328372.21525897004</v>
      </c>
      <c r="I85" s="35">
        <f>I81</f>
        <v>670242.38979228656</v>
      </c>
      <c r="J85" s="35">
        <f>J81</f>
        <v>1026116.9724343237</v>
      </c>
      <c r="K85" s="35">
        <f>K81</f>
        <v>1396521.2406776911</v>
      </c>
      <c r="L85" s="35">
        <f>L81</f>
        <v>1782000.0000000002</v>
      </c>
      <c r="M85" s="48"/>
    </row>
    <row r="86" spans="1:13">
      <c r="A86" s="36"/>
      <c r="B86" s="17"/>
      <c r="C86" s="17"/>
      <c r="D86" s="17"/>
      <c r="E86" s="17"/>
      <c r="F86" s="17"/>
      <c r="G86" s="34"/>
      <c r="H86" s="17"/>
      <c r="I86" s="17"/>
      <c r="J86" s="17"/>
      <c r="K86" s="17"/>
      <c r="L86" s="17"/>
      <c r="M86" s="27"/>
    </row>
    <row r="87" spans="1:13" s="62" customFormat="1">
      <c r="A87" s="33" t="s">
        <v>13</v>
      </c>
      <c r="B87" s="17"/>
      <c r="C87" s="17"/>
      <c r="D87" s="17"/>
      <c r="E87" s="17"/>
      <c r="F87" s="17"/>
      <c r="G87" s="35">
        <f t="shared" ref="G87:L87" si="0">G78-G85</f>
        <v>-15000</v>
      </c>
      <c r="H87" s="35">
        <f t="shared" si="0"/>
        <v>4408824.3457320211</v>
      </c>
      <c r="I87" s="35">
        <f t="shared" si="0"/>
        <v>4651644.9074921319</v>
      </c>
      <c r="J87" s="35">
        <f t="shared" si="0"/>
        <v>4903797.0209272262</v>
      </c>
      <c r="K87" s="35">
        <f t="shared" si="0"/>
        <v>5165628.4800642179</v>
      </c>
      <c r="L87" s="35">
        <f t="shared" si="0"/>
        <v>5437500</v>
      </c>
      <c r="M87" s="25"/>
    </row>
    <row r="88" spans="1:13">
      <c r="A88" s="38" t="s">
        <v>14</v>
      </c>
      <c r="B88" s="22"/>
      <c r="C88" s="22"/>
      <c r="D88" s="22"/>
      <c r="E88" s="22"/>
      <c r="F88" s="22"/>
      <c r="G88" s="39">
        <f>G87</f>
        <v>-15000</v>
      </c>
      <c r="H88" s="39">
        <f>H87/(1+F15)</f>
        <v>4280411.9861475928</v>
      </c>
      <c r="I88" s="39">
        <f>I87/(1+F15)^2</f>
        <v>4384621.4605449447</v>
      </c>
      <c r="J88" s="39">
        <f>J87/(1+F15)^3</f>
        <v>4487668.9428624222</v>
      </c>
      <c r="K88" s="39">
        <f>K87/(1+F15)^4</f>
        <v>4589593.9988814648</v>
      </c>
      <c r="L88" s="39">
        <f>L87/(1+F15)^5</f>
        <v>4690435.2650888925</v>
      </c>
      <c r="M88" s="40">
        <f>G88+H88+I88+J88+K88+L88</f>
        <v>22417731.653525315</v>
      </c>
    </row>
    <row r="91" spans="1:13">
      <c r="A91" s="29" t="s">
        <v>101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1"/>
    </row>
    <row r="92" spans="1:13">
      <c r="A92" s="16"/>
      <c r="B92" s="17"/>
      <c r="C92" s="17"/>
      <c r="D92" s="17"/>
      <c r="E92" s="17"/>
      <c r="F92" s="17"/>
      <c r="G92" s="24" t="s">
        <v>1</v>
      </c>
      <c r="H92" s="24" t="s">
        <v>2</v>
      </c>
      <c r="I92" s="24" t="s">
        <v>3</v>
      </c>
      <c r="J92" s="24" t="s">
        <v>4</v>
      </c>
      <c r="K92" s="24" t="s">
        <v>5</v>
      </c>
      <c r="L92" s="24" t="s">
        <v>6</v>
      </c>
      <c r="M92" s="27"/>
    </row>
    <row r="93" spans="1:13">
      <c r="A93" s="33" t="s">
        <v>7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7"/>
    </row>
    <row r="94" spans="1:13">
      <c r="A94" s="16" t="s">
        <v>111</v>
      </c>
      <c r="B94" s="17"/>
      <c r="C94" s="17"/>
      <c r="D94" s="17"/>
      <c r="E94" s="17"/>
      <c r="F94" s="17"/>
      <c r="G94" s="17"/>
      <c r="H94" s="37">
        <f>((B$60+B$61*$F$67)*$G$35*$F$20-(B$60+B$61*$F$67)*$F$35*$F$20)+$G$35*$F$20*B$61*(1-$F$67)</f>
        <v>2659181.0446060617</v>
      </c>
      <c r="I94" s="37">
        <f>((C$60+C$61*$F$67)*$G$35*$F$20-(C$60+C$61*$F$67)*$F$35*$F$20)+$G$35*$F$20*C$61*(1-$F$67)</f>
        <v>2824536.8953197682</v>
      </c>
      <c r="J94" s="37">
        <f>((D$60+D$61*$F$67)*$G$35*$F$20-(D$60+D$61*$F$67)*$F$35*$F$20)+$G$35*$F$20*D$61*(1-$F$67)</f>
        <v>2996297.9123921143</v>
      </c>
      <c r="K94" s="37">
        <f>((E$60+E$61*$F$67)*$G$35*$F$20-(E$60+E$61*$F$67)*$F$35*$F$20)+$G$35*$F$20*E$61*(1-$F$67)</f>
        <v>3174703.0151750962</v>
      </c>
      <c r="L94" s="37">
        <f>((F$60+F$61*$F$67)*$G$35*$F$20-(F$60+F$61*$F$67)*$F$35*$F$20)+$G$35*$F$20*F$61*(1-$F$67)</f>
        <v>3360000.0000000037</v>
      </c>
      <c r="M94" s="27"/>
    </row>
    <row r="95" spans="1:13">
      <c r="A95" s="36" t="s">
        <v>12</v>
      </c>
      <c r="B95" s="17"/>
      <c r="C95" s="17"/>
      <c r="D95" s="17"/>
      <c r="E95" s="17"/>
      <c r="F95" s="17"/>
      <c r="G95" s="17"/>
      <c r="H95" s="37">
        <f>SUM(H94:H94)</f>
        <v>2659181.0446060617</v>
      </c>
      <c r="I95" s="37">
        <f>SUM(I94:I94)</f>
        <v>2824536.8953197682</v>
      </c>
      <c r="J95" s="37">
        <f>SUM(J94:J94)</f>
        <v>2996297.9123921143</v>
      </c>
      <c r="K95" s="37">
        <f>SUM(K94:K94)</f>
        <v>3174703.0151750962</v>
      </c>
      <c r="L95" s="37">
        <f>SUM(L94:L94)</f>
        <v>3360000.0000000037</v>
      </c>
      <c r="M95" s="27"/>
    </row>
    <row r="96" spans="1:13">
      <c r="A96" s="36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27"/>
    </row>
    <row r="97" spans="1:13">
      <c r="A97" s="33" t="s">
        <v>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27"/>
    </row>
    <row r="98" spans="1:13">
      <c r="A98" s="36" t="s">
        <v>11</v>
      </c>
      <c r="B98" s="17"/>
      <c r="C98" s="17"/>
      <c r="D98" s="17"/>
      <c r="E98" s="17"/>
      <c r="F98" s="17"/>
      <c r="G98" s="17"/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27"/>
    </row>
    <row r="99" spans="1:13" s="3" customFormat="1">
      <c r="A99" s="36"/>
      <c r="B99" s="17"/>
      <c r="C99" s="17"/>
      <c r="D99" s="17"/>
      <c r="E99" s="17"/>
      <c r="F99" s="17"/>
      <c r="G99" s="17"/>
      <c r="H99" s="35"/>
      <c r="I99" s="35"/>
      <c r="J99" s="35"/>
      <c r="K99" s="35"/>
      <c r="L99" s="35"/>
      <c r="M99" s="27"/>
    </row>
    <row r="100" spans="1:13">
      <c r="A100" s="33" t="s">
        <v>13</v>
      </c>
      <c r="B100" s="17"/>
      <c r="C100" s="17"/>
      <c r="D100" s="17"/>
      <c r="E100" s="17"/>
      <c r="F100" s="17"/>
      <c r="G100" s="17"/>
      <c r="H100" s="35">
        <f>H95-H98</f>
        <v>2659181.0446060617</v>
      </c>
      <c r="I100" s="35">
        <f>I95-I98</f>
        <v>2824536.8953197682</v>
      </c>
      <c r="J100" s="35">
        <f>J95-J98</f>
        <v>2996297.9123921143</v>
      </c>
      <c r="K100" s="35">
        <f>K95-K98</f>
        <v>3174703.0151750962</v>
      </c>
      <c r="L100" s="35">
        <f>L95-L98</f>
        <v>3360000.0000000037</v>
      </c>
      <c r="M100" s="27"/>
    </row>
    <row r="101" spans="1:13">
      <c r="A101" s="38" t="s">
        <v>14</v>
      </c>
      <c r="B101" s="41"/>
      <c r="C101" s="41"/>
      <c r="D101" s="41"/>
      <c r="E101" s="41"/>
      <c r="F101" s="41"/>
      <c r="G101" s="41"/>
      <c r="H101" s="39">
        <f>H100/(1+F15)</f>
        <v>2581729.169520448</v>
      </c>
      <c r="I101" s="39">
        <f>I100/(1+F15)^2</f>
        <v>2662396.9227257692</v>
      </c>
      <c r="J101" s="39">
        <f>J100/(1+F15)^3</f>
        <v>2742037.0434629275</v>
      </c>
      <c r="K101" s="39">
        <f>K100/(1+F15)^4</f>
        <v>2820682.509961958</v>
      </c>
      <c r="L101" s="39">
        <f>L100/(1+F15)^5</f>
        <v>2898365.5155307944</v>
      </c>
      <c r="M101" s="42">
        <f>H101+I101+J101+K101+L101</f>
        <v>13705211.161201898</v>
      </c>
    </row>
    <row r="104" spans="1:13">
      <c r="A104" s="29" t="s">
        <v>41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1"/>
    </row>
    <row r="105" spans="1:13">
      <c r="A105" s="16"/>
      <c r="B105" s="17"/>
      <c r="C105" s="17"/>
      <c r="D105" s="17"/>
      <c r="E105" s="17"/>
      <c r="F105" s="17"/>
      <c r="G105" s="24" t="s">
        <v>1</v>
      </c>
      <c r="H105" s="24" t="s">
        <v>2</v>
      </c>
      <c r="I105" s="24" t="s">
        <v>3</v>
      </c>
      <c r="J105" s="24" t="s">
        <v>4</v>
      </c>
      <c r="K105" s="24" t="s">
        <v>5</v>
      </c>
      <c r="L105" s="24" t="s">
        <v>6</v>
      </c>
      <c r="M105" s="27"/>
    </row>
    <row r="106" spans="1:13">
      <c r="A106" s="33" t="s">
        <v>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7"/>
    </row>
    <row r="107" spans="1:13">
      <c r="A107" s="36" t="s">
        <v>12</v>
      </c>
      <c r="B107" s="17"/>
      <c r="C107" s="17"/>
      <c r="D107" s="17"/>
      <c r="E107" s="17"/>
      <c r="F107" s="17"/>
      <c r="G107" s="17"/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27"/>
    </row>
    <row r="108" spans="1:13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27"/>
    </row>
    <row r="109" spans="1:13">
      <c r="A109" s="33" t="s">
        <v>8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27"/>
    </row>
    <row r="110" spans="1:13">
      <c r="A110" s="16" t="s">
        <v>103</v>
      </c>
      <c r="B110" s="17"/>
      <c r="C110" s="17"/>
      <c r="D110" s="17"/>
      <c r="E110" s="17"/>
      <c r="F110" s="17"/>
      <c r="G110" s="17"/>
      <c r="H110" s="37">
        <f>$F$33*$F$20*$F$34*B$61*$F$67</f>
        <v>328372.2152589701</v>
      </c>
      <c r="I110" s="37">
        <f>$F$33*$F$20*$F$34*C$61*$F$67</f>
        <v>670242.38979228667</v>
      </c>
      <c r="J110" s="37">
        <f>$F$33*$F$20*$F$34*D$61*$F$67</f>
        <v>1026116.9724343239</v>
      </c>
      <c r="K110" s="37">
        <f>$F$33*$F$20*$F$34*E$61*$F$67</f>
        <v>1396521.2406776911</v>
      </c>
      <c r="L110" s="37">
        <f>$F$33*$F$20*$F$34*F$61*$F$67</f>
        <v>1782000.0000000005</v>
      </c>
      <c r="M110" s="27"/>
    </row>
    <row r="111" spans="1:13">
      <c r="A111" s="36" t="s">
        <v>11</v>
      </c>
      <c r="B111" s="17"/>
      <c r="C111" s="17"/>
      <c r="D111" s="17"/>
      <c r="E111" s="17"/>
      <c r="F111" s="17"/>
      <c r="G111" s="17"/>
      <c r="H111" s="37">
        <f>SUM(H110:H110)</f>
        <v>328372.2152589701</v>
      </c>
      <c r="I111" s="37">
        <f>SUM(I110:I110)</f>
        <v>670242.38979228667</v>
      </c>
      <c r="J111" s="37">
        <f>SUM(J110:J110)</f>
        <v>1026116.9724343239</v>
      </c>
      <c r="K111" s="37">
        <f>SUM(K110:K110)</f>
        <v>1396521.2406776911</v>
      </c>
      <c r="L111" s="37">
        <f>SUM(L110:L110)</f>
        <v>1782000.0000000005</v>
      </c>
      <c r="M111" s="27"/>
    </row>
    <row r="112" spans="1:13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27"/>
    </row>
    <row r="113" spans="1:13">
      <c r="A113" s="33" t="s">
        <v>13</v>
      </c>
      <c r="B113" s="17"/>
      <c r="C113" s="17"/>
      <c r="D113" s="17"/>
      <c r="E113" s="17"/>
      <c r="F113" s="17"/>
      <c r="G113" s="17"/>
      <c r="H113" s="37">
        <f>H107-H111</f>
        <v>-328372.2152589701</v>
      </c>
      <c r="I113" s="37">
        <f>I107-I111</f>
        <v>-670242.38979228667</v>
      </c>
      <c r="J113" s="37">
        <f>J107-J111</f>
        <v>-1026116.9724343239</v>
      </c>
      <c r="K113" s="37">
        <f>K107-K111</f>
        <v>-1396521.2406776911</v>
      </c>
      <c r="L113" s="37">
        <f>L107-L111</f>
        <v>-1782000.0000000005</v>
      </c>
      <c r="M113" s="27"/>
    </row>
    <row r="114" spans="1:13">
      <c r="A114" s="38" t="s">
        <v>14</v>
      </c>
      <c r="B114" s="22"/>
      <c r="C114" s="22"/>
      <c r="D114" s="22"/>
      <c r="E114" s="22"/>
      <c r="F114" s="22"/>
      <c r="G114" s="22"/>
      <c r="H114" s="45">
        <f>H113/(1+$F$15)</f>
        <v>-318807.97597958264</v>
      </c>
      <c r="I114" s="45">
        <f>I113/(1+$F$15)^2</f>
        <v>-631767.73474624066</v>
      </c>
      <c r="J114" s="45">
        <f>J113/(1+$F$15)^3</f>
        <v>-939042.38884398749</v>
      </c>
      <c r="K114" s="45">
        <f>K113/(1+$F$15)^4</f>
        <v>-1240791.0344812772</v>
      </c>
      <c r="L114" s="45">
        <f>L113/(1+$F$15)^5</f>
        <v>-1537168.8537725809</v>
      </c>
      <c r="M114" s="40">
        <f>L114+K114+J114+I114+H114</f>
        <v>-4667577.9878236689</v>
      </c>
    </row>
    <row r="117" spans="1:13">
      <c r="A117" s="29" t="s">
        <v>16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1"/>
    </row>
    <row r="118" spans="1:13">
      <c r="A118" s="16"/>
      <c r="B118" s="17"/>
      <c r="C118" s="17"/>
      <c r="D118" s="17"/>
      <c r="E118" s="17"/>
      <c r="F118" s="17"/>
      <c r="G118" s="24" t="s">
        <v>1</v>
      </c>
      <c r="H118" s="24" t="s">
        <v>2</v>
      </c>
      <c r="I118" s="24" t="s">
        <v>3</v>
      </c>
      <c r="J118" s="24" t="s">
        <v>4</v>
      </c>
      <c r="K118" s="24" t="s">
        <v>5</v>
      </c>
      <c r="L118" s="24" t="s">
        <v>6</v>
      </c>
      <c r="M118" s="27"/>
    </row>
    <row r="119" spans="1:13">
      <c r="A119" s="33" t="s">
        <v>7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27"/>
    </row>
    <row r="120" spans="1:13">
      <c r="A120" s="16" t="s">
        <v>17</v>
      </c>
      <c r="B120" s="17"/>
      <c r="C120" s="17"/>
      <c r="D120" s="17"/>
      <c r="E120" s="17"/>
      <c r="F120" s="17"/>
      <c r="G120" s="17" t="s">
        <v>31</v>
      </c>
      <c r="H120" s="17"/>
      <c r="I120" s="17"/>
      <c r="J120" s="17"/>
      <c r="K120" s="17"/>
      <c r="L120" s="17"/>
      <c r="M120" s="27"/>
    </row>
    <row r="121" spans="1:13">
      <c r="A121" s="16" t="s">
        <v>18</v>
      </c>
      <c r="B121" s="17"/>
      <c r="C121" s="17"/>
      <c r="D121" s="17"/>
      <c r="E121" s="17"/>
      <c r="F121" s="17"/>
      <c r="G121" s="17" t="s">
        <v>19</v>
      </c>
      <c r="H121" s="17"/>
      <c r="I121" s="17"/>
      <c r="J121" s="17"/>
      <c r="K121" s="17"/>
      <c r="L121" s="17"/>
      <c r="M121" s="27"/>
    </row>
    <row r="122" spans="1:13">
      <c r="A122" s="36" t="s">
        <v>12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27"/>
    </row>
    <row r="123" spans="1:13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7"/>
    </row>
    <row r="124" spans="1:13">
      <c r="A124" s="33" t="s">
        <v>8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7"/>
    </row>
    <row r="125" spans="1:13">
      <c r="A125" s="36" t="s">
        <v>11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7"/>
    </row>
    <row r="126" spans="1:13">
      <c r="A126" s="16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27"/>
    </row>
    <row r="127" spans="1:13">
      <c r="A127" s="33" t="s">
        <v>13</v>
      </c>
      <c r="B127" s="17"/>
      <c r="C127" s="17"/>
      <c r="D127" s="17"/>
      <c r="E127" s="17"/>
      <c r="F127" s="17"/>
      <c r="G127" s="17" t="s">
        <v>19</v>
      </c>
      <c r="H127" s="17"/>
      <c r="I127" s="17"/>
      <c r="J127" s="17"/>
      <c r="K127" s="17"/>
      <c r="L127" s="17"/>
      <c r="M127" s="27"/>
    </row>
    <row r="128" spans="1:13">
      <c r="A128" s="38" t="s">
        <v>14</v>
      </c>
      <c r="B128" s="22"/>
      <c r="C128" s="22"/>
      <c r="D128" s="22"/>
      <c r="E128" s="22"/>
      <c r="F128" s="22"/>
      <c r="G128" s="22" t="s">
        <v>19</v>
      </c>
      <c r="H128" s="22"/>
      <c r="I128" s="22"/>
      <c r="J128" s="22"/>
      <c r="K128" s="22"/>
      <c r="L128" s="22"/>
      <c r="M128" s="43"/>
    </row>
    <row r="131" spans="1:13">
      <c r="A131" s="29" t="s">
        <v>20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1"/>
    </row>
    <row r="132" spans="1:13">
      <c r="A132" s="44"/>
      <c r="B132" s="17"/>
      <c r="C132" s="17"/>
      <c r="D132" s="17"/>
      <c r="E132" s="17"/>
      <c r="F132" s="17"/>
      <c r="G132" s="24" t="s">
        <v>1</v>
      </c>
      <c r="H132" s="24" t="s">
        <v>2</v>
      </c>
      <c r="I132" s="24" t="s">
        <v>3</v>
      </c>
      <c r="J132" s="24" t="s">
        <v>4</v>
      </c>
      <c r="K132" s="24" t="s">
        <v>5</v>
      </c>
      <c r="L132" s="24" t="s">
        <v>6</v>
      </c>
      <c r="M132" s="27"/>
    </row>
    <row r="133" spans="1:13">
      <c r="A133" s="33" t="s">
        <v>7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27"/>
    </row>
    <row r="134" spans="1:13">
      <c r="A134" s="16" t="s">
        <v>21</v>
      </c>
      <c r="B134" s="17"/>
      <c r="C134" s="17"/>
      <c r="D134" s="17"/>
      <c r="E134" s="17"/>
      <c r="F134" s="17"/>
      <c r="G134" s="17" t="s">
        <v>23</v>
      </c>
      <c r="H134" s="17"/>
      <c r="I134" s="17"/>
      <c r="J134" s="17"/>
      <c r="K134" s="17"/>
      <c r="L134" s="17"/>
      <c r="M134" s="27"/>
    </row>
    <row r="135" spans="1:13">
      <c r="A135" s="16" t="s">
        <v>9</v>
      </c>
      <c r="B135" s="17"/>
      <c r="C135" s="17"/>
      <c r="D135" s="17"/>
      <c r="E135" s="17"/>
      <c r="F135" s="17"/>
      <c r="G135" s="37">
        <f>F8</f>
        <v>8000</v>
      </c>
      <c r="H135" s="17"/>
      <c r="I135" s="17"/>
      <c r="J135" s="17"/>
      <c r="K135" s="17"/>
      <c r="L135" s="17"/>
      <c r="M135" s="27"/>
    </row>
    <row r="136" spans="1:13">
      <c r="A136" s="16" t="s">
        <v>22</v>
      </c>
      <c r="B136" s="17"/>
      <c r="C136" s="17"/>
      <c r="D136" s="17"/>
      <c r="E136" s="17"/>
      <c r="F136" s="17"/>
      <c r="G136" s="37">
        <f>F11</f>
        <v>35000</v>
      </c>
      <c r="H136" s="17"/>
      <c r="I136" s="17"/>
      <c r="J136" s="17"/>
      <c r="K136" s="17"/>
      <c r="L136" s="17"/>
      <c r="M136" s="27"/>
    </row>
    <row r="137" spans="1:13">
      <c r="A137" s="36" t="s">
        <v>12</v>
      </c>
      <c r="B137" s="17"/>
      <c r="C137" s="17"/>
      <c r="D137" s="17"/>
      <c r="E137" s="17"/>
      <c r="F137" s="17"/>
      <c r="G137" s="37">
        <f>G135+G136</f>
        <v>43000</v>
      </c>
      <c r="H137" s="17"/>
      <c r="I137" s="17"/>
      <c r="J137" s="17"/>
      <c r="K137" s="17"/>
      <c r="L137" s="17"/>
      <c r="M137" s="27"/>
    </row>
    <row r="138" spans="1:13">
      <c r="A138" s="16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7"/>
    </row>
    <row r="139" spans="1:13">
      <c r="A139" s="33" t="s">
        <v>8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7"/>
    </row>
    <row r="140" spans="1:13">
      <c r="A140" s="16" t="s">
        <v>24</v>
      </c>
      <c r="B140" s="17"/>
      <c r="C140" s="17"/>
      <c r="D140" s="17"/>
      <c r="E140" s="17"/>
      <c r="F140" s="17"/>
      <c r="G140" s="37">
        <f>F7</f>
        <v>80000</v>
      </c>
      <c r="H140" s="17"/>
      <c r="I140" s="17"/>
      <c r="J140" s="17"/>
      <c r="K140" s="17"/>
      <c r="L140" s="17"/>
      <c r="M140" s="27"/>
    </row>
    <row r="141" spans="1:13">
      <c r="A141" s="36" t="s">
        <v>11</v>
      </c>
      <c r="B141" s="17"/>
      <c r="C141" s="17"/>
      <c r="D141" s="17"/>
      <c r="E141" s="17"/>
      <c r="F141" s="17"/>
      <c r="G141" s="37">
        <f>G140</f>
        <v>80000</v>
      </c>
      <c r="H141" s="17"/>
      <c r="I141" s="17"/>
      <c r="J141" s="17"/>
      <c r="K141" s="17"/>
      <c r="L141" s="17"/>
      <c r="M141" s="27"/>
    </row>
    <row r="142" spans="1:13">
      <c r="A142" s="16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7"/>
    </row>
    <row r="143" spans="1:13">
      <c r="A143" s="33" t="s">
        <v>13</v>
      </c>
      <c r="B143" s="17"/>
      <c r="C143" s="17"/>
      <c r="D143" s="17"/>
      <c r="E143" s="17"/>
      <c r="F143" s="17"/>
      <c r="G143" s="37">
        <f>G137-G141</f>
        <v>-37000</v>
      </c>
      <c r="H143" s="17"/>
      <c r="I143" s="17"/>
      <c r="J143" s="17"/>
      <c r="K143" s="17"/>
      <c r="L143" s="17"/>
      <c r="M143" s="27"/>
    </row>
    <row r="144" spans="1:13">
      <c r="A144" s="38" t="s">
        <v>14</v>
      </c>
      <c r="B144" s="22"/>
      <c r="C144" s="22"/>
      <c r="D144" s="22"/>
      <c r="E144" s="22"/>
      <c r="F144" s="22"/>
      <c r="G144" s="45">
        <f>G143</f>
        <v>-37000</v>
      </c>
      <c r="H144" s="22"/>
      <c r="I144" s="22"/>
      <c r="J144" s="22"/>
      <c r="K144" s="22"/>
      <c r="L144" s="22"/>
      <c r="M144" s="42">
        <f>G144</f>
        <v>-37000</v>
      </c>
    </row>
    <row r="146" spans="1:13">
      <c r="A146" s="29" t="s">
        <v>25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1"/>
    </row>
    <row r="147" spans="1:13">
      <c r="A147" s="44"/>
      <c r="B147" s="17"/>
      <c r="C147" s="17"/>
      <c r="D147" s="17"/>
      <c r="E147" s="17"/>
      <c r="F147" s="17"/>
      <c r="G147" s="24" t="s">
        <v>1</v>
      </c>
      <c r="H147" s="24" t="s">
        <v>2</v>
      </c>
      <c r="I147" s="24" t="s">
        <v>3</v>
      </c>
      <c r="J147" s="24" t="s">
        <v>4</v>
      </c>
      <c r="K147" s="24" t="s">
        <v>5</v>
      </c>
      <c r="L147" s="24" t="s">
        <v>6</v>
      </c>
      <c r="M147" s="27"/>
    </row>
    <row r="148" spans="1:13">
      <c r="A148" s="33" t="s">
        <v>7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27"/>
    </row>
    <row r="149" spans="1:13">
      <c r="A149" s="16" t="s">
        <v>26</v>
      </c>
      <c r="B149" s="17"/>
      <c r="C149" s="17"/>
      <c r="D149" s="17"/>
      <c r="E149" s="17"/>
      <c r="F149" s="17"/>
      <c r="G149" s="17" t="s">
        <v>23</v>
      </c>
      <c r="H149" s="17"/>
      <c r="I149" s="17"/>
      <c r="J149" s="17"/>
      <c r="K149" s="17"/>
      <c r="L149" s="17"/>
      <c r="M149" s="27"/>
    </row>
    <row r="150" spans="1:13">
      <c r="A150" s="36" t="s">
        <v>12</v>
      </c>
      <c r="B150" s="17"/>
      <c r="C150" s="17"/>
      <c r="D150" s="17"/>
      <c r="E150" s="17"/>
      <c r="F150" s="17"/>
      <c r="G150" s="17" t="s">
        <v>23</v>
      </c>
      <c r="H150" s="17"/>
      <c r="I150" s="17"/>
      <c r="J150" s="17"/>
      <c r="K150" s="17"/>
      <c r="L150" s="17"/>
      <c r="M150" s="27"/>
    </row>
    <row r="151" spans="1:13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27"/>
    </row>
    <row r="152" spans="1:13">
      <c r="A152" s="33" t="s">
        <v>8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27"/>
    </row>
    <row r="153" spans="1:13">
      <c r="A153" s="16" t="s">
        <v>22</v>
      </c>
      <c r="B153" s="17"/>
      <c r="C153" s="17"/>
      <c r="D153" s="17"/>
      <c r="E153" s="17"/>
      <c r="F153" s="17"/>
      <c r="G153" s="37">
        <f>F11</f>
        <v>35000</v>
      </c>
      <c r="H153" s="17"/>
      <c r="I153" s="17"/>
      <c r="J153" s="17"/>
      <c r="K153" s="17"/>
      <c r="L153" s="17"/>
      <c r="M153" s="27"/>
    </row>
    <row r="154" spans="1:13">
      <c r="A154" s="16" t="s">
        <v>27</v>
      </c>
      <c r="B154" s="17"/>
      <c r="C154" s="17"/>
      <c r="D154" s="17"/>
      <c r="E154" s="17"/>
      <c r="F154" s="17"/>
      <c r="G154" s="37">
        <f>F12</f>
        <v>10000</v>
      </c>
      <c r="H154" s="17"/>
      <c r="I154" s="17"/>
      <c r="J154" s="17"/>
      <c r="K154" s="17"/>
      <c r="L154" s="17"/>
      <c r="M154" s="27"/>
    </row>
    <row r="155" spans="1:13">
      <c r="A155" s="36" t="s">
        <v>11</v>
      </c>
      <c r="B155" s="17"/>
      <c r="C155" s="17"/>
      <c r="D155" s="17"/>
      <c r="E155" s="17"/>
      <c r="F155" s="17"/>
      <c r="G155" s="37">
        <f>G153+G154</f>
        <v>45000</v>
      </c>
      <c r="H155" s="17"/>
      <c r="I155" s="17"/>
      <c r="J155" s="17"/>
      <c r="K155" s="17"/>
      <c r="L155" s="17"/>
      <c r="M155" s="27"/>
    </row>
    <row r="156" spans="1:13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27"/>
    </row>
    <row r="157" spans="1:13">
      <c r="A157" s="33" t="s">
        <v>13</v>
      </c>
      <c r="B157" s="17"/>
      <c r="C157" s="17"/>
      <c r="D157" s="17"/>
      <c r="E157" s="17"/>
      <c r="F157" s="17"/>
      <c r="G157" s="37">
        <f>0-G155</f>
        <v>-45000</v>
      </c>
      <c r="H157" s="17"/>
      <c r="I157" s="17"/>
      <c r="J157" s="17"/>
      <c r="K157" s="17"/>
      <c r="L157" s="17"/>
      <c r="M157" s="27"/>
    </row>
    <row r="158" spans="1:13">
      <c r="A158" s="38" t="s">
        <v>14</v>
      </c>
      <c r="B158" s="22"/>
      <c r="C158" s="22"/>
      <c r="D158" s="22"/>
      <c r="E158" s="22"/>
      <c r="F158" s="22"/>
      <c r="G158" s="45">
        <f>G157</f>
        <v>-45000</v>
      </c>
      <c r="H158" s="22"/>
      <c r="I158" s="22"/>
      <c r="J158" s="22"/>
      <c r="K158" s="22"/>
      <c r="L158" s="22"/>
      <c r="M158" s="42">
        <f>G158</f>
        <v>-45000</v>
      </c>
    </row>
    <row r="161" spans="1:6">
      <c r="A161" s="29" t="s">
        <v>29</v>
      </c>
      <c r="B161" s="30"/>
      <c r="C161" s="30"/>
      <c r="D161" s="30"/>
      <c r="E161" s="31"/>
    </row>
    <row r="162" spans="1:6">
      <c r="A162" s="44"/>
      <c r="B162" s="17"/>
      <c r="C162" s="17"/>
      <c r="D162" s="17"/>
      <c r="E162" s="27"/>
    </row>
    <row r="163" spans="1:6">
      <c r="A163" s="33" t="s">
        <v>30</v>
      </c>
      <c r="B163" s="17"/>
      <c r="C163" s="46"/>
      <c r="D163" s="46"/>
      <c r="E163" s="47" t="s">
        <v>40</v>
      </c>
    </row>
    <row r="164" spans="1:6">
      <c r="A164" s="16" t="s">
        <v>32</v>
      </c>
      <c r="B164" s="17"/>
      <c r="C164" s="17"/>
      <c r="D164" s="17"/>
      <c r="E164" s="48">
        <f>M88</f>
        <v>22417731.653525315</v>
      </c>
    </row>
    <row r="165" spans="1:6">
      <c r="A165" s="16" t="s">
        <v>33</v>
      </c>
      <c r="B165" s="17"/>
      <c r="C165" s="17"/>
      <c r="D165" s="17"/>
      <c r="E165" s="48">
        <f>M114</f>
        <v>-4667577.9878236689</v>
      </c>
    </row>
    <row r="166" spans="1:6">
      <c r="A166" s="16" t="s">
        <v>36</v>
      </c>
      <c r="B166" s="17"/>
      <c r="C166" s="17"/>
      <c r="D166" s="17"/>
      <c r="E166" s="48">
        <f>E164+E165</f>
        <v>17750153.665701646</v>
      </c>
    </row>
    <row r="167" spans="1:6">
      <c r="A167" s="16" t="s">
        <v>39</v>
      </c>
      <c r="B167" s="17"/>
      <c r="C167" s="17"/>
      <c r="D167" s="17"/>
      <c r="E167" s="48">
        <f>M101</f>
        <v>13705211.161201898</v>
      </c>
    </row>
    <row r="168" spans="1:6">
      <c r="A168" s="16" t="s">
        <v>34</v>
      </c>
      <c r="B168" s="17"/>
      <c r="C168" s="17"/>
      <c r="D168" s="17"/>
      <c r="E168" s="32" t="s">
        <v>112</v>
      </c>
    </row>
    <row r="169" spans="1:6">
      <c r="A169" s="16" t="s">
        <v>35</v>
      </c>
      <c r="B169" s="17"/>
      <c r="C169" s="17"/>
      <c r="D169" s="17"/>
      <c r="E169" s="48">
        <f>M144</f>
        <v>-37000</v>
      </c>
    </row>
    <row r="170" spans="1:6">
      <c r="A170" s="16" t="s">
        <v>38</v>
      </c>
      <c r="B170" s="17"/>
      <c r="C170" s="17"/>
      <c r="D170" s="17"/>
      <c r="E170" s="48">
        <f>M158</f>
        <v>-45000</v>
      </c>
    </row>
    <row r="171" spans="1:6">
      <c r="A171" s="16"/>
      <c r="B171" s="17"/>
      <c r="C171" s="17"/>
      <c r="D171" s="17"/>
      <c r="E171" s="48"/>
    </row>
    <row r="172" spans="1:6" ht="13.2">
      <c r="A172" s="49" t="s">
        <v>28</v>
      </c>
      <c r="B172" s="50"/>
      <c r="C172" s="51"/>
      <c r="D172" s="17"/>
      <c r="E172" s="52">
        <f>SUM(E166:E170)</f>
        <v>31373364.826903544</v>
      </c>
    </row>
    <row r="173" spans="1:6" ht="13.2">
      <c r="A173" s="49" t="s">
        <v>46</v>
      </c>
      <c r="B173" s="50"/>
      <c r="C173" s="51"/>
      <c r="D173" s="17"/>
      <c r="E173" s="59">
        <f>E172/F16</f>
        <v>8.963818521972442</v>
      </c>
    </row>
    <row r="174" spans="1:6" ht="13.2">
      <c r="A174" s="49" t="s">
        <v>47</v>
      </c>
      <c r="B174" s="50"/>
      <c r="C174" s="51"/>
      <c r="D174" s="17"/>
      <c r="E174" s="59">
        <f>E173/F17</f>
        <v>10.786785224996922</v>
      </c>
    </row>
    <row r="175" spans="1:6">
      <c r="A175" s="49" t="s">
        <v>104</v>
      </c>
      <c r="B175" s="17"/>
      <c r="C175" s="51"/>
      <c r="D175" s="17"/>
      <c r="E175" s="59">
        <f>B64*F20/(G140+G153+G154+G82+G83)</f>
        <v>671.64179104477614</v>
      </c>
    </row>
    <row r="176" spans="1:6" ht="13.2">
      <c r="A176" s="53" t="s">
        <v>49</v>
      </c>
      <c r="B176" s="50"/>
      <c r="C176" s="50"/>
      <c r="D176" s="17"/>
      <c r="E176" s="54">
        <f>IF(E172&lt;0,"BC NA because of negative NPV",(E172)/(F7))</f>
        <v>392.1670603362943</v>
      </c>
      <c r="F176" s="66"/>
    </row>
    <row r="177" spans="1:5" ht="13.2">
      <c r="A177" s="55" t="s">
        <v>48</v>
      </c>
      <c r="B177" s="56"/>
      <c r="C177" s="57"/>
      <c r="D177" s="22"/>
      <c r="E177" s="67">
        <f>ABS(E172/E169)</f>
        <v>847.92877910550123</v>
      </c>
    </row>
  </sheetData>
  <mergeCells count="3">
    <mergeCell ref="A56:F56"/>
    <mergeCell ref="F23:F24"/>
    <mergeCell ref="G23:G24"/>
  </mergeCells>
  <phoneticPr fontId="5" type="noConversion"/>
  <pageMargins left="0.75" right="0.75" top="1" bottom="1" header="0.5" footer="0.5"/>
  <pageSetup scale="91" fitToHeight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ATF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