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ml.chart+xml" PartName="/xl/charts/chart12.xml"/>
  <Override ContentType="application/vnd.openxmlformats-officedocument.drawingml.chart+xml" PartName="/xl/charts/chart13.xml"/>
  <Override ContentType="application/vnd.openxmlformats-officedocument.drawingml.chart+xml" PartName="/xl/charts/chart14.xml"/>
  <Override ContentType="application/vnd.openxmlformats-officedocument.drawingml.chart+xml" PartName="/xl/charts/chart15.xml"/>
  <Override ContentType="application/vnd.openxmlformats-officedocument.drawingml.chart+xml" PartName="/xl/charts/chart16.xml"/>
  <Override ContentType="application/vnd.openxmlformats-officedocument.drawingml.chart+xml" PartName="/xl/charts/chart17.xml"/>
  <Override ContentType="application/vnd.openxmlformats-officedocument.drawingml.chart+xml" PartName="/xl/charts/chart18.xml"/>
  <Override ContentType="application/vnd.openxmlformats-officedocument.drawingml.chart+xml" PartName="/xl/charts/chart19.xml"/>
  <Override ContentType="application/vnd.openxmlformats-officedocument.drawingml.chart+xml" PartName="/xl/charts/chart20.xml"/>
  <Override ContentType="application/vnd.openxmlformats-officedocument.drawingml.chart+xml" PartName="/xl/charts/chart21.xml"/>
  <Override ContentType="application/vnd.openxmlformats-officedocument.drawingml.chart+xml" PartName="/xl/charts/chart22.xml"/>
  <Override ContentType="application/vnd.openxmlformats-officedocument.drawingml.chart+xml" PartName="/xl/charts/chart23.xml"/>
  <Override ContentType="application/vnd.openxmlformats-officedocument.drawingml.chart+xml" PartName="/xl/charts/chart24.xml"/>
  <Override ContentType="application/vnd.openxmlformats-officedocument.drawingml.chart+xml" PartName="/xl/charts/chart25.xml"/>
  <Override ContentType="application/vnd.openxmlformats-officedocument.drawingml.chart+xml" PartName="/xl/charts/chart26.xml"/>
  <Override ContentType="application/vnd.openxmlformats-officedocument.drawingml.chart+xml" PartName="/xl/charts/chart27.xml"/>
  <Override ContentType="application/vnd.openxmlformats-officedocument.drawingml.chart+xml" PartName="/xl/charts/chart28.xml"/>
  <Override ContentType="application/vnd.openxmlformats-officedocument.drawingml.chart+xml" PartName="/xl/charts/chart29.xml"/>
  <Override ContentType="application/vnd.openxmlformats-officedocument.drawingml.chart+xml" PartName="/xl/charts/chart30.xml"/>
  <Override ContentType="application/vnd.openxmlformats-officedocument.drawingml.chart+xml" PartName="/xl/charts/chart31.xml"/>
  <Override ContentType="application/vnd.openxmlformats-officedocument.drawingml.chart+xml" PartName="/xl/charts/chart32.xml"/>
  <Override ContentType="application/vnd.openxmlformats-officedocument.drawingml.chart+xml" PartName="/xl/charts/chart3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ml.chartshapes+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ml.chartshapes+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ml.chartshapes+xml" PartName="/xl/drawings/drawing14.xml"/>
  <Override ContentType="application/vnd.openxmlformats-officedocument.drawing+xml" PartName="/xl/drawings/drawing15.xml"/>
  <Override ContentType="application/vnd.openxmlformats-officedocument.drawingml.chartshapes+xml" PartName="/xl/drawings/drawing16.xml"/>
  <Override ContentType="application/vnd.openxmlformats-officedocument.drawingml.chartshapes+xml" PartName="/xl/drawings/drawing17.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codeName="ThisWorkbook" defaultThemeVersion="124226"/>
  <bookViews>
    <workbookView xWindow="5376" yWindow="0" windowWidth="12660" windowHeight="11628" tabRatio="836" firstSheet="2" activeTab="11"/>
  </bookViews>
  <sheets>
    <sheet name="User Guide" sheetId="14" r:id="rId1"/>
    <sheet name="Profile" sheetId="7" r:id="rId2"/>
    <sheet name="Initiatives" sheetId="62" r:id="rId3"/>
    <sheet name="Maturity" sheetId="61" r:id="rId4"/>
    <sheet name="Costs - Labor" sheetId="64" r:id="rId5"/>
    <sheet name="Costs - HWSW" sheetId="63" r:id="rId6"/>
    <sheet name="IT Labor" sheetId="45" r:id="rId7"/>
    <sheet name="Direct Savings" sheetId="21" r:id="rId8"/>
    <sheet name="Productivity" sheetId="65" r:id="rId9"/>
    <sheet name="Revenue" sheetId="55" r:id="rId10"/>
    <sheet name="KPIs" sheetId="52" r:id="rId11"/>
    <sheet name="ROI" sheetId="60" r:id="rId12"/>
    <sheet name="ImpCalc" sheetId="69" state="hidden" r:id="rId13"/>
    <sheet name="Reference" sheetId="58" state="hidden" r:id="rId14"/>
  </sheets>
  <definedNames>
    <definedName name="AnalystRate">Profile!$H$42</definedName>
    <definedName name="AnalystSalary">Profile!$F$42</definedName>
    <definedName name="AnalystWRate">Profile!$G$42</definedName>
    <definedName name="BaseLaborComp">Reference!$C$66</definedName>
    <definedName name="BIs">Profile!$E$17</definedName>
    <definedName name="BIStaff">'IT Labor'!$E$9</definedName>
    <definedName name="BurdenRate">Profile!$D$36</definedName>
    <definedName name="Country">Profile!$D$7</definedName>
    <definedName name="CountryLaborCostScalar">Reference!$C$62</definedName>
    <definedName name="CountryList">Reference!$B$34:$B$61</definedName>
    <definedName name="DBARate">Profile!$H$43</definedName>
    <definedName name="DBASalary">Profile!$F$43</definedName>
    <definedName name="DBAWRate">Profile!$G$43</definedName>
    <definedName name="Duration">Profile!$D$31</definedName>
    <definedName name="EngrRate">Profile!$H$44</definedName>
    <definedName name="EngrSalary">Profile!$F$44</definedName>
    <definedName name="EngrWRate">Profile!$G$44</definedName>
    <definedName name="Industry">Profile!$D$5</definedName>
    <definedName name="IndustryList">Reference!$B$7:$B$28</definedName>
    <definedName name="Initiatives">Initiatives!$D$5:$S$296</definedName>
    <definedName name="ITStaff">'IT Labor'!$E$6</definedName>
    <definedName name="ITStaffMix">Reference!$T$30</definedName>
    <definedName name="IWLaborCostScalar">Reference!$D$69</definedName>
    <definedName name="IWMix">Profile!$F$16</definedName>
    <definedName name="IWMixDefault">Reference!$I$30</definedName>
    <definedName name="IWRate">Profile!$H$51</definedName>
    <definedName name="IWs">Profile!$E$16</definedName>
    <definedName name="IWSalary">Profile!$F$51</definedName>
    <definedName name="IWWRate">Profile!$G$51</definedName>
    <definedName name="Margin">Profile!$D$27</definedName>
    <definedName name="Maturity">Maturity!$A$3:$J$83</definedName>
    <definedName name="MgmtRate">Profile!$H$46</definedName>
    <definedName name="MgmtSalary">Profile!$F$46</definedName>
    <definedName name="MgmtWRate">Profile!$G$46</definedName>
    <definedName name="OrgSizeLaborCostScalar">Reference!$D$97</definedName>
    <definedName name="PCUserMix">Reference!$H$29</definedName>
    <definedName name="PCUsers">Profile!$D$11</definedName>
    <definedName name="PMRate">Profile!$H$45</definedName>
    <definedName name="PMSalary">Profile!$F$45</definedName>
    <definedName name="PMWRate">Profile!$G$45</definedName>
    <definedName name="PowerUserLaborCostScalar">Reference!$D$70</definedName>
    <definedName name="PowerUserMix">Reference!$J$30</definedName>
    <definedName name="PowerUsers">Profile!$E$15</definedName>
    <definedName name="PreTaxMarginDefault">Reference!$P$29</definedName>
    <definedName name="PriceScalar">Reference!$E$62</definedName>
    <definedName name="_xlnm.Print_Area" localSheetId="5">'Costs - HWSW'!$A$1:$N$197</definedName>
    <definedName name="_xlnm.Print_Area" localSheetId="4">'Costs - Labor'!$A$1:$O$145</definedName>
    <definedName name="_xlnm.Print_Area" localSheetId="7">'Direct Savings'!$A$1:$J$133</definedName>
    <definedName name="_xlnm.Print_Area" localSheetId="2">Initiatives!$D$1:$N$263</definedName>
    <definedName name="_xlnm.Print_Area" localSheetId="6">'IT Labor'!$A$1:$K$88</definedName>
    <definedName name="_xlnm.Print_Area" localSheetId="10">KPIs!$A$1:$K$49</definedName>
    <definedName name="_xlnm.Print_Area" localSheetId="3">Maturity!$A$1:$J$80</definedName>
    <definedName name="_xlnm.Print_Area" localSheetId="8">Productivity!$A$1:$N$101</definedName>
    <definedName name="_xlnm.Print_Area" localSheetId="1">Profile!$A$1:$P$110</definedName>
    <definedName name="_xlnm.Print_Area" localSheetId="9">Revenue!$A$1:$I$31</definedName>
    <definedName name="_xlnm.Print_Area" localSheetId="11">ROI!$A$1:$M$437</definedName>
    <definedName name="_xlnm.Print_Area" localSheetId="0">'User Guide'!$A$1:$H$112</definedName>
    <definedName name="_xlnm.Print_Titles" localSheetId="5">'Costs - HWSW'!$1:$1</definedName>
    <definedName name="_xlnm.Print_Titles" localSheetId="4">'Costs - Labor'!$1:$1</definedName>
    <definedName name="_xlnm.Print_Titles" localSheetId="7">'Direct Savings'!$1:$1</definedName>
    <definedName name="_xlnm.Print_Titles" localSheetId="2">Initiatives!$1:$1</definedName>
    <definedName name="_xlnm.Print_Titles" localSheetId="6">'IT Labor'!$1:$1</definedName>
    <definedName name="_xlnm.Print_Titles" localSheetId="10">KPIs!$1:$1</definedName>
    <definedName name="_xlnm.Print_Titles" localSheetId="3">Maturity!$1:$1</definedName>
    <definedName name="_xlnm.Print_Titles" localSheetId="8">Productivity!$1:$1</definedName>
    <definedName name="_xlnm.Print_Titles" localSheetId="1">Profile!$1:$1</definedName>
    <definedName name="_xlnm.Print_Titles" localSheetId="9">Revenue!$1:$1</definedName>
    <definedName name="_xlnm.Print_Titles" localSheetId="11">ROI!$1:$1</definedName>
    <definedName name="_xlnm.Print_Titles" localSheetId="0">'User Guide'!$2:$2</definedName>
    <definedName name="PwrUserMix">Profile!$F$15</definedName>
    <definedName name="RestoreStatus">Reference!$C$110</definedName>
    <definedName name="Revenue">Profile!$D$25</definedName>
    <definedName name="RevPerEmployee">Reference!$R$29</definedName>
    <definedName name="SiteLocation">Profile!$D$9</definedName>
    <definedName name="SiteLocationList">Reference!$B$85:$B$88</definedName>
    <definedName name="SiteScalar">Reference!$C$89</definedName>
    <definedName name="SizeLaborScalar">Reference!$D$97</definedName>
    <definedName name="TWLaborCostScalar">Reference!$D$67</definedName>
    <definedName name="TWMix">Profile!$D$18</definedName>
    <definedName name="TWs">Profile!$E$18</definedName>
    <definedName name="UserRate">Profile!$H$52</definedName>
    <definedName name="UserSalary">Profile!$F$52</definedName>
    <definedName name="UserWRate">Profile!$G$52</definedName>
    <definedName name="WACC">Profile!$D$29</definedName>
    <definedName name="WorkHrs">Profile!$D$37</definedName>
  </definedNames>
  <calcPr calcId="124519"/>
</workbook>
</file>

<file path=xl/calcChain.xml><?xml version="1.0" encoding="utf-8"?>
<calcChain xmlns="http://schemas.openxmlformats.org/spreadsheetml/2006/main">
  <c r="E21" i="14"/>
  <c r="E20"/>
  <c r="F70" i="60"/>
  <c r="F67"/>
  <c r="F63"/>
  <c r="F64"/>
  <c r="F60"/>
  <c r="F55"/>
  <c r="F49"/>
  <c r="F50"/>
  <c r="F51"/>
  <c r="F48"/>
  <c r="G46"/>
  <c r="E46"/>
  <c r="D71"/>
  <c r="D70"/>
  <c r="D69"/>
  <c r="D68"/>
  <c r="D67"/>
  <c r="C66"/>
  <c r="D65"/>
  <c r="D64"/>
  <c r="D63"/>
  <c r="D62"/>
  <c r="D61"/>
  <c r="D60"/>
  <c r="C59"/>
  <c r="D58"/>
  <c r="D57"/>
  <c r="D56"/>
  <c r="D55"/>
  <c r="D54"/>
  <c r="C53"/>
  <c r="D52"/>
  <c r="C47"/>
  <c r="U81" i="7"/>
  <c r="U80"/>
  <c r="U79"/>
  <c r="U78"/>
  <c r="T78"/>
  <c r="T79" s="1"/>
  <c r="T80" s="1"/>
  <c r="T81" s="1"/>
  <c r="U76"/>
  <c r="U75"/>
  <c r="U74"/>
  <c r="U73"/>
  <c r="U72"/>
  <c r="T72"/>
  <c r="T73" s="1"/>
  <c r="T74" s="1"/>
  <c r="T75" s="1"/>
  <c r="T76" s="1"/>
  <c r="U70"/>
  <c r="T70"/>
  <c r="U69"/>
  <c r="T69"/>
  <c r="U68"/>
  <c r="T68"/>
  <c r="U67"/>
  <c r="T67"/>
  <c r="S67"/>
  <c r="S72" s="1"/>
  <c r="R67"/>
  <c r="R72" s="1"/>
  <c r="U65"/>
  <c r="U64"/>
  <c r="U63"/>
  <c r="S63"/>
  <c r="S64" s="1"/>
  <c r="S65" s="1"/>
  <c r="R63"/>
  <c r="R64" s="1"/>
  <c r="R65" s="1"/>
  <c r="U62"/>
  <c r="F70"/>
  <c r="F78"/>
  <c r="F72"/>
  <c r="F73" s="1"/>
  <c r="F74" s="1"/>
  <c r="F75" s="1"/>
  <c r="F69"/>
  <c r="F68"/>
  <c r="C43"/>
  <c r="C44"/>
  <c r="C45"/>
  <c r="C46"/>
  <c r="C42"/>
  <c r="G133" i="58"/>
  <c r="H115"/>
  <c r="H116"/>
  <c r="H114"/>
  <c r="H117"/>
  <c r="H118"/>
  <c r="H119"/>
  <c r="H120"/>
  <c r="H121"/>
  <c r="H122"/>
  <c r="H123"/>
  <c r="H124"/>
  <c r="H125"/>
  <c r="H133" s="1"/>
  <c r="C133"/>
  <c r="D133"/>
  <c r="C132"/>
  <c r="D132"/>
  <c r="G132"/>
  <c r="H132"/>
  <c r="C131"/>
  <c r="D131"/>
  <c r="G131"/>
  <c r="H131"/>
  <c r="C130"/>
  <c r="D130"/>
  <c r="G130"/>
  <c r="H130"/>
  <c r="C129"/>
  <c r="D129"/>
  <c r="G129"/>
  <c r="H129"/>
  <c r="F18" i="63"/>
  <c r="H18" s="1"/>
  <c r="I18" s="1"/>
  <c r="L18" s="1"/>
  <c r="F16"/>
  <c r="G16"/>
  <c r="H16"/>
  <c r="I16"/>
  <c r="J16"/>
  <c r="K16"/>
  <c r="L16"/>
  <c r="E16"/>
  <c r="F12"/>
  <c r="H12" s="1"/>
  <c r="I12" s="1"/>
  <c r="E177" i="69"/>
  <c r="F177"/>
  <c r="G177"/>
  <c r="H177"/>
  <c r="I177"/>
  <c r="J177"/>
  <c r="K177"/>
  <c r="L177"/>
  <c r="M177"/>
  <c r="N177"/>
  <c r="O177"/>
  <c r="P177"/>
  <c r="Q177"/>
  <c r="R177"/>
  <c r="S177"/>
  <c r="T177"/>
  <c r="E178"/>
  <c r="F178"/>
  <c r="G178"/>
  <c r="H178"/>
  <c r="I178"/>
  <c r="J178"/>
  <c r="K178"/>
  <c r="L178"/>
  <c r="M178"/>
  <c r="N178"/>
  <c r="O178"/>
  <c r="P178"/>
  <c r="Q178"/>
  <c r="R178"/>
  <c r="S178"/>
  <c r="T178"/>
  <c r="E179"/>
  <c r="F179"/>
  <c r="G179"/>
  <c r="H179"/>
  <c r="I179"/>
  <c r="J179"/>
  <c r="K179"/>
  <c r="L179"/>
  <c r="M179"/>
  <c r="N179"/>
  <c r="O179"/>
  <c r="P179"/>
  <c r="Q179"/>
  <c r="R179"/>
  <c r="S179"/>
  <c r="T179"/>
  <c r="E180"/>
  <c r="F180"/>
  <c r="G180"/>
  <c r="H180"/>
  <c r="I180"/>
  <c r="J180"/>
  <c r="K180"/>
  <c r="L180"/>
  <c r="M180"/>
  <c r="N180"/>
  <c r="O180"/>
  <c r="P180"/>
  <c r="Q180"/>
  <c r="R180"/>
  <c r="S180"/>
  <c r="T180"/>
  <c r="E181"/>
  <c r="F181"/>
  <c r="G181"/>
  <c r="H181"/>
  <c r="I181"/>
  <c r="J181"/>
  <c r="K181"/>
  <c r="L181"/>
  <c r="M181"/>
  <c r="N181"/>
  <c r="O181"/>
  <c r="P181"/>
  <c r="Q181"/>
  <c r="R181"/>
  <c r="S181"/>
  <c r="T181"/>
  <c r="E182"/>
  <c r="F182"/>
  <c r="G182"/>
  <c r="H182"/>
  <c r="I182"/>
  <c r="J182"/>
  <c r="K182"/>
  <c r="L182"/>
  <c r="M182"/>
  <c r="N182"/>
  <c r="O182"/>
  <c r="P182"/>
  <c r="Q182"/>
  <c r="R182"/>
  <c r="S182"/>
  <c r="T182"/>
  <c r="E183"/>
  <c r="F183"/>
  <c r="G183"/>
  <c r="H183"/>
  <c r="I183"/>
  <c r="J183"/>
  <c r="K183"/>
  <c r="L183"/>
  <c r="M183"/>
  <c r="N183"/>
  <c r="O183"/>
  <c r="P183"/>
  <c r="Q183"/>
  <c r="R183"/>
  <c r="S183"/>
  <c r="T183"/>
  <c r="E184"/>
  <c r="F184"/>
  <c r="G184"/>
  <c r="H184"/>
  <c r="I184"/>
  <c r="J184"/>
  <c r="K184"/>
  <c r="L184"/>
  <c r="M184"/>
  <c r="N184"/>
  <c r="O184"/>
  <c r="P184"/>
  <c r="Q184"/>
  <c r="R184"/>
  <c r="S184"/>
  <c r="T184"/>
  <c r="F176"/>
  <c r="E176"/>
  <c r="T176"/>
  <c r="S176"/>
  <c r="R176"/>
  <c r="Q176"/>
  <c r="P176"/>
  <c r="O176"/>
  <c r="N176"/>
  <c r="M176"/>
  <c r="L176"/>
  <c r="K176"/>
  <c r="J176"/>
  <c r="I176"/>
  <c r="H176"/>
  <c r="G176"/>
  <c r="C184"/>
  <c r="C183"/>
  <c r="C182"/>
  <c r="C181"/>
  <c r="C180"/>
  <c r="C179"/>
  <c r="C178"/>
  <c r="C177"/>
  <c r="C176"/>
  <c r="HP184"/>
  <c r="HO184"/>
  <c r="HN184"/>
  <c r="HM184"/>
  <c r="CR184"/>
  <c r="CQ184"/>
  <c r="CP184"/>
  <c r="CO184"/>
  <c r="BN184"/>
  <c r="BK184"/>
  <c r="BI184"/>
  <c r="BG184"/>
  <c r="BE184"/>
  <c r="AU184"/>
  <c r="AS184"/>
  <c r="AQ184"/>
  <c r="AO184"/>
  <c r="AM184"/>
  <c r="HP183"/>
  <c r="HO183"/>
  <c r="HN183"/>
  <c r="HM183"/>
  <c r="CR183"/>
  <c r="CQ183"/>
  <c r="CP183"/>
  <c r="CO183"/>
  <c r="BN183"/>
  <c r="BK183"/>
  <c r="BI183"/>
  <c r="BG183"/>
  <c r="BE183"/>
  <c r="AU183"/>
  <c r="AS183"/>
  <c r="AQ183"/>
  <c r="AO183"/>
  <c r="AM183"/>
  <c r="HP182"/>
  <c r="HO182"/>
  <c r="HN182"/>
  <c r="HM182"/>
  <c r="CR182"/>
  <c r="CQ182"/>
  <c r="CP182"/>
  <c r="CO182"/>
  <c r="BN182"/>
  <c r="BK182"/>
  <c r="BI182"/>
  <c r="BG182"/>
  <c r="BE182"/>
  <c r="AU182"/>
  <c r="AS182"/>
  <c r="AQ182"/>
  <c r="AO182"/>
  <c r="AM182"/>
  <c r="HP181"/>
  <c r="HO181"/>
  <c r="HN181"/>
  <c r="HM181"/>
  <c r="CR181"/>
  <c r="CQ181"/>
  <c r="CP181"/>
  <c r="CO181"/>
  <c r="BN181"/>
  <c r="BK181"/>
  <c r="BI181"/>
  <c r="BG181"/>
  <c r="BE181"/>
  <c r="AU181"/>
  <c r="AS181"/>
  <c r="AQ181"/>
  <c r="AO181"/>
  <c r="AM181"/>
  <c r="HP180"/>
  <c r="HO180"/>
  <c r="HN180"/>
  <c r="HM180"/>
  <c r="CR180"/>
  <c r="CQ180"/>
  <c r="CP180"/>
  <c r="CO180"/>
  <c r="BN180"/>
  <c r="BK180"/>
  <c r="BI180"/>
  <c r="BG180"/>
  <c r="BE180"/>
  <c r="AU180"/>
  <c r="AS180"/>
  <c r="AQ180"/>
  <c r="AO180"/>
  <c r="AM180"/>
  <c r="HP179"/>
  <c r="HO179"/>
  <c r="HN179"/>
  <c r="HM179"/>
  <c r="CR179"/>
  <c r="CQ179"/>
  <c r="CP179"/>
  <c r="CO179"/>
  <c r="BN179"/>
  <c r="BK179"/>
  <c r="BI179"/>
  <c r="BG179"/>
  <c r="BE179"/>
  <c r="AU179"/>
  <c r="AS179"/>
  <c r="AQ179"/>
  <c r="AO179"/>
  <c r="AM179"/>
  <c r="HP178"/>
  <c r="HO178"/>
  <c r="HN178"/>
  <c r="HM178"/>
  <c r="CR178"/>
  <c r="CQ178"/>
  <c r="CP178"/>
  <c r="CO178"/>
  <c r="BN178"/>
  <c r="BK178"/>
  <c r="BI178"/>
  <c r="BG178"/>
  <c r="BE178"/>
  <c r="AU178"/>
  <c r="AS178"/>
  <c r="AQ178"/>
  <c r="AO178"/>
  <c r="AM178"/>
  <c r="HP177"/>
  <c r="HO177"/>
  <c r="HN177"/>
  <c r="HM177"/>
  <c r="CR177"/>
  <c r="CQ177"/>
  <c r="CP177"/>
  <c r="CO177"/>
  <c r="BN177"/>
  <c r="BK177"/>
  <c r="BI177"/>
  <c r="BG177"/>
  <c r="BE177"/>
  <c r="AU177"/>
  <c r="AS177"/>
  <c r="AQ177"/>
  <c r="AO177"/>
  <c r="AM177"/>
  <c r="HP176"/>
  <c r="HO176"/>
  <c r="HN176"/>
  <c r="HM176"/>
  <c r="CR176"/>
  <c r="CQ176"/>
  <c r="CP176"/>
  <c r="CO176"/>
  <c r="BN176"/>
  <c r="BK176"/>
  <c r="BI176"/>
  <c r="BG176"/>
  <c r="BE176"/>
  <c r="AU176"/>
  <c r="AS176"/>
  <c r="AQ176"/>
  <c r="AO176"/>
  <c r="AM176"/>
  <c r="B175"/>
  <c r="E139" i="63"/>
  <c r="E138"/>
  <c r="E137"/>
  <c r="E134"/>
  <c r="E133"/>
  <c r="E132"/>
  <c r="E131"/>
  <c r="E56"/>
  <c r="F56"/>
  <c r="G56"/>
  <c r="H56"/>
  <c r="I56"/>
  <c r="J56"/>
  <c r="K56"/>
  <c r="L56"/>
  <c r="D56"/>
  <c r="S79" i="64"/>
  <c r="S80"/>
  <c r="S81"/>
  <c r="S82"/>
  <c r="S83"/>
  <c r="S84"/>
  <c r="S78"/>
  <c r="Y9"/>
  <c r="Y10"/>
  <c r="Y11"/>
  <c r="Y12"/>
  <c r="Y13"/>
  <c r="Y14"/>
  <c r="Y8"/>
  <c r="F172" i="69"/>
  <c r="E172"/>
  <c r="F171"/>
  <c r="E171"/>
  <c r="F170"/>
  <c r="E170"/>
  <c r="E169"/>
  <c r="E168"/>
  <c r="B7" i="62"/>
  <c r="B8"/>
  <c r="B9"/>
  <c r="B10"/>
  <c r="B11"/>
  <c r="B12"/>
  <c r="B13"/>
  <c r="B14"/>
  <c r="B15"/>
  <c r="B16"/>
  <c r="B17"/>
  <c r="B18"/>
  <c r="B19"/>
  <c r="B20"/>
  <c r="B21"/>
  <c r="B22"/>
  <c r="B23"/>
  <c r="B24"/>
  <c r="B25"/>
  <c r="B26"/>
  <c r="B27"/>
  <c r="B28"/>
  <c r="B29"/>
  <c r="B30"/>
  <c r="B31"/>
  <c r="B32"/>
  <c r="B33"/>
  <c r="B34"/>
  <c r="B35"/>
  <c r="B36"/>
  <c r="B37"/>
  <c r="B38"/>
  <c r="B39"/>
  <c r="B40"/>
  <c r="B41"/>
  <c r="B42"/>
  <c r="B43"/>
  <c r="B44"/>
  <c r="B45"/>
  <c r="B46"/>
  <c r="B47"/>
  <c r="B48"/>
  <c r="B49"/>
  <c r="B50"/>
  <c r="B51"/>
  <c r="B52"/>
  <c r="B53"/>
  <c r="B54"/>
  <c r="B55"/>
  <c r="B56"/>
  <c r="B57"/>
  <c r="B58"/>
  <c r="B59"/>
  <c r="B60"/>
  <c r="B61"/>
  <c r="B62"/>
  <c r="B63"/>
  <c r="B64"/>
  <c r="B65"/>
  <c r="B66"/>
  <c r="B67"/>
  <c r="B68"/>
  <c r="B69"/>
  <c r="B70"/>
  <c r="B71"/>
  <c r="B72"/>
  <c r="B73"/>
  <c r="B74"/>
  <c r="B75"/>
  <c r="B76"/>
  <c r="B77"/>
  <c r="B78"/>
  <c r="B79"/>
  <c r="B80"/>
  <c r="B81"/>
  <c r="B82"/>
  <c r="B83"/>
  <c r="B84"/>
  <c r="B85"/>
  <c r="B86"/>
  <c r="B87"/>
  <c r="B88"/>
  <c r="B89"/>
  <c r="B90"/>
  <c r="B91"/>
  <c r="B92"/>
  <c r="B93"/>
  <c r="B94"/>
  <c r="B95"/>
  <c r="B96"/>
  <c r="B97"/>
  <c r="B98"/>
  <c r="B99"/>
  <c r="B100"/>
  <c r="B101"/>
  <c r="B102"/>
  <c r="B103"/>
  <c r="B104"/>
  <c r="B105"/>
  <c r="B106"/>
  <c r="B107"/>
  <c r="B108"/>
  <c r="B109"/>
  <c r="B110"/>
  <c r="B111"/>
  <c r="B112"/>
  <c r="B113"/>
  <c r="B114"/>
  <c r="B115"/>
  <c r="B116"/>
  <c r="B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287"/>
  <c r="B288"/>
  <c r="B289"/>
  <c r="B290"/>
  <c r="B291"/>
  <c r="B292"/>
  <c r="B293"/>
  <c r="B294"/>
  <c r="B295"/>
  <c r="B296"/>
  <c r="E162" i="69"/>
  <c r="F162"/>
  <c r="G162"/>
  <c r="H162"/>
  <c r="I162"/>
  <c r="J162"/>
  <c r="K162"/>
  <c r="L162"/>
  <c r="M162"/>
  <c r="E163"/>
  <c r="F163"/>
  <c r="G163"/>
  <c r="H163"/>
  <c r="I163"/>
  <c r="J163"/>
  <c r="K163"/>
  <c r="L163"/>
  <c r="M163"/>
  <c r="E164"/>
  <c r="F164"/>
  <c r="G164"/>
  <c r="H164"/>
  <c r="I164"/>
  <c r="J164"/>
  <c r="K164"/>
  <c r="L164"/>
  <c r="M164"/>
  <c r="E165"/>
  <c r="F165"/>
  <c r="G165"/>
  <c r="H165"/>
  <c r="I165"/>
  <c r="J165"/>
  <c r="K165"/>
  <c r="L165"/>
  <c r="M165"/>
  <c r="G161"/>
  <c r="F161"/>
  <c r="E161"/>
  <c r="M161"/>
  <c r="L161"/>
  <c r="K161"/>
  <c r="J161"/>
  <c r="I161"/>
  <c r="H161"/>
  <c r="E157"/>
  <c r="E155"/>
  <c r="F155"/>
  <c r="G155"/>
  <c r="H155"/>
  <c r="I155"/>
  <c r="J155"/>
  <c r="K155"/>
  <c r="L155"/>
  <c r="M155"/>
  <c r="N155"/>
  <c r="O155"/>
  <c r="P155"/>
  <c r="Q155"/>
  <c r="R155"/>
  <c r="S155"/>
  <c r="T155"/>
  <c r="E156"/>
  <c r="F156"/>
  <c r="G156"/>
  <c r="H156"/>
  <c r="I156"/>
  <c r="J156"/>
  <c r="K156"/>
  <c r="L156"/>
  <c r="M156"/>
  <c r="N156"/>
  <c r="O156"/>
  <c r="P156"/>
  <c r="Q156"/>
  <c r="R156"/>
  <c r="S156"/>
  <c r="T156"/>
  <c r="E158"/>
  <c r="F158"/>
  <c r="G158"/>
  <c r="H158"/>
  <c r="I158"/>
  <c r="J158"/>
  <c r="K158"/>
  <c r="L158"/>
  <c r="M158"/>
  <c r="N158"/>
  <c r="O158"/>
  <c r="P158"/>
  <c r="Q158"/>
  <c r="R158"/>
  <c r="S158"/>
  <c r="T158"/>
  <c r="T154"/>
  <c r="S154"/>
  <c r="R154"/>
  <c r="Q154"/>
  <c r="P154"/>
  <c r="O154"/>
  <c r="N154"/>
  <c r="M154"/>
  <c r="L154"/>
  <c r="K154"/>
  <c r="J154"/>
  <c r="I154"/>
  <c r="H154"/>
  <c r="G154"/>
  <c r="F154"/>
  <c r="E154"/>
  <c r="E148"/>
  <c r="F148"/>
  <c r="G148"/>
  <c r="H148"/>
  <c r="I148"/>
  <c r="J148"/>
  <c r="K148"/>
  <c r="L148"/>
  <c r="M148"/>
  <c r="N148"/>
  <c r="O148"/>
  <c r="P148"/>
  <c r="Q148"/>
  <c r="E149"/>
  <c r="F149"/>
  <c r="G149"/>
  <c r="H149"/>
  <c r="I149"/>
  <c r="J149"/>
  <c r="K149"/>
  <c r="L149"/>
  <c r="M149"/>
  <c r="N149"/>
  <c r="O149"/>
  <c r="P149"/>
  <c r="Q149"/>
  <c r="E150"/>
  <c r="F150"/>
  <c r="G150"/>
  <c r="H150"/>
  <c r="I150"/>
  <c r="J150"/>
  <c r="K150"/>
  <c r="L150"/>
  <c r="M150"/>
  <c r="N150"/>
  <c r="O150"/>
  <c r="P150"/>
  <c r="Q150"/>
  <c r="E151"/>
  <c r="F151"/>
  <c r="G151"/>
  <c r="H151"/>
  <c r="I151"/>
  <c r="J151"/>
  <c r="K151"/>
  <c r="L151"/>
  <c r="M151"/>
  <c r="N151"/>
  <c r="O151"/>
  <c r="P151"/>
  <c r="Q151"/>
  <c r="F147"/>
  <c r="AA147" s="1"/>
  <c r="E147"/>
  <c r="Q147"/>
  <c r="P147"/>
  <c r="O147"/>
  <c r="N147"/>
  <c r="M147"/>
  <c r="L147"/>
  <c r="K147"/>
  <c r="J147"/>
  <c r="I147"/>
  <c r="H147"/>
  <c r="G147"/>
  <c r="E144"/>
  <c r="F144"/>
  <c r="G144"/>
  <c r="H144"/>
  <c r="I144"/>
  <c r="J144"/>
  <c r="K144"/>
  <c r="L144"/>
  <c r="M144"/>
  <c r="N144"/>
  <c r="O144"/>
  <c r="O143"/>
  <c r="N143"/>
  <c r="M143"/>
  <c r="L143"/>
  <c r="K143"/>
  <c r="J143"/>
  <c r="I143"/>
  <c r="H143"/>
  <c r="G143"/>
  <c r="F143"/>
  <c r="E143"/>
  <c r="K141"/>
  <c r="J141"/>
  <c r="I141"/>
  <c r="K137"/>
  <c r="J137"/>
  <c r="I137"/>
  <c r="K136"/>
  <c r="J136"/>
  <c r="I136"/>
  <c r="K135"/>
  <c r="J135"/>
  <c r="I135"/>
  <c r="K134"/>
  <c r="J134"/>
  <c r="I134"/>
  <c r="K133"/>
  <c r="J133"/>
  <c r="I133"/>
  <c r="K126"/>
  <c r="K128"/>
  <c r="K129"/>
  <c r="K130"/>
  <c r="J130"/>
  <c r="I130"/>
  <c r="J129"/>
  <c r="I129"/>
  <c r="J128"/>
  <c r="I128"/>
  <c r="F126"/>
  <c r="E126"/>
  <c r="J126"/>
  <c r="I126"/>
  <c r="H126"/>
  <c r="G126"/>
  <c r="L62" i="61"/>
  <c r="HP172" i="69"/>
  <c r="HO172"/>
  <c r="HN172"/>
  <c r="HM172"/>
  <c r="HL172"/>
  <c r="HK172"/>
  <c r="HJ172"/>
  <c r="HI172"/>
  <c r="HH172"/>
  <c r="HG172"/>
  <c r="HF172"/>
  <c r="HE172"/>
  <c r="HD172"/>
  <c r="HC172"/>
  <c r="HB172"/>
  <c r="HA172"/>
  <c r="HP171"/>
  <c r="HO171"/>
  <c r="HN171"/>
  <c r="HM171"/>
  <c r="HL171"/>
  <c r="HK171"/>
  <c r="HJ171"/>
  <c r="HI171"/>
  <c r="HH171"/>
  <c r="HG171"/>
  <c r="HF171"/>
  <c r="HE171"/>
  <c r="HD171"/>
  <c r="HC171"/>
  <c r="HB171"/>
  <c r="HA171"/>
  <c r="HP170"/>
  <c r="HO170"/>
  <c r="HN170"/>
  <c r="HM170"/>
  <c r="HL170"/>
  <c r="HK170"/>
  <c r="HJ170"/>
  <c r="HI170"/>
  <c r="HH170"/>
  <c r="HG170"/>
  <c r="HF170"/>
  <c r="HE170"/>
  <c r="HD170"/>
  <c r="HC170"/>
  <c r="HB170"/>
  <c r="HA170"/>
  <c r="HP169"/>
  <c r="HO169"/>
  <c r="HN169"/>
  <c r="HM169"/>
  <c r="HL169"/>
  <c r="HK169"/>
  <c r="HJ169"/>
  <c r="HI169"/>
  <c r="HH169"/>
  <c r="HG169"/>
  <c r="HF169"/>
  <c r="HE169"/>
  <c r="HD169"/>
  <c r="HC169"/>
  <c r="HB169"/>
  <c r="HA169"/>
  <c r="HP168"/>
  <c r="HO168"/>
  <c r="HN168"/>
  <c r="HM168"/>
  <c r="HL168"/>
  <c r="HK168"/>
  <c r="HJ168"/>
  <c r="HI168"/>
  <c r="HH168"/>
  <c r="HG168"/>
  <c r="HF168"/>
  <c r="HE168"/>
  <c r="HD168"/>
  <c r="HC168"/>
  <c r="HB168"/>
  <c r="HA168"/>
  <c r="HP165"/>
  <c r="HO165"/>
  <c r="HN165"/>
  <c r="HM165"/>
  <c r="HL165"/>
  <c r="HK165"/>
  <c r="HJ165"/>
  <c r="HI165"/>
  <c r="HH165"/>
  <c r="HG165"/>
  <c r="HF165"/>
  <c r="HP164"/>
  <c r="HO164"/>
  <c r="HN164"/>
  <c r="HM164"/>
  <c r="HL164"/>
  <c r="HK164"/>
  <c r="HJ164"/>
  <c r="HI164"/>
  <c r="HH164"/>
  <c r="HG164"/>
  <c r="HF164"/>
  <c r="HP163"/>
  <c r="HO163"/>
  <c r="HN163"/>
  <c r="HM163"/>
  <c r="HL163"/>
  <c r="HK163"/>
  <c r="HJ163"/>
  <c r="HI163"/>
  <c r="HH163"/>
  <c r="HG163"/>
  <c r="HF163"/>
  <c r="HP162"/>
  <c r="HO162"/>
  <c r="HN162"/>
  <c r="HM162"/>
  <c r="HL162"/>
  <c r="HK162"/>
  <c r="HJ162"/>
  <c r="HI162"/>
  <c r="HH162"/>
  <c r="HG162"/>
  <c r="HF162"/>
  <c r="HP161"/>
  <c r="HO161"/>
  <c r="HN161"/>
  <c r="HM161"/>
  <c r="HL161"/>
  <c r="HK161"/>
  <c r="HJ161"/>
  <c r="HI161"/>
  <c r="HH161"/>
  <c r="HG161"/>
  <c r="HF161"/>
  <c r="HP158"/>
  <c r="HO158"/>
  <c r="HN158"/>
  <c r="HM158"/>
  <c r="HP157"/>
  <c r="HO157"/>
  <c r="HN157"/>
  <c r="HM157"/>
  <c r="HL157"/>
  <c r="HK157"/>
  <c r="HJ157"/>
  <c r="HI157"/>
  <c r="HH157"/>
  <c r="HG157"/>
  <c r="HF157"/>
  <c r="HE157"/>
  <c r="HD157"/>
  <c r="HC157"/>
  <c r="HB157"/>
  <c r="HA157"/>
  <c r="HP156"/>
  <c r="HO156"/>
  <c r="HN156"/>
  <c r="HM156"/>
  <c r="HP155"/>
  <c r="HO155"/>
  <c r="HN155"/>
  <c r="HM155"/>
  <c r="HP154"/>
  <c r="HO154"/>
  <c r="HN154"/>
  <c r="HM154"/>
  <c r="HP151"/>
  <c r="HO151"/>
  <c r="HN151"/>
  <c r="HM151"/>
  <c r="HL151"/>
  <c r="HK151"/>
  <c r="HJ151"/>
  <c r="HP150"/>
  <c r="HO150"/>
  <c r="HN150"/>
  <c r="HM150"/>
  <c r="HL150"/>
  <c r="HK150"/>
  <c r="HJ150"/>
  <c r="HP149"/>
  <c r="HO149"/>
  <c r="HN149"/>
  <c r="HM149"/>
  <c r="HL149"/>
  <c r="HK149"/>
  <c r="HJ149"/>
  <c r="HP148"/>
  <c r="HO148"/>
  <c r="HN148"/>
  <c r="HM148"/>
  <c r="HL148"/>
  <c r="HK148"/>
  <c r="HJ148"/>
  <c r="HP147"/>
  <c r="HO147"/>
  <c r="HN147"/>
  <c r="HM147"/>
  <c r="HL147"/>
  <c r="HK147"/>
  <c r="HJ147"/>
  <c r="HP144"/>
  <c r="HO144"/>
  <c r="HN144"/>
  <c r="HM144"/>
  <c r="HL144"/>
  <c r="HK144"/>
  <c r="HJ144"/>
  <c r="HI144"/>
  <c r="HH144"/>
  <c r="HP143"/>
  <c r="HO143"/>
  <c r="HN143"/>
  <c r="HM143"/>
  <c r="HL143"/>
  <c r="HK143"/>
  <c r="HJ143"/>
  <c r="HI143"/>
  <c r="HH143"/>
  <c r="HP142"/>
  <c r="HO142"/>
  <c r="HN142"/>
  <c r="HM142"/>
  <c r="HL142"/>
  <c r="HK142"/>
  <c r="HJ142"/>
  <c r="HI142"/>
  <c r="HH142"/>
  <c r="HG142"/>
  <c r="HF142"/>
  <c r="HE142"/>
  <c r="HD142"/>
  <c r="HC142"/>
  <c r="HB142"/>
  <c r="HA142"/>
  <c r="HP141"/>
  <c r="HO141"/>
  <c r="HN141"/>
  <c r="HM141"/>
  <c r="HL141"/>
  <c r="HK141"/>
  <c r="HJ141"/>
  <c r="HI141"/>
  <c r="HH141"/>
  <c r="HG141"/>
  <c r="HF141"/>
  <c r="HE141"/>
  <c r="HD141"/>
  <c r="HP140"/>
  <c r="HO140"/>
  <c r="HN140"/>
  <c r="HM140"/>
  <c r="HL140"/>
  <c r="HK140"/>
  <c r="HJ140"/>
  <c r="HI140"/>
  <c r="HH140"/>
  <c r="HG140"/>
  <c r="HF140"/>
  <c r="HE140"/>
  <c r="HD140"/>
  <c r="HC140"/>
  <c r="HB140"/>
  <c r="HA140"/>
  <c r="HP137"/>
  <c r="HO137"/>
  <c r="HN137"/>
  <c r="HM137"/>
  <c r="HL137"/>
  <c r="HK137"/>
  <c r="HJ137"/>
  <c r="HI137"/>
  <c r="HH137"/>
  <c r="HG137"/>
  <c r="HF137"/>
  <c r="HE137"/>
  <c r="HD137"/>
  <c r="HP136"/>
  <c r="HO136"/>
  <c r="HN136"/>
  <c r="HM136"/>
  <c r="HL136"/>
  <c r="HK136"/>
  <c r="HJ136"/>
  <c r="HI136"/>
  <c r="HH136"/>
  <c r="HG136"/>
  <c r="HF136"/>
  <c r="HE136"/>
  <c r="HD136"/>
  <c r="HP135"/>
  <c r="HO135"/>
  <c r="HN135"/>
  <c r="HM135"/>
  <c r="HL135"/>
  <c r="HK135"/>
  <c r="HJ135"/>
  <c r="HI135"/>
  <c r="HH135"/>
  <c r="HG135"/>
  <c r="HF135"/>
  <c r="HE135"/>
  <c r="HD135"/>
  <c r="HP134"/>
  <c r="HO134"/>
  <c r="HN134"/>
  <c r="HM134"/>
  <c r="HL134"/>
  <c r="HK134"/>
  <c r="HJ134"/>
  <c r="HI134"/>
  <c r="HH134"/>
  <c r="HG134"/>
  <c r="HF134"/>
  <c r="HE134"/>
  <c r="HD134"/>
  <c r="HP133"/>
  <c r="HO133"/>
  <c r="HN133"/>
  <c r="HM133"/>
  <c r="HL133"/>
  <c r="HK133"/>
  <c r="HJ133"/>
  <c r="HI133"/>
  <c r="HH133"/>
  <c r="HG133"/>
  <c r="HF133"/>
  <c r="HE133"/>
  <c r="HD133"/>
  <c r="HP130"/>
  <c r="HO130"/>
  <c r="HN130"/>
  <c r="HM130"/>
  <c r="HL130"/>
  <c r="HK130"/>
  <c r="HJ130"/>
  <c r="HI130"/>
  <c r="HH130"/>
  <c r="HG130"/>
  <c r="HF130"/>
  <c r="HE130"/>
  <c r="HD130"/>
  <c r="HP129"/>
  <c r="HO129"/>
  <c r="HN129"/>
  <c r="HM129"/>
  <c r="HL129"/>
  <c r="HK129"/>
  <c r="HJ129"/>
  <c r="HI129"/>
  <c r="HH129"/>
  <c r="HG129"/>
  <c r="HF129"/>
  <c r="HE129"/>
  <c r="HD129"/>
  <c r="HP128"/>
  <c r="HO128"/>
  <c r="HN128"/>
  <c r="HM128"/>
  <c r="HL128"/>
  <c r="HK128"/>
  <c r="HJ128"/>
  <c r="HI128"/>
  <c r="HH128"/>
  <c r="HG128"/>
  <c r="HF128"/>
  <c r="HE128"/>
  <c r="HD128"/>
  <c r="HP127"/>
  <c r="HO127"/>
  <c r="HN127"/>
  <c r="HM127"/>
  <c r="HL127"/>
  <c r="HK127"/>
  <c r="HJ127"/>
  <c r="HI127"/>
  <c r="HH127"/>
  <c r="HG127"/>
  <c r="HF127"/>
  <c r="HE127"/>
  <c r="HD127"/>
  <c r="HC127"/>
  <c r="HB127"/>
  <c r="HA127"/>
  <c r="HP126"/>
  <c r="HO126"/>
  <c r="HN126"/>
  <c r="HM126"/>
  <c r="HL126"/>
  <c r="HK126"/>
  <c r="HJ126"/>
  <c r="HI126"/>
  <c r="HH126"/>
  <c r="HG126"/>
  <c r="HF126"/>
  <c r="HE126"/>
  <c r="HD126"/>
  <c r="HP123"/>
  <c r="HO123"/>
  <c r="HN123"/>
  <c r="HM123"/>
  <c r="HL123"/>
  <c r="HK123"/>
  <c r="HJ123"/>
  <c r="HI123"/>
  <c r="HH123"/>
  <c r="HG123"/>
  <c r="HF123"/>
  <c r="HE123"/>
  <c r="HD123"/>
  <c r="HC123"/>
  <c r="HB123"/>
  <c r="HA123"/>
  <c r="HP122"/>
  <c r="HO122"/>
  <c r="HN122"/>
  <c r="HM122"/>
  <c r="HL122"/>
  <c r="HK122"/>
  <c r="HJ122"/>
  <c r="HI122"/>
  <c r="HH122"/>
  <c r="HG122"/>
  <c r="HF122"/>
  <c r="HE122"/>
  <c r="HD122"/>
  <c r="HC122"/>
  <c r="HB122"/>
  <c r="HA122"/>
  <c r="HP121"/>
  <c r="HO121"/>
  <c r="HN121"/>
  <c r="HM121"/>
  <c r="HL121"/>
  <c r="HK121"/>
  <c r="HJ121"/>
  <c r="HI121"/>
  <c r="HH121"/>
  <c r="HG121"/>
  <c r="HF121"/>
  <c r="HE121"/>
  <c r="HD121"/>
  <c r="HC121"/>
  <c r="HB121"/>
  <c r="HA121"/>
  <c r="HP120"/>
  <c r="HO120"/>
  <c r="HN120"/>
  <c r="HM120"/>
  <c r="HL120"/>
  <c r="HK120"/>
  <c r="HJ120"/>
  <c r="HI120"/>
  <c r="HH120"/>
  <c r="HG120"/>
  <c r="HF120"/>
  <c r="HE120"/>
  <c r="HD120"/>
  <c r="HC120"/>
  <c r="HB120"/>
  <c r="HA120"/>
  <c r="HP119"/>
  <c r="HO119"/>
  <c r="HN119"/>
  <c r="HM119"/>
  <c r="HL119"/>
  <c r="HK119"/>
  <c r="HJ119"/>
  <c r="HI119"/>
  <c r="HH119"/>
  <c r="HG119"/>
  <c r="HF119"/>
  <c r="HE119"/>
  <c r="HD119"/>
  <c r="HC119"/>
  <c r="HB119"/>
  <c r="HA119"/>
  <c r="CR172"/>
  <c r="CQ172"/>
  <c r="CP172"/>
  <c r="CO172"/>
  <c r="CN172"/>
  <c r="CM172"/>
  <c r="CL172"/>
  <c r="CK172"/>
  <c r="CJ172"/>
  <c r="CI172"/>
  <c r="CH172"/>
  <c r="CG172"/>
  <c r="CF172"/>
  <c r="CE172"/>
  <c r="CD172"/>
  <c r="CC172"/>
  <c r="BN172"/>
  <c r="BK172"/>
  <c r="BI172"/>
  <c r="BG172"/>
  <c r="BE172"/>
  <c r="BC172"/>
  <c r="BA172"/>
  <c r="AY172"/>
  <c r="AW172"/>
  <c r="AU172"/>
  <c r="AS172"/>
  <c r="AQ172"/>
  <c r="AO172"/>
  <c r="AM172"/>
  <c r="AK172"/>
  <c r="AI172"/>
  <c r="AG172"/>
  <c r="AE172"/>
  <c r="C172"/>
  <c r="CR171"/>
  <c r="CQ171"/>
  <c r="CP171"/>
  <c r="CO171"/>
  <c r="CN171"/>
  <c r="CM171"/>
  <c r="CL171"/>
  <c r="CK171"/>
  <c r="CJ171"/>
  <c r="CI171"/>
  <c r="CH171"/>
  <c r="CG171"/>
  <c r="CF171"/>
  <c r="CE171"/>
  <c r="CD171"/>
  <c r="CC171"/>
  <c r="BN171"/>
  <c r="BK171"/>
  <c r="BI171"/>
  <c r="BG171"/>
  <c r="BE171"/>
  <c r="BC171"/>
  <c r="BA171"/>
  <c r="AY171"/>
  <c r="AW171"/>
  <c r="AU171"/>
  <c r="AS171"/>
  <c r="AQ171"/>
  <c r="AO171"/>
  <c r="AM171"/>
  <c r="AK171"/>
  <c r="AI171"/>
  <c r="AG171"/>
  <c r="AC171"/>
  <c r="Y171"/>
  <c r="C171"/>
  <c r="CR170"/>
  <c r="CQ170"/>
  <c r="CP170"/>
  <c r="CO170"/>
  <c r="CN170"/>
  <c r="CM170"/>
  <c r="CL170"/>
  <c r="CK170"/>
  <c r="CJ170"/>
  <c r="CI170"/>
  <c r="CH170"/>
  <c r="CG170"/>
  <c r="CF170"/>
  <c r="CE170"/>
  <c r="CD170"/>
  <c r="CC170"/>
  <c r="BN170"/>
  <c r="BK170"/>
  <c r="BI170"/>
  <c r="BG170"/>
  <c r="BE170"/>
  <c r="BC170"/>
  <c r="BA170"/>
  <c r="AY170"/>
  <c r="AW170"/>
  <c r="AU170"/>
  <c r="AS170"/>
  <c r="AQ170"/>
  <c r="AO170"/>
  <c r="AM170"/>
  <c r="AK170"/>
  <c r="AI170"/>
  <c r="AG170"/>
  <c r="AE170"/>
  <c r="C170"/>
  <c r="CR169"/>
  <c r="CQ169"/>
  <c r="CP169"/>
  <c r="CO169"/>
  <c r="CN169"/>
  <c r="CM169"/>
  <c r="CL169"/>
  <c r="CK169"/>
  <c r="CJ169"/>
  <c r="CI169"/>
  <c r="CH169"/>
  <c r="CG169"/>
  <c r="CF169"/>
  <c r="CE169"/>
  <c r="CD169"/>
  <c r="CC169"/>
  <c r="BN169"/>
  <c r="BK169"/>
  <c r="BI169"/>
  <c r="BG169"/>
  <c r="BE169"/>
  <c r="BC169"/>
  <c r="BA169"/>
  <c r="AY169"/>
  <c r="AW169"/>
  <c r="AU169"/>
  <c r="AS169"/>
  <c r="AQ169"/>
  <c r="AO169"/>
  <c r="AM169"/>
  <c r="AK169"/>
  <c r="AI169"/>
  <c r="AG169"/>
  <c r="AC169"/>
  <c r="C169"/>
  <c r="CR168"/>
  <c r="CQ168"/>
  <c r="CP168"/>
  <c r="CO168"/>
  <c r="CN168"/>
  <c r="CM168"/>
  <c r="CL168"/>
  <c r="CK168"/>
  <c r="CJ168"/>
  <c r="CI168"/>
  <c r="CH168"/>
  <c r="CG168"/>
  <c r="CF168"/>
  <c r="CE168"/>
  <c r="CD168"/>
  <c r="CC168"/>
  <c r="BN168"/>
  <c r="BK168"/>
  <c r="BI168"/>
  <c r="BG168"/>
  <c r="BE168"/>
  <c r="BC168"/>
  <c r="BA168"/>
  <c r="AY168"/>
  <c r="AW168"/>
  <c r="AU168"/>
  <c r="AS168"/>
  <c r="AQ168"/>
  <c r="AO168"/>
  <c r="AM168"/>
  <c r="AK168"/>
  <c r="AI168"/>
  <c r="AG168"/>
  <c r="AC168"/>
  <c r="C168"/>
  <c r="B167"/>
  <c r="CR165"/>
  <c r="CQ165"/>
  <c r="CP165"/>
  <c r="CO165"/>
  <c r="CN165"/>
  <c r="CM165"/>
  <c r="CL165"/>
  <c r="CK165"/>
  <c r="CJ165"/>
  <c r="CI165"/>
  <c r="CH165"/>
  <c r="BN165"/>
  <c r="BK165"/>
  <c r="BI165"/>
  <c r="BG165"/>
  <c r="BE165"/>
  <c r="BC165"/>
  <c r="BA165"/>
  <c r="AY165"/>
  <c r="AW165"/>
  <c r="AU165"/>
  <c r="AS165"/>
  <c r="AQ165"/>
  <c r="AA165"/>
  <c r="C165"/>
  <c r="CR164"/>
  <c r="CQ164"/>
  <c r="CP164"/>
  <c r="CO164"/>
  <c r="CN164"/>
  <c r="CM164"/>
  <c r="CL164"/>
  <c r="CK164"/>
  <c r="CJ164"/>
  <c r="CI164"/>
  <c r="CH164"/>
  <c r="BN164"/>
  <c r="BK164"/>
  <c r="BI164"/>
  <c r="BG164"/>
  <c r="BE164"/>
  <c r="BC164"/>
  <c r="BA164"/>
  <c r="AY164"/>
  <c r="AW164"/>
  <c r="AU164"/>
  <c r="AS164"/>
  <c r="AQ164"/>
  <c r="AC164"/>
  <c r="Y164"/>
  <c r="C164"/>
  <c r="CR163"/>
  <c r="CQ163"/>
  <c r="CP163"/>
  <c r="CO163"/>
  <c r="CN163"/>
  <c r="CM163"/>
  <c r="CL163"/>
  <c r="CK163"/>
  <c r="CJ163"/>
  <c r="CI163"/>
  <c r="CH163"/>
  <c r="BN163"/>
  <c r="BK163"/>
  <c r="BI163"/>
  <c r="BG163"/>
  <c r="BE163"/>
  <c r="BC163"/>
  <c r="BA163"/>
  <c r="AY163"/>
  <c r="AW163"/>
  <c r="AU163"/>
  <c r="AS163"/>
  <c r="AQ163"/>
  <c r="AA163"/>
  <c r="C163"/>
  <c r="CR162"/>
  <c r="CQ162"/>
  <c r="CP162"/>
  <c r="CO162"/>
  <c r="CN162"/>
  <c r="CM162"/>
  <c r="CL162"/>
  <c r="CK162"/>
  <c r="CJ162"/>
  <c r="CI162"/>
  <c r="CH162"/>
  <c r="BN162"/>
  <c r="BK162"/>
  <c r="BI162"/>
  <c r="BG162"/>
  <c r="BE162"/>
  <c r="BC162"/>
  <c r="BA162"/>
  <c r="AY162"/>
  <c r="AW162"/>
  <c r="AU162"/>
  <c r="AS162"/>
  <c r="AQ162"/>
  <c r="AC162"/>
  <c r="Y162"/>
  <c r="C162"/>
  <c r="CR161"/>
  <c r="CQ161"/>
  <c r="CP161"/>
  <c r="CO161"/>
  <c r="CN161"/>
  <c r="CM161"/>
  <c r="CL161"/>
  <c r="CK161"/>
  <c r="CJ161"/>
  <c r="CI161"/>
  <c r="CH161"/>
  <c r="BN161"/>
  <c r="BK161"/>
  <c r="BI161"/>
  <c r="BG161"/>
  <c r="BE161"/>
  <c r="BC161"/>
  <c r="BA161"/>
  <c r="AY161"/>
  <c r="AW161"/>
  <c r="AU161"/>
  <c r="AS161"/>
  <c r="AQ161"/>
  <c r="AA161"/>
  <c r="C161"/>
  <c r="B160"/>
  <c r="CR158"/>
  <c r="CQ158"/>
  <c r="CP158"/>
  <c r="CO158"/>
  <c r="BN158"/>
  <c r="BK158"/>
  <c r="BI158"/>
  <c r="BG158"/>
  <c r="BE158"/>
  <c r="AY158"/>
  <c r="AW158"/>
  <c r="AU158"/>
  <c r="AQ158"/>
  <c r="AO158"/>
  <c r="AK158"/>
  <c r="AI158"/>
  <c r="AG158"/>
  <c r="AA158"/>
  <c r="C158"/>
  <c r="CR157"/>
  <c r="CQ157"/>
  <c r="CP157"/>
  <c r="CO157"/>
  <c r="CN157"/>
  <c r="CM157"/>
  <c r="CL157"/>
  <c r="CK157"/>
  <c r="CJ157"/>
  <c r="CI157"/>
  <c r="CH157"/>
  <c r="CG157"/>
  <c r="CF157"/>
  <c r="CE157"/>
  <c r="CD157"/>
  <c r="CC157"/>
  <c r="BN157"/>
  <c r="BK157"/>
  <c r="BI157"/>
  <c r="BG157"/>
  <c r="BE157"/>
  <c r="BC157"/>
  <c r="BA157"/>
  <c r="AY157"/>
  <c r="AW157"/>
  <c r="AU157"/>
  <c r="AS157"/>
  <c r="AQ157"/>
  <c r="AO157"/>
  <c r="AM157"/>
  <c r="AK157"/>
  <c r="AI157"/>
  <c r="AG157"/>
  <c r="AC157"/>
  <c r="C157"/>
  <c r="CR156"/>
  <c r="CQ156"/>
  <c r="CP156"/>
  <c r="CO156"/>
  <c r="BN156"/>
  <c r="BK156"/>
  <c r="BI156"/>
  <c r="BG156"/>
  <c r="BE156"/>
  <c r="AY156"/>
  <c r="AW156"/>
  <c r="AU156"/>
  <c r="AQ156"/>
  <c r="AO156"/>
  <c r="AK156"/>
  <c r="AI156"/>
  <c r="AG156"/>
  <c r="AA156"/>
  <c r="C156"/>
  <c r="CR155"/>
  <c r="CQ155"/>
  <c r="CP155"/>
  <c r="CO155"/>
  <c r="BN155"/>
  <c r="BK155"/>
  <c r="BI155"/>
  <c r="BG155"/>
  <c r="BE155"/>
  <c r="AY155"/>
  <c r="AW155"/>
  <c r="AU155"/>
  <c r="AQ155"/>
  <c r="AO155"/>
  <c r="AK155"/>
  <c r="AI155"/>
  <c r="AG155"/>
  <c r="AC155"/>
  <c r="Y155"/>
  <c r="C155"/>
  <c r="CR154"/>
  <c r="CQ154"/>
  <c r="CP154"/>
  <c r="CO154"/>
  <c r="BN154"/>
  <c r="BK154"/>
  <c r="BI154"/>
  <c r="BG154"/>
  <c r="BE154"/>
  <c r="AY154"/>
  <c r="AW154"/>
  <c r="AU154"/>
  <c r="AQ154"/>
  <c r="AO154"/>
  <c r="AK154"/>
  <c r="AI154"/>
  <c r="AG154"/>
  <c r="AC154"/>
  <c r="Y154"/>
  <c r="C154"/>
  <c r="B153"/>
  <c r="CR151"/>
  <c r="CQ151"/>
  <c r="CP151"/>
  <c r="CO151"/>
  <c r="CN151"/>
  <c r="CM151"/>
  <c r="CL151"/>
  <c r="BN151"/>
  <c r="BK151"/>
  <c r="BI151"/>
  <c r="BG151"/>
  <c r="BE151"/>
  <c r="BC151"/>
  <c r="BA151"/>
  <c r="AY151"/>
  <c r="AG151"/>
  <c r="AE151"/>
  <c r="AA151"/>
  <c r="C151"/>
  <c r="CR150"/>
  <c r="CQ150"/>
  <c r="CP150"/>
  <c r="CO150"/>
  <c r="CN150"/>
  <c r="CM150"/>
  <c r="CL150"/>
  <c r="BN150"/>
  <c r="BK150"/>
  <c r="BI150"/>
  <c r="BG150"/>
  <c r="BE150"/>
  <c r="BC150"/>
  <c r="BA150"/>
  <c r="AY150"/>
  <c r="AG150"/>
  <c r="AC150"/>
  <c r="Y150"/>
  <c r="C150"/>
  <c r="CR149"/>
  <c r="CQ149"/>
  <c r="CP149"/>
  <c r="CO149"/>
  <c r="CN149"/>
  <c r="CM149"/>
  <c r="CL149"/>
  <c r="BN149"/>
  <c r="BK149"/>
  <c r="BI149"/>
  <c r="BG149"/>
  <c r="BE149"/>
  <c r="BC149"/>
  <c r="BA149"/>
  <c r="AY149"/>
  <c r="AG149"/>
  <c r="AE149"/>
  <c r="AA149"/>
  <c r="C149"/>
  <c r="CR148"/>
  <c r="CQ148"/>
  <c r="CP148"/>
  <c r="CO148"/>
  <c r="CN148"/>
  <c r="CM148"/>
  <c r="CL148"/>
  <c r="BN148"/>
  <c r="BK148"/>
  <c r="BI148"/>
  <c r="BG148"/>
  <c r="BE148"/>
  <c r="BC148"/>
  <c r="BA148"/>
  <c r="AY148"/>
  <c r="AG148"/>
  <c r="AC148"/>
  <c r="Y148"/>
  <c r="C148"/>
  <c r="CR147"/>
  <c r="CQ147"/>
  <c r="CP147"/>
  <c r="CO147"/>
  <c r="CN147"/>
  <c r="CM147"/>
  <c r="CL147"/>
  <c r="BN147"/>
  <c r="BK147"/>
  <c r="BI147"/>
  <c r="BG147"/>
  <c r="BE147"/>
  <c r="BC147"/>
  <c r="BA147"/>
  <c r="AY147"/>
  <c r="AG147"/>
  <c r="AE147"/>
  <c r="C147"/>
  <c r="B146"/>
  <c r="CR144"/>
  <c r="CQ144"/>
  <c r="CP144"/>
  <c r="CO144"/>
  <c r="CN144"/>
  <c r="CM144"/>
  <c r="CL144"/>
  <c r="CK144"/>
  <c r="CJ144"/>
  <c r="BN144"/>
  <c r="BK144"/>
  <c r="BI144"/>
  <c r="BG144"/>
  <c r="BE144"/>
  <c r="BC144"/>
  <c r="BA144"/>
  <c r="AY144"/>
  <c r="AW144"/>
  <c r="AU144"/>
  <c r="AA144"/>
  <c r="C144"/>
  <c r="CR143"/>
  <c r="CQ143"/>
  <c r="CP143"/>
  <c r="CO143"/>
  <c r="CN143"/>
  <c r="CM143"/>
  <c r="CL143"/>
  <c r="CK143"/>
  <c r="CJ143"/>
  <c r="BN143"/>
  <c r="BK143"/>
  <c r="BI143"/>
  <c r="BG143"/>
  <c r="BE143"/>
  <c r="BC143"/>
  <c r="BA143"/>
  <c r="AY143"/>
  <c r="AW143"/>
  <c r="AU143"/>
  <c r="AC143"/>
  <c r="Y143"/>
  <c r="C143"/>
  <c r="CR142"/>
  <c r="CQ142"/>
  <c r="CP142"/>
  <c r="CO142"/>
  <c r="CN142"/>
  <c r="CM142"/>
  <c r="CL142"/>
  <c r="CK142"/>
  <c r="DF142" s="1"/>
  <c r="CJ142"/>
  <c r="CI142"/>
  <c r="DD142" s="1"/>
  <c r="CH142"/>
  <c r="CG142"/>
  <c r="DB142" s="1"/>
  <c r="CF142"/>
  <c r="CE142"/>
  <c r="CZ142" s="1"/>
  <c r="CD142"/>
  <c r="CC142"/>
  <c r="CX142" s="1"/>
  <c r="BN142"/>
  <c r="BK142"/>
  <c r="BI142"/>
  <c r="BG142"/>
  <c r="BE142"/>
  <c r="BC142"/>
  <c r="BA142"/>
  <c r="AY142"/>
  <c r="AW142"/>
  <c r="AU142"/>
  <c r="AS142"/>
  <c r="AQ142"/>
  <c r="AO142"/>
  <c r="AM142"/>
  <c r="AK142"/>
  <c r="AI142"/>
  <c r="AG142"/>
  <c r="H142"/>
  <c r="G142"/>
  <c r="F142"/>
  <c r="E142"/>
  <c r="C142"/>
  <c r="CR141"/>
  <c r="CQ141"/>
  <c r="CP141"/>
  <c r="CO141"/>
  <c r="CN141"/>
  <c r="CM141"/>
  <c r="CL141"/>
  <c r="CK141"/>
  <c r="CJ141"/>
  <c r="CI141"/>
  <c r="CH141"/>
  <c r="CG141"/>
  <c r="CF141"/>
  <c r="BN141"/>
  <c r="BK141"/>
  <c r="BI141"/>
  <c r="BG141"/>
  <c r="BE141"/>
  <c r="BC141"/>
  <c r="BA141"/>
  <c r="AY141"/>
  <c r="AW141"/>
  <c r="AU141"/>
  <c r="AS141"/>
  <c r="AQ141"/>
  <c r="AO141"/>
  <c r="AM141"/>
  <c r="AI141"/>
  <c r="AG141"/>
  <c r="H141"/>
  <c r="G141"/>
  <c r="F141"/>
  <c r="E141"/>
  <c r="C141"/>
  <c r="CR140"/>
  <c r="CQ140"/>
  <c r="CP140"/>
  <c r="CO140"/>
  <c r="DJ140" s="1"/>
  <c r="CN140"/>
  <c r="CM140"/>
  <c r="DH140" s="1"/>
  <c r="CL140"/>
  <c r="CK140"/>
  <c r="DF140" s="1"/>
  <c r="CJ140"/>
  <c r="CI140"/>
  <c r="DD140" s="1"/>
  <c r="CH140"/>
  <c r="CG140"/>
  <c r="DB140" s="1"/>
  <c r="CF140"/>
  <c r="CE140"/>
  <c r="CZ140" s="1"/>
  <c r="CD140"/>
  <c r="CC140"/>
  <c r="CX140" s="1"/>
  <c r="BN140"/>
  <c r="BK140"/>
  <c r="BI140"/>
  <c r="BG140"/>
  <c r="BE140"/>
  <c r="BC140"/>
  <c r="BA140"/>
  <c r="AY140"/>
  <c r="AW140"/>
  <c r="AU140"/>
  <c r="AS140"/>
  <c r="AQ140"/>
  <c r="AO140"/>
  <c r="AM140"/>
  <c r="AK140"/>
  <c r="AI140"/>
  <c r="AG140"/>
  <c r="H140"/>
  <c r="G140"/>
  <c r="F140"/>
  <c r="E140"/>
  <c r="C140"/>
  <c r="B139"/>
  <c r="CR137"/>
  <c r="CQ137"/>
  <c r="CP137"/>
  <c r="DK137" s="1"/>
  <c r="CO137"/>
  <c r="CN137"/>
  <c r="DI137" s="1"/>
  <c r="CM137"/>
  <c r="CL137"/>
  <c r="DG137" s="1"/>
  <c r="CK137"/>
  <c r="CJ137"/>
  <c r="DE137" s="1"/>
  <c r="CI137"/>
  <c r="CH137"/>
  <c r="DC137" s="1"/>
  <c r="CG137"/>
  <c r="CF137"/>
  <c r="DA137" s="1"/>
  <c r="BN137"/>
  <c r="BK137"/>
  <c r="BI137"/>
  <c r="BG137"/>
  <c r="BE137"/>
  <c r="BC137"/>
  <c r="BA137"/>
  <c r="AY137"/>
  <c r="AW137"/>
  <c r="AU137"/>
  <c r="AS137"/>
  <c r="AQ137"/>
  <c r="AO137"/>
  <c r="AM137"/>
  <c r="AI137"/>
  <c r="AG137"/>
  <c r="H137"/>
  <c r="G137"/>
  <c r="F137"/>
  <c r="E137"/>
  <c r="C137"/>
  <c r="CR136"/>
  <c r="CQ136"/>
  <c r="CP136"/>
  <c r="CO136"/>
  <c r="CN136"/>
  <c r="CM136"/>
  <c r="CL136"/>
  <c r="CK136"/>
  <c r="CJ136"/>
  <c r="CI136"/>
  <c r="CH136"/>
  <c r="DC136" s="1"/>
  <c r="CG136"/>
  <c r="CF136"/>
  <c r="DA136" s="1"/>
  <c r="BN136"/>
  <c r="BK136"/>
  <c r="BI136"/>
  <c r="BG136"/>
  <c r="BE136"/>
  <c r="BC136"/>
  <c r="BA136"/>
  <c r="AY136"/>
  <c r="AW136"/>
  <c r="AU136"/>
  <c r="AS136"/>
  <c r="AQ136"/>
  <c r="AO136"/>
  <c r="AM136"/>
  <c r="AI136"/>
  <c r="AG136"/>
  <c r="H136"/>
  <c r="G136"/>
  <c r="F136"/>
  <c r="E136"/>
  <c r="C136"/>
  <c r="CR135"/>
  <c r="CQ135"/>
  <c r="CP135"/>
  <c r="CO135"/>
  <c r="CN135"/>
  <c r="CM135"/>
  <c r="CL135"/>
  <c r="CK135"/>
  <c r="CJ135"/>
  <c r="DE135" s="1"/>
  <c r="CI135"/>
  <c r="CH135"/>
  <c r="CG135"/>
  <c r="CF135"/>
  <c r="DA135" s="1"/>
  <c r="BN135"/>
  <c r="BK135"/>
  <c r="BI135"/>
  <c r="BG135"/>
  <c r="BE135"/>
  <c r="BC135"/>
  <c r="BA135"/>
  <c r="AY135"/>
  <c r="AW135"/>
  <c r="AU135"/>
  <c r="AS135"/>
  <c r="AQ135"/>
  <c r="AO135"/>
  <c r="AM135"/>
  <c r="AI135"/>
  <c r="AG135"/>
  <c r="H135"/>
  <c r="G135"/>
  <c r="F135"/>
  <c r="E135"/>
  <c r="C135"/>
  <c r="CR134"/>
  <c r="CQ134"/>
  <c r="CP134"/>
  <c r="CO134"/>
  <c r="CN134"/>
  <c r="CM134"/>
  <c r="CL134"/>
  <c r="CK134"/>
  <c r="CJ134"/>
  <c r="CI134"/>
  <c r="CH134"/>
  <c r="CG134"/>
  <c r="CF134"/>
  <c r="BN134"/>
  <c r="BK134"/>
  <c r="BI134"/>
  <c r="BG134"/>
  <c r="BE134"/>
  <c r="BC134"/>
  <c r="BA134"/>
  <c r="AY134"/>
  <c r="AW134"/>
  <c r="AU134"/>
  <c r="AS134"/>
  <c r="AQ134"/>
  <c r="AO134"/>
  <c r="AM134"/>
  <c r="AI134"/>
  <c r="AG134"/>
  <c r="H134"/>
  <c r="G134"/>
  <c r="F134"/>
  <c r="E134"/>
  <c r="C134"/>
  <c r="CR133"/>
  <c r="CQ133"/>
  <c r="CP133"/>
  <c r="CO133"/>
  <c r="CN133"/>
  <c r="CM133"/>
  <c r="CL133"/>
  <c r="CK133"/>
  <c r="CJ133"/>
  <c r="CI133"/>
  <c r="CH133"/>
  <c r="CG133"/>
  <c r="CF133"/>
  <c r="BN133"/>
  <c r="BK133"/>
  <c r="BI133"/>
  <c r="BG133"/>
  <c r="BE133"/>
  <c r="BC133"/>
  <c r="BA133"/>
  <c r="AY133"/>
  <c r="AW133"/>
  <c r="AU133"/>
  <c r="AS133"/>
  <c r="AQ133"/>
  <c r="AO133"/>
  <c r="AM133"/>
  <c r="AI133"/>
  <c r="AG133"/>
  <c r="H133"/>
  <c r="G133"/>
  <c r="F133"/>
  <c r="E133"/>
  <c r="C133"/>
  <c r="B132"/>
  <c r="CR130"/>
  <c r="CQ130"/>
  <c r="CP130"/>
  <c r="CO130"/>
  <c r="CN130"/>
  <c r="CM130"/>
  <c r="CL130"/>
  <c r="CK130"/>
  <c r="CJ130"/>
  <c r="CI130"/>
  <c r="CH130"/>
  <c r="CG130"/>
  <c r="CF130"/>
  <c r="BN130"/>
  <c r="BK130"/>
  <c r="BI130"/>
  <c r="BG130"/>
  <c r="BE130"/>
  <c r="BC130"/>
  <c r="BA130"/>
  <c r="AY130"/>
  <c r="AW130"/>
  <c r="AU130"/>
  <c r="AS130"/>
  <c r="AQ130"/>
  <c r="AO130"/>
  <c r="AM130"/>
  <c r="AI130"/>
  <c r="AG130"/>
  <c r="H130"/>
  <c r="G130"/>
  <c r="F130"/>
  <c r="E130"/>
  <c r="C130"/>
  <c r="CR129"/>
  <c r="CQ129"/>
  <c r="CP129"/>
  <c r="CO129"/>
  <c r="CN129"/>
  <c r="CM129"/>
  <c r="CL129"/>
  <c r="CK129"/>
  <c r="CJ129"/>
  <c r="CI129"/>
  <c r="CH129"/>
  <c r="CG129"/>
  <c r="CF129"/>
  <c r="BN129"/>
  <c r="BK129"/>
  <c r="BI129"/>
  <c r="BG129"/>
  <c r="BE129"/>
  <c r="BC129"/>
  <c r="BA129"/>
  <c r="AY129"/>
  <c r="AW129"/>
  <c r="AU129"/>
  <c r="AS129"/>
  <c r="AQ129"/>
  <c r="AO129"/>
  <c r="AM129"/>
  <c r="AI129"/>
  <c r="AG129"/>
  <c r="H129"/>
  <c r="G129"/>
  <c r="F129"/>
  <c r="E129"/>
  <c r="C129"/>
  <c r="CR128"/>
  <c r="CQ128"/>
  <c r="CP128"/>
  <c r="CO128"/>
  <c r="CN128"/>
  <c r="CM128"/>
  <c r="CL128"/>
  <c r="CK128"/>
  <c r="CJ128"/>
  <c r="CI128"/>
  <c r="CH128"/>
  <c r="CG128"/>
  <c r="CF128"/>
  <c r="BN128"/>
  <c r="BK128"/>
  <c r="BI128"/>
  <c r="BG128"/>
  <c r="BE128"/>
  <c r="BC128"/>
  <c r="BA128"/>
  <c r="AY128"/>
  <c r="AW128"/>
  <c r="AU128"/>
  <c r="AS128"/>
  <c r="AQ128"/>
  <c r="AO128"/>
  <c r="AM128"/>
  <c r="AI128"/>
  <c r="AG128"/>
  <c r="H128"/>
  <c r="G128"/>
  <c r="F128"/>
  <c r="E128"/>
  <c r="C128"/>
  <c r="CR127"/>
  <c r="CQ127"/>
  <c r="CP127"/>
  <c r="CO127"/>
  <c r="CN127"/>
  <c r="CM127"/>
  <c r="CL127"/>
  <c r="CK127"/>
  <c r="CJ127"/>
  <c r="CI127"/>
  <c r="CH127"/>
  <c r="CG127"/>
  <c r="CF127"/>
  <c r="CE127"/>
  <c r="CD127"/>
  <c r="CC127"/>
  <c r="BN127"/>
  <c r="BK127"/>
  <c r="BI127"/>
  <c r="BG127"/>
  <c r="BE127"/>
  <c r="BC127"/>
  <c r="BA127"/>
  <c r="AY127"/>
  <c r="AW127"/>
  <c r="AU127"/>
  <c r="AS127"/>
  <c r="AQ127"/>
  <c r="AO127"/>
  <c r="AM127"/>
  <c r="AK127"/>
  <c r="AI127"/>
  <c r="AG127"/>
  <c r="H127"/>
  <c r="G127"/>
  <c r="F127"/>
  <c r="E127"/>
  <c r="C127"/>
  <c r="CR126"/>
  <c r="CQ126"/>
  <c r="CP126"/>
  <c r="CO126"/>
  <c r="CN126"/>
  <c r="CM126"/>
  <c r="CL126"/>
  <c r="CK126"/>
  <c r="CJ126"/>
  <c r="CI126"/>
  <c r="CH126"/>
  <c r="CG126"/>
  <c r="CF126"/>
  <c r="BN126"/>
  <c r="BK126"/>
  <c r="BI126"/>
  <c r="BG126"/>
  <c r="BE126"/>
  <c r="BC126"/>
  <c r="BA126"/>
  <c r="AY126"/>
  <c r="AW126"/>
  <c r="AU126"/>
  <c r="AS126"/>
  <c r="AQ126"/>
  <c r="AO126"/>
  <c r="AM126"/>
  <c r="AA126"/>
  <c r="Y126"/>
  <c r="C126"/>
  <c r="B125"/>
  <c r="E120"/>
  <c r="F120"/>
  <c r="G120"/>
  <c r="H120"/>
  <c r="E121"/>
  <c r="F121"/>
  <c r="G121"/>
  <c r="H121"/>
  <c r="E122"/>
  <c r="F122"/>
  <c r="G122"/>
  <c r="H122"/>
  <c r="E123"/>
  <c r="F123"/>
  <c r="G123"/>
  <c r="H123"/>
  <c r="G119"/>
  <c r="F119"/>
  <c r="E119"/>
  <c r="H119"/>
  <c r="C123"/>
  <c r="C122"/>
  <c r="C121"/>
  <c r="C120"/>
  <c r="C119"/>
  <c r="CR123"/>
  <c r="CQ123"/>
  <c r="CP123"/>
  <c r="CO123"/>
  <c r="CN123"/>
  <c r="CM123"/>
  <c r="CL123"/>
  <c r="CK123"/>
  <c r="CJ123"/>
  <c r="CI123"/>
  <c r="BN123"/>
  <c r="BK123"/>
  <c r="BI123"/>
  <c r="BG123"/>
  <c r="BE123"/>
  <c r="BC123"/>
  <c r="BA123"/>
  <c r="AY123"/>
  <c r="AW123"/>
  <c r="AU123"/>
  <c r="AS123"/>
  <c r="AQ123"/>
  <c r="CG123"/>
  <c r="DB123" s="1"/>
  <c r="AM123"/>
  <c r="CE123"/>
  <c r="CZ123" s="1"/>
  <c r="AI123"/>
  <c r="CC123"/>
  <c r="CX123" s="1"/>
  <c r="CR122"/>
  <c r="CQ122"/>
  <c r="CP122"/>
  <c r="CO122"/>
  <c r="CN122"/>
  <c r="CM122"/>
  <c r="CL122"/>
  <c r="CK122"/>
  <c r="CJ122"/>
  <c r="CI122"/>
  <c r="BN122"/>
  <c r="BK122"/>
  <c r="BI122"/>
  <c r="BG122"/>
  <c r="BE122"/>
  <c r="BC122"/>
  <c r="BA122"/>
  <c r="AY122"/>
  <c r="AW122"/>
  <c r="AU122"/>
  <c r="AS122"/>
  <c r="CH122"/>
  <c r="AO122"/>
  <c r="CF122"/>
  <c r="AK122"/>
  <c r="CD122"/>
  <c r="AG122"/>
  <c r="CR121"/>
  <c r="CQ121"/>
  <c r="CP121"/>
  <c r="CO121"/>
  <c r="CN121"/>
  <c r="CM121"/>
  <c r="CL121"/>
  <c r="CK121"/>
  <c r="CJ121"/>
  <c r="CI121"/>
  <c r="BN121"/>
  <c r="BK121"/>
  <c r="BI121"/>
  <c r="BG121"/>
  <c r="BE121"/>
  <c r="BC121"/>
  <c r="BA121"/>
  <c r="AY121"/>
  <c r="AW121"/>
  <c r="AU121"/>
  <c r="AS121"/>
  <c r="AQ121"/>
  <c r="CG121"/>
  <c r="DB121" s="1"/>
  <c r="AM121"/>
  <c r="CE121"/>
  <c r="CZ121" s="1"/>
  <c r="AI121"/>
  <c r="CC121"/>
  <c r="CX121" s="1"/>
  <c r="CR120"/>
  <c r="CQ120"/>
  <c r="CP120"/>
  <c r="CO120"/>
  <c r="CN120"/>
  <c r="CM120"/>
  <c r="CL120"/>
  <c r="CK120"/>
  <c r="CJ120"/>
  <c r="CI120"/>
  <c r="BN120"/>
  <c r="BK120"/>
  <c r="BI120"/>
  <c r="BG120"/>
  <c r="BE120"/>
  <c r="BC120"/>
  <c r="BA120"/>
  <c r="AY120"/>
  <c r="AW120"/>
  <c r="AU120"/>
  <c r="AS120"/>
  <c r="CH120"/>
  <c r="AO120"/>
  <c r="CF120"/>
  <c r="AK120"/>
  <c r="CD120"/>
  <c r="AG120"/>
  <c r="CR119"/>
  <c r="CQ119"/>
  <c r="CP119"/>
  <c r="CO119"/>
  <c r="CN119"/>
  <c r="CM119"/>
  <c r="CL119"/>
  <c r="CK119"/>
  <c r="CJ119"/>
  <c r="CI119"/>
  <c r="BN119"/>
  <c r="BK119"/>
  <c r="BI119"/>
  <c r="BG119"/>
  <c r="BE119"/>
  <c r="BC119"/>
  <c r="BA119"/>
  <c r="AY119"/>
  <c r="AW119"/>
  <c r="AU119"/>
  <c r="AS119"/>
  <c r="AQ119"/>
  <c r="CG119"/>
  <c r="DB119" s="1"/>
  <c r="AM119"/>
  <c r="CE119"/>
  <c r="CZ119" s="1"/>
  <c r="AI119"/>
  <c r="CC119"/>
  <c r="CX119" s="1"/>
  <c r="B118"/>
  <c r="B24" i="55"/>
  <c r="B19"/>
  <c r="B20"/>
  <c r="B21"/>
  <c r="B22"/>
  <c r="B23"/>
  <c r="B18"/>
  <c r="L11"/>
  <c r="F11" s="1"/>
  <c r="E34" i="65"/>
  <c r="D34"/>
  <c r="G33"/>
  <c r="H33"/>
  <c r="H22"/>
  <c r="H23"/>
  <c r="G22"/>
  <c r="H24"/>
  <c r="G23"/>
  <c r="E115" i="69"/>
  <c r="J115"/>
  <c r="I115"/>
  <c r="H115"/>
  <c r="G115"/>
  <c r="F115"/>
  <c r="AA115" s="1"/>
  <c r="F114"/>
  <c r="E114"/>
  <c r="H114"/>
  <c r="G114"/>
  <c r="F113"/>
  <c r="E113"/>
  <c r="L113"/>
  <c r="K113"/>
  <c r="J113"/>
  <c r="I113"/>
  <c r="H113"/>
  <c r="G113"/>
  <c r="F112"/>
  <c r="E112"/>
  <c r="Y112" s="1"/>
  <c r="J112"/>
  <c r="I112"/>
  <c r="H112"/>
  <c r="G112"/>
  <c r="AC112" s="1"/>
  <c r="J110"/>
  <c r="AI110" s="1"/>
  <c r="I110"/>
  <c r="H110"/>
  <c r="AE110" s="1"/>
  <c r="G110"/>
  <c r="F110"/>
  <c r="AA110" s="1"/>
  <c r="E110"/>
  <c r="F109"/>
  <c r="AA109" s="1"/>
  <c r="E109"/>
  <c r="L109"/>
  <c r="K109"/>
  <c r="J109"/>
  <c r="I109"/>
  <c r="H109"/>
  <c r="AE109" s="1"/>
  <c r="G109"/>
  <c r="F108"/>
  <c r="E108"/>
  <c r="K108"/>
  <c r="J108"/>
  <c r="I108"/>
  <c r="H108"/>
  <c r="G108"/>
  <c r="K107"/>
  <c r="J107"/>
  <c r="I107"/>
  <c r="H107"/>
  <c r="G107"/>
  <c r="F107"/>
  <c r="E107"/>
  <c r="E105"/>
  <c r="F105"/>
  <c r="AA105" s="1"/>
  <c r="G105"/>
  <c r="H105"/>
  <c r="AE105" s="1"/>
  <c r="I105"/>
  <c r="J105"/>
  <c r="AI105" s="1"/>
  <c r="K105"/>
  <c r="L105"/>
  <c r="AM105" s="1"/>
  <c r="M105"/>
  <c r="N105"/>
  <c r="AQ105" s="1"/>
  <c r="O105"/>
  <c r="P105"/>
  <c r="Q105"/>
  <c r="R105"/>
  <c r="S105"/>
  <c r="T105"/>
  <c r="U105"/>
  <c r="V105"/>
  <c r="W105"/>
  <c r="E106"/>
  <c r="Y106" s="1"/>
  <c r="F106"/>
  <c r="AA106" s="1"/>
  <c r="G106"/>
  <c r="AC106" s="1"/>
  <c r="H106"/>
  <c r="I106"/>
  <c r="AG106" s="1"/>
  <c r="J106"/>
  <c r="AI106" s="1"/>
  <c r="K106"/>
  <c r="AK106" s="1"/>
  <c r="L106"/>
  <c r="M106"/>
  <c r="AO106" s="1"/>
  <c r="N106"/>
  <c r="AQ106" s="1"/>
  <c r="O106"/>
  <c r="P106"/>
  <c r="AU106" s="1"/>
  <c r="Q106"/>
  <c r="R106"/>
  <c r="AY106" s="1"/>
  <c r="S106"/>
  <c r="T106"/>
  <c r="BC106" s="1"/>
  <c r="U106"/>
  <c r="V106"/>
  <c r="W106"/>
  <c r="H104"/>
  <c r="G104"/>
  <c r="AC104" s="1"/>
  <c r="F104"/>
  <c r="E104"/>
  <c r="Y104" s="1"/>
  <c r="W104"/>
  <c r="V104"/>
  <c r="U104"/>
  <c r="T104"/>
  <c r="S104"/>
  <c r="R104"/>
  <c r="Q104"/>
  <c r="P104"/>
  <c r="O104"/>
  <c r="N104"/>
  <c r="AQ104" s="1"/>
  <c r="M104"/>
  <c r="L104"/>
  <c r="AM104" s="1"/>
  <c r="K104"/>
  <c r="J104"/>
  <c r="AI104" s="1"/>
  <c r="I104"/>
  <c r="O102"/>
  <c r="AS102" s="1"/>
  <c r="O101"/>
  <c r="E101"/>
  <c r="F101"/>
  <c r="G101"/>
  <c r="H101"/>
  <c r="I101"/>
  <c r="J101"/>
  <c r="K101"/>
  <c r="L101"/>
  <c r="M101"/>
  <c r="N101"/>
  <c r="E102"/>
  <c r="F102"/>
  <c r="G102"/>
  <c r="H102"/>
  <c r="I102"/>
  <c r="J102"/>
  <c r="K102"/>
  <c r="L102"/>
  <c r="M102"/>
  <c r="N102"/>
  <c r="F100"/>
  <c r="E100"/>
  <c r="N100"/>
  <c r="M100"/>
  <c r="L100"/>
  <c r="K100"/>
  <c r="J100"/>
  <c r="I100"/>
  <c r="H100"/>
  <c r="G100"/>
  <c r="F98"/>
  <c r="E98"/>
  <c r="O98"/>
  <c r="N98"/>
  <c r="M98"/>
  <c r="L98"/>
  <c r="K98"/>
  <c r="J98"/>
  <c r="I98"/>
  <c r="H98"/>
  <c r="G98"/>
  <c r="K94"/>
  <c r="J94"/>
  <c r="I94"/>
  <c r="H94"/>
  <c r="G94"/>
  <c r="F94"/>
  <c r="E94"/>
  <c r="K97"/>
  <c r="J97"/>
  <c r="I97"/>
  <c r="H97"/>
  <c r="G97"/>
  <c r="F97"/>
  <c r="E97"/>
  <c r="K95"/>
  <c r="J95"/>
  <c r="I95"/>
  <c r="H95"/>
  <c r="G95"/>
  <c r="F95"/>
  <c r="E95"/>
  <c r="K96"/>
  <c r="J96"/>
  <c r="I96"/>
  <c r="H96"/>
  <c r="G96"/>
  <c r="F96"/>
  <c r="E96"/>
  <c r="E93"/>
  <c r="K93"/>
  <c r="J93"/>
  <c r="I93"/>
  <c r="H93"/>
  <c r="G93"/>
  <c r="F93"/>
  <c r="E89"/>
  <c r="J89"/>
  <c r="I89"/>
  <c r="H89"/>
  <c r="G89"/>
  <c r="F89"/>
  <c r="H88"/>
  <c r="G88"/>
  <c r="F88"/>
  <c r="E88"/>
  <c r="H87"/>
  <c r="G87"/>
  <c r="F87"/>
  <c r="E87"/>
  <c r="F86"/>
  <c r="E86"/>
  <c r="J86"/>
  <c r="I86"/>
  <c r="H86"/>
  <c r="G86"/>
  <c r="AG84"/>
  <c r="E85"/>
  <c r="F85"/>
  <c r="G85"/>
  <c r="H85"/>
  <c r="G84"/>
  <c r="F84"/>
  <c r="E84"/>
  <c r="H84"/>
  <c r="E81"/>
  <c r="F81"/>
  <c r="G81"/>
  <c r="H81"/>
  <c r="I81"/>
  <c r="J81"/>
  <c r="K81"/>
  <c r="L81"/>
  <c r="M81"/>
  <c r="G80"/>
  <c r="F80"/>
  <c r="E80"/>
  <c r="M80"/>
  <c r="L80"/>
  <c r="K80"/>
  <c r="J80"/>
  <c r="I80"/>
  <c r="H80"/>
  <c r="E74"/>
  <c r="F74"/>
  <c r="G74"/>
  <c r="H74"/>
  <c r="I74"/>
  <c r="J74"/>
  <c r="K74"/>
  <c r="L74"/>
  <c r="M74"/>
  <c r="N74"/>
  <c r="O74"/>
  <c r="P74"/>
  <c r="Q74"/>
  <c r="R74"/>
  <c r="S74"/>
  <c r="T74"/>
  <c r="U74"/>
  <c r="V74"/>
  <c r="W74"/>
  <c r="E75"/>
  <c r="F75"/>
  <c r="G75"/>
  <c r="H75"/>
  <c r="I75"/>
  <c r="J75"/>
  <c r="K75"/>
  <c r="L75"/>
  <c r="M75"/>
  <c r="N75"/>
  <c r="O75"/>
  <c r="P75"/>
  <c r="Q75"/>
  <c r="R75"/>
  <c r="S75"/>
  <c r="T75"/>
  <c r="U75"/>
  <c r="V75"/>
  <c r="W75"/>
  <c r="E76"/>
  <c r="F76"/>
  <c r="G76"/>
  <c r="H76"/>
  <c r="I76"/>
  <c r="J76"/>
  <c r="K76"/>
  <c r="L76"/>
  <c r="M76"/>
  <c r="N76"/>
  <c r="O76"/>
  <c r="P76"/>
  <c r="Q76"/>
  <c r="R76"/>
  <c r="S76"/>
  <c r="T76"/>
  <c r="U76"/>
  <c r="V76"/>
  <c r="W76"/>
  <c r="E77"/>
  <c r="F77"/>
  <c r="G77"/>
  <c r="H77"/>
  <c r="I77"/>
  <c r="J77"/>
  <c r="K77"/>
  <c r="L77"/>
  <c r="M77"/>
  <c r="N77"/>
  <c r="O77"/>
  <c r="P77"/>
  <c r="Q77"/>
  <c r="R77"/>
  <c r="S77"/>
  <c r="T77"/>
  <c r="U77"/>
  <c r="V77"/>
  <c r="W77"/>
  <c r="E73"/>
  <c r="W73"/>
  <c r="V73"/>
  <c r="U73"/>
  <c r="T73"/>
  <c r="S73"/>
  <c r="R73"/>
  <c r="Q73"/>
  <c r="P73"/>
  <c r="O73"/>
  <c r="N73"/>
  <c r="M73"/>
  <c r="L73"/>
  <c r="K73"/>
  <c r="J73"/>
  <c r="I73"/>
  <c r="H73"/>
  <c r="G73"/>
  <c r="F73"/>
  <c r="K70"/>
  <c r="J70"/>
  <c r="I70"/>
  <c r="H70"/>
  <c r="G70"/>
  <c r="F70"/>
  <c r="E70"/>
  <c r="K69"/>
  <c r="J69"/>
  <c r="I69"/>
  <c r="H69"/>
  <c r="G69"/>
  <c r="F69"/>
  <c r="E69"/>
  <c r="H66"/>
  <c r="E65"/>
  <c r="F65"/>
  <c r="G65"/>
  <c r="H65"/>
  <c r="I65"/>
  <c r="J65"/>
  <c r="K65"/>
  <c r="E66"/>
  <c r="F66"/>
  <c r="G66"/>
  <c r="J64"/>
  <c r="K64"/>
  <c r="I64"/>
  <c r="H64"/>
  <c r="G64"/>
  <c r="F64"/>
  <c r="E64"/>
  <c r="E60"/>
  <c r="F60"/>
  <c r="G60"/>
  <c r="H60"/>
  <c r="I60"/>
  <c r="J60"/>
  <c r="K60"/>
  <c r="L60"/>
  <c r="M60"/>
  <c r="N60"/>
  <c r="O60"/>
  <c r="P60"/>
  <c r="E61"/>
  <c r="F61"/>
  <c r="G61"/>
  <c r="AC61" s="1"/>
  <c r="H61"/>
  <c r="I61"/>
  <c r="J61"/>
  <c r="K61"/>
  <c r="L61"/>
  <c r="M61"/>
  <c r="N61"/>
  <c r="O61"/>
  <c r="P61"/>
  <c r="P59"/>
  <c r="O59"/>
  <c r="N59"/>
  <c r="M59"/>
  <c r="L59"/>
  <c r="K59"/>
  <c r="J59"/>
  <c r="I59"/>
  <c r="H59"/>
  <c r="G59"/>
  <c r="F59"/>
  <c r="E59"/>
  <c r="E53"/>
  <c r="F53"/>
  <c r="G53"/>
  <c r="H53"/>
  <c r="I53"/>
  <c r="J53"/>
  <c r="K53"/>
  <c r="L53"/>
  <c r="M53"/>
  <c r="N53"/>
  <c r="O53"/>
  <c r="E54"/>
  <c r="F54"/>
  <c r="G54"/>
  <c r="H54"/>
  <c r="I54"/>
  <c r="J54"/>
  <c r="K54"/>
  <c r="L54"/>
  <c r="M54"/>
  <c r="N54"/>
  <c r="O54"/>
  <c r="E55"/>
  <c r="F55"/>
  <c r="G55"/>
  <c r="H55"/>
  <c r="I55"/>
  <c r="J55"/>
  <c r="K55"/>
  <c r="L55"/>
  <c r="M55"/>
  <c r="N55"/>
  <c r="O55"/>
  <c r="E56"/>
  <c r="F56"/>
  <c r="G56"/>
  <c r="H56"/>
  <c r="I56"/>
  <c r="J56"/>
  <c r="K56"/>
  <c r="L56"/>
  <c r="M56"/>
  <c r="N56"/>
  <c r="O56"/>
  <c r="O52"/>
  <c r="N52"/>
  <c r="M52"/>
  <c r="L52"/>
  <c r="K52"/>
  <c r="J52"/>
  <c r="I52"/>
  <c r="H52"/>
  <c r="G52"/>
  <c r="F52"/>
  <c r="E52"/>
  <c r="C115"/>
  <c r="C114"/>
  <c r="C113"/>
  <c r="C112"/>
  <c r="B111"/>
  <c r="C110"/>
  <c r="C109"/>
  <c r="C108"/>
  <c r="C107"/>
  <c r="C106"/>
  <c r="C105"/>
  <c r="C104"/>
  <c r="B103"/>
  <c r="C102"/>
  <c r="C101"/>
  <c r="C100"/>
  <c r="B99"/>
  <c r="C98"/>
  <c r="C97"/>
  <c r="C96"/>
  <c r="C95"/>
  <c r="C94"/>
  <c r="C93"/>
  <c r="B92"/>
  <c r="CR115"/>
  <c r="CQ115"/>
  <c r="CP115"/>
  <c r="CO115"/>
  <c r="CN115"/>
  <c r="CM115"/>
  <c r="CL115"/>
  <c r="CK115"/>
  <c r="CJ115"/>
  <c r="CI115"/>
  <c r="CH115"/>
  <c r="CG115"/>
  <c r="CF115"/>
  <c r="CE115"/>
  <c r="BN115"/>
  <c r="BK115"/>
  <c r="BI115"/>
  <c r="BG115"/>
  <c r="BE115"/>
  <c r="BC115"/>
  <c r="BA115"/>
  <c r="AY115"/>
  <c r="AW115"/>
  <c r="AU115"/>
  <c r="AS115"/>
  <c r="AQ115"/>
  <c r="AO115"/>
  <c r="AM115"/>
  <c r="AK115"/>
  <c r="CR114"/>
  <c r="CQ114"/>
  <c r="CP114"/>
  <c r="CO114"/>
  <c r="CN114"/>
  <c r="CM114"/>
  <c r="CL114"/>
  <c r="CK114"/>
  <c r="CJ114"/>
  <c r="CI114"/>
  <c r="CH114"/>
  <c r="CG114"/>
  <c r="CF114"/>
  <c r="CE114"/>
  <c r="CD114"/>
  <c r="CC114"/>
  <c r="BN114"/>
  <c r="BK114"/>
  <c r="BI114"/>
  <c r="BG114"/>
  <c r="BE114"/>
  <c r="BC114"/>
  <c r="BA114"/>
  <c r="AY114"/>
  <c r="AW114"/>
  <c r="AU114"/>
  <c r="AS114"/>
  <c r="AQ114"/>
  <c r="AO114"/>
  <c r="AM114"/>
  <c r="AK114"/>
  <c r="AI114"/>
  <c r="AG114"/>
  <c r="CR113"/>
  <c r="CQ113"/>
  <c r="CP113"/>
  <c r="CO113"/>
  <c r="CN113"/>
  <c r="CM113"/>
  <c r="CL113"/>
  <c r="CK113"/>
  <c r="CJ113"/>
  <c r="CI113"/>
  <c r="CH113"/>
  <c r="CG113"/>
  <c r="BN113"/>
  <c r="BK113"/>
  <c r="BI113"/>
  <c r="BG113"/>
  <c r="BE113"/>
  <c r="BC113"/>
  <c r="BA113"/>
  <c r="AY113"/>
  <c r="AW113"/>
  <c r="AU113"/>
  <c r="AS113"/>
  <c r="AQ113"/>
  <c r="AO113"/>
  <c r="CR112"/>
  <c r="CQ112"/>
  <c r="CP112"/>
  <c r="CO112"/>
  <c r="CN112"/>
  <c r="CM112"/>
  <c r="CL112"/>
  <c r="CK112"/>
  <c r="CJ112"/>
  <c r="CI112"/>
  <c r="CH112"/>
  <c r="CG112"/>
  <c r="CF112"/>
  <c r="CE112"/>
  <c r="BN112"/>
  <c r="BK112"/>
  <c r="BI112"/>
  <c r="BG112"/>
  <c r="BE112"/>
  <c r="BC112"/>
  <c r="BA112"/>
  <c r="AY112"/>
  <c r="AW112"/>
  <c r="AU112"/>
  <c r="AS112"/>
  <c r="AQ112"/>
  <c r="AO112"/>
  <c r="AM112"/>
  <c r="AK112"/>
  <c r="AA112"/>
  <c r="CR110"/>
  <c r="CP110"/>
  <c r="CO110"/>
  <c r="CN110"/>
  <c r="CM110"/>
  <c r="CL110"/>
  <c r="CK110"/>
  <c r="CJ110"/>
  <c r="CI110"/>
  <c r="CH110"/>
  <c r="CG110"/>
  <c r="CF110"/>
  <c r="CE110"/>
  <c r="BN110"/>
  <c r="BK110"/>
  <c r="BI110"/>
  <c r="BG110"/>
  <c r="BE110"/>
  <c r="BC110"/>
  <c r="BA110"/>
  <c r="AY110"/>
  <c r="AW110"/>
  <c r="AU110"/>
  <c r="AS110"/>
  <c r="AQ110"/>
  <c r="AO110"/>
  <c r="AM110"/>
  <c r="AK110"/>
  <c r="AG110"/>
  <c r="AC110"/>
  <c r="CR109"/>
  <c r="CP109"/>
  <c r="CO109"/>
  <c r="CN109"/>
  <c r="CM109"/>
  <c r="CL109"/>
  <c r="CK109"/>
  <c r="CJ109"/>
  <c r="CI109"/>
  <c r="CH109"/>
  <c r="CG109"/>
  <c r="BN109"/>
  <c r="BK109"/>
  <c r="BI109"/>
  <c r="BG109"/>
  <c r="BE109"/>
  <c r="BC109"/>
  <c r="BA109"/>
  <c r="AY109"/>
  <c r="AW109"/>
  <c r="AU109"/>
  <c r="AS109"/>
  <c r="AQ109"/>
  <c r="AO109"/>
  <c r="AM109"/>
  <c r="AK109"/>
  <c r="AI109"/>
  <c r="AG109"/>
  <c r="AC109"/>
  <c r="Y109"/>
  <c r="CR108"/>
  <c r="CP108"/>
  <c r="CO108"/>
  <c r="CN108"/>
  <c r="CM108"/>
  <c r="CL108"/>
  <c r="CK108"/>
  <c r="CJ108"/>
  <c r="CI108"/>
  <c r="CH108"/>
  <c r="CG108"/>
  <c r="CF108"/>
  <c r="BN108"/>
  <c r="BK108"/>
  <c r="BI108"/>
  <c r="BG108"/>
  <c r="BE108"/>
  <c r="BC108"/>
  <c r="BA108"/>
  <c r="AY108"/>
  <c r="AW108"/>
  <c r="AU108"/>
  <c r="AS108"/>
  <c r="AQ108"/>
  <c r="AO108"/>
  <c r="AM108"/>
  <c r="CR107"/>
  <c r="CP107"/>
  <c r="CO107"/>
  <c r="CN107"/>
  <c r="CM107"/>
  <c r="CL107"/>
  <c r="CK107"/>
  <c r="CJ107"/>
  <c r="CI107"/>
  <c r="CH107"/>
  <c r="CG107"/>
  <c r="CF107"/>
  <c r="BN107"/>
  <c r="BK107"/>
  <c r="BI107"/>
  <c r="BG107"/>
  <c r="BE107"/>
  <c r="BC107"/>
  <c r="BA107"/>
  <c r="AY107"/>
  <c r="AW107"/>
  <c r="AU107"/>
  <c r="AS107"/>
  <c r="AQ107"/>
  <c r="AO107"/>
  <c r="AM107"/>
  <c r="CR106"/>
  <c r="BN106"/>
  <c r="BK106"/>
  <c r="BE106"/>
  <c r="BA106"/>
  <c r="AW106"/>
  <c r="AS106"/>
  <c r="AM106"/>
  <c r="AE106"/>
  <c r="CR105"/>
  <c r="BN105"/>
  <c r="BK105"/>
  <c r="BE105"/>
  <c r="BC105"/>
  <c r="BA105"/>
  <c r="AY105"/>
  <c r="AW105"/>
  <c r="AU105"/>
  <c r="AS105"/>
  <c r="AO105"/>
  <c r="AK105"/>
  <c r="AG105"/>
  <c r="AC105"/>
  <c r="Y105"/>
  <c r="CR104"/>
  <c r="BN104"/>
  <c r="BK104"/>
  <c r="BE104"/>
  <c r="BC104"/>
  <c r="BA104"/>
  <c r="AY104"/>
  <c r="AW104"/>
  <c r="AU104"/>
  <c r="AS104"/>
  <c r="AO104"/>
  <c r="AK104"/>
  <c r="AG104"/>
  <c r="AE104"/>
  <c r="AA104"/>
  <c r="CR102"/>
  <c r="CQ102"/>
  <c r="CP102"/>
  <c r="CO102"/>
  <c r="CN102"/>
  <c r="CM102"/>
  <c r="CL102"/>
  <c r="CK102"/>
  <c r="CJ102"/>
  <c r="BN102"/>
  <c r="BK102"/>
  <c r="BI102"/>
  <c r="BG102"/>
  <c r="BE102"/>
  <c r="BC102"/>
  <c r="BA102"/>
  <c r="AY102"/>
  <c r="AW102"/>
  <c r="AU102"/>
  <c r="CR101"/>
  <c r="CQ101"/>
  <c r="CP101"/>
  <c r="CO101"/>
  <c r="CN101"/>
  <c r="CM101"/>
  <c r="CL101"/>
  <c r="CK101"/>
  <c r="CJ101"/>
  <c r="BN101"/>
  <c r="BK101"/>
  <c r="BI101"/>
  <c r="BG101"/>
  <c r="BE101"/>
  <c r="BC101"/>
  <c r="BA101"/>
  <c r="AY101"/>
  <c r="AW101"/>
  <c r="AU101"/>
  <c r="AS101"/>
  <c r="CR100"/>
  <c r="CQ100"/>
  <c r="CP100"/>
  <c r="CO100"/>
  <c r="CN100"/>
  <c r="CM100"/>
  <c r="CL100"/>
  <c r="CK100"/>
  <c r="CJ100"/>
  <c r="CI100"/>
  <c r="BN100"/>
  <c r="BK100"/>
  <c r="BI100"/>
  <c r="BG100"/>
  <c r="BE100"/>
  <c r="BC100"/>
  <c r="BA100"/>
  <c r="AY100"/>
  <c r="AW100"/>
  <c r="AU100"/>
  <c r="AS100"/>
  <c r="CR98"/>
  <c r="CQ98"/>
  <c r="CP98"/>
  <c r="CO98"/>
  <c r="CN98"/>
  <c r="CM98"/>
  <c r="CL98"/>
  <c r="CK98"/>
  <c r="CJ98"/>
  <c r="BN98"/>
  <c r="BK98"/>
  <c r="BI98"/>
  <c r="BG98"/>
  <c r="BE98"/>
  <c r="BC98"/>
  <c r="BA98"/>
  <c r="AY98"/>
  <c r="AW98"/>
  <c r="AU98"/>
  <c r="CR97"/>
  <c r="CQ97"/>
  <c r="CP97"/>
  <c r="CO97"/>
  <c r="CN97"/>
  <c r="CM97"/>
  <c r="CL97"/>
  <c r="CK97"/>
  <c r="CJ97"/>
  <c r="CI97"/>
  <c r="CH97"/>
  <c r="CG97"/>
  <c r="CF97"/>
  <c r="BN97"/>
  <c r="BK97"/>
  <c r="BI97"/>
  <c r="BG97"/>
  <c r="BE97"/>
  <c r="BC97"/>
  <c r="BA97"/>
  <c r="AY97"/>
  <c r="AW97"/>
  <c r="AU97"/>
  <c r="AS97"/>
  <c r="AQ97"/>
  <c r="AO97"/>
  <c r="AM97"/>
  <c r="CR96"/>
  <c r="CQ96"/>
  <c r="CP96"/>
  <c r="CO96"/>
  <c r="CN96"/>
  <c r="CM96"/>
  <c r="CL96"/>
  <c r="CK96"/>
  <c r="CJ96"/>
  <c r="CI96"/>
  <c r="CH96"/>
  <c r="CG96"/>
  <c r="CF96"/>
  <c r="BN96"/>
  <c r="BK96"/>
  <c r="BI96"/>
  <c r="BG96"/>
  <c r="BE96"/>
  <c r="BC96"/>
  <c r="BA96"/>
  <c r="AY96"/>
  <c r="AW96"/>
  <c r="AU96"/>
  <c r="AS96"/>
  <c r="AQ96"/>
  <c r="AO96"/>
  <c r="AM96"/>
  <c r="CR95"/>
  <c r="CQ95"/>
  <c r="CP95"/>
  <c r="CO95"/>
  <c r="CN95"/>
  <c r="CM95"/>
  <c r="CL95"/>
  <c r="CK95"/>
  <c r="CJ95"/>
  <c r="CI95"/>
  <c r="CH95"/>
  <c r="CG95"/>
  <c r="CF95"/>
  <c r="BN95"/>
  <c r="BK95"/>
  <c r="BI95"/>
  <c r="BG95"/>
  <c r="BE95"/>
  <c r="BC95"/>
  <c r="BA95"/>
  <c r="AY95"/>
  <c r="AW95"/>
  <c r="AU95"/>
  <c r="AS95"/>
  <c r="AQ95"/>
  <c r="AO95"/>
  <c r="AM95"/>
  <c r="CR94"/>
  <c r="CQ94"/>
  <c r="CP94"/>
  <c r="CO94"/>
  <c r="CN94"/>
  <c r="CM94"/>
  <c r="CL94"/>
  <c r="CK94"/>
  <c r="CJ94"/>
  <c r="CI94"/>
  <c r="CH94"/>
  <c r="CG94"/>
  <c r="CF94"/>
  <c r="BN94"/>
  <c r="BK94"/>
  <c r="BI94"/>
  <c r="BG94"/>
  <c r="BE94"/>
  <c r="BC94"/>
  <c r="BA94"/>
  <c r="AY94"/>
  <c r="AW94"/>
  <c r="AU94"/>
  <c r="AS94"/>
  <c r="AQ94"/>
  <c r="AO94"/>
  <c r="AM94"/>
  <c r="CR93"/>
  <c r="CQ93"/>
  <c r="CP93"/>
  <c r="CO93"/>
  <c r="CN93"/>
  <c r="CM93"/>
  <c r="CL93"/>
  <c r="CK93"/>
  <c r="CJ93"/>
  <c r="CI93"/>
  <c r="CH93"/>
  <c r="CG93"/>
  <c r="CF93"/>
  <c r="BN93"/>
  <c r="BK93"/>
  <c r="BI93"/>
  <c r="BG93"/>
  <c r="BE93"/>
  <c r="BC93"/>
  <c r="BA93"/>
  <c r="AY93"/>
  <c r="AW93"/>
  <c r="AU93"/>
  <c r="AS93"/>
  <c r="AQ93"/>
  <c r="AO93"/>
  <c r="AM93"/>
  <c r="C85"/>
  <c r="C86"/>
  <c r="C87"/>
  <c r="C88"/>
  <c r="C89"/>
  <c r="C84"/>
  <c r="CR89"/>
  <c r="CQ89"/>
  <c r="CP89"/>
  <c r="CO89"/>
  <c r="CN89"/>
  <c r="CM89"/>
  <c r="CL89"/>
  <c r="CK89"/>
  <c r="CJ89"/>
  <c r="CI89"/>
  <c r="CH89"/>
  <c r="CG89"/>
  <c r="CF89"/>
  <c r="CE89"/>
  <c r="BN89"/>
  <c r="BK89"/>
  <c r="BI89"/>
  <c r="BG89"/>
  <c r="BE89"/>
  <c r="BC89"/>
  <c r="BA89"/>
  <c r="AY89"/>
  <c r="AW89"/>
  <c r="AU89"/>
  <c r="AS89"/>
  <c r="AQ89"/>
  <c r="AO89"/>
  <c r="AM89"/>
  <c r="AK89"/>
  <c r="CR88"/>
  <c r="CQ88"/>
  <c r="CP88"/>
  <c r="CO88"/>
  <c r="CN88"/>
  <c r="CM88"/>
  <c r="CL88"/>
  <c r="CK88"/>
  <c r="CJ88"/>
  <c r="CI88"/>
  <c r="CH88"/>
  <c r="CG88"/>
  <c r="CF88"/>
  <c r="CE88"/>
  <c r="CD88"/>
  <c r="CC88"/>
  <c r="BN88"/>
  <c r="BK88"/>
  <c r="BI88"/>
  <c r="BG88"/>
  <c r="BE88"/>
  <c r="BC88"/>
  <c r="BA88"/>
  <c r="AY88"/>
  <c r="AW88"/>
  <c r="AU88"/>
  <c r="AS88"/>
  <c r="AQ88"/>
  <c r="AO88"/>
  <c r="AM88"/>
  <c r="AK88"/>
  <c r="AI88"/>
  <c r="AG88"/>
  <c r="CR87"/>
  <c r="CQ87"/>
  <c r="CP87"/>
  <c r="CO87"/>
  <c r="CN87"/>
  <c r="CM87"/>
  <c r="CL87"/>
  <c r="CK87"/>
  <c r="CJ87"/>
  <c r="CI87"/>
  <c r="CH87"/>
  <c r="CG87"/>
  <c r="CF87"/>
  <c r="CE87"/>
  <c r="CD87"/>
  <c r="CC87"/>
  <c r="BN87"/>
  <c r="BK87"/>
  <c r="BI87"/>
  <c r="BG87"/>
  <c r="BE87"/>
  <c r="BC87"/>
  <c r="BA87"/>
  <c r="AY87"/>
  <c r="AW87"/>
  <c r="AU87"/>
  <c r="AS87"/>
  <c r="AQ87"/>
  <c r="AO87"/>
  <c r="AM87"/>
  <c r="AK87"/>
  <c r="AI87"/>
  <c r="AG87"/>
  <c r="CR86"/>
  <c r="CQ86"/>
  <c r="CP86"/>
  <c r="CO86"/>
  <c r="CN86"/>
  <c r="CM86"/>
  <c r="CL86"/>
  <c r="CK86"/>
  <c r="CJ86"/>
  <c r="CI86"/>
  <c r="CH86"/>
  <c r="CG86"/>
  <c r="CF86"/>
  <c r="CE86"/>
  <c r="BN86"/>
  <c r="BK86"/>
  <c r="BI86"/>
  <c r="BG86"/>
  <c r="BE86"/>
  <c r="BC86"/>
  <c r="BA86"/>
  <c r="AY86"/>
  <c r="AW86"/>
  <c r="AU86"/>
  <c r="AS86"/>
  <c r="AQ86"/>
  <c r="AO86"/>
  <c r="AM86"/>
  <c r="AK86"/>
  <c r="CR85"/>
  <c r="CQ85"/>
  <c r="CP85"/>
  <c r="CO85"/>
  <c r="CN85"/>
  <c r="CM85"/>
  <c r="CL85"/>
  <c r="CK85"/>
  <c r="CJ85"/>
  <c r="CI85"/>
  <c r="CH85"/>
  <c r="CG85"/>
  <c r="CF85"/>
  <c r="CE85"/>
  <c r="CD85"/>
  <c r="CC85"/>
  <c r="BN85"/>
  <c r="BK85"/>
  <c r="BI85"/>
  <c r="BG85"/>
  <c r="BE85"/>
  <c r="BC85"/>
  <c r="BA85"/>
  <c r="AY85"/>
  <c r="AW85"/>
  <c r="AU85"/>
  <c r="AS85"/>
  <c r="AQ85"/>
  <c r="AO85"/>
  <c r="AM85"/>
  <c r="AK85"/>
  <c r="AI85"/>
  <c r="AG85"/>
  <c r="CR84"/>
  <c r="CQ84"/>
  <c r="CP84"/>
  <c r="CO84"/>
  <c r="CN84"/>
  <c r="CM84"/>
  <c r="CL84"/>
  <c r="CK84"/>
  <c r="CJ84"/>
  <c r="CI84"/>
  <c r="CH84"/>
  <c r="CG84"/>
  <c r="CF84"/>
  <c r="CE84"/>
  <c r="CD84"/>
  <c r="CC84"/>
  <c r="BN84"/>
  <c r="BK84"/>
  <c r="BI84"/>
  <c r="BG84"/>
  <c r="BE84"/>
  <c r="BC84"/>
  <c r="BA84"/>
  <c r="AY84"/>
  <c r="AW84"/>
  <c r="AU84"/>
  <c r="AS84"/>
  <c r="AQ84"/>
  <c r="AO84"/>
  <c r="AM84"/>
  <c r="AK84"/>
  <c r="AI84"/>
  <c r="B79"/>
  <c r="B72"/>
  <c r="B68"/>
  <c r="B63"/>
  <c r="CR81"/>
  <c r="CQ81"/>
  <c r="CP81"/>
  <c r="CO81"/>
  <c r="CN81"/>
  <c r="CM81"/>
  <c r="CL81"/>
  <c r="CK81"/>
  <c r="CJ81"/>
  <c r="CI81"/>
  <c r="CH81"/>
  <c r="BN81"/>
  <c r="BK81"/>
  <c r="BI81"/>
  <c r="BG81"/>
  <c r="BE81"/>
  <c r="BC81"/>
  <c r="BA81"/>
  <c r="AY81"/>
  <c r="AW81"/>
  <c r="AU81"/>
  <c r="AS81"/>
  <c r="AQ81"/>
  <c r="AC81"/>
  <c r="AA81"/>
  <c r="Y81"/>
  <c r="C81"/>
  <c r="CR80"/>
  <c r="CQ80"/>
  <c r="CP80"/>
  <c r="CO80"/>
  <c r="CN80"/>
  <c r="CM80"/>
  <c r="CL80"/>
  <c r="CK80"/>
  <c r="CJ80"/>
  <c r="CI80"/>
  <c r="CH80"/>
  <c r="BN80"/>
  <c r="BK80"/>
  <c r="BI80"/>
  <c r="BG80"/>
  <c r="BE80"/>
  <c r="BC80"/>
  <c r="BA80"/>
  <c r="AY80"/>
  <c r="AW80"/>
  <c r="AU80"/>
  <c r="AS80"/>
  <c r="AQ80"/>
  <c r="AC80"/>
  <c r="AA80"/>
  <c r="Y80"/>
  <c r="C80"/>
  <c r="CR77"/>
  <c r="BN77"/>
  <c r="BK77"/>
  <c r="AW77"/>
  <c r="AU77"/>
  <c r="AS77"/>
  <c r="AO77"/>
  <c r="AM77"/>
  <c r="AI77"/>
  <c r="C77"/>
  <c r="CR76"/>
  <c r="BN76"/>
  <c r="BK76"/>
  <c r="AW76"/>
  <c r="AU76"/>
  <c r="AS76"/>
  <c r="AO76"/>
  <c r="AM76"/>
  <c r="AI76"/>
  <c r="C76"/>
  <c r="CR75"/>
  <c r="BN75"/>
  <c r="BK75"/>
  <c r="AW75"/>
  <c r="AU75"/>
  <c r="AS75"/>
  <c r="AO75"/>
  <c r="AM75"/>
  <c r="AI75"/>
  <c r="C75"/>
  <c r="CR74"/>
  <c r="BN74"/>
  <c r="BK74"/>
  <c r="AW74"/>
  <c r="AU74"/>
  <c r="AS74"/>
  <c r="AO74"/>
  <c r="AM74"/>
  <c r="AI74"/>
  <c r="C74"/>
  <c r="CR73"/>
  <c r="BN73"/>
  <c r="BK73"/>
  <c r="AW73"/>
  <c r="AU73"/>
  <c r="AS73"/>
  <c r="AO73"/>
  <c r="AM73"/>
  <c r="AI73"/>
  <c r="C73"/>
  <c r="C70"/>
  <c r="C69"/>
  <c r="BN66"/>
  <c r="BK66"/>
  <c r="CQ66"/>
  <c r="DL66" s="1"/>
  <c r="BG66"/>
  <c r="CO66"/>
  <c r="DJ66" s="1"/>
  <c r="BC66"/>
  <c r="CM66"/>
  <c r="DH66" s="1"/>
  <c r="AY66"/>
  <c r="CK66"/>
  <c r="DF66" s="1"/>
  <c r="AU66"/>
  <c r="CI66"/>
  <c r="DD66" s="1"/>
  <c r="AQ66"/>
  <c r="CG66"/>
  <c r="DB66" s="1"/>
  <c r="AM66"/>
  <c r="CE66"/>
  <c r="CZ66" s="1"/>
  <c r="AI66"/>
  <c r="CC66"/>
  <c r="CX66" s="1"/>
  <c r="C66"/>
  <c r="BN70"/>
  <c r="CR70"/>
  <c r="BI70"/>
  <c r="CP70"/>
  <c r="BE70"/>
  <c r="CN70"/>
  <c r="BA70"/>
  <c r="CL70"/>
  <c r="AW70"/>
  <c r="CJ70"/>
  <c r="AS70"/>
  <c r="CH70"/>
  <c r="AO70"/>
  <c r="CF70"/>
  <c r="BN69"/>
  <c r="BK69"/>
  <c r="CQ69"/>
  <c r="DL69" s="1"/>
  <c r="BG69"/>
  <c r="CO69"/>
  <c r="DJ69" s="1"/>
  <c r="BC69"/>
  <c r="CM69"/>
  <c r="DH69" s="1"/>
  <c r="AY69"/>
  <c r="CK69"/>
  <c r="DF69" s="1"/>
  <c r="AU69"/>
  <c r="CI69"/>
  <c r="DD69" s="1"/>
  <c r="AQ69"/>
  <c r="CG69"/>
  <c r="DB69" s="1"/>
  <c r="AM69"/>
  <c r="BN65"/>
  <c r="BK65"/>
  <c r="CQ65"/>
  <c r="DL65" s="1"/>
  <c r="BG65"/>
  <c r="CO65"/>
  <c r="DJ65" s="1"/>
  <c r="BC65"/>
  <c r="CM65"/>
  <c r="DH65" s="1"/>
  <c r="AY65"/>
  <c r="CK65"/>
  <c r="DF65" s="1"/>
  <c r="AU65"/>
  <c r="CI65"/>
  <c r="DD65" s="1"/>
  <c r="AQ65"/>
  <c r="CG65"/>
  <c r="DB65" s="1"/>
  <c r="AM65"/>
  <c r="C65"/>
  <c r="BN64"/>
  <c r="CR64"/>
  <c r="BI64"/>
  <c r="CP64"/>
  <c r="BE64"/>
  <c r="CN64"/>
  <c r="BA64"/>
  <c r="CL64"/>
  <c r="AW64"/>
  <c r="CJ64"/>
  <c r="AS64"/>
  <c r="CH64"/>
  <c r="AO64"/>
  <c r="C64"/>
  <c r="B58"/>
  <c r="C61"/>
  <c r="C60"/>
  <c r="C59"/>
  <c r="BN61"/>
  <c r="CR61"/>
  <c r="BI61"/>
  <c r="CP61"/>
  <c r="BE61"/>
  <c r="CN61"/>
  <c r="BA61"/>
  <c r="CL61"/>
  <c r="AW61"/>
  <c r="AG61"/>
  <c r="Y61"/>
  <c r="BN60"/>
  <c r="BK60"/>
  <c r="CQ60"/>
  <c r="DL60" s="1"/>
  <c r="BG60"/>
  <c r="CO60"/>
  <c r="DJ60" s="1"/>
  <c r="BC60"/>
  <c r="CM60"/>
  <c r="DH60" s="1"/>
  <c r="AY60"/>
  <c r="CK60"/>
  <c r="DF60" s="1"/>
  <c r="AI60"/>
  <c r="AE60"/>
  <c r="AA60"/>
  <c r="BN59"/>
  <c r="CR59"/>
  <c r="BI59"/>
  <c r="CP59"/>
  <c r="BE59"/>
  <c r="CN59"/>
  <c r="BA59"/>
  <c r="CL59"/>
  <c r="AW59"/>
  <c r="AG59"/>
  <c r="AC59"/>
  <c r="Y59"/>
  <c r="BN56"/>
  <c r="BK56"/>
  <c r="CQ56"/>
  <c r="DL56" s="1"/>
  <c r="BG56"/>
  <c r="CO56"/>
  <c r="DJ56" s="1"/>
  <c r="BC56"/>
  <c r="CM56"/>
  <c r="DH56" s="1"/>
  <c r="AY56"/>
  <c r="CK56"/>
  <c r="DF56" s="1"/>
  <c r="AU56"/>
  <c r="C56"/>
  <c r="BN55"/>
  <c r="CR55"/>
  <c r="BI55"/>
  <c r="CP55"/>
  <c r="BE55"/>
  <c r="CN55"/>
  <c r="BA55"/>
  <c r="CL55"/>
  <c r="AW55"/>
  <c r="CJ55"/>
  <c r="C55"/>
  <c r="BN54"/>
  <c r="BK54"/>
  <c r="CQ54"/>
  <c r="DL54" s="1"/>
  <c r="BG54"/>
  <c r="CO54"/>
  <c r="DJ54" s="1"/>
  <c r="BC54"/>
  <c r="CM54"/>
  <c r="DH54" s="1"/>
  <c r="AY54"/>
  <c r="CK54"/>
  <c r="DF54" s="1"/>
  <c r="AU54"/>
  <c r="C54"/>
  <c r="BN53"/>
  <c r="BK53"/>
  <c r="CQ53"/>
  <c r="DL53" s="1"/>
  <c r="BG53"/>
  <c r="CO53"/>
  <c r="DJ53" s="1"/>
  <c r="BC53"/>
  <c r="CM53"/>
  <c r="DH53" s="1"/>
  <c r="AY53"/>
  <c r="CK53"/>
  <c r="DF53" s="1"/>
  <c r="AU53"/>
  <c r="C53"/>
  <c r="B51"/>
  <c r="A50"/>
  <c r="C52"/>
  <c r="BN52"/>
  <c r="BK52"/>
  <c r="CQ52"/>
  <c r="DL52" s="1"/>
  <c r="BG52"/>
  <c r="CO52"/>
  <c r="DJ52" s="1"/>
  <c r="BC52"/>
  <c r="CM52"/>
  <c r="DH52" s="1"/>
  <c r="AY52"/>
  <c r="CK52"/>
  <c r="DF52" s="1"/>
  <c r="AU52"/>
  <c r="X48"/>
  <c r="X47"/>
  <c r="X46"/>
  <c r="X45"/>
  <c r="X44"/>
  <c r="X43"/>
  <c r="X42"/>
  <c r="X41"/>
  <c r="X40"/>
  <c r="X39"/>
  <c r="W48"/>
  <c r="W47"/>
  <c r="W46"/>
  <c r="W45"/>
  <c r="W44"/>
  <c r="W43"/>
  <c r="W42"/>
  <c r="W41"/>
  <c r="W40"/>
  <c r="V48"/>
  <c r="V47"/>
  <c r="V46"/>
  <c r="V45"/>
  <c r="V44"/>
  <c r="V43"/>
  <c r="V42"/>
  <c r="V41"/>
  <c r="V40"/>
  <c r="U48"/>
  <c r="U47"/>
  <c r="U46"/>
  <c r="U45"/>
  <c r="U44"/>
  <c r="U43"/>
  <c r="U42"/>
  <c r="U41"/>
  <c r="U40"/>
  <c r="U39"/>
  <c r="T48"/>
  <c r="T47"/>
  <c r="T46"/>
  <c r="T45"/>
  <c r="T44"/>
  <c r="T43"/>
  <c r="T42"/>
  <c r="T41"/>
  <c r="T40"/>
  <c r="T39"/>
  <c r="S48"/>
  <c r="S47"/>
  <c r="S46"/>
  <c r="S45"/>
  <c r="S44"/>
  <c r="S43"/>
  <c r="S42"/>
  <c r="S41"/>
  <c r="S40"/>
  <c r="R48"/>
  <c r="AY48" s="1"/>
  <c r="R47"/>
  <c r="AY47" s="1"/>
  <c r="R46"/>
  <c r="AY46" s="1"/>
  <c r="R45"/>
  <c r="AY45" s="1"/>
  <c r="R44"/>
  <c r="AY44" s="1"/>
  <c r="R43"/>
  <c r="AY43" s="1"/>
  <c r="R42"/>
  <c r="AY42" s="1"/>
  <c r="R41"/>
  <c r="AY41" s="1"/>
  <c r="R40"/>
  <c r="AY40" s="1"/>
  <c r="Q48"/>
  <c r="AW48" s="1"/>
  <c r="Q47"/>
  <c r="AW47" s="1"/>
  <c r="Q46"/>
  <c r="Q45"/>
  <c r="AW45" s="1"/>
  <c r="Q44"/>
  <c r="Q43"/>
  <c r="AW43" s="1"/>
  <c r="Q42"/>
  <c r="AW42" s="1"/>
  <c r="Q41"/>
  <c r="Q40"/>
  <c r="P48"/>
  <c r="AU48" s="1"/>
  <c r="P47"/>
  <c r="P46"/>
  <c r="AU46" s="1"/>
  <c r="P45"/>
  <c r="P44"/>
  <c r="AU44" s="1"/>
  <c r="P43"/>
  <c r="AU43" s="1"/>
  <c r="P42"/>
  <c r="AU42" s="1"/>
  <c r="P41"/>
  <c r="P40"/>
  <c r="O48"/>
  <c r="AS48" s="1"/>
  <c r="O47"/>
  <c r="AS47" s="1"/>
  <c r="O46"/>
  <c r="AS46" s="1"/>
  <c r="O45"/>
  <c r="AS45" s="1"/>
  <c r="O44"/>
  <c r="AS44" s="1"/>
  <c r="O43"/>
  <c r="AS43" s="1"/>
  <c r="O42"/>
  <c r="AS42" s="1"/>
  <c r="O41"/>
  <c r="AS41" s="1"/>
  <c r="O40"/>
  <c r="AS40" s="1"/>
  <c r="N48"/>
  <c r="AQ48" s="1"/>
  <c r="N47"/>
  <c r="AQ47" s="1"/>
  <c r="N46"/>
  <c r="AQ46" s="1"/>
  <c r="N45"/>
  <c r="AQ45" s="1"/>
  <c r="N44"/>
  <c r="AQ44" s="1"/>
  <c r="N43"/>
  <c r="AQ43" s="1"/>
  <c r="N42"/>
  <c r="AQ42" s="1"/>
  <c r="N41"/>
  <c r="AQ41" s="1"/>
  <c r="N40"/>
  <c r="AQ40" s="1"/>
  <c r="M48"/>
  <c r="AO48" s="1"/>
  <c r="M47"/>
  <c r="AO47" s="1"/>
  <c r="M46"/>
  <c r="AO46" s="1"/>
  <c r="M45"/>
  <c r="AO45" s="1"/>
  <c r="M44"/>
  <c r="AO44" s="1"/>
  <c r="M43"/>
  <c r="AO43" s="1"/>
  <c r="M42"/>
  <c r="AO42" s="1"/>
  <c r="M41"/>
  <c r="AO41" s="1"/>
  <c r="M40"/>
  <c r="L48"/>
  <c r="AM48" s="1"/>
  <c r="L47"/>
  <c r="L46"/>
  <c r="AM46" s="1"/>
  <c r="L45"/>
  <c r="AM45" s="1"/>
  <c r="L44"/>
  <c r="AM44" s="1"/>
  <c r="L43"/>
  <c r="AM43" s="1"/>
  <c r="L42"/>
  <c r="L41"/>
  <c r="L40"/>
  <c r="AM40" s="1"/>
  <c r="K48"/>
  <c r="AK48" s="1"/>
  <c r="K47"/>
  <c r="AK47" s="1"/>
  <c r="K46"/>
  <c r="AK46" s="1"/>
  <c r="K45"/>
  <c r="AK45" s="1"/>
  <c r="K44"/>
  <c r="AK44" s="1"/>
  <c r="K43"/>
  <c r="AK43" s="1"/>
  <c r="K42"/>
  <c r="AK42" s="1"/>
  <c r="K41"/>
  <c r="AK41" s="1"/>
  <c r="K40"/>
  <c r="AK40" s="1"/>
  <c r="J48"/>
  <c r="AI48" s="1"/>
  <c r="J47"/>
  <c r="AI47" s="1"/>
  <c r="J46"/>
  <c r="AI46" s="1"/>
  <c r="J45"/>
  <c r="AI45" s="1"/>
  <c r="J44"/>
  <c r="AI44" s="1"/>
  <c r="J43"/>
  <c r="AI43" s="1"/>
  <c r="J42"/>
  <c r="AI42" s="1"/>
  <c r="J41"/>
  <c r="AI41" s="1"/>
  <c r="J40"/>
  <c r="AI40" s="1"/>
  <c r="I48"/>
  <c r="AG48" s="1"/>
  <c r="I47"/>
  <c r="AG47" s="1"/>
  <c r="I46"/>
  <c r="AG46" s="1"/>
  <c r="I45"/>
  <c r="AG45" s="1"/>
  <c r="I44"/>
  <c r="AG44" s="1"/>
  <c r="I43"/>
  <c r="AG43" s="1"/>
  <c r="I42"/>
  <c r="AG42" s="1"/>
  <c r="I41"/>
  <c r="AG41" s="1"/>
  <c r="I40"/>
  <c r="H48"/>
  <c r="AE48" s="1"/>
  <c r="H47"/>
  <c r="H46"/>
  <c r="AE46" s="1"/>
  <c r="H45"/>
  <c r="AE45" s="1"/>
  <c r="H44"/>
  <c r="AE44" s="1"/>
  <c r="H43"/>
  <c r="AE43" s="1"/>
  <c r="H42"/>
  <c r="AE42" s="1"/>
  <c r="H41"/>
  <c r="H40"/>
  <c r="H39"/>
  <c r="AE39" s="1"/>
  <c r="G48"/>
  <c r="AC48" s="1"/>
  <c r="G47"/>
  <c r="AC47" s="1"/>
  <c r="G46"/>
  <c r="G45"/>
  <c r="G44"/>
  <c r="AC44" s="1"/>
  <c r="G43"/>
  <c r="G42"/>
  <c r="G41"/>
  <c r="AC41" s="1"/>
  <c r="G40"/>
  <c r="AC40" s="1"/>
  <c r="F48"/>
  <c r="AA48" s="1"/>
  <c r="F47"/>
  <c r="AA47" s="1"/>
  <c r="F46"/>
  <c r="AA46" s="1"/>
  <c r="F45"/>
  <c r="AA45" s="1"/>
  <c r="F44"/>
  <c r="AA44" s="1"/>
  <c r="F43"/>
  <c r="AA43" s="1"/>
  <c r="F42"/>
  <c r="AA42" s="1"/>
  <c r="F41"/>
  <c r="AA41" s="1"/>
  <c r="F40"/>
  <c r="F39"/>
  <c r="AA39" s="1"/>
  <c r="E48"/>
  <c r="E47"/>
  <c r="Y47" s="1"/>
  <c r="E46"/>
  <c r="Y46" s="1"/>
  <c r="E45"/>
  <c r="Y45" s="1"/>
  <c r="E44"/>
  <c r="E43"/>
  <c r="Y43" s="1"/>
  <c r="E42"/>
  <c r="Y42" s="1"/>
  <c r="E41"/>
  <c r="Y41" s="1"/>
  <c r="E40"/>
  <c r="Y40" s="1"/>
  <c r="E39"/>
  <c r="W39"/>
  <c r="V39"/>
  <c r="S39"/>
  <c r="R39"/>
  <c r="AY39" s="1"/>
  <c r="Q39"/>
  <c r="AW39" s="1"/>
  <c r="P39"/>
  <c r="AU39" s="1"/>
  <c r="O39"/>
  <c r="N39"/>
  <c r="AQ39" s="1"/>
  <c r="M39"/>
  <c r="AO39" s="1"/>
  <c r="L39"/>
  <c r="AM39" s="1"/>
  <c r="K39"/>
  <c r="J39"/>
  <c r="AI39" s="1"/>
  <c r="I39"/>
  <c r="AG39" s="1"/>
  <c r="G39"/>
  <c r="AC39" s="1"/>
  <c r="H33"/>
  <c r="G33"/>
  <c r="F33"/>
  <c r="E33"/>
  <c r="L32"/>
  <c r="K32"/>
  <c r="J32"/>
  <c r="I32"/>
  <c r="H32"/>
  <c r="H31"/>
  <c r="H30"/>
  <c r="G32"/>
  <c r="G31"/>
  <c r="G30"/>
  <c r="F32"/>
  <c r="F31"/>
  <c r="F30"/>
  <c r="E32"/>
  <c r="E31"/>
  <c r="E30"/>
  <c r="K28"/>
  <c r="J28"/>
  <c r="I28"/>
  <c r="H28"/>
  <c r="G28"/>
  <c r="F28"/>
  <c r="E28"/>
  <c r="J21"/>
  <c r="J20"/>
  <c r="I21"/>
  <c r="I20"/>
  <c r="H23"/>
  <c r="H21"/>
  <c r="H20"/>
  <c r="G23"/>
  <c r="G21"/>
  <c r="G20"/>
  <c r="F23"/>
  <c r="F22"/>
  <c r="F21"/>
  <c r="F20"/>
  <c r="E24"/>
  <c r="E23"/>
  <c r="E22"/>
  <c r="Y22" s="1"/>
  <c r="E21"/>
  <c r="E20"/>
  <c r="BN48"/>
  <c r="C48"/>
  <c r="BN47"/>
  <c r="C47"/>
  <c r="BN46"/>
  <c r="AW46"/>
  <c r="C46"/>
  <c r="C40"/>
  <c r="C41"/>
  <c r="C42"/>
  <c r="C43"/>
  <c r="C44"/>
  <c r="C45"/>
  <c r="C39"/>
  <c r="B38"/>
  <c r="BN45"/>
  <c r="AU45"/>
  <c r="BN44"/>
  <c r="AW44"/>
  <c r="BN43"/>
  <c r="BN42"/>
  <c r="AM42"/>
  <c r="BN41"/>
  <c r="AW41"/>
  <c r="BN40"/>
  <c r="AU40"/>
  <c r="AE40"/>
  <c r="BN39"/>
  <c r="Y39"/>
  <c r="CR36"/>
  <c r="CQ36"/>
  <c r="CP36"/>
  <c r="CO36"/>
  <c r="CN36"/>
  <c r="CM36"/>
  <c r="CL36"/>
  <c r="CK36"/>
  <c r="CJ36"/>
  <c r="CI36"/>
  <c r="CH36"/>
  <c r="CG36"/>
  <c r="CF36"/>
  <c r="CE36"/>
  <c r="CD36"/>
  <c r="CC36"/>
  <c r="CB36"/>
  <c r="CA36"/>
  <c r="BZ36"/>
  <c r="BY36"/>
  <c r="BN36"/>
  <c r="BK36"/>
  <c r="BI36"/>
  <c r="BG36"/>
  <c r="BE36"/>
  <c r="BC36"/>
  <c r="BA36"/>
  <c r="AY36"/>
  <c r="AW36"/>
  <c r="AU36"/>
  <c r="AS36"/>
  <c r="AQ36"/>
  <c r="AO36"/>
  <c r="AM36"/>
  <c r="AK36"/>
  <c r="AI36"/>
  <c r="AG36"/>
  <c r="AE36"/>
  <c r="AC36"/>
  <c r="AA36"/>
  <c r="Y36"/>
  <c r="C36"/>
  <c r="CR35"/>
  <c r="CQ35"/>
  <c r="CP35"/>
  <c r="CO35"/>
  <c r="CN35"/>
  <c r="CM35"/>
  <c r="CL35"/>
  <c r="CK35"/>
  <c r="CJ35"/>
  <c r="CI35"/>
  <c r="CH35"/>
  <c r="CG35"/>
  <c r="CF35"/>
  <c r="CE35"/>
  <c r="CD35"/>
  <c r="CC35"/>
  <c r="CB35"/>
  <c r="CA35"/>
  <c r="BZ35"/>
  <c r="BY35"/>
  <c r="BN35"/>
  <c r="BK35"/>
  <c r="BI35"/>
  <c r="BG35"/>
  <c r="BE35"/>
  <c r="BC35"/>
  <c r="BA35"/>
  <c r="AY35"/>
  <c r="AW35"/>
  <c r="AU35"/>
  <c r="AS35"/>
  <c r="AQ35"/>
  <c r="AO35"/>
  <c r="AM35"/>
  <c r="AK35"/>
  <c r="AI35"/>
  <c r="AG35"/>
  <c r="AE35"/>
  <c r="AC35"/>
  <c r="AA35"/>
  <c r="Y35"/>
  <c r="C35"/>
  <c r="CR34"/>
  <c r="CQ34"/>
  <c r="CP34"/>
  <c r="CO34"/>
  <c r="CN34"/>
  <c r="CM34"/>
  <c r="CL34"/>
  <c r="CK34"/>
  <c r="CJ34"/>
  <c r="CI34"/>
  <c r="CH34"/>
  <c r="CG34"/>
  <c r="CF34"/>
  <c r="CE34"/>
  <c r="CD34"/>
  <c r="CC34"/>
  <c r="CB34"/>
  <c r="CA34"/>
  <c r="BZ34"/>
  <c r="BY34"/>
  <c r="BN34"/>
  <c r="BK34"/>
  <c r="BI34"/>
  <c r="BG34"/>
  <c r="BE34"/>
  <c r="BC34"/>
  <c r="BA34"/>
  <c r="AY34"/>
  <c r="AW34"/>
  <c r="AU34"/>
  <c r="AS34"/>
  <c r="AQ34"/>
  <c r="AO34"/>
  <c r="AM34"/>
  <c r="AK34"/>
  <c r="AI34"/>
  <c r="AG34"/>
  <c r="AE34"/>
  <c r="AC34"/>
  <c r="AA34"/>
  <c r="Y34"/>
  <c r="C34"/>
  <c r="CR33"/>
  <c r="CQ33"/>
  <c r="CP33"/>
  <c r="CO33"/>
  <c r="CN33"/>
  <c r="CM33"/>
  <c r="CL33"/>
  <c r="CK33"/>
  <c r="CJ33"/>
  <c r="CI33"/>
  <c r="CH33"/>
  <c r="CG33"/>
  <c r="CF33"/>
  <c r="CE33"/>
  <c r="CD33"/>
  <c r="CC33"/>
  <c r="BN33"/>
  <c r="BK33"/>
  <c r="BI33"/>
  <c r="BG33"/>
  <c r="BE33"/>
  <c r="BC33"/>
  <c r="BA33"/>
  <c r="AY33"/>
  <c r="AW33"/>
  <c r="AU33"/>
  <c r="AS33"/>
  <c r="AQ33"/>
  <c r="AO33"/>
  <c r="AM33"/>
  <c r="AK33"/>
  <c r="AI33"/>
  <c r="AG33"/>
  <c r="C33"/>
  <c r="CR32"/>
  <c r="CQ32"/>
  <c r="CP32"/>
  <c r="CO32"/>
  <c r="CN32"/>
  <c r="CM32"/>
  <c r="CL32"/>
  <c r="CK32"/>
  <c r="CJ32"/>
  <c r="CI32"/>
  <c r="CH32"/>
  <c r="CG32"/>
  <c r="BN32"/>
  <c r="BK32"/>
  <c r="BI32"/>
  <c r="BG32"/>
  <c r="BE32"/>
  <c r="BC32"/>
  <c r="BA32"/>
  <c r="AY32"/>
  <c r="AW32"/>
  <c r="AU32"/>
  <c r="AS32"/>
  <c r="AQ32"/>
  <c r="AO32"/>
  <c r="AG32"/>
  <c r="AC32"/>
  <c r="Y32"/>
  <c r="C32"/>
  <c r="CR31"/>
  <c r="CQ31"/>
  <c r="CP31"/>
  <c r="CO31"/>
  <c r="CN31"/>
  <c r="CM31"/>
  <c r="CL31"/>
  <c r="CK31"/>
  <c r="CJ31"/>
  <c r="CI31"/>
  <c r="CH31"/>
  <c r="CG31"/>
  <c r="CF31"/>
  <c r="CE31"/>
  <c r="CD31"/>
  <c r="CC31"/>
  <c r="BN31"/>
  <c r="BK31"/>
  <c r="BI31"/>
  <c r="BG31"/>
  <c r="BE31"/>
  <c r="BC31"/>
  <c r="BA31"/>
  <c r="AY31"/>
  <c r="AW31"/>
  <c r="AU31"/>
  <c r="AS31"/>
  <c r="AQ31"/>
  <c r="AO31"/>
  <c r="AM31"/>
  <c r="AK31"/>
  <c r="AI31"/>
  <c r="AG31"/>
  <c r="C31"/>
  <c r="C30"/>
  <c r="B29"/>
  <c r="C28"/>
  <c r="C24"/>
  <c r="C23"/>
  <c r="C22"/>
  <c r="C21"/>
  <c r="C20"/>
  <c r="CR30"/>
  <c r="CQ30"/>
  <c r="CP30"/>
  <c r="CO30"/>
  <c r="CN30"/>
  <c r="CM30"/>
  <c r="CL30"/>
  <c r="CK30"/>
  <c r="CJ30"/>
  <c r="CI30"/>
  <c r="CH30"/>
  <c r="CG30"/>
  <c r="CF30"/>
  <c r="CE30"/>
  <c r="CD30"/>
  <c r="CC30"/>
  <c r="BN30"/>
  <c r="BK30"/>
  <c r="BI30"/>
  <c r="BG30"/>
  <c r="BE30"/>
  <c r="BC30"/>
  <c r="BA30"/>
  <c r="AY30"/>
  <c r="AW30"/>
  <c r="AU30"/>
  <c r="AS30"/>
  <c r="AQ30"/>
  <c r="AO30"/>
  <c r="AM30"/>
  <c r="AK30"/>
  <c r="AI30"/>
  <c r="AG30"/>
  <c r="CR28"/>
  <c r="CQ28"/>
  <c r="CP28"/>
  <c r="CO28"/>
  <c r="CN28"/>
  <c r="CM28"/>
  <c r="CL28"/>
  <c r="CK28"/>
  <c r="CJ28"/>
  <c r="CI28"/>
  <c r="CH28"/>
  <c r="CG28"/>
  <c r="CF28"/>
  <c r="BN28"/>
  <c r="BK28"/>
  <c r="BI28"/>
  <c r="BG28"/>
  <c r="BE28"/>
  <c r="BC28"/>
  <c r="BA28"/>
  <c r="AY28"/>
  <c r="AW28"/>
  <c r="AU28"/>
  <c r="AS28"/>
  <c r="AQ28"/>
  <c r="AO28"/>
  <c r="AM28"/>
  <c r="CR24"/>
  <c r="CQ24"/>
  <c r="CP24"/>
  <c r="CO24"/>
  <c r="CN24"/>
  <c r="CM24"/>
  <c r="CL24"/>
  <c r="CK24"/>
  <c r="CJ24"/>
  <c r="CI24"/>
  <c r="CH24"/>
  <c r="CG24"/>
  <c r="CF24"/>
  <c r="CE24"/>
  <c r="CD24"/>
  <c r="CC24"/>
  <c r="CB24"/>
  <c r="CA24"/>
  <c r="BZ24"/>
  <c r="BN24"/>
  <c r="BK24"/>
  <c r="BI24"/>
  <c r="BG24"/>
  <c r="BE24"/>
  <c r="BC24"/>
  <c r="BA24"/>
  <c r="AY24"/>
  <c r="AW24"/>
  <c r="AU24"/>
  <c r="AS24"/>
  <c r="AQ24"/>
  <c r="AO24"/>
  <c r="AM24"/>
  <c r="AK24"/>
  <c r="AI24"/>
  <c r="AG24"/>
  <c r="AE24"/>
  <c r="AC24"/>
  <c r="AA24"/>
  <c r="CR23"/>
  <c r="CQ23"/>
  <c r="CP23"/>
  <c r="CO23"/>
  <c r="CN23"/>
  <c r="CM23"/>
  <c r="CL23"/>
  <c r="CK23"/>
  <c r="CJ23"/>
  <c r="CI23"/>
  <c r="CH23"/>
  <c r="CG23"/>
  <c r="CF23"/>
  <c r="CE23"/>
  <c r="CD23"/>
  <c r="CC23"/>
  <c r="BN23"/>
  <c r="BK23"/>
  <c r="BI23"/>
  <c r="BG23"/>
  <c r="BE23"/>
  <c r="BC23"/>
  <c r="BA23"/>
  <c r="AY23"/>
  <c r="AW23"/>
  <c r="AU23"/>
  <c r="AS23"/>
  <c r="AQ23"/>
  <c r="AO23"/>
  <c r="AM23"/>
  <c r="AK23"/>
  <c r="AI23"/>
  <c r="AG23"/>
  <c r="CR22"/>
  <c r="CQ22"/>
  <c r="CP22"/>
  <c r="CO22"/>
  <c r="CN22"/>
  <c r="CM22"/>
  <c r="CL22"/>
  <c r="CK22"/>
  <c r="CJ22"/>
  <c r="CI22"/>
  <c r="CH22"/>
  <c r="CG22"/>
  <c r="CF22"/>
  <c r="CE22"/>
  <c r="CD22"/>
  <c r="CC22"/>
  <c r="CB22"/>
  <c r="CA22"/>
  <c r="BN22"/>
  <c r="BK22"/>
  <c r="BI22"/>
  <c r="BG22"/>
  <c r="BE22"/>
  <c r="BC22"/>
  <c r="BA22"/>
  <c r="AY22"/>
  <c r="AW22"/>
  <c r="AU22"/>
  <c r="AS22"/>
  <c r="AQ22"/>
  <c r="AO22"/>
  <c r="AM22"/>
  <c r="AK22"/>
  <c r="AI22"/>
  <c r="AG22"/>
  <c r="AE22"/>
  <c r="AC22"/>
  <c r="CR21"/>
  <c r="CQ21"/>
  <c r="CP21"/>
  <c r="CO21"/>
  <c r="CN21"/>
  <c r="CM21"/>
  <c r="CL21"/>
  <c r="CK21"/>
  <c r="CJ21"/>
  <c r="CI21"/>
  <c r="CH21"/>
  <c r="CG21"/>
  <c r="CF21"/>
  <c r="CE21"/>
  <c r="BN21"/>
  <c r="BK21"/>
  <c r="BI21"/>
  <c r="BG21"/>
  <c r="BE21"/>
  <c r="BC21"/>
  <c r="BA21"/>
  <c r="AY21"/>
  <c r="AW21"/>
  <c r="AU21"/>
  <c r="AS21"/>
  <c r="AQ21"/>
  <c r="AO21"/>
  <c r="AM21"/>
  <c r="AK21"/>
  <c r="CR20"/>
  <c r="CQ20"/>
  <c r="CP20"/>
  <c r="CO20"/>
  <c r="CN20"/>
  <c r="CM20"/>
  <c r="CL20"/>
  <c r="CK20"/>
  <c r="CJ20"/>
  <c r="CI20"/>
  <c r="CH20"/>
  <c r="CG20"/>
  <c r="CF20"/>
  <c r="CE20"/>
  <c r="BN20"/>
  <c r="BK20"/>
  <c r="BI20"/>
  <c r="BG20"/>
  <c r="BE20"/>
  <c r="BC20"/>
  <c r="BA20"/>
  <c r="AY20"/>
  <c r="AW20"/>
  <c r="AU20"/>
  <c r="AS20"/>
  <c r="AQ20"/>
  <c r="AO20"/>
  <c r="AM20"/>
  <c r="AK20"/>
  <c r="B27"/>
  <c r="B19"/>
  <c r="BN10"/>
  <c r="BN11"/>
  <c r="BN12"/>
  <c r="BN13"/>
  <c r="BN14"/>
  <c r="BN15"/>
  <c r="BN16"/>
  <c r="D70" i="7"/>
  <c r="E67"/>
  <c r="F54" i="60" s="1"/>
  <c r="N12" i="69"/>
  <c r="N11"/>
  <c r="M14"/>
  <c r="M12"/>
  <c r="M11"/>
  <c r="L14"/>
  <c r="L12"/>
  <c r="L11"/>
  <c r="K15"/>
  <c r="K14"/>
  <c r="K12"/>
  <c r="K11"/>
  <c r="J15"/>
  <c r="J14"/>
  <c r="J13"/>
  <c r="J12"/>
  <c r="J11"/>
  <c r="I15"/>
  <c r="I14"/>
  <c r="I13"/>
  <c r="I12"/>
  <c r="I11"/>
  <c r="H15"/>
  <c r="H14"/>
  <c r="H13"/>
  <c r="H12"/>
  <c r="H11"/>
  <c r="G15"/>
  <c r="G14"/>
  <c r="G13"/>
  <c r="G12"/>
  <c r="G11"/>
  <c r="F15"/>
  <c r="F14"/>
  <c r="F13"/>
  <c r="F12"/>
  <c r="F11"/>
  <c r="E15"/>
  <c r="E14"/>
  <c r="E13"/>
  <c r="E12"/>
  <c r="E11"/>
  <c r="S10"/>
  <c r="R10"/>
  <c r="Q10"/>
  <c r="P10"/>
  <c r="O10"/>
  <c r="N10"/>
  <c r="M10"/>
  <c r="L10"/>
  <c r="K10"/>
  <c r="J10"/>
  <c r="I10"/>
  <c r="H10"/>
  <c r="G10"/>
  <c r="F10"/>
  <c r="E10"/>
  <c r="C11"/>
  <c r="C12"/>
  <c r="C13"/>
  <c r="C14"/>
  <c r="C15"/>
  <c r="C16"/>
  <c r="C10"/>
  <c r="CY122" l="1"/>
  <c r="R78" i="7"/>
  <c r="R79" s="1"/>
  <c r="R80" s="1"/>
  <c r="R81" s="1"/>
  <c r="R73"/>
  <c r="R74" s="1"/>
  <c r="R75" s="1"/>
  <c r="R76" s="1"/>
  <c r="S78"/>
  <c r="S79" s="1"/>
  <c r="S80" s="1"/>
  <c r="S81" s="1"/>
  <c r="S73"/>
  <c r="S74" s="1"/>
  <c r="S75" s="1"/>
  <c r="S76" s="1"/>
  <c r="S68"/>
  <c r="S69" s="1"/>
  <c r="S70" s="1"/>
  <c r="R68"/>
  <c r="R69" s="1"/>
  <c r="R70" s="1"/>
  <c r="F79"/>
  <c r="F80" s="1"/>
  <c r="F81" s="1"/>
  <c r="F76"/>
  <c r="DK184" i="69"/>
  <c r="A23" i="62"/>
  <c r="CY127" i="69"/>
  <c r="DA127"/>
  <c r="DC127"/>
  <c r="DE127"/>
  <c r="DG127"/>
  <c r="DI127"/>
  <c r="DK127"/>
  <c r="DM127"/>
  <c r="DI135"/>
  <c r="DM135"/>
  <c r="DE136"/>
  <c r="DG136"/>
  <c r="DI136"/>
  <c r="DK136"/>
  <c r="DM136"/>
  <c r="DM137"/>
  <c r="DL140"/>
  <c r="DH142"/>
  <c r="DJ142"/>
  <c r="DL142"/>
  <c r="HW120"/>
  <c r="HY120"/>
  <c r="IA120"/>
  <c r="IC120"/>
  <c r="IG120"/>
  <c r="II120"/>
  <c r="IK120"/>
  <c r="HW127"/>
  <c r="HY127"/>
  <c r="IA127"/>
  <c r="IC127"/>
  <c r="IG127"/>
  <c r="II127"/>
  <c r="IK127"/>
  <c r="HY135"/>
  <c r="IA135"/>
  <c r="IC135"/>
  <c r="IG135"/>
  <c r="II135"/>
  <c r="IK135"/>
  <c r="HY136"/>
  <c r="IA136"/>
  <c r="IC136"/>
  <c r="IG136"/>
  <c r="II136"/>
  <c r="IK136"/>
  <c r="HY137"/>
  <c r="IA137"/>
  <c r="IC137"/>
  <c r="IG137"/>
  <c r="II137"/>
  <c r="IK137"/>
  <c r="HW140"/>
  <c r="HY140"/>
  <c r="IA140"/>
  <c r="IC140"/>
  <c r="IG140"/>
  <c r="II140"/>
  <c r="IK140"/>
  <c r="HW142"/>
  <c r="HY142"/>
  <c r="IA142"/>
  <c r="IC142"/>
  <c r="IG142"/>
  <c r="II142"/>
  <c r="IK142"/>
  <c r="DK177"/>
  <c r="DM177"/>
  <c r="II177"/>
  <c r="IK177"/>
  <c r="DJ178"/>
  <c r="DL178"/>
  <c r="IH178"/>
  <c r="IJ178"/>
  <c r="DK179"/>
  <c r="DM179"/>
  <c r="II179"/>
  <c r="IK179"/>
  <c r="DJ180"/>
  <c r="DL180"/>
  <c r="IH180"/>
  <c r="IJ180"/>
  <c r="DK181"/>
  <c r="DM181"/>
  <c r="II181"/>
  <c r="IK181"/>
  <c r="DJ182"/>
  <c r="DL182"/>
  <c r="DK183"/>
  <c r="DM183"/>
  <c r="II183"/>
  <c r="IK183"/>
  <c r="CX127"/>
  <c r="CZ127"/>
  <c r="DB127"/>
  <c r="DD127"/>
  <c r="DF127"/>
  <c r="DH127"/>
  <c r="DJ127"/>
  <c r="DL127"/>
  <c r="DB135"/>
  <c r="DD135"/>
  <c r="DF135"/>
  <c r="DH135"/>
  <c r="DJ135"/>
  <c r="DL135"/>
  <c r="DB136"/>
  <c r="DD136"/>
  <c r="DF136"/>
  <c r="DH136"/>
  <c r="DJ136"/>
  <c r="DL136"/>
  <c r="CY140"/>
  <c r="DA140"/>
  <c r="DC140"/>
  <c r="DE140"/>
  <c r="DG140"/>
  <c r="DI140"/>
  <c r="DK140"/>
  <c r="DM140"/>
  <c r="CY142"/>
  <c r="DA142"/>
  <c r="DC142"/>
  <c r="DE142"/>
  <c r="DG142"/>
  <c r="DI142"/>
  <c r="DK142"/>
  <c r="DM142"/>
  <c r="HV120"/>
  <c r="HX120"/>
  <c r="HZ120"/>
  <c r="IB120"/>
  <c r="ID120"/>
  <c r="IF120"/>
  <c r="IH120"/>
  <c r="IJ120"/>
  <c r="HV127"/>
  <c r="HX127"/>
  <c r="HZ127"/>
  <c r="IB127"/>
  <c r="ID127"/>
  <c r="IF127"/>
  <c r="IH127"/>
  <c r="IJ127"/>
  <c r="HZ135"/>
  <c r="IB135"/>
  <c r="ID135"/>
  <c r="IF135"/>
  <c r="IH135"/>
  <c r="IJ135"/>
  <c r="HZ136"/>
  <c r="IB136"/>
  <c r="ID136"/>
  <c r="IF136"/>
  <c r="IH136"/>
  <c r="IJ136"/>
  <c r="HZ137"/>
  <c r="IB137"/>
  <c r="ID137"/>
  <c r="IF137"/>
  <c r="IH137"/>
  <c r="IJ137"/>
  <c r="HV140"/>
  <c r="HX140"/>
  <c r="HZ140"/>
  <c r="IB140"/>
  <c r="ID140"/>
  <c r="IF140"/>
  <c r="IH140"/>
  <c r="IJ140"/>
  <c r="HV142"/>
  <c r="HX142"/>
  <c r="HZ142"/>
  <c r="IB142"/>
  <c r="ID142"/>
  <c r="IF142"/>
  <c r="IH142"/>
  <c r="IJ142"/>
  <c r="DJ177"/>
  <c r="DL177"/>
  <c r="IH177"/>
  <c r="IJ177"/>
  <c r="DK178"/>
  <c r="DM178"/>
  <c r="II178"/>
  <c r="IK178"/>
  <c r="DJ179"/>
  <c r="DL179"/>
  <c r="IH179"/>
  <c r="IJ179"/>
  <c r="DK180"/>
  <c r="DM180"/>
  <c r="II180"/>
  <c r="IK180"/>
  <c r="DJ181"/>
  <c r="DL181"/>
  <c r="IH181"/>
  <c r="IJ181"/>
  <c r="DK182"/>
  <c r="DJ183"/>
  <c r="DL183"/>
  <c r="IH183"/>
  <c r="IJ183"/>
  <c r="DM184"/>
  <c r="II184"/>
  <c r="IK184"/>
  <c r="II182"/>
  <c r="IK182"/>
  <c r="DM182"/>
  <c r="IH182"/>
  <c r="IJ182"/>
  <c r="DJ184"/>
  <c r="DL184"/>
  <c r="IH184"/>
  <c r="IJ184"/>
  <c r="DK176"/>
  <c r="DM176"/>
  <c r="II176"/>
  <c r="IK176"/>
  <c r="DJ176"/>
  <c r="DL176"/>
  <c r="IH176"/>
  <c r="IJ176"/>
  <c r="B6" i="62"/>
  <c r="CY168" i="69"/>
  <c r="DA168"/>
  <c r="DC168"/>
  <c r="DE168"/>
  <c r="DG168"/>
  <c r="DI168"/>
  <c r="DK168"/>
  <c r="DM168"/>
  <c r="CY169"/>
  <c r="DA169"/>
  <c r="DC169"/>
  <c r="DE169"/>
  <c r="DG169"/>
  <c r="DI169"/>
  <c r="DK169"/>
  <c r="DM169"/>
  <c r="CY170"/>
  <c r="DA170"/>
  <c r="DC170"/>
  <c r="DE170"/>
  <c r="DG170"/>
  <c r="DI170"/>
  <c r="DK170"/>
  <c r="DM170"/>
  <c r="CY171"/>
  <c r="DA171"/>
  <c r="DC171"/>
  <c r="DE171"/>
  <c r="DG171"/>
  <c r="DI171"/>
  <c r="DK171"/>
  <c r="DM171"/>
  <c r="CY172"/>
  <c r="DA172"/>
  <c r="DC172"/>
  <c r="DE172"/>
  <c r="DG172"/>
  <c r="DI172"/>
  <c r="DK172"/>
  <c r="DM172"/>
  <c r="HV168"/>
  <c r="HX168"/>
  <c r="HZ168"/>
  <c r="IB168"/>
  <c r="ID168"/>
  <c r="IF168"/>
  <c r="IH168"/>
  <c r="IJ168"/>
  <c r="HW169"/>
  <c r="HY169"/>
  <c r="IA169"/>
  <c r="IC169"/>
  <c r="IG169"/>
  <c r="II169"/>
  <c r="IK169"/>
  <c r="HV170"/>
  <c r="HX170"/>
  <c r="HZ170"/>
  <c r="IB170"/>
  <c r="ID170"/>
  <c r="IF170"/>
  <c r="IH170"/>
  <c r="IJ170"/>
  <c r="HW171"/>
  <c r="HY171"/>
  <c r="IA171"/>
  <c r="IC171"/>
  <c r="IG171"/>
  <c r="II171"/>
  <c r="IK171"/>
  <c r="HV172"/>
  <c r="HX172"/>
  <c r="HZ172"/>
  <c r="IB172"/>
  <c r="ID172"/>
  <c r="IF172"/>
  <c r="IH172"/>
  <c r="IJ172"/>
  <c r="CX168"/>
  <c r="CZ168"/>
  <c r="DB168"/>
  <c r="DD168"/>
  <c r="DF168"/>
  <c r="DH168"/>
  <c r="DJ168"/>
  <c r="DL168"/>
  <c r="CX169"/>
  <c r="CZ169"/>
  <c r="DB169"/>
  <c r="DD169"/>
  <c r="DF169"/>
  <c r="DH169"/>
  <c r="DJ169"/>
  <c r="DL169"/>
  <c r="CX170"/>
  <c r="CZ170"/>
  <c r="DB170"/>
  <c r="DD170"/>
  <c r="DF170"/>
  <c r="DH170"/>
  <c r="DJ170"/>
  <c r="DL170"/>
  <c r="CX171"/>
  <c r="CZ171"/>
  <c r="DB171"/>
  <c r="DD171"/>
  <c r="DF171"/>
  <c r="DH171"/>
  <c r="DJ171"/>
  <c r="DL171"/>
  <c r="CX172"/>
  <c r="CZ172"/>
  <c r="DB172"/>
  <c r="DD172"/>
  <c r="DF172"/>
  <c r="DH172"/>
  <c r="DJ172"/>
  <c r="DL172"/>
  <c r="HW168"/>
  <c r="HY168"/>
  <c r="IA168"/>
  <c r="IC168"/>
  <c r="IG168"/>
  <c r="II168"/>
  <c r="IK168"/>
  <c r="HV169"/>
  <c r="HX169"/>
  <c r="HZ169"/>
  <c r="IB169"/>
  <c r="ID169"/>
  <c r="IF169"/>
  <c r="IH169"/>
  <c r="IJ169"/>
  <c r="HW170"/>
  <c r="HY170"/>
  <c r="IA170"/>
  <c r="IC170"/>
  <c r="IG170"/>
  <c r="II170"/>
  <c r="IK170"/>
  <c r="HV171"/>
  <c r="HX171"/>
  <c r="HZ171"/>
  <c r="IB171"/>
  <c r="ID171"/>
  <c r="IF171"/>
  <c r="IH171"/>
  <c r="IJ171"/>
  <c r="HW172"/>
  <c r="HY172"/>
  <c r="IA172"/>
  <c r="IC172"/>
  <c r="IG172"/>
  <c r="II172"/>
  <c r="IK172"/>
  <c r="DD161"/>
  <c r="DF161"/>
  <c r="DH161"/>
  <c r="DJ161"/>
  <c r="DL161"/>
  <c r="DD162"/>
  <c r="DF162"/>
  <c r="DH162"/>
  <c r="DJ162"/>
  <c r="DL162"/>
  <c r="DC163"/>
  <c r="DE163"/>
  <c r="DG163"/>
  <c r="DI163"/>
  <c r="DK163"/>
  <c r="DM163"/>
  <c r="DC164"/>
  <c r="DE164"/>
  <c r="DG164"/>
  <c r="DI164"/>
  <c r="DK164"/>
  <c r="DM164"/>
  <c r="DD165"/>
  <c r="DF165"/>
  <c r="DH165"/>
  <c r="DJ165"/>
  <c r="DL165"/>
  <c r="IA161"/>
  <c r="IC161"/>
  <c r="IG161"/>
  <c r="II161"/>
  <c r="IK161"/>
  <c r="IB162"/>
  <c r="ID162"/>
  <c r="IF162"/>
  <c r="IH162"/>
  <c r="IJ162"/>
  <c r="IA163"/>
  <c r="IC163"/>
  <c r="IG163"/>
  <c r="II163"/>
  <c r="IK163"/>
  <c r="IB164"/>
  <c r="ID164"/>
  <c r="IF164"/>
  <c r="IH164"/>
  <c r="IJ164"/>
  <c r="IA165"/>
  <c r="IC165"/>
  <c r="IG165"/>
  <c r="II165"/>
  <c r="IK165"/>
  <c r="DC161"/>
  <c r="DE161"/>
  <c r="DG161"/>
  <c r="DI161"/>
  <c r="DK161"/>
  <c r="DM161"/>
  <c r="DC162"/>
  <c r="DE162"/>
  <c r="DG162"/>
  <c r="DI162"/>
  <c r="DK162"/>
  <c r="DM162"/>
  <c r="DD163"/>
  <c r="DF163"/>
  <c r="DH163"/>
  <c r="DJ163"/>
  <c r="DL163"/>
  <c r="DD164"/>
  <c r="DF164"/>
  <c r="DH164"/>
  <c r="DJ164"/>
  <c r="DL164"/>
  <c r="DC165"/>
  <c r="DE165"/>
  <c r="DG165"/>
  <c r="DI165"/>
  <c r="DK165"/>
  <c r="DM165"/>
  <c r="IB161"/>
  <c r="ID161"/>
  <c r="IF161"/>
  <c r="IH161"/>
  <c r="IJ161"/>
  <c r="IA162"/>
  <c r="IC162"/>
  <c r="IG162"/>
  <c r="II162"/>
  <c r="IK162"/>
  <c r="IB163"/>
  <c r="ID163"/>
  <c r="IF163"/>
  <c r="IH163"/>
  <c r="IJ163"/>
  <c r="IA164"/>
  <c r="IC164"/>
  <c r="IG164"/>
  <c r="II164"/>
  <c r="IK164"/>
  <c r="IB165"/>
  <c r="ID165"/>
  <c r="IF165"/>
  <c r="IH165"/>
  <c r="IJ165"/>
  <c r="DK158"/>
  <c r="DM158"/>
  <c r="II158"/>
  <c r="IK158"/>
  <c r="DJ158"/>
  <c r="DL158"/>
  <c r="IH158"/>
  <c r="IJ158"/>
  <c r="CY157"/>
  <c r="DA157"/>
  <c r="DC157"/>
  <c r="DE157"/>
  <c r="DG157"/>
  <c r="DI157"/>
  <c r="DK157"/>
  <c r="DM157"/>
  <c r="HW157"/>
  <c r="HY157"/>
  <c r="IA157"/>
  <c r="IC157"/>
  <c r="IG157"/>
  <c r="II157"/>
  <c r="IK157"/>
  <c r="CX157"/>
  <c r="CZ157"/>
  <c r="DB157"/>
  <c r="DD157"/>
  <c r="DF157"/>
  <c r="DH157"/>
  <c r="DJ157"/>
  <c r="DL157"/>
  <c r="HV157"/>
  <c r="HX157"/>
  <c r="HZ157"/>
  <c r="IB157"/>
  <c r="ID157"/>
  <c r="IF157"/>
  <c r="IH157"/>
  <c r="IJ157"/>
  <c r="DK156"/>
  <c r="DM156"/>
  <c r="IH156"/>
  <c r="IJ156"/>
  <c r="DJ156"/>
  <c r="DL156"/>
  <c r="II156"/>
  <c r="IK156"/>
  <c r="DJ155"/>
  <c r="DL155"/>
  <c r="II155"/>
  <c r="IK155"/>
  <c r="DK155"/>
  <c r="DM155"/>
  <c r="IH155"/>
  <c r="IJ155"/>
  <c r="DJ154"/>
  <c r="DL154"/>
  <c r="IH154"/>
  <c r="IJ154"/>
  <c r="DK154"/>
  <c r="DM154"/>
  <c r="II154"/>
  <c r="IK154"/>
  <c r="DH151"/>
  <c r="DJ151"/>
  <c r="DL151"/>
  <c r="IG151"/>
  <c r="II151"/>
  <c r="IK151"/>
  <c r="DG151"/>
  <c r="DI151"/>
  <c r="DK151"/>
  <c r="DM151"/>
  <c r="IF151"/>
  <c r="IH151"/>
  <c r="IJ151"/>
  <c r="DG150"/>
  <c r="DI150"/>
  <c r="DK150"/>
  <c r="DM150"/>
  <c r="IF150"/>
  <c r="IH150"/>
  <c r="IJ150"/>
  <c r="DH150"/>
  <c r="DJ150"/>
  <c r="DL150"/>
  <c r="IG150"/>
  <c r="II150"/>
  <c r="IK150"/>
  <c r="DG149"/>
  <c r="DI149"/>
  <c r="DK149"/>
  <c r="DM149"/>
  <c r="IG149"/>
  <c r="II149"/>
  <c r="IK149"/>
  <c r="DH149"/>
  <c r="DJ149"/>
  <c r="DL149"/>
  <c r="IF149"/>
  <c r="IH149"/>
  <c r="IJ149"/>
  <c r="DH148"/>
  <c r="DJ148"/>
  <c r="DL148"/>
  <c r="IF148"/>
  <c r="IH148"/>
  <c r="IJ148"/>
  <c r="DG148"/>
  <c r="DI148"/>
  <c r="DK148"/>
  <c r="DM148"/>
  <c r="IG148"/>
  <c r="II148"/>
  <c r="IK148"/>
  <c r="DG147"/>
  <c r="DI147"/>
  <c r="DK147"/>
  <c r="DM147"/>
  <c r="IF147"/>
  <c r="IH147"/>
  <c r="IJ147"/>
  <c r="DH147"/>
  <c r="DJ147"/>
  <c r="DL147"/>
  <c r="IG147"/>
  <c r="II147"/>
  <c r="IK147"/>
  <c r="DE144"/>
  <c r="DG144"/>
  <c r="DI144"/>
  <c r="DK144"/>
  <c r="DM144"/>
  <c r="ID144"/>
  <c r="IF144"/>
  <c r="IH144"/>
  <c r="IJ144"/>
  <c r="DF144"/>
  <c r="DH144"/>
  <c r="DJ144"/>
  <c r="DL144"/>
  <c r="IC144"/>
  <c r="IG144"/>
  <c r="II144"/>
  <c r="IK144"/>
  <c r="DF143"/>
  <c r="DH143"/>
  <c r="DJ143"/>
  <c r="DL143"/>
  <c r="IC143"/>
  <c r="IG143"/>
  <c r="II143"/>
  <c r="IK143"/>
  <c r="DE143"/>
  <c r="DG143"/>
  <c r="DI143"/>
  <c r="DK143"/>
  <c r="DM143"/>
  <c r="ID143"/>
  <c r="IF143"/>
  <c r="IH143"/>
  <c r="IJ143"/>
  <c r="DB141"/>
  <c r="DD141"/>
  <c r="DF141"/>
  <c r="DH141"/>
  <c r="DJ141"/>
  <c r="DL141"/>
  <c r="HY141"/>
  <c r="IA141"/>
  <c r="IC141"/>
  <c r="IG141"/>
  <c r="II141"/>
  <c r="IK141"/>
  <c r="DA141"/>
  <c r="DC141"/>
  <c r="DE141"/>
  <c r="DG141"/>
  <c r="DI141"/>
  <c r="DK141"/>
  <c r="DM141"/>
  <c r="HZ141"/>
  <c r="IB141"/>
  <c r="ID141"/>
  <c r="IF141"/>
  <c r="IH141"/>
  <c r="IJ141"/>
  <c r="DB134"/>
  <c r="DD134"/>
  <c r="DF134"/>
  <c r="DH134"/>
  <c r="DJ134"/>
  <c r="DL134"/>
  <c r="HY134"/>
  <c r="IA134"/>
  <c r="IC134"/>
  <c r="IG134"/>
  <c r="II134"/>
  <c r="IK134"/>
  <c r="DA134"/>
  <c r="DC134"/>
  <c r="DE134"/>
  <c r="DG134"/>
  <c r="DI134"/>
  <c r="DK134"/>
  <c r="DM134"/>
  <c r="HZ134"/>
  <c r="IB134"/>
  <c r="ID134"/>
  <c r="IF134"/>
  <c r="IH134"/>
  <c r="IJ134"/>
  <c r="DA133"/>
  <c r="DC133"/>
  <c r="DE133"/>
  <c r="DG133"/>
  <c r="DI133"/>
  <c r="DK133"/>
  <c r="DM133"/>
  <c r="HZ133"/>
  <c r="IB133"/>
  <c r="ID133"/>
  <c r="IF133"/>
  <c r="IH133"/>
  <c r="IJ133"/>
  <c r="DB133"/>
  <c r="DD133"/>
  <c r="DF133"/>
  <c r="DH133"/>
  <c r="DJ133"/>
  <c r="DL133"/>
  <c r="HY133"/>
  <c r="IA133"/>
  <c r="IC133"/>
  <c r="IG133"/>
  <c r="II133"/>
  <c r="IK133"/>
  <c r="DA129"/>
  <c r="DC129"/>
  <c r="DE129"/>
  <c r="DG129"/>
  <c r="DI129"/>
  <c r="DK129"/>
  <c r="DM129"/>
  <c r="HY129"/>
  <c r="IA129"/>
  <c r="IC129"/>
  <c r="IG129"/>
  <c r="II129"/>
  <c r="IK129"/>
  <c r="DB129"/>
  <c r="DD129"/>
  <c r="DF129"/>
  <c r="DH129"/>
  <c r="DJ129"/>
  <c r="DL129"/>
  <c r="HZ129"/>
  <c r="IB129"/>
  <c r="ID129"/>
  <c r="IF129"/>
  <c r="IH129"/>
  <c r="IJ129"/>
  <c r="DA130"/>
  <c r="DC130"/>
  <c r="DE130"/>
  <c r="DG130"/>
  <c r="DI130"/>
  <c r="DK130"/>
  <c r="DM130"/>
  <c r="HZ130"/>
  <c r="IB130"/>
  <c r="ID130"/>
  <c r="IF130"/>
  <c r="IH130"/>
  <c r="IJ130"/>
  <c r="DB130"/>
  <c r="DD130"/>
  <c r="DF130"/>
  <c r="DH130"/>
  <c r="DJ130"/>
  <c r="DL130"/>
  <c r="HY130"/>
  <c r="IA130"/>
  <c r="IC130"/>
  <c r="IG130"/>
  <c r="II130"/>
  <c r="IK130"/>
  <c r="DA128"/>
  <c r="DC128"/>
  <c r="DE128"/>
  <c r="DG128"/>
  <c r="DI128"/>
  <c r="DK128"/>
  <c r="DM128"/>
  <c r="HZ128"/>
  <c r="IB128"/>
  <c r="ID128"/>
  <c r="IF128"/>
  <c r="IH128"/>
  <c r="IJ128"/>
  <c r="DB128"/>
  <c r="DD128"/>
  <c r="DF128"/>
  <c r="DH128"/>
  <c r="DJ128"/>
  <c r="DL128"/>
  <c r="HY128"/>
  <c r="IA128"/>
  <c r="IC128"/>
  <c r="IG128"/>
  <c r="II128"/>
  <c r="IK128"/>
  <c r="DA126"/>
  <c r="DC126"/>
  <c r="DE126"/>
  <c r="DG126"/>
  <c r="DI126"/>
  <c r="DK126"/>
  <c r="DM126"/>
  <c r="HZ126"/>
  <c r="IB126"/>
  <c r="ID126"/>
  <c r="IF126"/>
  <c r="IH126"/>
  <c r="IJ126"/>
  <c r="DB126"/>
  <c r="DD126"/>
  <c r="DF126"/>
  <c r="DH126"/>
  <c r="DJ126"/>
  <c r="DL126"/>
  <c r="HY126"/>
  <c r="IA126"/>
  <c r="IC126"/>
  <c r="IG126"/>
  <c r="II126"/>
  <c r="IK126"/>
  <c r="DK135"/>
  <c r="HV123"/>
  <c r="HX123"/>
  <c r="HZ123"/>
  <c r="IB123"/>
  <c r="ID123"/>
  <c r="IF123"/>
  <c r="IH123"/>
  <c r="IJ123"/>
  <c r="HW123"/>
  <c r="HY123"/>
  <c r="IA123"/>
  <c r="IC123"/>
  <c r="IG123"/>
  <c r="II123"/>
  <c r="IK123"/>
  <c r="DA122"/>
  <c r="HV122"/>
  <c r="HX122"/>
  <c r="HZ122"/>
  <c r="IB122"/>
  <c r="ID122"/>
  <c r="IF122"/>
  <c r="IH122"/>
  <c r="IJ122"/>
  <c r="HW122"/>
  <c r="HY122"/>
  <c r="IA122"/>
  <c r="IC122"/>
  <c r="IG122"/>
  <c r="II122"/>
  <c r="IK122"/>
  <c r="HV121"/>
  <c r="HX121"/>
  <c r="HZ121"/>
  <c r="IB121"/>
  <c r="ID121"/>
  <c r="IF121"/>
  <c r="IH121"/>
  <c r="IJ121"/>
  <c r="HW121"/>
  <c r="HY121"/>
  <c r="IA121"/>
  <c r="IC121"/>
  <c r="IG121"/>
  <c r="II121"/>
  <c r="IK121"/>
  <c r="HV119"/>
  <c r="HX119"/>
  <c r="HZ119"/>
  <c r="IB119"/>
  <c r="ID119"/>
  <c r="IF119"/>
  <c r="IH119"/>
  <c r="IJ119"/>
  <c r="HW119"/>
  <c r="HY119"/>
  <c r="IA119"/>
  <c r="IC119"/>
  <c r="IG119"/>
  <c r="II119"/>
  <c r="IK119"/>
  <c r="AA168"/>
  <c r="AE168"/>
  <c r="AA169"/>
  <c r="AE169"/>
  <c r="AC170"/>
  <c r="AE171"/>
  <c r="AC172"/>
  <c r="Y161"/>
  <c r="AC161"/>
  <c r="AA162"/>
  <c r="Y163"/>
  <c r="AC163"/>
  <c r="AA164"/>
  <c r="Y165"/>
  <c r="AC165"/>
  <c r="AA154"/>
  <c r="AA155"/>
  <c r="Y156"/>
  <c r="AC156"/>
  <c r="AA157"/>
  <c r="AE157"/>
  <c r="Y158"/>
  <c r="AC158"/>
  <c r="Y147"/>
  <c r="AC147"/>
  <c r="AA148"/>
  <c r="AE148"/>
  <c r="Y149"/>
  <c r="AC149"/>
  <c r="AA150"/>
  <c r="AE150"/>
  <c r="Y151"/>
  <c r="AC151"/>
  <c r="AA143"/>
  <c r="Y144"/>
  <c r="AC144"/>
  <c r="DB137"/>
  <c r="DD137"/>
  <c r="DF137"/>
  <c r="DH137"/>
  <c r="DJ137"/>
  <c r="DL137"/>
  <c r="DC135"/>
  <c r="DG135"/>
  <c r="DC122"/>
  <c r="DE119"/>
  <c r="DG119"/>
  <c r="DI119"/>
  <c r="DK119"/>
  <c r="DM119"/>
  <c r="DE120"/>
  <c r="DG120"/>
  <c r="DI120"/>
  <c r="DK120"/>
  <c r="DM120"/>
  <c r="DE121"/>
  <c r="DG121"/>
  <c r="DI121"/>
  <c r="DK121"/>
  <c r="DM121"/>
  <c r="DE122"/>
  <c r="DG122"/>
  <c r="DI122"/>
  <c r="DK122"/>
  <c r="DM122"/>
  <c r="DE123"/>
  <c r="DG123"/>
  <c r="DI123"/>
  <c r="DK123"/>
  <c r="DM123"/>
  <c r="DD119"/>
  <c r="DF119"/>
  <c r="DH119"/>
  <c r="DJ119"/>
  <c r="DL119"/>
  <c r="CY120"/>
  <c r="DA120"/>
  <c r="DC120"/>
  <c r="DD120"/>
  <c r="DF120"/>
  <c r="DH120"/>
  <c r="DJ120"/>
  <c r="DL120"/>
  <c r="DD121"/>
  <c r="DF121"/>
  <c r="DH121"/>
  <c r="DJ121"/>
  <c r="DL121"/>
  <c r="DD122"/>
  <c r="DF122"/>
  <c r="DH122"/>
  <c r="DJ122"/>
  <c r="DL122"/>
  <c r="DD123"/>
  <c r="DF123"/>
  <c r="DH123"/>
  <c r="DJ123"/>
  <c r="DL123"/>
  <c r="AG119"/>
  <c r="AK119"/>
  <c r="AO119"/>
  <c r="CD119"/>
  <c r="CY119" s="1"/>
  <c r="CF119"/>
  <c r="DA119" s="1"/>
  <c r="CH119"/>
  <c r="DC119" s="1"/>
  <c r="AI120"/>
  <c r="AM120"/>
  <c r="AQ120"/>
  <c r="CC120"/>
  <c r="CX120" s="1"/>
  <c r="CE120"/>
  <c r="CZ120" s="1"/>
  <c r="CG120"/>
  <c r="DB120" s="1"/>
  <c r="AG121"/>
  <c r="AK121"/>
  <c r="AO121"/>
  <c r="CD121"/>
  <c r="CY121" s="1"/>
  <c r="CF121"/>
  <c r="DA121" s="1"/>
  <c r="CH121"/>
  <c r="DC121" s="1"/>
  <c r="AI122"/>
  <c r="AM122"/>
  <c r="AQ122"/>
  <c r="CC122"/>
  <c r="CX122" s="1"/>
  <c r="CE122"/>
  <c r="CZ122" s="1"/>
  <c r="CG122"/>
  <c r="DB122" s="1"/>
  <c r="AG123"/>
  <c r="AK123"/>
  <c r="AO123"/>
  <c r="CD123"/>
  <c r="CY123" s="1"/>
  <c r="CF123"/>
  <c r="DA123" s="1"/>
  <c r="CH123"/>
  <c r="DC123" s="1"/>
  <c r="A42" i="62"/>
  <c r="DD81" i="69"/>
  <c r="DF81"/>
  <c r="DH81"/>
  <c r="DJ81"/>
  <c r="DL81"/>
  <c r="DD80"/>
  <c r="DF80"/>
  <c r="DH80"/>
  <c r="DJ80"/>
  <c r="DL80"/>
  <c r="DC64"/>
  <c r="DE64"/>
  <c r="DG64"/>
  <c r="DI64"/>
  <c r="DK64"/>
  <c r="DM64"/>
  <c r="CY84"/>
  <c r="DA84"/>
  <c r="DC84"/>
  <c r="DE84"/>
  <c r="DG84"/>
  <c r="DI84"/>
  <c r="DK84"/>
  <c r="DM84"/>
  <c r="AA32"/>
  <c r="AI32"/>
  <c r="AK39"/>
  <c r="AS39"/>
  <c r="AA40"/>
  <c r="AG40"/>
  <c r="AO40"/>
  <c r="AW40"/>
  <c r="AE41"/>
  <c r="AM41"/>
  <c r="AU41"/>
  <c r="AC43"/>
  <c r="Y44"/>
  <c r="AC45"/>
  <c r="AE47"/>
  <c r="AM47"/>
  <c r="AU47"/>
  <c r="Y48"/>
  <c r="DM74"/>
  <c r="DM75"/>
  <c r="DM76"/>
  <c r="DM77"/>
  <c r="DC80"/>
  <c r="DE80"/>
  <c r="DG80"/>
  <c r="DI80"/>
  <c r="DK80"/>
  <c r="DM80"/>
  <c r="DC81"/>
  <c r="DE81"/>
  <c r="DG81"/>
  <c r="DI81"/>
  <c r="DK81"/>
  <c r="DM81"/>
  <c r="CX84"/>
  <c r="CZ84"/>
  <c r="DB84"/>
  <c r="DD84"/>
  <c r="DF84"/>
  <c r="DH84"/>
  <c r="DJ84"/>
  <c r="DL84"/>
  <c r="CY85"/>
  <c r="DA85"/>
  <c r="DC85"/>
  <c r="DE85"/>
  <c r="DG85"/>
  <c r="DI85"/>
  <c r="DK85"/>
  <c r="CZ86"/>
  <c r="DB86"/>
  <c r="DD86"/>
  <c r="DF86"/>
  <c r="DH86"/>
  <c r="DJ86"/>
  <c r="DL86"/>
  <c r="CY87"/>
  <c r="DA87"/>
  <c r="DC87"/>
  <c r="DE87"/>
  <c r="DG87"/>
  <c r="DI87"/>
  <c r="DK87"/>
  <c r="DM87"/>
  <c r="CX88"/>
  <c r="CZ88"/>
  <c r="DB88"/>
  <c r="DD88"/>
  <c r="DF88"/>
  <c r="DH88"/>
  <c r="DJ88"/>
  <c r="DL88"/>
  <c r="DA89"/>
  <c r="DC89"/>
  <c r="DE89"/>
  <c r="DG89"/>
  <c r="DI89"/>
  <c r="DK89"/>
  <c r="DM89"/>
  <c r="DB93"/>
  <c r="DD93"/>
  <c r="DF93"/>
  <c r="DH93"/>
  <c r="DJ93"/>
  <c r="DL93"/>
  <c r="DA94"/>
  <c r="DC94"/>
  <c r="DE94"/>
  <c r="DG94"/>
  <c r="DI94"/>
  <c r="DK94"/>
  <c r="DM94"/>
  <c r="DB95"/>
  <c r="DD95"/>
  <c r="DF95"/>
  <c r="DH95"/>
  <c r="DJ95"/>
  <c r="DL95"/>
  <c r="DA96"/>
  <c r="DC96"/>
  <c r="DE96"/>
  <c r="DG96"/>
  <c r="DI96"/>
  <c r="DK96"/>
  <c r="DB97"/>
  <c r="DD97"/>
  <c r="DF97"/>
  <c r="DH97"/>
  <c r="DJ97"/>
  <c r="DL97"/>
  <c r="DE98"/>
  <c r="DG98"/>
  <c r="DI98"/>
  <c r="DK98"/>
  <c r="DM98"/>
  <c r="DE100"/>
  <c r="DG100"/>
  <c r="DI100"/>
  <c r="DK100"/>
  <c r="DM100"/>
  <c r="DF101"/>
  <c r="DH101"/>
  <c r="DJ101"/>
  <c r="DL101"/>
  <c r="DE102"/>
  <c r="DG102"/>
  <c r="DI102"/>
  <c r="DK102"/>
  <c r="DM102"/>
  <c r="DM105"/>
  <c r="DA107"/>
  <c r="DC107"/>
  <c r="DE107"/>
  <c r="DG107"/>
  <c r="DI107"/>
  <c r="DK107"/>
  <c r="DM107"/>
  <c r="DB108"/>
  <c r="DD108"/>
  <c r="DF108"/>
  <c r="DH108"/>
  <c r="DJ108"/>
  <c r="DC109"/>
  <c r="DE109"/>
  <c r="DG109"/>
  <c r="DI109"/>
  <c r="DK109"/>
  <c r="DM109"/>
  <c r="CZ110"/>
  <c r="DB110"/>
  <c r="DD110"/>
  <c r="DF110"/>
  <c r="DH110"/>
  <c r="DJ110"/>
  <c r="DA112"/>
  <c r="DC112"/>
  <c r="DE112"/>
  <c r="DG112"/>
  <c r="DI112"/>
  <c r="DK112"/>
  <c r="DM112"/>
  <c r="DB113"/>
  <c r="DD113"/>
  <c r="DF113"/>
  <c r="DH113"/>
  <c r="DJ113"/>
  <c r="DL113"/>
  <c r="CY114"/>
  <c r="DA114"/>
  <c r="DC114"/>
  <c r="DE114"/>
  <c r="DG114"/>
  <c r="DI114"/>
  <c r="DK114"/>
  <c r="DM114"/>
  <c r="CZ115"/>
  <c r="DB115"/>
  <c r="DD115"/>
  <c r="DF115"/>
  <c r="DH115"/>
  <c r="DJ115"/>
  <c r="DL115"/>
  <c r="CX85"/>
  <c r="CZ85"/>
  <c r="DB85"/>
  <c r="DD85"/>
  <c r="DF85"/>
  <c r="DH85"/>
  <c r="DJ85"/>
  <c r="DA86"/>
  <c r="DC86"/>
  <c r="DE86"/>
  <c r="DG86"/>
  <c r="DI86"/>
  <c r="DK86"/>
  <c r="DM86"/>
  <c r="CX87"/>
  <c r="CZ87"/>
  <c r="DB87"/>
  <c r="DD87"/>
  <c r="DF87"/>
  <c r="DH87"/>
  <c r="DJ87"/>
  <c r="DL87"/>
  <c r="CY88"/>
  <c r="DA88"/>
  <c r="DC88"/>
  <c r="DE88"/>
  <c r="DG88"/>
  <c r="DI88"/>
  <c r="DK88"/>
  <c r="DM88"/>
  <c r="CZ89"/>
  <c r="DB89"/>
  <c r="DD89"/>
  <c r="DF89"/>
  <c r="DH89"/>
  <c r="DJ89"/>
  <c r="DL89"/>
  <c r="DA93"/>
  <c r="DC93"/>
  <c r="DE93"/>
  <c r="DG93"/>
  <c r="DI93"/>
  <c r="DK93"/>
  <c r="DM93"/>
  <c r="DB94"/>
  <c r="DD94"/>
  <c r="DF94"/>
  <c r="DH94"/>
  <c r="DJ94"/>
  <c r="DL94"/>
  <c r="DA95"/>
  <c r="DC95"/>
  <c r="DE95"/>
  <c r="DG95"/>
  <c r="DI95"/>
  <c r="DK95"/>
  <c r="DM95"/>
  <c r="DB96"/>
  <c r="DD96"/>
  <c r="DF96"/>
  <c r="DH96"/>
  <c r="DJ96"/>
  <c r="DA97"/>
  <c r="DC97"/>
  <c r="DE97"/>
  <c r="DG97"/>
  <c r="DI97"/>
  <c r="DK97"/>
  <c r="DM97"/>
  <c r="DF98"/>
  <c r="DH98"/>
  <c r="DJ98"/>
  <c r="DL98"/>
  <c r="DD100"/>
  <c r="DF100"/>
  <c r="DH100"/>
  <c r="DJ100"/>
  <c r="DL100"/>
  <c r="DE101"/>
  <c r="DG101"/>
  <c r="DI101"/>
  <c r="DK101"/>
  <c r="DM101"/>
  <c r="DF102"/>
  <c r="DH102"/>
  <c r="DJ102"/>
  <c r="DL102"/>
  <c r="DM104"/>
  <c r="DB107"/>
  <c r="DD107"/>
  <c r="DF107"/>
  <c r="DH107"/>
  <c r="DJ107"/>
  <c r="DA108"/>
  <c r="DC108"/>
  <c r="DE108"/>
  <c r="DG108"/>
  <c r="DI108"/>
  <c r="DK108"/>
  <c r="DM108"/>
  <c r="DB109"/>
  <c r="DD109"/>
  <c r="DF109"/>
  <c r="DH109"/>
  <c r="DJ109"/>
  <c r="DA110"/>
  <c r="DC110"/>
  <c r="DE110"/>
  <c r="DG110"/>
  <c r="DI110"/>
  <c r="DK110"/>
  <c r="DM110"/>
  <c r="CZ112"/>
  <c r="DB112"/>
  <c r="DD112"/>
  <c r="DF112"/>
  <c r="DH112"/>
  <c r="DJ112"/>
  <c r="DL112"/>
  <c r="DC113"/>
  <c r="DE113"/>
  <c r="DG113"/>
  <c r="DI113"/>
  <c r="DK113"/>
  <c r="DM113"/>
  <c r="CX114"/>
  <c r="CZ114"/>
  <c r="DB114"/>
  <c r="DD114"/>
  <c r="DF114"/>
  <c r="DH114"/>
  <c r="DJ114"/>
  <c r="DL114"/>
  <c r="DA115"/>
  <c r="DC115"/>
  <c r="DE115"/>
  <c r="DG115"/>
  <c r="DI115"/>
  <c r="DK115"/>
  <c r="DM115"/>
  <c r="DM106"/>
  <c r="DM96"/>
  <c r="DL96"/>
  <c r="AC42"/>
  <c r="AC46"/>
  <c r="DG59"/>
  <c r="DI59"/>
  <c r="DK59"/>
  <c r="DG61"/>
  <c r="DI61"/>
  <c r="DK61"/>
  <c r="DM61"/>
  <c r="DA70"/>
  <c r="DC70"/>
  <c r="DE70"/>
  <c r="DG70"/>
  <c r="DI70"/>
  <c r="DK70"/>
  <c r="DM85"/>
  <c r="DL85"/>
  <c r="DM73"/>
  <c r="DM70"/>
  <c r="AG66"/>
  <c r="AK66"/>
  <c r="AO66"/>
  <c r="AS66"/>
  <c r="AW66"/>
  <c r="BA66"/>
  <c r="BE66"/>
  <c r="BI66"/>
  <c r="CD66"/>
  <c r="CY66" s="1"/>
  <c r="CH66"/>
  <c r="DC66" s="1"/>
  <c r="CJ66"/>
  <c r="DE66" s="1"/>
  <c r="CL66"/>
  <c r="DG66" s="1"/>
  <c r="CN66"/>
  <c r="DI66" s="1"/>
  <c r="CP66"/>
  <c r="DK66" s="1"/>
  <c r="CR66"/>
  <c r="DM66" s="1"/>
  <c r="AO69"/>
  <c r="AS69"/>
  <c r="AW69"/>
  <c r="BA69"/>
  <c r="BE69"/>
  <c r="BI69"/>
  <c r="CF69"/>
  <c r="DA69" s="1"/>
  <c r="CH69"/>
  <c r="DC69" s="1"/>
  <c r="CJ69"/>
  <c r="DE69" s="1"/>
  <c r="CL69"/>
  <c r="DG69" s="1"/>
  <c r="CN69"/>
  <c r="DI69" s="1"/>
  <c r="CP69"/>
  <c r="DK69" s="1"/>
  <c r="CR69"/>
  <c r="DM69" s="1"/>
  <c r="AM70"/>
  <c r="AQ70"/>
  <c r="AU70"/>
  <c r="AY70"/>
  <c r="BC70"/>
  <c r="BG70"/>
  <c r="BK70"/>
  <c r="CG70"/>
  <c r="DB70" s="1"/>
  <c r="CI70"/>
  <c r="DD70" s="1"/>
  <c r="CK70"/>
  <c r="DF70" s="1"/>
  <c r="CM70"/>
  <c r="DH70" s="1"/>
  <c r="CO70"/>
  <c r="DJ70" s="1"/>
  <c r="CQ70"/>
  <c r="DL70" s="1"/>
  <c r="AM64"/>
  <c r="AQ64"/>
  <c r="AU64"/>
  <c r="AY64"/>
  <c r="BC64"/>
  <c r="BG64"/>
  <c r="BK64"/>
  <c r="CG64"/>
  <c r="DB64" s="1"/>
  <c r="CI64"/>
  <c r="DD64" s="1"/>
  <c r="CK64"/>
  <c r="DF64" s="1"/>
  <c r="CM64"/>
  <c r="DH64" s="1"/>
  <c r="CO64"/>
  <c r="DJ64" s="1"/>
  <c r="CQ64"/>
  <c r="DL64" s="1"/>
  <c r="AO65"/>
  <c r="AS65"/>
  <c r="AW65"/>
  <c r="BA65"/>
  <c r="BE65"/>
  <c r="BI65"/>
  <c r="CH65"/>
  <c r="DC65" s="1"/>
  <c r="CJ65"/>
  <c r="DE65" s="1"/>
  <c r="CL65"/>
  <c r="DG65" s="1"/>
  <c r="CN65"/>
  <c r="DI65" s="1"/>
  <c r="CP65"/>
  <c r="DK65" s="1"/>
  <c r="CR65"/>
  <c r="DM65" s="1"/>
  <c r="A7" i="62"/>
  <c r="DE55" i="69"/>
  <c r="DG55"/>
  <c r="DI55"/>
  <c r="DK55"/>
  <c r="DM55"/>
  <c r="CU24"/>
  <c r="CW24"/>
  <c r="CU34"/>
  <c r="CW34"/>
  <c r="CY34"/>
  <c r="DA34"/>
  <c r="DC34"/>
  <c r="DE34"/>
  <c r="DG34"/>
  <c r="DI34"/>
  <c r="DK34"/>
  <c r="CU35"/>
  <c r="CW35"/>
  <c r="CY35"/>
  <c r="DA35"/>
  <c r="DC35"/>
  <c r="DE35"/>
  <c r="DG35"/>
  <c r="DI35"/>
  <c r="DK35"/>
  <c r="DM35"/>
  <c r="CU36"/>
  <c r="CW36"/>
  <c r="CY36"/>
  <c r="DA36"/>
  <c r="DC36"/>
  <c r="DE36"/>
  <c r="DG36"/>
  <c r="DI36"/>
  <c r="DK36"/>
  <c r="DM36"/>
  <c r="CT35"/>
  <c r="CV35"/>
  <c r="CX35"/>
  <c r="CZ35"/>
  <c r="DB35"/>
  <c r="DD35"/>
  <c r="DF35"/>
  <c r="DH35"/>
  <c r="DJ35"/>
  <c r="DL35"/>
  <c r="CT36"/>
  <c r="CV36"/>
  <c r="CX36"/>
  <c r="CZ36"/>
  <c r="DB36"/>
  <c r="DD36"/>
  <c r="DF36"/>
  <c r="DH36"/>
  <c r="DJ36"/>
  <c r="DL36"/>
  <c r="DM59"/>
  <c r="AA59"/>
  <c r="AE59"/>
  <c r="AI59"/>
  <c r="AY59"/>
  <c r="BC59"/>
  <c r="BG59"/>
  <c r="BK59"/>
  <c r="CK59"/>
  <c r="DF59" s="1"/>
  <c r="CM59"/>
  <c r="DH59" s="1"/>
  <c r="CO59"/>
  <c r="DJ59" s="1"/>
  <c r="CQ59"/>
  <c r="DL59" s="1"/>
  <c r="Y60"/>
  <c r="AC60"/>
  <c r="AG60"/>
  <c r="AW60"/>
  <c r="BA60"/>
  <c r="BE60"/>
  <c r="BI60"/>
  <c r="CL60"/>
  <c r="DG60" s="1"/>
  <c r="CN60"/>
  <c r="DI60" s="1"/>
  <c r="CP60"/>
  <c r="DK60" s="1"/>
  <c r="CR60"/>
  <c r="DM60" s="1"/>
  <c r="AA61"/>
  <c r="AE61"/>
  <c r="AI61"/>
  <c r="AY61"/>
  <c r="BC61"/>
  <c r="BG61"/>
  <c r="BK61"/>
  <c r="CK61"/>
  <c r="DF61" s="1"/>
  <c r="CM61"/>
  <c r="DH61" s="1"/>
  <c r="CO61"/>
  <c r="DJ61" s="1"/>
  <c r="CQ61"/>
  <c r="DL61" s="1"/>
  <c r="AW53"/>
  <c r="BA53"/>
  <c r="BE53"/>
  <c r="BI53"/>
  <c r="CJ53"/>
  <c r="DE53" s="1"/>
  <c r="CL53"/>
  <c r="DG53" s="1"/>
  <c r="CN53"/>
  <c r="DI53" s="1"/>
  <c r="CP53"/>
  <c r="DK53" s="1"/>
  <c r="CR53"/>
  <c r="DM53" s="1"/>
  <c r="AW54"/>
  <c r="BA54"/>
  <c r="BE54"/>
  <c r="BI54"/>
  <c r="CJ54"/>
  <c r="DE54" s="1"/>
  <c r="CL54"/>
  <c r="DG54" s="1"/>
  <c r="CN54"/>
  <c r="DI54" s="1"/>
  <c r="CP54"/>
  <c r="DK54" s="1"/>
  <c r="CR54"/>
  <c r="DM54" s="1"/>
  <c r="AU55"/>
  <c r="AY55"/>
  <c r="BC55"/>
  <c r="BG55"/>
  <c r="BK55"/>
  <c r="CK55"/>
  <c r="DF55" s="1"/>
  <c r="CM55"/>
  <c r="DH55" s="1"/>
  <c r="CO55"/>
  <c r="DJ55" s="1"/>
  <c r="CQ55"/>
  <c r="DL55" s="1"/>
  <c r="AW56"/>
  <c r="BA56"/>
  <c r="BE56"/>
  <c r="BI56"/>
  <c r="CJ56"/>
  <c r="DE56" s="1"/>
  <c r="CL56"/>
  <c r="DG56" s="1"/>
  <c r="CN56"/>
  <c r="DI56" s="1"/>
  <c r="CP56"/>
  <c r="DK56" s="1"/>
  <c r="CR56"/>
  <c r="DM56" s="1"/>
  <c r="A295" i="62"/>
  <c r="AW52" i="69"/>
  <c r="BA52"/>
  <c r="BE52"/>
  <c r="BI52"/>
  <c r="CJ52"/>
  <c r="DE52" s="1"/>
  <c r="CL52"/>
  <c r="DG52" s="1"/>
  <c r="CN52"/>
  <c r="DI52" s="1"/>
  <c r="CP52"/>
  <c r="DK52" s="1"/>
  <c r="CR52"/>
  <c r="DM52" s="1"/>
  <c r="CX30"/>
  <c r="CZ30"/>
  <c r="DB30"/>
  <c r="DD30"/>
  <c r="DF30"/>
  <c r="DH30"/>
  <c r="DJ30"/>
  <c r="DL30"/>
  <c r="CY30"/>
  <c r="DA30"/>
  <c r="DC30"/>
  <c r="DE30"/>
  <c r="DG30"/>
  <c r="DI30"/>
  <c r="DK30"/>
  <c r="DM30"/>
  <c r="CY31"/>
  <c r="DA31"/>
  <c r="DC31"/>
  <c r="DE31"/>
  <c r="DG31"/>
  <c r="DI31"/>
  <c r="DK31"/>
  <c r="DM31"/>
  <c r="CX31"/>
  <c r="CZ31"/>
  <c r="DB31"/>
  <c r="DD31"/>
  <c r="DF31"/>
  <c r="DH31"/>
  <c r="DJ31"/>
  <c r="DL31"/>
  <c r="DC32"/>
  <c r="DE32"/>
  <c r="DG32"/>
  <c r="DI32"/>
  <c r="DK32"/>
  <c r="DM32"/>
  <c r="DB32"/>
  <c r="DD32"/>
  <c r="DF32"/>
  <c r="DH32"/>
  <c r="DJ32"/>
  <c r="DL32"/>
  <c r="CX33"/>
  <c r="CZ33"/>
  <c r="DB33"/>
  <c r="DD33"/>
  <c r="DF33"/>
  <c r="DH33"/>
  <c r="DJ33"/>
  <c r="DL33"/>
  <c r="CY33"/>
  <c r="DA33"/>
  <c r="DC33"/>
  <c r="DE33"/>
  <c r="DG33"/>
  <c r="DI33"/>
  <c r="DK33"/>
  <c r="DM33"/>
  <c r="DA28"/>
  <c r="DC28"/>
  <c r="DE28"/>
  <c r="DG28"/>
  <c r="DI28"/>
  <c r="DK28"/>
  <c r="DM28"/>
  <c r="DB28"/>
  <c r="DD28"/>
  <c r="DF28"/>
  <c r="DH28"/>
  <c r="DJ28"/>
  <c r="DL28"/>
  <c r="CV24"/>
  <c r="CX24"/>
  <c r="CZ24"/>
  <c r="DB24"/>
  <c r="DD24"/>
  <c r="DF24"/>
  <c r="DH24"/>
  <c r="DJ24"/>
  <c r="DL24"/>
  <c r="CY24"/>
  <c r="DA24"/>
  <c r="DC24"/>
  <c r="DE24"/>
  <c r="DG24"/>
  <c r="DI24"/>
  <c r="DK24"/>
  <c r="DM24"/>
  <c r="CY23"/>
  <c r="DA23"/>
  <c r="DC23"/>
  <c r="DE23"/>
  <c r="DG23"/>
  <c r="DI23"/>
  <c r="DK23"/>
  <c r="DM23"/>
  <c r="CX23"/>
  <c r="CZ23"/>
  <c r="DB23"/>
  <c r="DD23"/>
  <c r="DF23"/>
  <c r="DH23"/>
  <c r="DJ23"/>
  <c r="DL23"/>
  <c r="CV22"/>
  <c r="CX22"/>
  <c r="CZ22"/>
  <c r="DB22"/>
  <c r="DD22"/>
  <c r="DF22"/>
  <c r="DH22"/>
  <c r="DJ22"/>
  <c r="DL22"/>
  <c r="CW22"/>
  <c r="CY22"/>
  <c r="DA22"/>
  <c r="DC22"/>
  <c r="DE22"/>
  <c r="DG22"/>
  <c r="DI22"/>
  <c r="DK22"/>
  <c r="DM22"/>
  <c r="DA21"/>
  <c r="DC21"/>
  <c r="DE21"/>
  <c r="DG21"/>
  <c r="DI21"/>
  <c r="DK21"/>
  <c r="DM21"/>
  <c r="CZ21"/>
  <c r="DB21"/>
  <c r="DD21"/>
  <c r="DF21"/>
  <c r="DH21"/>
  <c r="DJ21"/>
  <c r="DL21"/>
  <c r="CZ20"/>
  <c r="DB20"/>
  <c r="DD20"/>
  <c r="DF20"/>
  <c r="DH20"/>
  <c r="DJ20"/>
  <c r="DA20"/>
  <c r="DC20"/>
  <c r="DE20"/>
  <c r="DG20"/>
  <c r="DI20"/>
  <c r="DK20"/>
  <c r="A9" i="62"/>
  <c r="A11"/>
  <c r="A13"/>
  <c r="A15"/>
  <c r="A17"/>
  <c r="A19"/>
  <c r="A21"/>
  <c r="A24"/>
  <c r="A26"/>
  <c r="A28"/>
  <c r="A30"/>
  <c r="A32"/>
  <c r="A34"/>
  <c r="A36"/>
  <c r="A38"/>
  <c r="A40"/>
  <c r="A43"/>
  <c r="A45"/>
  <c r="A47"/>
  <c r="A49"/>
  <c r="A51"/>
  <c r="A53"/>
  <c r="A55"/>
  <c r="A57"/>
  <c r="A59"/>
  <c r="A61"/>
  <c r="A63"/>
  <c r="A65"/>
  <c r="A67"/>
  <c r="A69"/>
  <c r="A71"/>
  <c r="A73"/>
  <c r="A75"/>
  <c r="A77"/>
  <c r="A79"/>
  <c r="A81"/>
  <c r="A83"/>
  <c r="A85"/>
  <c r="A87"/>
  <c r="A89"/>
  <c r="A91"/>
  <c r="A93"/>
  <c r="A95"/>
  <c r="A97"/>
  <c r="A99"/>
  <c r="A101"/>
  <c r="A103"/>
  <c r="A105"/>
  <c r="A107"/>
  <c r="A109"/>
  <c r="A111"/>
  <c r="A113"/>
  <c r="A115"/>
  <c r="A117"/>
  <c r="A119"/>
  <c r="A121"/>
  <c r="A123"/>
  <c r="A125"/>
  <c r="A127"/>
  <c r="A129"/>
  <c r="A131"/>
  <c r="A133"/>
  <c r="A135"/>
  <c r="A137"/>
  <c r="A139"/>
  <c r="A141"/>
  <c r="A143"/>
  <c r="A145"/>
  <c r="A147"/>
  <c r="A149"/>
  <c r="A151"/>
  <c r="A153"/>
  <c r="A155"/>
  <c r="A157"/>
  <c r="A159"/>
  <c r="A161"/>
  <c r="A163"/>
  <c r="A165"/>
  <c r="A167"/>
  <c r="A169"/>
  <c r="A171"/>
  <c r="A173"/>
  <c r="A175"/>
  <c r="A177"/>
  <c r="A179"/>
  <c r="A181"/>
  <c r="A183"/>
  <c r="A185"/>
  <c r="A187"/>
  <c r="A189"/>
  <c r="A191"/>
  <c r="A193"/>
  <c r="A195"/>
  <c r="A197"/>
  <c r="A199"/>
  <c r="A201"/>
  <c r="A203"/>
  <c r="A205"/>
  <c r="A207"/>
  <c r="A209"/>
  <c r="A211"/>
  <c r="A213"/>
  <c r="A215"/>
  <c r="A217"/>
  <c r="A219"/>
  <c r="A221"/>
  <c r="A223"/>
  <c r="A225"/>
  <c r="A227"/>
  <c r="A229"/>
  <c r="A231"/>
  <c r="A233"/>
  <c r="A236"/>
  <c r="A238"/>
  <c r="A240"/>
  <c r="A242"/>
  <c r="A244"/>
  <c r="A246"/>
  <c r="A248"/>
  <c r="A250"/>
  <c r="A252"/>
  <c r="A254"/>
  <c r="A256"/>
  <c r="A258"/>
  <c r="A260"/>
  <c r="A262"/>
  <c r="A264"/>
  <c r="A266"/>
  <c r="A268"/>
  <c r="A270"/>
  <c r="A272"/>
  <c r="A274"/>
  <c r="A276"/>
  <c r="A278"/>
  <c r="A280"/>
  <c r="A282"/>
  <c r="A284"/>
  <c r="A286"/>
  <c r="A288"/>
  <c r="A290"/>
  <c r="A292"/>
  <c r="A294"/>
  <c r="A296"/>
  <c r="A8"/>
  <c r="A10"/>
  <c r="A12"/>
  <c r="A14"/>
  <c r="A16"/>
  <c r="A18"/>
  <c r="A20"/>
  <c r="A22"/>
  <c r="A25"/>
  <c r="A27"/>
  <c r="A29"/>
  <c r="A31"/>
  <c r="A33"/>
  <c r="A35"/>
  <c r="A37"/>
  <c r="A39"/>
  <c r="A41"/>
  <c r="A44"/>
  <c r="A46"/>
  <c r="A48"/>
  <c r="A50"/>
  <c r="A52"/>
  <c r="A54"/>
  <c r="A56"/>
  <c r="A58"/>
  <c r="A60"/>
  <c r="A62"/>
  <c r="A64"/>
  <c r="A66"/>
  <c r="A68"/>
  <c r="A70"/>
  <c r="A72"/>
  <c r="A74"/>
  <c r="A76"/>
  <c r="A78"/>
  <c r="A80"/>
  <c r="A82"/>
  <c r="A84"/>
  <c r="A86"/>
  <c r="A88"/>
  <c r="A90"/>
  <c r="A92"/>
  <c r="A94"/>
  <c r="A96"/>
  <c r="A98"/>
  <c r="A100"/>
  <c r="A102"/>
  <c r="A104"/>
  <c r="A106"/>
  <c r="A108"/>
  <c r="A110"/>
  <c r="A112"/>
  <c r="A114"/>
  <c r="A116"/>
  <c r="A118"/>
  <c r="A120"/>
  <c r="A122"/>
  <c r="A124"/>
  <c r="A126"/>
  <c r="A128"/>
  <c r="A130"/>
  <c r="A132"/>
  <c r="A134"/>
  <c r="A136"/>
  <c r="A138"/>
  <c r="A140"/>
  <c r="A142"/>
  <c r="A144"/>
  <c r="A146"/>
  <c r="A148"/>
  <c r="A150"/>
  <c r="A152"/>
  <c r="A154"/>
  <c r="A156"/>
  <c r="A158"/>
  <c r="A160"/>
  <c r="A162"/>
  <c r="A164"/>
  <c r="A166"/>
  <c r="A168"/>
  <c r="A170"/>
  <c r="A172"/>
  <c r="A174"/>
  <c r="A176"/>
  <c r="A178"/>
  <c r="A180"/>
  <c r="A182"/>
  <c r="A184"/>
  <c r="A186"/>
  <c r="A188"/>
  <c r="A190"/>
  <c r="A192"/>
  <c r="A194"/>
  <c r="A196"/>
  <c r="A198"/>
  <c r="A200"/>
  <c r="A202"/>
  <c r="A204"/>
  <c r="A206"/>
  <c r="A208"/>
  <c r="A210"/>
  <c r="A212"/>
  <c r="A214"/>
  <c r="A216"/>
  <c r="A218"/>
  <c r="A220"/>
  <c r="A222"/>
  <c r="A224"/>
  <c r="A226"/>
  <c r="A228"/>
  <c r="A230"/>
  <c r="A232"/>
  <c r="A234"/>
  <c r="A235"/>
  <c r="A237"/>
  <c r="A239"/>
  <c r="A241"/>
  <c r="A243"/>
  <c r="A245"/>
  <c r="A247"/>
  <c r="A249"/>
  <c r="A251"/>
  <c r="A253"/>
  <c r="A255"/>
  <c r="A257"/>
  <c r="A259"/>
  <c r="A261"/>
  <c r="A263"/>
  <c r="A265"/>
  <c r="A267"/>
  <c r="A269"/>
  <c r="A271"/>
  <c r="A273"/>
  <c r="A275"/>
  <c r="A277"/>
  <c r="A279"/>
  <c r="A281"/>
  <c r="A283"/>
  <c r="A285"/>
  <c r="A287"/>
  <c r="A289"/>
  <c r="A291"/>
  <c r="A293"/>
  <c r="CT34" i="69"/>
  <c r="CV34"/>
  <c r="CX34"/>
  <c r="CZ34"/>
  <c r="DB34"/>
  <c r="DD34"/>
  <c r="DF34"/>
  <c r="DH34"/>
  <c r="DJ34"/>
  <c r="DL34"/>
  <c r="DM34"/>
  <c r="DM20"/>
  <c r="DL20"/>
  <c r="E69" i="7"/>
  <c r="E79"/>
  <c r="E73"/>
  <c r="E80" l="1"/>
  <c r="F69" i="60" s="1"/>
  <c r="F68"/>
  <c r="E74" i="7"/>
  <c r="F61" i="60"/>
  <c r="E70" i="7"/>
  <c r="F57" i="60" s="1"/>
  <c r="F56"/>
  <c r="BR35" i="69"/>
  <c r="BR36"/>
  <c r="DN36"/>
  <c r="D36" s="1"/>
  <c r="DN35"/>
  <c r="D35" s="1"/>
  <c r="DN34"/>
  <c r="EB34" s="1"/>
  <c r="EX34" s="1"/>
  <c r="BR34"/>
  <c r="D74" i="7"/>
  <c r="BK10" i="69"/>
  <c r="BI16"/>
  <c r="BE16"/>
  <c r="BA16"/>
  <c r="AW16"/>
  <c r="AS16"/>
  <c r="AO16"/>
  <c r="AK16"/>
  <c r="AG16"/>
  <c r="BI15"/>
  <c r="BE15"/>
  <c r="BA15"/>
  <c r="AW15"/>
  <c r="AS15"/>
  <c r="AO15"/>
  <c r="BI14"/>
  <c r="BE14"/>
  <c r="BA14"/>
  <c r="AW14"/>
  <c r="AS14"/>
  <c r="BI13"/>
  <c r="BE13"/>
  <c r="BA13"/>
  <c r="AW13"/>
  <c r="AS13"/>
  <c r="AO13"/>
  <c r="AK13"/>
  <c r="BI12"/>
  <c r="BE12"/>
  <c r="BA12"/>
  <c r="AW12"/>
  <c r="AS12"/>
  <c r="AO12"/>
  <c r="AK12"/>
  <c r="BK11"/>
  <c r="BG11"/>
  <c r="BC11"/>
  <c r="AY11"/>
  <c r="AU11"/>
  <c r="AM11"/>
  <c r="AI11"/>
  <c r="AE11"/>
  <c r="BK16"/>
  <c r="BG16"/>
  <c r="BC16"/>
  <c r="AY16"/>
  <c r="AU16"/>
  <c r="AQ16"/>
  <c r="AM16"/>
  <c r="AI16"/>
  <c r="AE16"/>
  <c r="BK15"/>
  <c r="BG15"/>
  <c r="BC15"/>
  <c r="AY15"/>
  <c r="AU15"/>
  <c r="AQ15"/>
  <c r="AM15"/>
  <c r="BK14"/>
  <c r="BG14"/>
  <c r="BC14"/>
  <c r="AY14"/>
  <c r="AU14"/>
  <c r="AQ14"/>
  <c r="BK13"/>
  <c r="BG13"/>
  <c r="BC13"/>
  <c r="AY13"/>
  <c r="AU13"/>
  <c r="AQ13"/>
  <c r="AM13"/>
  <c r="BK12"/>
  <c r="BG12"/>
  <c r="BC12"/>
  <c r="AY12"/>
  <c r="AU12"/>
  <c r="AQ12"/>
  <c r="AM12"/>
  <c r="AI12"/>
  <c r="AE12"/>
  <c r="BI11"/>
  <c r="BE11"/>
  <c r="BA11"/>
  <c r="AW11"/>
  <c r="AS11"/>
  <c r="AO11"/>
  <c r="AK11"/>
  <c r="AG11"/>
  <c r="Y16"/>
  <c r="AC12"/>
  <c r="Y14"/>
  <c r="AA14"/>
  <c r="AA16"/>
  <c r="AA12"/>
  <c r="AC14"/>
  <c r="AC16"/>
  <c r="CQ16"/>
  <c r="DL16" s="1"/>
  <c r="CO16"/>
  <c r="DJ16" s="1"/>
  <c r="CM16"/>
  <c r="DH16" s="1"/>
  <c r="CK16"/>
  <c r="DF16" s="1"/>
  <c r="CI16"/>
  <c r="DD16" s="1"/>
  <c r="CG16"/>
  <c r="DB16" s="1"/>
  <c r="CE16"/>
  <c r="CZ16" s="1"/>
  <c r="CC16"/>
  <c r="CX16" s="1"/>
  <c r="CQ15"/>
  <c r="DL15" s="1"/>
  <c r="CO15"/>
  <c r="DJ15" s="1"/>
  <c r="CM15"/>
  <c r="DH15" s="1"/>
  <c r="CK15"/>
  <c r="DF15" s="1"/>
  <c r="CI15"/>
  <c r="DD15" s="1"/>
  <c r="CG15"/>
  <c r="DB15" s="1"/>
  <c r="CQ14"/>
  <c r="DL14" s="1"/>
  <c r="CO14"/>
  <c r="DJ14" s="1"/>
  <c r="CM14"/>
  <c r="DH14" s="1"/>
  <c r="CK14"/>
  <c r="DF14" s="1"/>
  <c r="CI14"/>
  <c r="DD14" s="1"/>
  <c r="CQ13"/>
  <c r="DL13" s="1"/>
  <c r="CO13"/>
  <c r="DJ13" s="1"/>
  <c r="CM13"/>
  <c r="DH13" s="1"/>
  <c r="CK13"/>
  <c r="DF13" s="1"/>
  <c r="CI13"/>
  <c r="DD13" s="1"/>
  <c r="CG13"/>
  <c r="DB13" s="1"/>
  <c r="CE13"/>
  <c r="CZ13" s="1"/>
  <c r="CQ12"/>
  <c r="DL12" s="1"/>
  <c r="CO12"/>
  <c r="DJ12" s="1"/>
  <c r="CM12"/>
  <c r="DH12" s="1"/>
  <c r="CK12"/>
  <c r="DF12" s="1"/>
  <c r="CI12"/>
  <c r="DD12" s="1"/>
  <c r="CR11"/>
  <c r="DM11" s="1"/>
  <c r="CP11"/>
  <c r="DK11" s="1"/>
  <c r="CN11"/>
  <c r="DI11" s="1"/>
  <c r="CL11"/>
  <c r="DG11" s="1"/>
  <c r="CJ11"/>
  <c r="DE11" s="1"/>
  <c r="CR16"/>
  <c r="DM16" s="1"/>
  <c r="CP16"/>
  <c r="DK16" s="1"/>
  <c r="CN16"/>
  <c r="DI16" s="1"/>
  <c r="CL16"/>
  <c r="DG16" s="1"/>
  <c r="CJ16"/>
  <c r="DE16" s="1"/>
  <c r="CH16"/>
  <c r="DC16" s="1"/>
  <c r="CF16"/>
  <c r="DA16" s="1"/>
  <c r="CD16"/>
  <c r="CY16" s="1"/>
  <c r="CB16"/>
  <c r="CW16" s="1"/>
  <c r="CR15"/>
  <c r="DM15" s="1"/>
  <c r="CP15"/>
  <c r="DK15" s="1"/>
  <c r="CN15"/>
  <c r="DI15" s="1"/>
  <c r="CL15"/>
  <c r="DG15" s="1"/>
  <c r="CJ15"/>
  <c r="DE15" s="1"/>
  <c r="CH15"/>
  <c r="DC15" s="1"/>
  <c r="CF15"/>
  <c r="DA15" s="1"/>
  <c r="CR14"/>
  <c r="DM14" s="1"/>
  <c r="CP14"/>
  <c r="DK14" s="1"/>
  <c r="CN14"/>
  <c r="DI14" s="1"/>
  <c r="CL14"/>
  <c r="DG14" s="1"/>
  <c r="CJ14"/>
  <c r="DE14" s="1"/>
  <c r="CH14"/>
  <c r="DC14" s="1"/>
  <c r="CR13"/>
  <c r="DM13" s="1"/>
  <c r="CP13"/>
  <c r="DK13" s="1"/>
  <c r="CN13"/>
  <c r="DI13" s="1"/>
  <c r="CL13"/>
  <c r="DG13" s="1"/>
  <c r="CJ13"/>
  <c r="DE13" s="1"/>
  <c r="CH13"/>
  <c r="DC13" s="1"/>
  <c r="CF13"/>
  <c r="DA13" s="1"/>
  <c r="CR12"/>
  <c r="DM12" s="1"/>
  <c r="CP12"/>
  <c r="DK12" s="1"/>
  <c r="CN12"/>
  <c r="DI12" s="1"/>
  <c r="CL12"/>
  <c r="DG12" s="1"/>
  <c r="CJ12"/>
  <c r="DE12" s="1"/>
  <c r="CQ11"/>
  <c r="DL11" s="1"/>
  <c r="CO11"/>
  <c r="DJ11" s="1"/>
  <c r="CM11"/>
  <c r="DH11" s="1"/>
  <c r="CK11"/>
  <c r="DF11" s="1"/>
  <c r="CI11"/>
  <c r="DD11" s="1"/>
  <c r="CA16"/>
  <c r="CV16" s="1"/>
  <c r="BY16"/>
  <c r="CT16" s="1"/>
  <c r="BZ16"/>
  <c r="CU16" s="1"/>
  <c r="AI10"/>
  <c r="AE10"/>
  <c r="AM10"/>
  <c r="AQ10"/>
  <c r="AG10"/>
  <c r="AK10"/>
  <c r="AO10"/>
  <c r="AS10"/>
  <c r="BE10"/>
  <c r="BI10"/>
  <c r="CR10"/>
  <c r="CP10"/>
  <c r="CN10"/>
  <c r="BC10"/>
  <c r="BG10"/>
  <c r="CQ10"/>
  <c r="CO10"/>
  <c r="F62" i="60" l="1"/>
  <c r="DQ35" i="69"/>
  <c r="EM35" s="1"/>
  <c r="EH35"/>
  <c r="FD35" s="1"/>
  <c r="EC36"/>
  <c r="EY36" s="1"/>
  <c r="DR36"/>
  <c r="EN36" s="1"/>
  <c r="EA35"/>
  <c r="EW35" s="1"/>
  <c r="EG35"/>
  <c r="FC35" s="1"/>
  <c r="DX35"/>
  <c r="ET35" s="1"/>
  <c r="DV35"/>
  <c r="ER35" s="1"/>
  <c r="DR35"/>
  <c r="EN35" s="1"/>
  <c r="DS35"/>
  <c r="EO35" s="1"/>
  <c r="EI35"/>
  <c r="FE35" s="1"/>
  <c r="DY35"/>
  <c r="EU35" s="1"/>
  <c r="EF35"/>
  <c r="FB35" s="1"/>
  <c r="DZ35"/>
  <c r="EV35" s="1"/>
  <c r="EA36"/>
  <c r="EW36" s="1"/>
  <c r="EH36"/>
  <c r="FD36" s="1"/>
  <c r="EB36"/>
  <c r="EX36" s="1"/>
  <c r="DS36"/>
  <c r="EO36" s="1"/>
  <c r="EI36"/>
  <c r="FE36" s="1"/>
  <c r="DZ36"/>
  <c r="EV36" s="1"/>
  <c r="DU36"/>
  <c r="EQ36" s="1"/>
  <c r="DX36"/>
  <c r="ET36" s="1"/>
  <c r="DW35"/>
  <c r="ES35" s="1"/>
  <c r="EE35"/>
  <c r="FA35" s="1"/>
  <c r="DP35"/>
  <c r="EJ35" s="1"/>
  <c r="DU35"/>
  <c r="EQ35" s="1"/>
  <c r="EC35"/>
  <c r="EY35" s="1"/>
  <c r="DT35"/>
  <c r="EP35" s="1"/>
  <c r="EB35"/>
  <c r="EX35" s="1"/>
  <c r="ED35"/>
  <c r="EZ35" s="1"/>
  <c r="DW36"/>
  <c r="ES36" s="1"/>
  <c r="EE36"/>
  <c r="FA36" s="1"/>
  <c r="DP36"/>
  <c r="EJ36" s="1"/>
  <c r="DV36"/>
  <c r="ER36" s="1"/>
  <c r="ED36"/>
  <c r="EZ36" s="1"/>
  <c r="DQ36"/>
  <c r="EM36" s="1"/>
  <c r="DY36"/>
  <c r="EU36" s="1"/>
  <c r="EG36"/>
  <c r="FC36" s="1"/>
  <c r="EF36"/>
  <c r="FB36" s="1"/>
  <c r="DT36"/>
  <c r="EP36" s="1"/>
  <c r="EF34"/>
  <c r="FB34" s="1"/>
  <c r="EI34"/>
  <c r="FE34" s="1"/>
  <c r="ED34"/>
  <c r="EZ34" s="1"/>
  <c r="DV34"/>
  <c r="ER34" s="1"/>
  <c r="DR34"/>
  <c r="EN34" s="1"/>
  <c r="DZ34"/>
  <c r="EV34" s="1"/>
  <c r="EH34"/>
  <c r="FD34" s="1"/>
  <c r="DX34"/>
  <c r="ET34" s="1"/>
  <c r="DT34"/>
  <c r="EP34" s="1"/>
  <c r="D34"/>
  <c r="DS34"/>
  <c r="EO34" s="1"/>
  <c r="DW34"/>
  <c r="ES34" s="1"/>
  <c r="EA34"/>
  <c r="EW34" s="1"/>
  <c r="EE34"/>
  <c r="FA34" s="1"/>
  <c r="DQ34"/>
  <c r="EM34" s="1"/>
  <c r="DU34"/>
  <c r="EQ34" s="1"/>
  <c r="DY34"/>
  <c r="EU34" s="1"/>
  <c r="EC34"/>
  <c r="EY34" s="1"/>
  <c r="EG34"/>
  <c r="FC34" s="1"/>
  <c r="DP34"/>
  <c r="BR16"/>
  <c r="DN16"/>
  <c r="DQ16" s="1"/>
  <c r="D7"/>
  <c r="EL35" l="1"/>
  <c r="FW35" s="1"/>
  <c r="X8"/>
  <c r="EL36"/>
  <c r="FY36" s="1"/>
  <c r="BT35"/>
  <c r="BV35" s="1"/>
  <c r="GT35" s="1"/>
  <c r="BT36"/>
  <c r="BV36" s="1"/>
  <c r="GT36" s="1"/>
  <c r="EL34"/>
  <c r="BT34"/>
  <c r="BV34" s="1"/>
  <c r="EJ34"/>
  <c r="DS16"/>
  <c r="DR16"/>
  <c r="D16"/>
  <c r="H21" i="45" s="1"/>
  <c r="DT16" i="69"/>
  <c r="EI16"/>
  <c r="EB16"/>
  <c r="EA16"/>
  <c r="EF16"/>
  <c r="DX16"/>
  <c r="EE16"/>
  <c r="DW16"/>
  <c r="DP16"/>
  <c r="ED16"/>
  <c r="DV16"/>
  <c r="EG16"/>
  <c r="DY16"/>
  <c r="EH16"/>
  <c r="DZ16"/>
  <c r="EC16"/>
  <c r="DU16"/>
  <c r="F7"/>
  <c r="F8" s="1"/>
  <c r="J7"/>
  <c r="J8" s="1"/>
  <c r="N7"/>
  <c r="N8" s="1"/>
  <c r="R7"/>
  <c r="R8" s="1"/>
  <c r="V7"/>
  <c r="V8" s="1"/>
  <c r="G7"/>
  <c r="G8" s="1"/>
  <c r="K7"/>
  <c r="K8" s="1"/>
  <c r="O7"/>
  <c r="O8" s="1"/>
  <c r="S7"/>
  <c r="S8" s="1"/>
  <c r="W7"/>
  <c r="W8" s="1"/>
  <c r="H7"/>
  <c r="H8" s="1"/>
  <c r="L7"/>
  <c r="L8" s="1"/>
  <c r="P7"/>
  <c r="P8" s="1"/>
  <c r="T7"/>
  <c r="T8" s="1"/>
  <c r="X7"/>
  <c r="I7"/>
  <c r="I8" s="1"/>
  <c r="M7"/>
  <c r="M8" s="1"/>
  <c r="Q7"/>
  <c r="Q8" s="1"/>
  <c r="U7"/>
  <c r="U8" s="1"/>
  <c r="E7"/>
  <c r="E8" s="1"/>
  <c r="DL10"/>
  <c r="DJ10"/>
  <c r="DM10"/>
  <c r="DK10"/>
  <c r="DI10"/>
  <c r="J54" i="21"/>
  <c r="J76"/>
  <c r="J65"/>
  <c r="J45"/>
  <c r="J36"/>
  <c r="J27"/>
  <c r="J18"/>
  <c r="M27" i="52"/>
  <c r="C38"/>
  <c r="E157" i="63"/>
  <c r="E156"/>
  <c r="E155"/>
  <c r="E154"/>
  <c r="C154"/>
  <c r="E153"/>
  <c r="C153"/>
  <c r="E152"/>
  <c r="C152"/>
  <c r="E151"/>
  <c r="C151"/>
  <c r="E150"/>
  <c r="E149"/>
  <c r="E148"/>
  <c r="E147"/>
  <c r="J146"/>
  <c r="G146"/>
  <c r="C208" i="60"/>
  <c r="C202"/>
  <c r="C198"/>
  <c r="C194"/>
  <c r="D206"/>
  <c r="D205"/>
  <c r="D204"/>
  <c r="D203"/>
  <c r="J156" i="62"/>
  <c r="J157" s="1"/>
  <c r="J158" s="1"/>
  <c r="J159" s="1"/>
  <c r="J148"/>
  <c r="J149" s="1"/>
  <c r="J150" s="1"/>
  <c r="J151" s="1"/>
  <c r="J152" s="1"/>
  <c r="J141"/>
  <c r="J142" s="1"/>
  <c r="J143" s="1"/>
  <c r="J144" s="1"/>
  <c r="J133"/>
  <c r="J134" s="1"/>
  <c r="J135" s="1"/>
  <c r="J136" s="1"/>
  <c r="J137" s="1"/>
  <c r="J123"/>
  <c r="J124" s="1"/>
  <c r="J125" s="1"/>
  <c r="J117"/>
  <c r="J118" s="1"/>
  <c r="J119" s="1"/>
  <c r="J112"/>
  <c r="J113" s="1"/>
  <c r="J106"/>
  <c r="J107" s="1"/>
  <c r="J108" s="1"/>
  <c r="J100"/>
  <c r="J101" s="1"/>
  <c r="J102" s="1"/>
  <c r="J40"/>
  <c r="J30"/>
  <c r="J31" s="1"/>
  <c r="J32" s="1"/>
  <c r="J33" s="1"/>
  <c r="J34" s="1"/>
  <c r="J35" s="1"/>
  <c r="J36" s="1"/>
  <c r="J18"/>
  <c r="J19" s="1"/>
  <c r="J20" s="1"/>
  <c r="J21" s="1"/>
  <c r="J22" s="1"/>
  <c r="J7"/>
  <c r="J8" s="1"/>
  <c r="J9" s="1"/>
  <c r="J10" s="1"/>
  <c r="J11" s="1"/>
  <c r="J12" s="1"/>
  <c r="J13" s="1"/>
  <c r="J14" s="1"/>
  <c r="H156"/>
  <c r="H157" s="1"/>
  <c r="H158" s="1"/>
  <c r="H159" s="1"/>
  <c r="H148"/>
  <c r="H141"/>
  <c r="H133"/>
  <c r="H123"/>
  <c r="H124" s="1"/>
  <c r="H125" s="1"/>
  <c r="H117"/>
  <c r="H118" s="1"/>
  <c r="H112"/>
  <c r="H106"/>
  <c r="H100"/>
  <c r="H86"/>
  <c r="H87" s="1"/>
  <c r="H88" s="1"/>
  <c r="H89" s="1"/>
  <c r="H74"/>
  <c r="H75" s="1"/>
  <c r="H76" s="1"/>
  <c r="H77" s="1"/>
  <c r="H78" s="1"/>
  <c r="H79" s="1"/>
  <c r="H80" s="1"/>
  <c r="H81" s="1"/>
  <c r="H65"/>
  <c r="H66" s="1"/>
  <c r="H67" s="1"/>
  <c r="H68" s="1"/>
  <c r="H69" s="1"/>
  <c r="H56"/>
  <c r="H57" s="1"/>
  <c r="H58" s="1"/>
  <c r="H59" s="1"/>
  <c r="H60" s="1"/>
  <c r="H40"/>
  <c r="H41" s="1"/>
  <c r="H30"/>
  <c r="H31" s="1"/>
  <c r="H32" s="1"/>
  <c r="H33" s="1"/>
  <c r="H34" s="1"/>
  <c r="H35" s="1"/>
  <c r="H36" s="1"/>
  <c r="H18"/>
  <c r="H19" s="1"/>
  <c r="H20" s="1"/>
  <c r="H21" s="1"/>
  <c r="H22" s="1"/>
  <c r="H7"/>
  <c r="H149"/>
  <c r="H142"/>
  <c r="H143" s="1"/>
  <c r="H144" s="1"/>
  <c r="H134"/>
  <c r="H135" s="1"/>
  <c r="H136" s="1"/>
  <c r="H137" s="1"/>
  <c r="H107"/>
  <c r="GW171" i="69" s="1"/>
  <c r="HR171" s="1"/>
  <c r="L131" i="62"/>
  <c r="F196"/>
  <c r="C137" i="63"/>
  <c r="C155" s="1"/>
  <c r="C128"/>
  <c r="C150" s="1"/>
  <c r="C127"/>
  <c r="C149" s="1"/>
  <c r="C124"/>
  <c r="C148" s="1"/>
  <c r="C123"/>
  <c r="C147" s="1"/>
  <c r="J121"/>
  <c r="G121"/>
  <c r="E152" i="60"/>
  <c r="E151"/>
  <c r="E150"/>
  <c r="E149"/>
  <c r="E148"/>
  <c r="E147"/>
  <c r="H101" i="62" l="1"/>
  <c r="H102" s="1"/>
  <c r="GW165" i="69"/>
  <c r="HR165" s="1"/>
  <c r="GW164"/>
  <c r="HR164" s="1"/>
  <c r="GW163"/>
  <c r="HR163" s="1"/>
  <c r="GW162"/>
  <c r="HR162" s="1"/>
  <c r="GW161"/>
  <c r="HR161" s="1"/>
  <c r="GW158"/>
  <c r="HR158" s="1"/>
  <c r="GW156"/>
  <c r="HR156" s="1"/>
  <c r="GW155"/>
  <c r="HR155" s="1"/>
  <c r="GW154"/>
  <c r="HR154" s="1"/>
  <c r="GW151"/>
  <c r="HR151" s="1"/>
  <c r="GW150"/>
  <c r="HR150" s="1"/>
  <c r="GW149"/>
  <c r="HR149" s="1"/>
  <c r="GW148"/>
  <c r="HR148" s="1"/>
  <c r="GW147"/>
  <c r="HR147" s="1"/>
  <c r="GW144"/>
  <c r="HR144" s="1"/>
  <c r="GW143"/>
  <c r="HR143" s="1"/>
  <c r="HA141"/>
  <c r="HV141" s="1"/>
  <c r="HA137"/>
  <c r="HV137" s="1"/>
  <c r="HA136"/>
  <c r="HV136" s="1"/>
  <c r="HA135"/>
  <c r="HV135" s="1"/>
  <c r="HA134"/>
  <c r="HV134" s="1"/>
  <c r="HA133"/>
  <c r="HV133" s="1"/>
  <c r="HA130"/>
  <c r="HV130" s="1"/>
  <c r="HA129"/>
  <c r="HV129" s="1"/>
  <c r="HA128"/>
  <c r="HV128" s="1"/>
  <c r="GW126"/>
  <c r="HR126" s="1"/>
  <c r="H113" i="62"/>
  <c r="HE158" i="69"/>
  <c r="HZ158" s="1"/>
  <c r="HE156"/>
  <c r="HZ156" s="1"/>
  <c r="HE155"/>
  <c r="HZ155" s="1"/>
  <c r="HE154"/>
  <c r="HZ154" s="1"/>
  <c r="H150" i="62"/>
  <c r="HE183" i="69"/>
  <c r="HZ183" s="1"/>
  <c r="HE181"/>
  <c r="HZ181" s="1"/>
  <c r="HE179"/>
  <c r="HZ179" s="1"/>
  <c r="HE177"/>
  <c r="HZ177" s="1"/>
  <c r="HE184"/>
  <c r="HZ184" s="1"/>
  <c r="HE182"/>
  <c r="HZ182" s="1"/>
  <c r="HE180"/>
  <c r="HZ180" s="1"/>
  <c r="HE178"/>
  <c r="HZ178" s="1"/>
  <c r="HE176"/>
  <c r="HZ176" s="1"/>
  <c r="HA158"/>
  <c r="HV158" s="1"/>
  <c r="HA156"/>
  <c r="HV156" s="1"/>
  <c r="HA155"/>
  <c r="HV155" s="1"/>
  <c r="HA154"/>
  <c r="HV154" s="1"/>
  <c r="HH158"/>
  <c r="IC158" s="1"/>
  <c r="HH156"/>
  <c r="IC156" s="1"/>
  <c r="HH155"/>
  <c r="IC155" s="1"/>
  <c r="HH154"/>
  <c r="IC154" s="1"/>
  <c r="HD184"/>
  <c r="HY184" s="1"/>
  <c r="HD182"/>
  <c r="HY182" s="1"/>
  <c r="HD180"/>
  <c r="HY180" s="1"/>
  <c r="HD178"/>
  <c r="HY178" s="1"/>
  <c r="HD176"/>
  <c r="HY176" s="1"/>
  <c r="HD183"/>
  <c r="HY183" s="1"/>
  <c r="HD181"/>
  <c r="HY181" s="1"/>
  <c r="HD179"/>
  <c r="HY179" s="1"/>
  <c r="HD177"/>
  <c r="HY177" s="1"/>
  <c r="H119" i="62"/>
  <c r="HI158" i="69"/>
  <c r="ID158" s="1"/>
  <c r="HI156"/>
  <c r="ID156" s="1"/>
  <c r="HI154"/>
  <c r="ID154" s="1"/>
  <c r="HI155"/>
  <c r="ID155" s="1"/>
  <c r="HF155"/>
  <c r="IA155" s="1"/>
  <c r="HF158"/>
  <c r="IA158" s="1"/>
  <c r="HF156"/>
  <c r="IA156" s="1"/>
  <c r="HF154"/>
  <c r="IA154" s="1"/>
  <c r="H108" i="62"/>
  <c r="HB155" i="69"/>
  <c r="HW155" s="1"/>
  <c r="HB158"/>
  <c r="HW158" s="1"/>
  <c r="HB156"/>
  <c r="HW156" s="1"/>
  <c r="HB154"/>
  <c r="HW154" s="1"/>
  <c r="HB136"/>
  <c r="HW136" s="1"/>
  <c r="HB130"/>
  <c r="HW130" s="1"/>
  <c r="HB141"/>
  <c r="HW141" s="1"/>
  <c r="HB135"/>
  <c r="HW135" s="1"/>
  <c r="HB129"/>
  <c r="HW129" s="1"/>
  <c r="H24" i="62"/>
  <c r="H25" s="1"/>
  <c r="H26" s="1"/>
  <c r="H23"/>
  <c r="I23" s="1"/>
  <c r="L23" s="1"/>
  <c r="J24"/>
  <c r="J25" s="1"/>
  <c r="J26" s="1"/>
  <c r="J23"/>
  <c r="J41"/>
  <c r="H43"/>
  <c r="H44" s="1"/>
  <c r="H45" s="1"/>
  <c r="H46" s="1"/>
  <c r="H47" s="1"/>
  <c r="H48" s="1"/>
  <c r="H42"/>
  <c r="I42" s="1"/>
  <c r="L42" s="1"/>
  <c r="FR35" i="69"/>
  <c r="FM35"/>
  <c r="FJ35"/>
  <c r="FZ35"/>
  <c r="FU35"/>
  <c r="GC35"/>
  <c r="FN35"/>
  <c r="FV35"/>
  <c r="FI35"/>
  <c r="FQ35"/>
  <c r="FY35"/>
  <c r="FH35"/>
  <c r="FL35"/>
  <c r="FP35"/>
  <c r="FT35"/>
  <c r="FX35"/>
  <c r="FG35"/>
  <c r="FK35"/>
  <c r="FO35"/>
  <c r="FS35"/>
  <c r="FW36"/>
  <c r="GN35"/>
  <c r="GS35"/>
  <c r="FL36"/>
  <c r="GK35"/>
  <c r="GF35"/>
  <c r="GF36"/>
  <c r="FG36"/>
  <c r="GG35"/>
  <c r="GO35"/>
  <c r="GB35"/>
  <c r="GJ35"/>
  <c r="GR35"/>
  <c r="GE35"/>
  <c r="GI35"/>
  <c r="GM35"/>
  <c r="GQ35"/>
  <c r="GU35"/>
  <c r="GD35"/>
  <c r="GH35"/>
  <c r="GL35"/>
  <c r="GP35"/>
  <c r="FT36"/>
  <c r="FO36"/>
  <c r="GK36"/>
  <c r="FH36"/>
  <c r="FP36"/>
  <c r="FX36"/>
  <c r="FK36"/>
  <c r="FS36"/>
  <c r="GC36"/>
  <c r="GS36"/>
  <c r="GN36"/>
  <c r="GG36"/>
  <c r="GO36"/>
  <c r="GB36"/>
  <c r="GJ36"/>
  <c r="GR36"/>
  <c r="FJ36"/>
  <c r="FN36"/>
  <c r="FR36"/>
  <c r="FV36"/>
  <c r="FZ36"/>
  <c r="FI36"/>
  <c r="FM36"/>
  <c r="FQ36"/>
  <c r="FU36"/>
  <c r="GE36"/>
  <c r="GI36"/>
  <c r="GM36"/>
  <c r="GQ36"/>
  <c r="GU36"/>
  <c r="GD36"/>
  <c r="GH36"/>
  <c r="GL36"/>
  <c r="GP36"/>
  <c r="FY34"/>
  <c r="FW34"/>
  <c r="FU34"/>
  <c r="FS34"/>
  <c r="FQ34"/>
  <c r="FO34"/>
  <c r="FM34"/>
  <c r="FK34"/>
  <c r="FI34"/>
  <c r="FG34"/>
  <c r="FZ34"/>
  <c r="FX34"/>
  <c r="FV34"/>
  <c r="FT34"/>
  <c r="FR34"/>
  <c r="FP34"/>
  <c r="FN34"/>
  <c r="FL34"/>
  <c r="FJ34"/>
  <c r="FH34"/>
  <c r="GT34"/>
  <c r="GR34"/>
  <c r="GP34"/>
  <c r="GN34"/>
  <c r="GL34"/>
  <c r="GJ34"/>
  <c r="GH34"/>
  <c r="GF34"/>
  <c r="GD34"/>
  <c r="GB34"/>
  <c r="GU34"/>
  <c r="GS34"/>
  <c r="GQ34"/>
  <c r="GO34"/>
  <c r="GM34"/>
  <c r="GK34"/>
  <c r="GI34"/>
  <c r="GG34"/>
  <c r="GE34"/>
  <c r="GC34"/>
  <c r="EQ16"/>
  <c r="EL16"/>
  <c r="EJ16"/>
  <c r="BT16"/>
  <c r="BV16" s="1"/>
  <c r="FD16"/>
  <c r="FA16"/>
  <c r="EU16"/>
  <c r="ER16"/>
  <c r="EW16"/>
  <c r="ET16"/>
  <c r="EN16"/>
  <c r="EY16"/>
  <c r="EV16"/>
  <c r="EM16"/>
  <c r="ES16"/>
  <c r="EP16"/>
  <c r="FC16"/>
  <c r="EZ16"/>
  <c r="EO16"/>
  <c r="FE16"/>
  <c r="FB16"/>
  <c r="EX16"/>
  <c r="H8" i="62"/>
  <c r="H9" s="1"/>
  <c r="H10" s="1"/>
  <c r="H11" s="1"/>
  <c r="H12" s="1"/>
  <c r="H13" s="1"/>
  <c r="H14" s="1"/>
  <c r="D196" i="60"/>
  <c r="D200"/>
  <c r="D195"/>
  <c r="D199"/>
  <c r="D209"/>
  <c r="HB133" i="69" l="1"/>
  <c r="HW133" s="1"/>
  <c r="HB137"/>
  <c r="HW137" s="1"/>
  <c r="HB128"/>
  <c r="HW128" s="1"/>
  <c r="HB134"/>
  <c r="HW134" s="1"/>
  <c r="H151" i="62"/>
  <c r="HF184" i="69"/>
  <c r="IA184" s="1"/>
  <c r="HF182"/>
  <c r="IA182" s="1"/>
  <c r="HF180"/>
  <c r="IA180" s="1"/>
  <c r="HF178"/>
  <c r="IA178" s="1"/>
  <c r="HF176"/>
  <c r="IA176" s="1"/>
  <c r="HF183"/>
  <c r="IA183" s="1"/>
  <c r="HF181"/>
  <c r="IA181" s="1"/>
  <c r="HF179"/>
  <c r="IA179" s="1"/>
  <c r="HF177"/>
  <c r="IA177" s="1"/>
  <c r="HJ155"/>
  <c r="HJ158"/>
  <c r="HJ156"/>
  <c r="HJ154"/>
  <c r="HC158"/>
  <c r="HX158" s="1"/>
  <c r="HC156"/>
  <c r="HX156" s="1"/>
  <c r="HC154"/>
  <c r="HX154" s="1"/>
  <c r="HA151"/>
  <c r="HV151" s="1"/>
  <c r="HA150"/>
  <c r="HV150" s="1"/>
  <c r="HA149"/>
  <c r="HV149" s="1"/>
  <c r="HA148"/>
  <c r="HV148" s="1"/>
  <c r="HA147"/>
  <c r="HV147" s="1"/>
  <c r="HC155"/>
  <c r="HX155" s="1"/>
  <c r="M42" i="62"/>
  <c r="CG106" i="69"/>
  <c r="DB106" s="1"/>
  <c r="CG105"/>
  <c r="DB105" s="1"/>
  <c r="CG104"/>
  <c r="DB104" s="1"/>
  <c r="M23" i="62"/>
  <c r="CI101" i="69"/>
  <c r="DD101" s="1"/>
  <c r="CD106"/>
  <c r="CY106" s="1"/>
  <c r="CD105"/>
  <c r="CY105" s="1"/>
  <c r="CD104"/>
  <c r="CY104" s="1"/>
  <c r="CI102"/>
  <c r="DD102" s="1"/>
  <c r="J43" i="62"/>
  <c r="J44" s="1"/>
  <c r="J45" s="1"/>
  <c r="J46" s="1"/>
  <c r="J47" s="1"/>
  <c r="J48" s="1"/>
  <c r="J42"/>
  <c r="BP35" i="69"/>
  <c r="BP36"/>
  <c r="BP34"/>
  <c r="GR16"/>
  <c r="GN16"/>
  <c r="GJ16"/>
  <c r="GF16"/>
  <c r="GS16"/>
  <c r="GO16"/>
  <c r="GK16"/>
  <c r="GG16"/>
  <c r="GT16"/>
  <c r="GP16"/>
  <c r="GL16"/>
  <c r="GH16"/>
  <c r="GU16"/>
  <c r="GQ16"/>
  <c r="GM16"/>
  <c r="GI16"/>
  <c r="GE16"/>
  <c r="FW16"/>
  <c r="FS16"/>
  <c r="FO16"/>
  <c r="FK16"/>
  <c r="FG16"/>
  <c r="GB16" s="1"/>
  <c r="FX16"/>
  <c r="FT16"/>
  <c r="FP16"/>
  <c r="FL16"/>
  <c r="FH16"/>
  <c r="GC16" s="1"/>
  <c r="FY16"/>
  <c r="FU16"/>
  <c r="FQ16"/>
  <c r="FM16"/>
  <c r="FI16"/>
  <c r="GD16" s="1"/>
  <c r="FZ16"/>
  <c r="FV16"/>
  <c r="FR16"/>
  <c r="FN16"/>
  <c r="FJ16"/>
  <c r="B54" i="65"/>
  <c r="B51"/>
  <c r="B55"/>
  <c r="B52"/>
  <c r="B53"/>
  <c r="C38" i="64" a="1"/>
  <c r="C38" s="1"/>
  <c r="C119" s="1"/>
  <c r="C138"/>
  <c r="C138" i="63" s="1"/>
  <c r="C139" i="64"/>
  <c r="C139" i="63" s="1"/>
  <c r="J117" i="64"/>
  <c r="G117"/>
  <c r="D247" i="60"/>
  <c r="D248"/>
  <c r="H152" i="62" l="1"/>
  <c r="HG183" i="69"/>
  <c r="IB183" s="1"/>
  <c r="HG181"/>
  <c r="IB181" s="1"/>
  <c r="HG179"/>
  <c r="IB179" s="1"/>
  <c r="HG177"/>
  <c r="IB177" s="1"/>
  <c r="HG184"/>
  <c r="IB184" s="1"/>
  <c r="HG182"/>
  <c r="IB182" s="1"/>
  <c r="HG180"/>
  <c r="IB180" s="1"/>
  <c r="HG178"/>
  <c r="IB178" s="1"/>
  <c r="HG176"/>
  <c r="IB176" s="1"/>
  <c r="C156" i="63"/>
  <c r="D210" i="60"/>
  <c r="H49" i="62"/>
  <c r="BP16" i="69"/>
  <c r="I21" i="45" s="1"/>
  <c r="C157" i="63"/>
  <c r="D211" i="60"/>
  <c r="C47" i="64"/>
  <c r="C128" s="1"/>
  <c r="C45"/>
  <c r="C126" s="1"/>
  <c r="C43"/>
  <c r="C124" s="1"/>
  <c r="C41"/>
  <c r="C122" s="1"/>
  <c r="C39"/>
  <c r="C120" s="1"/>
  <c r="C46"/>
  <c r="C127" s="1"/>
  <c r="C44"/>
  <c r="C125" s="1"/>
  <c r="C42"/>
  <c r="C123" s="1"/>
  <c r="C40"/>
  <c r="C121" s="1"/>
  <c r="HH184" i="69" l="1"/>
  <c r="IC184" s="1"/>
  <c r="HH182"/>
  <c r="IC182" s="1"/>
  <c r="HH180"/>
  <c r="IC180" s="1"/>
  <c r="HH178"/>
  <c r="IC178" s="1"/>
  <c r="HH176"/>
  <c r="IC176" s="1"/>
  <c r="HH183"/>
  <c r="IC183" s="1"/>
  <c r="HH181"/>
  <c r="IC181" s="1"/>
  <c r="HH179"/>
  <c r="IC179" s="1"/>
  <c r="HH177"/>
  <c r="IC177" s="1"/>
  <c r="Q27" i="64"/>
  <c r="R27" s="1"/>
  <c r="Q20"/>
  <c r="R20" s="1"/>
  <c r="Q14"/>
  <c r="Q9"/>
  <c r="Q15" s="1"/>
  <c r="R8"/>
  <c r="D62" i="21"/>
  <c r="R21" i="64" l="1"/>
  <c r="R14"/>
  <c r="R9"/>
  <c r="Q28"/>
  <c r="R28" s="1"/>
  <c r="Q10"/>
  <c r="Q21"/>
  <c r="Q22" s="1"/>
  <c r="Q23" s="1"/>
  <c r="Q24" s="1"/>
  <c r="R24" s="1"/>
  <c r="R22"/>
  <c r="R15" l="1"/>
  <c r="R23"/>
  <c r="Q11"/>
  <c r="Q29"/>
  <c r="R29" s="1"/>
  <c r="R10"/>
  <c r="Q16"/>
  <c r="R31" l="1"/>
  <c r="R25"/>
  <c r="R12"/>
  <c r="R16"/>
  <c r="R11"/>
  <c r="Q17"/>
  <c r="Q30"/>
  <c r="R30" s="1"/>
  <c r="J236" i="62"/>
  <c r="I157"/>
  <c r="I158"/>
  <c r="I159"/>
  <c r="I156"/>
  <c r="I149"/>
  <c r="I150"/>
  <c r="I151"/>
  <c r="I152"/>
  <c r="I148"/>
  <c r="I142"/>
  <c r="I143"/>
  <c r="I144"/>
  <c r="I141"/>
  <c r="I134"/>
  <c r="I135"/>
  <c r="I136"/>
  <c r="I137"/>
  <c r="I133"/>
  <c r="I124"/>
  <c r="I125"/>
  <c r="I123"/>
  <c r="I118"/>
  <c r="I119"/>
  <c r="I117"/>
  <c r="I113"/>
  <c r="I112"/>
  <c r="I107"/>
  <c r="I108"/>
  <c r="I106"/>
  <c r="I101"/>
  <c r="I102"/>
  <c r="I100"/>
  <c r="I87"/>
  <c r="I88"/>
  <c r="I89"/>
  <c r="I75"/>
  <c r="I76"/>
  <c r="I77"/>
  <c r="I78"/>
  <c r="I79"/>
  <c r="I80"/>
  <c r="I81"/>
  <c r="I74"/>
  <c r="I66"/>
  <c r="I67"/>
  <c r="I68"/>
  <c r="I69"/>
  <c r="I57"/>
  <c r="I58"/>
  <c r="I59"/>
  <c r="I60"/>
  <c r="I41"/>
  <c r="I43"/>
  <c r="I44"/>
  <c r="I45"/>
  <c r="I46"/>
  <c r="I47"/>
  <c r="I48"/>
  <c r="I31"/>
  <c r="I32"/>
  <c r="I33"/>
  <c r="I34"/>
  <c r="I35"/>
  <c r="I36"/>
  <c r="I19"/>
  <c r="I20"/>
  <c r="I21"/>
  <c r="I22"/>
  <c r="I24"/>
  <c r="I25"/>
  <c r="I26"/>
  <c r="I8"/>
  <c r="I9"/>
  <c r="I10"/>
  <c r="I11"/>
  <c r="I12"/>
  <c r="I13"/>
  <c r="I14"/>
  <c r="I86"/>
  <c r="I65"/>
  <c r="I56"/>
  <c r="I30"/>
  <c r="I18"/>
  <c r="I7"/>
  <c r="R17" i="64" l="1"/>
  <c r="R18" s="1"/>
  <c r="F160" i="62"/>
  <c r="F161" s="1"/>
  <c r="F153"/>
  <c r="F145"/>
  <c r="F138"/>
  <c r="F126"/>
  <c r="AA171" i="69" s="1"/>
  <c r="F120" i="62"/>
  <c r="F114"/>
  <c r="F109"/>
  <c r="F103"/>
  <c r="F91"/>
  <c r="F92" s="1"/>
  <c r="F71"/>
  <c r="F72" s="1"/>
  <c r="F62"/>
  <c r="F63" s="1"/>
  <c r="F83"/>
  <c r="F84" s="1"/>
  <c r="F37"/>
  <c r="F49"/>
  <c r="F50" s="1"/>
  <c r="F27"/>
  <c r="F15"/>
  <c r="F16" s="1"/>
  <c r="E256"/>
  <c r="E243"/>
  <c r="E237"/>
  <c r="E184"/>
  <c r="E171"/>
  <c r="F193" s="1"/>
  <c r="E165"/>
  <c r="F175"/>
  <c r="F173"/>
  <c r="F172"/>
  <c r="F174"/>
  <c r="F168"/>
  <c r="D50" i="60" s="1"/>
  <c r="H161" i="62"/>
  <c r="H154"/>
  <c r="H146"/>
  <c r="H139"/>
  <c r="H127"/>
  <c r="H121"/>
  <c r="H115"/>
  <c r="H110"/>
  <c r="H104"/>
  <c r="H103"/>
  <c r="H178" s="1"/>
  <c r="E60" i="60" s="1"/>
  <c r="H92" i="62"/>
  <c r="H247" s="1"/>
  <c r="H72"/>
  <c r="H245" s="1"/>
  <c r="H63"/>
  <c r="H244" s="1"/>
  <c r="H84"/>
  <c r="H246" s="1"/>
  <c r="H50"/>
  <c r="H241" s="1"/>
  <c r="H28"/>
  <c r="H239" s="1"/>
  <c r="H16"/>
  <c r="H238" s="1"/>
  <c r="H38"/>
  <c r="H240" s="1"/>
  <c r="H37"/>
  <c r="H168" s="1"/>
  <c r="E50" i="60" s="1"/>
  <c r="H160" i="62"/>
  <c r="H188" s="1"/>
  <c r="E70" i="60" s="1"/>
  <c r="K160" i="62"/>
  <c r="K161" s="1"/>
  <c r="K260" s="1"/>
  <c r="J160"/>
  <c r="J161" s="1"/>
  <c r="J260" s="1"/>
  <c r="H153"/>
  <c r="H187" s="1"/>
  <c r="E69" i="60" s="1"/>
  <c r="J153" i="62"/>
  <c r="J154" s="1"/>
  <c r="J259" s="1"/>
  <c r="K153"/>
  <c r="H145"/>
  <c r="H186" s="1"/>
  <c r="E68" i="60" s="1"/>
  <c r="K145" i="62"/>
  <c r="J145"/>
  <c r="J146" s="1"/>
  <c r="J258" s="1"/>
  <c r="H138"/>
  <c r="K138"/>
  <c r="K139" s="1"/>
  <c r="J138"/>
  <c r="J139" s="1"/>
  <c r="L159"/>
  <c r="M159" s="1"/>
  <c r="L158"/>
  <c r="L157"/>
  <c r="M157" s="1"/>
  <c r="L152"/>
  <c r="L151"/>
  <c r="L150"/>
  <c r="L149"/>
  <c r="L148"/>
  <c r="L144"/>
  <c r="M144" s="1"/>
  <c r="L143"/>
  <c r="M143" s="1"/>
  <c r="L142"/>
  <c r="M142" s="1"/>
  <c r="L141"/>
  <c r="M141" s="1"/>
  <c r="L137"/>
  <c r="L136"/>
  <c r="L135"/>
  <c r="L134"/>
  <c r="L133"/>
  <c r="L125"/>
  <c r="L124"/>
  <c r="CE109" i="69" s="1"/>
  <c r="CZ109" s="1"/>
  <c r="L123" i="62"/>
  <c r="CD109" i="69" s="1"/>
  <c r="CY109" s="1"/>
  <c r="L119" i="62"/>
  <c r="L118"/>
  <c r="L117"/>
  <c r="L112"/>
  <c r="L113"/>
  <c r="H114"/>
  <c r="K114"/>
  <c r="K115" s="1"/>
  <c r="K252" s="1"/>
  <c r="J114"/>
  <c r="J115" s="1"/>
  <c r="J252" s="1"/>
  <c r="H126"/>
  <c r="K126"/>
  <c r="K127" s="1"/>
  <c r="K254" s="1"/>
  <c r="J126"/>
  <c r="J127" s="1"/>
  <c r="J254" s="1"/>
  <c r="H120"/>
  <c r="K120"/>
  <c r="K121" s="1"/>
  <c r="K253" s="1"/>
  <c r="J120"/>
  <c r="J121" s="1"/>
  <c r="J253" s="1"/>
  <c r="H109"/>
  <c r="K109"/>
  <c r="K110" s="1"/>
  <c r="K251" s="1"/>
  <c r="J109"/>
  <c r="J110" s="1"/>
  <c r="J251" s="1"/>
  <c r="K103"/>
  <c r="K104" s="1"/>
  <c r="K250" s="1"/>
  <c r="J103"/>
  <c r="J104" s="1"/>
  <c r="J250" s="1"/>
  <c r="L108"/>
  <c r="L107"/>
  <c r="BY171" i="69" s="1"/>
  <c r="CT171" s="1"/>
  <c r="L101" i="62"/>
  <c r="L102"/>
  <c r="CA109" i="69" s="1"/>
  <c r="CV109" s="1"/>
  <c r="L31" i="62"/>
  <c r="CA112" i="69" s="1"/>
  <c r="CV112" s="1"/>
  <c r="I47" i="64"/>
  <c r="C27" i="45"/>
  <c r="D246" i="60" s="1"/>
  <c r="C30" i="45"/>
  <c r="D249" i="60" s="1"/>
  <c r="C31" i="45"/>
  <c r="D250" i="60" s="1"/>
  <c r="C32" i="45"/>
  <c r="D251" i="60" s="1"/>
  <c r="F26" i="52" l="1"/>
  <c r="F28" s="1"/>
  <c r="AY183" i="69"/>
  <c r="AY181"/>
  <c r="AY179"/>
  <c r="AY177"/>
  <c r="AY184"/>
  <c r="AY182"/>
  <c r="AY180"/>
  <c r="AY178"/>
  <c r="AY176"/>
  <c r="M149" i="62"/>
  <c r="CG184" i="69"/>
  <c r="DB184" s="1"/>
  <c r="CG182"/>
  <c r="DB182" s="1"/>
  <c r="CG180"/>
  <c r="DB180" s="1"/>
  <c r="CG178"/>
  <c r="DB178" s="1"/>
  <c r="CG176"/>
  <c r="DB176" s="1"/>
  <c r="CG183"/>
  <c r="DB183" s="1"/>
  <c r="CG181"/>
  <c r="DB181" s="1"/>
  <c r="CG179"/>
  <c r="DB179" s="1"/>
  <c r="CG177"/>
  <c r="DB177" s="1"/>
  <c r="M151" i="62"/>
  <c r="CI184" i="69"/>
  <c r="DD184" s="1"/>
  <c r="CI182"/>
  <c r="DD182" s="1"/>
  <c r="CI180"/>
  <c r="DD180" s="1"/>
  <c r="CI178"/>
  <c r="DD178" s="1"/>
  <c r="CI176"/>
  <c r="DD176" s="1"/>
  <c r="CI183"/>
  <c r="DD183" s="1"/>
  <c r="CI181"/>
  <c r="DD181" s="1"/>
  <c r="CI179"/>
  <c r="DD179" s="1"/>
  <c r="CI177"/>
  <c r="DD177" s="1"/>
  <c r="H251" i="62"/>
  <c r="GX184" i="69"/>
  <c r="HS184" s="1"/>
  <c r="GX182"/>
  <c r="HS182" s="1"/>
  <c r="GX180"/>
  <c r="HS180" s="1"/>
  <c r="GX178"/>
  <c r="HS178" s="1"/>
  <c r="GX176"/>
  <c r="HS176" s="1"/>
  <c r="GX183"/>
  <c r="HS183" s="1"/>
  <c r="GX181"/>
  <c r="HS181" s="1"/>
  <c r="GX179"/>
  <c r="HS179" s="1"/>
  <c r="GX177"/>
  <c r="HS177" s="1"/>
  <c r="H253" i="62"/>
  <c r="GZ184" i="69"/>
  <c r="HU184" s="1"/>
  <c r="GZ182"/>
  <c r="HU182" s="1"/>
  <c r="GZ180"/>
  <c r="HU180" s="1"/>
  <c r="GZ178"/>
  <c r="HU178" s="1"/>
  <c r="GZ176"/>
  <c r="HU176" s="1"/>
  <c r="GZ183"/>
  <c r="HU183" s="1"/>
  <c r="GZ181"/>
  <c r="HU181" s="1"/>
  <c r="GZ179"/>
  <c r="HU179" s="1"/>
  <c r="GZ177"/>
  <c r="HU177" s="1"/>
  <c r="HB184"/>
  <c r="HW184" s="1"/>
  <c r="HB182"/>
  <c r="HW182" s="1"/>
  <c r="HB180"/>
  <c r="HW180" s="1"/>
  <c r="HB178"/>
  <c r="HW178" s="1"/>
  <c r="HB176"/>
  <c r="HW176" s="1"/>
  <c r="HB183"/>
  <c r="HW183" s="1"/>
  <c r="HB181"/>
  <c r="HW181" s="1"/>
  <c r="HB179"/>
  <c r="HW179" s="1"/>
  <c r="HB177"/>
  <c r="HW177" s="1"/>
  <c r="H259" i="62"/>
  <c r="HI183" i="69"/>
  <c r="ID183" s="1"/>
  <c r="HI181"/>
  <c r="ID181" s="1"/>
  <c r="HI179"/>
  <c r="ID179" s="1"/>
  <c r="HI177"/>
  <c r="ID177" s="1"/>
  <c r="HI184"/>
  <c r="ID184" s="1"/>
  <c r="HI182"/>
  <c r="ID182" s="1"/>
  <c r="HI180"/>
  <c r="ID180" s="1"/>
  <c r="HI178"/>
  <c r="ID178" s="1"/>
  <c r="HI176"/>
  <c r="ID176" s="1"/>
  <c r="M148" i="62"/>
  <c r="CF183" i="69"/>
  <c r="DA183" s="1"/>
  <c r="CF181"/>
  <c r="DA181" s="1"/>
  <c r="CF179"/>
  <c r="DA179" s="1"/>
  <c r="CF177"/>
  <c r="DA177" s="1"/>
  <c r="CF184"/>
  <c r="DA184" s="1"/>
  <c r="CF182"/>
  <c r="DA182" s="1"/>
  <c r="CF180"/>
  <c r="DA180" s="1"/>
  <c r="CF178"/>
  <c r="DA178" s="1"/>
  <c r="CF176"/>
  <c r="DA176" s="1"/>
  <c r="M150" i="62"/>
  <c r="CH183" i="69"/>
  <c r="DC183" s="1"/>
  <c r="CH181"/>
  <c r="DC181" s="1"/>
  <c r="CH179"/>
  <c r="DC179" s="1"/>
  <c r="CH177"/>
  <c r="DC177" s="1"/>
  <c r="CH184"/>
  <c r="DC184" s="1"/>
  <c r="CH182"/>
  <c r="DC182" s="1"/>
  <c r="CH180"/>
  <c r="DC180" s="1"/>
  <c r="CH178"/>
  <c r="DC178" s="1"/>
  <c r="CH176"/>
  <c r="DC176" s="1"/>
  <c r="M152" i="62"/>
  <c r="CJ183" i="69"/>
  <c r="DE183" s="1"/>
  <c r="CJ181"/>
  <c r="DE181" s="1"/>
  <c r="CJ179"/>
  <c r="DE179" s="1"/>
  <c r="CJ177"/>
  <c r="DE177" s="1"/>
  <c r="CJ184"/>
  <c r="DE184" s="1"/>
  <c r="CJ182"/>
  <c r="DE182" s="1"/>
  <c r="CJ180"/>
  <c r="DE180" s="1"/>
  <c r="CJ178"/>
  <c r="DE178" s="1"/>
  <c r="CJ176"/>
  <c r="DE176" s="1"/>
  <c r="H250" i="62"/>
  <c r="GW183" i="69"/>
  <c r="HR183" s="1"/>
  <c r="GW181"/>
  <c r="HR181" s="1"/>
  <c r="GW179"/>
  <c r="HR179" s="1"/>
  <c r="GW177"/>
  <c r="HR177" s="1"/>
  <c r="GW184"/>
  <c r="HR184" s="1"/>
  <c r="GW182"/>
  <c r="HR182" s="1"/>
  <c r="GW180"/>
  <c r="HR180" s="1"/>
  <c r="GW178"/>
  <c r="HR178" s="1"/>
  <c r="GW176"/>
  <c r="HR176" s="1"/>
  <c r="H252" i="62"/>
  <c r="GY183" i="69"/>
  <c r="HT183" s="1"/>
  <c r="GY181"/>
  <c r="HT181" s="1"/>
  <c r="GY179"/>
  <c r="HT179" s="1"/>
  <c r="GY177"/>
  <c r="HT177" s="1"/>
  <c r="GY184"/>
  <c r="HT184" s="1"/>
  <c r="GY182"/>
  <c r="HT182" s="1"/>
  <c r="GY180"/>
  <c r="HT180" s="1"/>
  <c r="GY178"/>
  <c r="HT178" s="1"/>
  <c r="GY176"/>
  <c r="HT176" s="1"/>
  <c r="H254" i="62"/>
  <c r="HA183" i="69"/>
  <c r="HV183" s="1"/>
  <c r="HA181"/>
  <c r="HV181" s="1"/>
  <c r="HA179"/>
  <c r="HV179" s="1"/>
  <c r="HA177"/>
  <c r="HV177" s="1"/>
  <c r="HA184"/>
  <c r="HV184" s="1"/>
  <c r="HA182"/>
  <c r="HV182" s="1"/>
  <c r="HA180"/>
  <c r="HV180" s="1"/>
  <c r="HA178"/>
  <c r="HV178" s="1"/>
  <c r="HA176"/>
  <c r="HV176" s="1"/>
  <c r="H258" i="62"/>
  <c r="HC183" i="69"/>
  <c r="HX183" s="1"/>
  <c r="HC181"/>
  <c r="HX181" s="1"/>
  <c r="HC179"/>
  <c r="HX179" s="1"/>
  <c r="HC177"/>
  <c r="HX177" s="1"/>
  <c r="HC184"/>
  <c r="HX184" s="1"/>
  <c r="HC182"/>
  <c r="HX182" s="1"/>
  <c r="HC180"/>
  <c r="HX180" s="1"/>
  <c r="HC178"/>
  <c r="HX178" s="1"/>
  <c r="HC176"/>
  <c r="HX176" s="1"/>
  <c r="H260" i="62"/>
  <c r="HJ184" i="69"/>
  <c r="HJ182"/>
  <c r="HJ180"/>
  <c r="HJ178"/>
  <c r="HJ176"/>
  <c r="HJ183"/>
  <c r="HJ181"/>
  <c r="HJ179"/>
  <c r="HJ177"/>
  <c r="F28" i="62"/>
  <c r="Y170" i="69"/>
  <c r="H185" i="62"/>
  <c r="E67" i="60" s="1"/>
  <c r="GW169" i="69"/>
  <c r="HR169" s="1"/>
  <c r="F139" i="62"/>
  <c r="Y169" i="69"/>
  <c r="CE156"/>
  <c r="CZ156" s="1"/>
  <c r="CC149"/>
  <c r="CX149" s="1"/>
  <c r="CC148"/>
  <c r="CX148" s="1"/>
  <c r="CE158"/>
  <c r="CZ158" s="1"/>
  <c r="CE155"/>
  <c r="CZ155" s="1"/>
  <c r="CE154"/>
  <c r="CZ154" s="1"/>
  <c r="CC151"/>
  <c r="CX151" s="1"/>
  <c r="CC150"/>
  <c r="CX150" s="1"/>
  <c r="CC147"/>
  <c r="CX147" s="1"/>
  <c r="H181" i="62"/>
  <c r="E63" i="60" s="1"/>
  <c r="HB164" i="69"/>
  <c r="HW164" s="1"/>
  <c r="HB162"/>
  <c r="HW162" s="1"/>
  <c r="HK158"/>
  <c r="IF158" s="1"/>
  <c r="HK156"/>
  <c r="IF156" s="1"/>
  <c r="HK154"/>
  <c r="IF154" s="1"/>
  <c r="HB165"/>
  <c r="HW165" s="1"/>
  <c r="HB163"/>
  <c r="HW163" s="1"/>
  <c r="HK155"/>
  <c r="IF155" s="1"/>
  <c r="HB161"/>
  <c r="HW161" s="1"/>
  <c r="HA165"/>
  <c r="HV165" s="1"/>
  <c r="HA163"/>
  <c r="HV163" s="1"/>
  <c r="HG158"/>
  <c r="IB158" s="1"/>
  <c r="HG156"/>
  <c r="IB156" s="1"/>
  <c r="HG154"/>
  <c r="IB154" s="1"/>
  <c r="HA164"/>
  <c r="HV164" s="1"/>
  <c r="HA162"/>
  <c r="HV162" s="1"/>
  <c r="HA161"/>
  <c r="HV161" s="1"/>
  <c r="HG155"/>
  <c r="IB155" s="1"/>
  <c r="BZ110"/>
  <c r="CU110" s="1"/>
  <c r="CG156"/>
  <c r="DB156" s="1"/>
  <c r="CG158"/>
  <c r="DB158" s="1"/>
  <c r="CG155"/>
  <c r="DB155" s="1"/>
  <c r="CG154"/>
  <c r="DB154" s="1"/>
  <c r="CK156"/>
  <c r="DF156" s="1"/>
  <c r="CK158"/>
  <c r="DF158" s="1"/>
  <c r="CK155"/>
  <c r="DF155" s="1"/>
  <c r="CK154"/>
  <c r="DF154" s="1"/>
  <c r="Y110"/>
  <c r="AE163"/>
  <c r="AE156"/>
  <c r="AE165"/>
  <c r="AE161"/>
  <c r="AE158"/>
  <c r="AE162"/>
  <c r="AE154"/>
  <c r="AE164"/>
  <c r="AE155"/>
  <c r="AG165"/>
  <c r="AG162"/>
  <c r="AG161"/>
  <c r="AS158"/>
  <c r="AS155"/>
  <c r="AS154"/>
  <c r="AG164"/>
  <c r="AG163"/>
  <c r="AS156"/>
  <c r="AK165"/>
  <c r="AK162"/>
  <c r="AK161"/>
  <c r="AK164"/>
  <c r="AK163"/>
  <c r="CD158"/>
  <c r="CY158" s="1"/>
  <c r="CD155"/>
  <c r="CY155" s="1"/>
  <c r="CD154"/>
  <c r="CY154" s="1"/>
  <c r="CD156"/>
  <c r="CY156" s="1"/>
  <c r="H179" i="62"/>
  <c r="E61" i="60" s="1"/>
  <c r="HD155" i="69"/>
  <c r="HY155" s="1"/>
  <c r="HD158"/>
  <c r="HY158" s="1"/>
  <c r="HD156"/>
  <c r="HY156" s="1"/>
  <c r="HD154"/>
  <c r="HY154" s="1"/>
  <c r="H182" i="62"/>
  <c r="E64" i="60" s="1"/>
  <c r="HC165" i="69"/>
  <c r="HX165" s="1"/>
  <c r="HC163"/>
  <c r="HX163" s="1"/>
  <c r="HC161"/>
  <c r="HX161" s="1"/>
  <c r="HC164"/>
  <c r="HX164" s="1"/>
  <c r="HC162"/>
  <c r="HX162" s="1"/>
  <c r="CA110"/>
  <c r="CV110" s="1"/>
  <c r="CH158"/>
  <c r="DC158" s="1"/>
  <c r="CH155"/>
  <c r="DC155" s="1"/>
  <c r="CH154"/>
  <c r="DC154" s="1"/>
  <c r="CH156"/>
  <c r="DC156" s="1"/>
  <c r="CJ158"/>
  <c r="DE158" s="1"/>
  <c r="CJ155"/>
  <c r="DE155" s="1"/>
  <c r="CJ154"/>
  <c r="DE154" s="1"/>
  <c r="CJ156"/>
  <c r="DE156" s="1"/>
  <c r="CD110"/>
  <c r="CY110" s="1"/>
  <c r="CL158"/>
  <c r="DG158" s="1"/>
  <c r="CL155"/>
  <c r="DG155" s="1"/>
  <c r="CL154"/>
  <c r="DG154" s="1"/>
  <c r="CL156"/>
  <c r="DG156" s="1"/>
  <c r="HD151"/>
  <c r="HY151" s="1"/>
  <c r="HD150"/>
  <c r="HY150" s="1"/>
  <c r="HD149"/>
  <c r="HY149" s="1"/>
  <c r="HD148"/>
  <c r="HY148" s="1"/>
  <c r="HD147"/>
  <c r="HY147" s="1"/>
  <c r="AM156"/>
  <c r="AM158"/>
  <c r="AM155"/>
  <c r="AM154"/>
  <c r="AI164"/>
  <c r="AI163"/>
  <c r="BA158"/>
  <c r="BA155"/>
  <c r="BA154"/>
  <c r="AI165"/>
  <c r="AI162"/>
  <c r="AI161"/>
  <c r="BA156"/>
  <c r="HC143"/>
  <c r="HX143" s="1"/>
  <c r="HC144"/>
  <c r="HX144" s="1"/>
  <c r="HE143"/>
  <c r="HZ143" s="1"/>
  <c r="HE144"/>
  <c r="HZ144" s="1"/>
  <c r="HD144"/>
  <c r="HY144" s="1"/>
  <c r="HD143"/>
  <c r="HY143" s="1"/>
  <c r="HF144"/>
  <c r="IA144" s="1"/>
  <c r="HF143"/>
  <c r="IA143" s="1"/>
  <c r="CD141"/>
  <c r="CY141" s="1"/>
  <c r="CD135"/>
  <c r="CY135" s="1"/>
  <c r="CD133"/>
  <c r="CY133" s="1"/>
  <c r="CD137"/>
  <c r="CY137" s="1"/>
  <c r="CD136"/>
  <c r="CY136" s="1"/>
  <c r="CD134"/>
  <c r="CY134" s="1"/>
  <c r="CD130"/>
  <c r="CY130" s="1"/>
  <c r="CD129"/>
  <c r="CY129" s="1"/>
  <c r="CD128"/>
  <c r="CY128" s="1"/>
  <c r="HC141"/>
  <c r="HX141" s="1"/>
  <c r="HC137"/>
  <c r="HX137" s="1"/>
  <c r="HC135"/>
  <c r="HX135" s="1"/>
  <c r="HC133"/>
  <c r="HX133" s="1"/>
  <c r="HC129"/>
  <c r="HX129" s="1"/>
  <c r="HC136"/>
  <c r="HX136" s="1"/>
  <c r="HC134"/>
  <c r="HX134" s="1"/>
  <c r="HC130"/>
  <c r="HX130" s="1"/>
  <c r="HC128"/>
  <c r="HX128" s="1"/>
  <c r="HC126"/>
  <c r="HX126" s="1"/>
  <c r="F27" i="52"/>
  <c r="H27" s="1"/>
  <c r="F38" i="62"/>
  <c r="Y115" i="69"/>
  <c r="M158" i="62"/>
  <c r="CF109" i="69"/>
  <c r="DA109" s="1"/>
  <c r="BZ32"/>
  <c r="CU32" s="1"/>
  <c r="BZ109"/>
  <c r="CU109" s="1"/>
  <c r="CC110"/>
  <c r="CX110" s="1"/>
  <c r="CC109"/>
  <c r="CX109" s="1"/>
  <c r="CB110"/>
  <c r="CW110" s="1"/>
  <c r="CB109"/>
  <c r="CW109" s="1"/>
  <c r="AK101"/>
  <c r="AK102"/>
  <c r="AK100"/>
  <c r="AI102"/>
  <c r="AI100"/>
  <c r="AE86"/>
  <c r="AI101"/>
  <c r="AE89"/>
  <c r="AG101"/>
  <c r="AC89"/>
  <c r="AA88"/>
  <c r="AA87"/>
  <c r="AG102"/>
  <c r="AG100"/>
  <c r="AC86"/>
  <c r="AM102"/>
  <c r="AM100"/>
  <c r="AM101"/>
  <c r="C10" i="64"/>
  <c r="AC101" i="69"/>
  <c r="AC102"/>
  <c r="AC100"/>
  <c r="AA85"/>
  <c r="AA84"/>
  <c r="CD77"/>
  <c r="CY77" s="1"/>
  <c r="CD76"/>
  <c r="CY76" s="1"/>
  <c r="CD75"/>
  <c r="CY75" s="1"/>
  <c r="CD74"/>
  <c r="CY74" s="1"/>
  <c r="CD73"/>
  <c r="CY73" s="1"/>
  <c r="M112" i="62"/>
  <c r="CF77" i="69"/>
  <c r="DA77" s="1"/>
  <c r="CF76"/>
  <c r="DA76" s="1"/>
  <c r="CF75"/>
  <c r="DA75" s="1"/>
  <c r="CF74"/>
  <c r="DA74" s="1"/>
  <c r="CF73"/>
  <c r="DA73" s="1"/>
  <c r="CJ77"/>
  <c r="DE77" s="1"/>
  <c r="CJ76"/>
  <c r="DE76" s="1"/>
  <c r="CJ75"/>
  <c r="DE75" s="1"/>
  <c r="CJ74"/>
  <c r="DE74" s="1"/>
  <c r="CJ73"/>
  <c r="DE73" s="1"/>
  <c r="BY81"/>
  <c r="CT81" s="1"/>
  <c r="BY80"/>
  <c r="CT80" s="1"/>
  <c r="CA81"/>
  <c r="CV81" s="1"/>
  <c r="CA80"/>
  <c r="CV80" s="1"/>
  <c r="AQ77"/>
  <c r="AQ76"/>
  <c r="AQ75"/>
  <c r="AQ74"/>
  <c r="AQ73"/>
  <c r="AY77"/>
  <c r="AY76"/>
  <c r="AY75"/>
  <c r="AY74"/>
  <c r="AY73"/>
  <c r="M113" i="62"/>
  <c r="CG77" i="69"/>
  <c r="DB77" s="1"/>
  <c r="CG76"/>
  <c r="DB76" s="1"/>
  <c r="CG75"/>
  <c r="DB75" s="1"/>
  <c r="CG74"/>
  <c r="DB74" s="1"/>
  <c r="CG73"/>
  <c r="DB73" s="1"/>
  <c r="CC32"/>
  <c r="CX32" s="1"/>
  <c r="CI77"/>
  <c r="DD77" s="1"/>
  <c r="CI76"/>
  <c r="DD76" s="1"/>
  <c r="CI75"/>
  <c r="DD75" s="1"/>
  <c r="CI74"/>
  <c r="DD74" s="1"/>
  <c r="CI73"/>
  <c r="DD73" s="1"/>
  <c r="CK77"/>
  <c r="DF77" s="1"/>
  <c r="CK76"/>
  <c r="DF76" s="1"/>
  <c r="CK75"/>
  <c r="DF75" s="1"/>
  <c r="CK74"/>
  <c r="DF74" s="1"/>
  <c r="CK73"/>
  <c r="DF73" s="1"/>
  <c r="BZ81"/>
  <c r="CU81" s="1"/>
  <c r="BZ80"/>
  <c r="CU80" s="1"/>
  <c r="AE32"/>
  <c r="AK77"/>
  <c r="AK76"/>
  <c r="AK75"/>
  <c r="AK74"/>
  <c r="AK73"/>
  <c r="M31" i="62"/>
  <c r="BZ61" i="69"/>
  <c r="CU61" s="1"/>
  <c r="BZ59"/>
  <c r="CU59" s="1"/>
  <c r="BZ60"/>
  <c r="CU60" s="1"/>
  <c r="BE47"/>
  <c r="AO61"/>
  <c r="AO59"/>
  <c r="BE41"/>
  <c r="BE39"/>
  <c r="BE40"/>
  <c r="BE44"/>
  <c r="BE48"/>
  <c r="BE45"/>
  <c r="AO60"/>
  <c r="BE42"/>
  <c r="BE46"/>
  <c r="BE43"/>
  <c r="AM60"/>
  <c r="BC48"/>
  <c r="BC46"/>
  <c r="BC45"/>
  <c r="BC44"/>
  <c r="BC43"/>
  <c r="BC42"/>
  <c r="BC40"/>
  <c r="BC39"/>
  <c r="BC47"/>
  <c r="BC41"/>
  <c r="AM59"/>
  <c r="AM61"/>
  <c r="BA41"/>
  <c r="AK61"/>
  <c r="AK59"/>
  <c r="BA47"/>
  <c r="BA40"/>
  <c r="BA44"/>
  <c r="BA48"/>
  <c r="BA45"/>
  <c r="BA42"/>
  <c r="BA46"/>
  <c r="BA43"/>
  <c r="BA39"/>
  <c r="AK60"/>
  <c r="BG42"/>
  <c r="BG41"/>
  <c r="BG40"/>
  <c r="AQ60"/>
  <c r="BG47"/>
  <c r="BG46"/>
  <c r="AQ59"/>
  <c r="AQ61"/>
  <c r="BG39"/>
  <c r="BG44"/>
  <c r="BG48"/>
  <c r="BG43"/>
  <c r="BG45"/>
  <c r="BY22"/>
  <c r="CT22" s="1"/>
  <c r="CD32"/>
  <c r="CY32" s="1"/>
  <c r="F127" i="62"/>
  <c r="AK32" i="69"/>
  <c r="M102" i="62"/>
  <c r="CA32" i="69"/>
  <c r="CV32" s="1"/>
  <c r="F104" i="62"/>
  <c r="Y12" i="69"/>
  <c r="Y11"/>
  <c r="Y10"/>
  <c r="F115" i="62"/>
  <c r="AG12" i="69"/>
  <c r="AC11"/>
  <c r="F110" i="62"/>
  <c r="AA10" i="69"/>
  <c r="AA11"/>
  <c r="F121" i="62"/>
  <c r="AC10" i="69"/>
  <c r="M107" i="62"/>
  <c r="CA12" i="69"/>
  <c r="CV12" s="1"/>
  <c r="M108" i="62"/>
  <c r="CB12" i="69"/>
  <c r="CW12" s="1"/>
  <c r="M118" i="62"/>
  <c r="CE12" i="69"/>
  <c r="CZ12" s="1"/>
  <c r="CC11"/>
  <c r="CX11" s="1"/>
  <c r="M123" i="62"/>
  <c r="CG12" i="69"/>
  <c r="DB12" s="1"/>
  <c r="BY14"/>
  <c r="CT14" s="1"/>
  <c r="CB10"/>
  <c r="CW10" s="1"/>
  <c r="CE11"/>
  <c r="CZ11" s="1"/>
  <c r="M125" i="62"/>
  <c r="CG11" i="69"/>
  <c r="DB11" s="1"/>
  <c r="CA14"/>
  <c r="CV14" s="1"/>
  <c r="CD10"/>
  <c r="CY10" s="1"/>
  <c r="M134" i="62"/>
  <c r="CF10" i="69"/>
  <c r="DA10" s="1"/>
  <c r="M136" i="62"/>
  <c r="CH10" i="69"/>
  <c r="DC10" s="1"/>
  <c r="M117" i="62"/>
  <c r="CB11" i="69"/>
  <c r="CW11" s="1"/>
  <c r="CD12"/>
  <c r="CY12" s="1"/>
  <c r="M119" i="62"/>
  <c r="CD11" i="69"/>
  <c r="CY11" s="1"/>
  <c r="CF12"/>
  <c r="DA12" s="1"/>
  <c r="M124" i="62"/>
  <c r="CF11" i="69"/>
  <c r="DA11" s="1"/>
  <c r="CC10"/>
  <c r="CX10" s="1"/>
  <c r="CH12"/>
  <c r="DC12" s="1"/>
  <c r="BZ14"/>
  <c r="CU14" s="1"/>
  <c r="M133" i="62"/>
  <c r="CE10" i="69"/>
  <c r="CZ10" s="1"/>
  <c r="M135" i="62"/>
  <c r="CG10" i="69"/>
  <c r="DB10" s="1"/>
  <c r="M137" i="62"/>
  <c r="CI10" i="69"/>
  <c r="DD10" s="1"/>
  <c r="K146" i="62"/>
  <c r="K258" s="1"/>
  <c r="K154"/>
  <c r="K259" s="1"/>
  <c r="F146"/>
  <c r="AU10" i="69"/>
  <c r="F187" i="62"/>
  <c r="AW10" i="69"/>
  <c r="B61" i="7"/>
  <c r="F192" i="62"/>
  <c r="F170"/>
  <c r="B77" i="7"/>
  <c r="F195" i="62"/>
  <c r="F189"/>
  <c r="F167"/>
  <c r="D49" i="60" s="1"/>
  <c r="C70" i="7"/>
  <c r="C17" i="64"/>
  <c r="C69" i="7"/>
  <c r="C16" i="64"/>
  <c r="C68" i="7"/>
  <c r="C15" i="64"/>
  <c r="C67" i="7"/>
  <c r="C14" i="64"/>
  <c r="B66" i="7"/>
  <c r="F176" i="62"/>
  <c r="F240"/>
  <c r="C64" i="7"/>
  <c r="F178" i="62"/>
  <c r="F186"/>
  <c r="F169"/>
  <c r="D51" i="60" s="1"/>
  <c r="K255" i="62"/>
  <c r="F180"/>
  <c r="F182"/>
  <c r="F188"/>
  <c r="F179"/>
  <c r="F181"/>
  <c r="F185"/>
  <c r="F246"/>
  <c r="F245"/>
  <c r="F253"/>
  <c r="F154"/>
  <c r="F244"/>
  <c r="F247"/>
  <c r="J255"/>
  <c r="J178"/>
  <c r="K179"/>
  <c r="H180"/>
  <c r="E62" i="60" s="1"/>
  <c r="J180" i="62"/>
  <c r="K181"/>
  <c r="J182"/>
  <c r="K185"/>
  <c r="K257"/>
  <c r="J186"/>
  <c r="K187"/>
  <c r="J188"/>
  <c r="K178"/>
  <c r="J179"/>
  <c r="K180"/>
  <c r="J181"/>
  <c r="K182"/>
  <c r="J185"/>
  <c r="H257"/>
  <c r="J257"/>
  <c r="K186"/>
  <c r="J187"/>
  <c r="K188"/>
  <c r="I161"/>
  <c r="I110"/>
  <c r="I121"/>
  <c r="I127"/>
  <c r="I146"/>
  <c r="I115"/>
  <c r="I139"/>
  <c r="I154"/>
  <c r="I160"/>
  <c r="I188" s="1"/>
  <c r="I109"/>
  <c r="I120"/>
  <c r="I138"/>
  <c r="I185" s="1"/>
  <c r="I153"/>
  <c r="I187" s="1"/>
  <c r="L156"/>
  <c r="M156" s="1"/>
  <c r="L106"/>
  <c r="I145"/>
  <c r="I186" s="1"/>
  <c r="I126"/>
  <c r="I114"/>
  <c r="M101"/>
  <c r="F29" i="52" l="1"/>
  <c r="D38" s="1"/>
  <c r="G80" i="7"/>
  <c r="G69" i="60"/>
  <c r="G81" i="7"/>
  <c r="G70" i="60"/>
  <c r="G79" i="7"/>
  <c r="G68" i="60"/>
  <c r="G78" i="7"/>
  <c r="G67" i="60"/>
  <c r="H255" i="62"/>
  <c r="F248"/>
  <c r="AM164" i="69"/>
  <c r="AM163"/>
  <c r="BC158"/>
  <c r="BC156"/>
  <c r="BC155"/>
  <c r="AK151"/>
  <c r="AK150"/>
  <c r="AK149"/>
  <c r="AK148"/>
  <c r="AK147"/>
  <c r="AG143"/>
  <c r="AA123"/>
  <c r="AA119"/>
  <c r="AA113"/>
  <c r="AA98"/>
  <c r="AA97"/>
  <c r="AA96"/>
  <c r="AA95"/>
  <c r="AA94"/>
  <c r="AA93"/>
  <c r="AA65"/>
  <c r="AA52"/>
  <c r="AA31"/>
  <c r="AM165"/>
  <c r="AM162"/>
  <c r="AM161"/>
  <c r="BC154"/>
  <c r="AG144"/>
  <c r="AE126"/>
  <c r="AA121"/>
  <c r="AC115"/>
  <c r="AA108"/>
  <c r="AG81"/>
  <c r="AG80"/>
  <c r="AA66"/>
  <c r="AA69"/>
  <c r="AA56"/>
  <c r="AA54"/>
  <c r="AA53"/>
  <c r="AA33"/>
  <c r="AA107"/>
  <c r="AE112"/>
  <c r="AA114"/>
  <c r="AA142"/>
  <c r="AA127"/>
  <c r="AA129"/>
  <c r="AA120"/>
  <c r="AA122"/>
  <c r="AA70"/>
  <c r="AA64"/>
  <c r="AA55"/>
  <c r="AA30"/>
  <c r="AA128"/>
  <c r="AA130"/>
  <c r="AA28"/>
  <c r="AA133"/>
  <c r="AA135"/>
  <c r="AA137"/>
  <c r="AA140"/>
  <c r="AA141"/>
  <c r="AA136"/>
  <c r="AA134"/>
  <c r="AA23"/>
  <c r="Y13"/>
  <c r="Y15"/>
  <c r="BA10"/>
  <c r="AE14"/>
  <c r="F242" i="62"/>
  <c r="AE144" i="69"/>
  <c r="AC126"/>
  <c r="Y114"/>
  <c r="Y108"/>
  <c r="Y107"/>
  <c r="AE81"/>
  <c r="AE80"/>
  <c r="Y70"/>
  <c r="Y64"/>
  <c r="Y30"/>
  <c r="AI151"/>
  <c r="AI150"/>
  <c r="AI149"/>
  <c r="AI148"/>
  <c r="AI147"/>
  <c r="Y120"/>
  <c r="Y113"/>
  <c r="Y98"/>
  <c r="Y97"/>
  <c r="Y96"/>
  <c r="Y95"/>
  <c r="Y94"/>
  <c r="Y93"/>
  <c r="Y55"/>
  <c r="Y33"/>
  <c r="Y122"/>
  <c r="Y31"/>
  <c r="Y136"/>
  <c r="AE143"/>
  <c r="Y135"/>
  <c r="Y128"/>
  <c r="Y130"/>
  <c r="Y119"/>
  <c r="Y121"/>
  <c r="Y123"/>
  <c r="Y66"/>
  <c r="Y65"/>
  <c r="Y53"/>
  <c r="Y54"/>
  <c r="Y56"/>
  <c r="Y23"/>
  <c r="Y28"/>
  <c r="Y134"/>
  <c r="Y127"/>
  <c r="Y129"/>
  <c r="Y140"/>
  <c r="Y141"/>
  <c r="Y172"/>
  <c r="Y142"/>
  <c r="Y133"/>
  <c r="Y137"/>
  <c r="Y69"/>
  <c r="Y52"/>
  <c r="AY10"/>
  <c r="Y20"/>
  <c r="Y21"/>
  <c r="AK184"/>
  <c r="AK182"/>
  <c r="AK180"/>
  <c r="AK178"/>
  <c r="AK176"/>
  <c r="AK183"/>
  <c r="AK181"/>
  <c r="AK179"/>
  <c r="AK177"/>
  <c r="AA183"/>
  <c r="AA181"/>
  <c r="AA179"/>
  <c r="AA177"/>
  <c r="AA184"/>
  <c r="AA182"/>
  <c r="AA180"/>
  <c r="AA178"/>
  <c r="AA176"/>
  <c r="AI183"/>
  <c r="AI181"/>
  <c r="AI179"/>
  <c r="AI177"/>
  <c r="AI184"/>
  <c r="AI182"/>
  <c r="AI180"/>
  <c r="AI178"/>
  <c r="AI176"/>
  <c r="AW184"/>
  <c r="AW182"/>
  <c r="AW180"/>
  <c r="AW178"/>
  <c r="AW176"/>
  <c r="AW183"/>
  <c r="AW181"/>
  <c r="AW179"/>
  <c r="AW177"/>
  <c r="F261" i="62"/>
  <c r="Y168" i="69"/>
  <c r="AO165"/>
  <c r="AO162"/>
  <c r="AO161"/>
  <c r="AS143"/>
  <c r="AE121"/>
  <c r="AI115"/>
  <c r="AM113"/>
  <c r="BI106"/>
  <c r="BI105"/>
  <c r="AQ102"/>
  <c r="AQ101"/>
  <c r="AE88"/>
  <c r="AI86"/>
  <c r="AO81"/>
  <c r="AO80"/>
  <c r="AE66"/>
  <c r="AU60"/>
  <c r="BK45"/>
  <c r="BK40"/>
  <c r="AA172"/>
  <c r="AO164"/>
  <c r="AO163"/>
  <c r="AW151"/>
  <c r="AW150"/>
  <c r="AW149"/>
  <c r="AW148"/>
  <c r="AW147"/>
  <c r="AS144"/>
  <c r="AI126"/>
  <c r="AE123"/>
  <c r="AE119"/>
  <c r="BI104"/>
  <c r="AQ100"/>
  <c r="AI89"/>
  <c r="AE87"/>
  <c r="AE85"/>
  <c r="AE84"/>
  <c r="BK43"/>
  <c r="AE31"/>
  <c r="AE30"/>
  <c r="BK42"/>
  <c r="AE128"/>
  <c r="AE130"/>
  <c r="AE23"/>
  <c r="BK39"/>
  <c r="BK47"/>
  <c r="AE133"/>
  <c r="AE135"/>
  <c r="AE137"/>
  <c r="AE140"/>
  <c r="AE141"/>
  <c r="AE136"/>
  <c r="BK44"/>
  <c r="BK46"/>
  <c r="AM32"/>
  <c r="AE33"/>
  <c r="AI112"/>
  <c r="AE142"/>
  <c r="BK41"/>
  <c r="AE134"/>
  <c r="AE127"/>
  <c r="AE129"/>
  <c r="AE120"/>
  <c r="AE122"/>
  <c r="BK48"/>
  <c r="AU59"/>
  <c r="AU61"/>
  <c r="AK15"/>
  <c r="AO14"/>
  <c r="AQ11"/>
  <c r="AE183"/>
  <c r="AE181"/>
  <c r="AE179"/>
  <c r="AE177"/>
  <c r="AE184"/>
  <c r="AE182"/>
  <c r="AE180"/>
  <c r="AE178"/>
  <c r="AE176"/>
  <c r="AC184"/>
  <c r="AC182"/>
  <c r="AC180"/>
  <c r="AC178"/>
  <c r="AC183"/>
  <c r="AC181"/>
  <c r="AC179"/>
  <c r="AC177"/>
  <c r="AC176"/>
  <c r="Y184"/>
  <c r="Y182"/>
  <c r="Y180"/>
  <c r="Y178"/>
  <c r="Y183"/>
  <c r="Y181"/>
  <c r="Y179"/>
  <c r="Y177"/>
  <c r="Y176"/>
  <c r="AG184"/>
  <c r="AG182"/>
  <c r="AG180"/>
  <c r="AG178"/>
  <c r="AG176"/>
  <c r="AG183"/>
  <c r="AG181"/>
  <c r="AG179"/>
  <c r="AG177"/>
  <c r="CC156"/>
  <c r="CX156" s="1"/>
  <c r="CC158"/>
  <c r="CX158" s="1"/>
  <c r="CC155"/>
  <c r="CX155" s="1"/>
  <c r="CC154"/>
  <c r="CX154" s="1"/>
  <c r="AO151"/>
  <c r="AO150"/>
  <c r="AO147"/>
  <c r="AO149"/>
  <c r="AO148"/>
  <c r="AK98"/>
  <c r="AU149"/>
  <c r="AU148"/>
  <c r="AU151"/>
  <c r="AU150"/>
  <c r="AU147"/>
  <c r="HH151"/>
  <c r="IC151" s="1"/>
  <c r="HH150"/>
  <c r="IC150" s="1"/>
  <c r="HH149"/>
  <c r="IC149" s="1"/>
  <c r="HH148"/>
  <c r="IC148" s="1"/>
  <c r="HH147"/>
  <c r="IC147" s="1"/>
  <c r="HF151"/>
  <c r="IA151" s="1"/>
  <c r="HF150"/>
  <c r="IA150" s="1"/>
  <c r="HF149"/>
  <c r="IA149" s="1"/>
  <c r="HF148"/>
  <c r="IA148" s="1"/>
  <c r="HF147"/>
  <c r="IA147" s="1"/>
  <c r="AI98"/>
  <c r="AS151"/>
  <c r="AS150"/>
  <c r="AS147"/>
  <c r="AS149"/>
  <c r="AS148"/>
  <c r="AG98"/>
  <c r="AQ149"/>
  <c r="AQ148"/>
  <c r="AQ151"/>
  <c r="AQ150"/>
  <c r="AQ147"/>
  <c r="AM149"/>
  <c r="AM148"/>
  <c r="AM151"/>
  <c r="AM150"/>
  <c r="AM147"/>
  <c r="HE151"/>
  <c r="HZ151" s="1"/>
  <c r="HE150"/>
  <c r="HZ150" s="1"/>
  <c r="HE149"/>
  <c r="HZ149" s="1"/>
  <c r="HE148"/>
  <c r="HZ148" s="1"/>
  <c r="HE147"/>
  <c r="HZ147" s="1"/>
  <c r="HG151"/>
  <c r="IB151" s="1"/>
  <c r="HG150"/>
  <c r="IB150" s="1"/>
  <c r="HG149"/>
  <c r="IB149" s="1"/>
  <c r="HG148"/>
  <c r="IB148" s="1"/>
  <c r="HG147"/>
  <c r="IB147" s="1"/>
  <c r="AE113"/>
  <c r="AK143"/>
  <c r="AK144"/>
  <c r="AG113"/>
  <c r="AM144"/>
  <c r="AM143"/>
  <c r="AI113"/>
  <c r="AO143"/>
  <c r="AO144"/>
  <c r="AQ144"/>
  <c r="AQ143"/>
  <c r="F250" i="62"/>
  <c r="AK141" i="69"/>
  <c r="AK136"/>
  <c r="AK135"/>
  <c r="AK134"/>
  <c r="AK133"/>
  <c r="AK126"/>
  <c r="AK137"/>
  <c r="AK130"/>
  <c r="AK129"/>
  <c r="AK128"/>
  <c r="AE114"/>
  <c r="AK113"/>
  <c r="AE98"/>
  <c r="AG115"/>
  <c r="AC98"/>
  <c r="AE115"/>
  <c r="AE108"/>
  <c r="AE107"/>
  <c r="AG108"/>
  <c r="AG107"/>
  <c r="AI108"/>
  <c r="AI107"/>
  <c r="AK108"/>
  <c r="AK107"/>
  <c r="AM98"/>
  <c r="AE97"/>
  <c r="AE96"/>
  <c r="AE95"/>
  <c r="AE94"/>
  <c r="AE93"/>
  <c r="AE69"/>
  <c r="AE65"/>
  <c r="AE70"/>
  <c r="AE64"/>
  <c r="AG70"/>
  <c r="AG64"/>
  <c r="AO98"/>
  <c r="AG97"/>
  <c r="AG96"/>
  <c r="AG95"/>
  <c r="AG94"/>
  <c r="AG93"/>
  <c r="AG65"/>
  <c r="AG69"/>
  <c r="F259" i="62"/>
  <c r="AQ98" i="69"/>
  <c r="AI97"/>
  <c r="AI96"/>
  <c r="AI95"/>
  <c r="AI94"/>
  <c r="AI93"/>
  <c r="AI65"/>
  <c r="AI69"/>
  <c r="AI70"/>
  <c r="AI64"/>
  <c r="AS98"/>
  <c r="AK97"/>
  <c r="AK96"/>
  <c r="AK95"/>
  <c r="AK94"/>
  <c r="AK93"/>
  <c r="AK70"/>
  <c r="AK64"/>
  <c r="AK69"/>
  <c r="AK65"/>
  <c r="F239" i="62"/>
  <c r="AA102" i="69"/>
  <c r="AA100"/>
  <c r="AA86"/>
  <c r="AA101"/>
  <c r="AA89"/>
  <c r="F241" i="62"/>
  <c r="AE102" i="69"/>
  <c r="AE100"/>
  <c r="AE101"/>
  <c r="AK81"/>
  <c r="AK80"/>
  <c r="BC77"/>
  <c r="BC76"/>
  <c r="BC75"/>
  <c r="BC74"/>
  <c r="BC73"/>
  <c r="BI77"/>
  <c r="BI76"/>
  <c r="BI75"/>
  <c r="BI74"/>
  <c r="BI73"/>
  <c r="AM81"/>
  <c r="AM80"/>
  <c r="BG77"/>
  <c r="BG76"/>
  <c r="BG75"/>
  <c r="BG74"/>
  <c r="BG73"/>
  <c r="BE77"/>
  <c r="BE76"/>
  <c r="BE75"/>
  <c r="BE74"/>
  <c r="BE73"/>
  <c r="AI81"/>
  <c r="AI80"/>
  <c r="BA77"/>
  <c r="BA76"/>
  <c r="BA75"/>
  <c r="BA74"/>
  <c r="BA73"/>
  <c r="AE77"/>
  <c r="AE76"/>
  <c r="AE75"/>
  <c r="AE74"/>
  <c r="AE73"/>
  <c r="AC77"/>
  <c r="AC76"/>
  <c r="AC75"/>
  <c r="AC74"/>
  <c r="AC73"/>
  <c r="Y77"/>
  <c r="Y76"/>
  <c r="Y75"/>
  <c r="Y74"/>
  <c r="Y73"/>
  <c r="AA77"/>
  <c r="AA76"/>
  <c r="AA75"/>
  <c r="AA74"/>
  <c r="AA73"/>
  <c r="AG77"/>
  <c r="AG76"/>
  <c r="AG75"/>
  <c r="AG74"/>
  <c r="AG73"/>
  <c r="AK28"/>
  <c r="AS55"/>
  <c r="AS54"/>
  <c r="AS56"/>
  <c r="AS52"/>
  <c r="AS53"/>
  <c r="AE28"/>
  <c r="AM56"/>
  <c r="AM54"/>
  <c r="AM53"/>
  <c r="AM52"/>
  <c r="AM55"/>
  <c r="AG28"/>
  <c r="AO55"/>
  <c r="AO53"/>
  <c r="AO54"/>
  <c r="AO56"/>
  <c r="AO52"/>
  <c r="AI28"/>
  <c r="AQ56"/>
  <c r="AQ54"/>
  <c r="AQ53"/>
  <c r="AQ52"/>
  <c r="AQ55"/>
  <c r="Y24"/>
  <c r="AI52"/>
  <c r="AI56"/>
  <c r="AI54"/>
  <c r="AI53"/>
  <c r="AI55"/>
  <c r="AG55"/>
  <c r="AG53"/>
  <c r="AG54"/>
  <c r="AG52"/>
  <c r="AG56"/>
  <c r="AC55"/>
  <c r="AC56"/>
  <c r="AA22"/>
  <c r="AC53"/>
  <c r="AC54"/>
  <c r="AC52"/>
  <c r="AE52"/>
  <c r="AE55"/>
  <c r="AE56"/>
  <c r="AE54"/>
  <c r="AE53"/>
  <c r="AK55"/>
  <c r="AK56"/>
  <c r="AK53"/>
  <c r="AK54"/>
  <c r="AK52"/>
  <c r="F260" i="62"/>
  <c r="AI20" i="69"/>
  <c r="AI21"/>
  <c r="AC21"/>
  <c r="AC20"/>
  <c r="F258" i="62"/>
  <c r="AE20" i="69"/>
  <c r="AE21"/>
  <c r="C80" i="7"/>
  <c r="AG21" i="69"/>
  <c r="AG20"/>
  <c r="F254" i="62"/>
  <c r="AA20" i="69"/>
  <c r="AA21"/>
  <c r="C29" i="64"/>
  <c r="AC15" i="69"/>
  <c r="AI14"/>
  <c r="AC13"/>
  <c r="AI15"/>
  <c r="AI13"/>
  <c r="AG15"/>
  <c r="AG13"/>
  <c r="AM14"/>
  <c r="AK14"/>
  <c r="AE15"/>
  <c r="AE13"/>
  <c r="AG14"/>
  <c r="AA15"/>
  <c r="AA13"/>
  <c r="F251" i="62"/>
  <c r="M106"/>
  <c r="BZ12" i="69"/>
  <c r="CU12" s="1"/>
  <c r="K261" i="62"/>
  <c r="C63" i="7"/>
  <c r="C9" i="64"/>
  <c r="C78" i="7"/>
  <c r="C27" i="64"/>
  <c r="C76" i="7"/>
  <c r="C24" i="64"/>
  <c r="C79" i="7"/>
  <c r="C28" i="64"/>
  <c r="H189" i="62"/>
  <c r="E71" i="60" s="1"/>
  <c r="C81" i="7"/>
  <c r="C30" i="64"/>
  <c r="C75" i="7"/>
  <c r="C23" i="64"/>
  <c r="C74" i="7"/>
  <c r="C22" i="64"/>
  <c r="F252" i="62"/>
  <c r="C73" i="7"/>
  <c r="C21" i="64"/>
  <c r="C72" i="7"/>
  <c r="C20" i="64"/>
  <c r="C65" i="7"/>
  <c r="C11" i="64"/>
  <c r="F257" i="62"/>
  <c r="K183"/>
  <c r="K194" s="1"/>
  <c r="J189"/>
  <c r="J195" s="1"/>
  <c r="K189"/>
  <c r="K195" s="1"/>
  <c r="H183"/>
  <c r="J183"/>
  <c r="J194" s="1"/>
  <c r="H261"/>
  <c r="J261"/>
  <c r="I189"/>
  <c r="G71" i="60" s="1"/>
  <c r="L126" i="62"/>
  <c r="I182"/>
  <c r="L120"/>
  <c r="I181"/>
  <c r="L139"/>
  <c r="I257"/>
  <c r="L146"/>
  <c r="I258"/>
  <c r="L121"/>
  <c r="I253"/>
  <c r="L161"/>
  <c r="I260"/>
  <c r="L114"/>
  <c r="I180"/>
  <c r="L109"/>
  <c r="I179"/>
  <c r="L154"/>
  <c r="I259"/>
  <c r="L115"/>
  <c r="I252"/>
  <c r="L127"/>
  <c r="I254"/>
  <c r="L110"/>
  <c r="I251"/>
  <c r="L145"/>
  <c r="CJ10" i="69" s="1"/>
  <c r="DE10" s="1"/>
  <c r="L138" i="62"/>
  <c r="BY169" i="69" s="1"/>
  <c r="CT169" s="1"/>
  <c r="L153" i="62"/>
  <c r="CK10" i="69" s="1"/>
  <c r="DF10" s="1"/>
  <c r="L160" i="62"/>
  <c r="G73" i="7" l="1"/>
  <c r="G61" i="60"/>
  <c r="G74" i="7"/>
  <c r="G62" i="60"/>
  <c r="G75" i="7"/>
  <c r="G63" i="60"/>
  <c r="G76" i="7"/>
  <c r="G64" i="60"/>
  <c r="GW157" i="69"/>
  <c r="HR157" s="1"/>
  <c r="E65" i="60"/>
  <c r="BA184" i="69"/>
  <c r="BA182"/>
  <c r="BA180"/>
  <c r="BA178"/>
  <c r="BA176"/>
  <c r="BA183"/>
  <c r="BA181"/>
  <c r="BA179"/>
  <c r="BA177"/>
  <c r="BC183"/>
  <c r="BC181"/>
  <c r="BC179"/>
  <c r="BC177"/>
  <c r="BC184"/>
  <c r="BC182"/>
  <c r="BC180"/>
  <c r="BC178"/>
  <c r="BC176"/>
  <c r="BZ183"/>
  <c r="BZ181"/>
  <c r="BZ179"/>
  <c r="BZ177"/>
  <c r="BZ184"/>
  <c r="BZ182"/>
  <c r="BZ180"/>
  <c r="BZ178"/>
  <c r="BZ176"/>
  <c r="CC184"/>
  <c r="CX184" s="1"/>
  <c r="CC182"/>
  <c r="CX182" s="1"/>
  <c r="CC180"/>
  <c r="CX180" s="1"/>
  <c r="CC178"/>
  <c r="CX178" s="1"/>
  <c r="CC176"/>
  <c r="CX176" s="1"/>
  <c r="CC183"/>
  <c r="CX183" s="1"/>
  <c r="CC181"/>
  <c r="CX181" s="1"/>
  <c r="CC179"/>
  <c r="CX179" s="1"/>
  <c r="CC177"/>
  <c r="CX177" s="1"/>
  <c r="CA184"/>
  <c r="CV184" s="1"/>
  <c r="CA182"/>
  <c r="CV182" s="1"/>
  <c r="CA180"/>
  <c r="CV180" s="1"/>
  <c r="CA178"/>
  <c r="CV178" s="1"/>
  <c r="CA183"/>
  <c r="CV183" s="1"/>
  <c r="CA181"/>
  <c r="CV181" s="1"/>
  <c r="CA179"/>
  <c r="CV179" s="1"/>
  <c r="CA177"/>
  <c r="CV177" s="1"/>
  <c r="CA176"/>
  <c r="CV176" s="1"/>
  <c r="CK184"/>
  <c r="DF184" s="1"/>
  <c r="CK182"/>
  <c r="DF182" s="1"/>
  <c r="CK180"/>
  <c r="DF180" s="1"/>
  <c r="CK178"/>
  <c r="DF178" s="1"/>
  <c r="CK176"/>
  <c r="DF176" s="1"/>
  <c r="CK183"/>
  <c r="DF183" s="1"/>
  <c r="CK181"/>
  <c r="DF181" s="1"/>
  <c r="CK179"/>
  <c r="DF179" s="1"/>
  <c r="CK177"/>
  <c r="DF177" s="1"/>
  <c r="CL183"/>
  <c r="DG183" s="1"/>
  <c r="CL181"/>
  <c r="DG181" s="1"/>
  <c r="CL179"/>
  <c r="DG179" s="1"/>
  <c r="CL177"/>
  <c r="DG177" s="1"/>
  <c r="CL184"/>
  <c r="DG184" s="1"/>
  <c r="CL182"/>
  <c r="DG182" s="1"/>
  <c r="CL180"/>
  <c r="DG180" s="1"/>
  <c r="CL178"/>
  <c r="DG178" s="1"/>
  <c r="CL176"/>
  <c r="DG176" s="1"/>
  <c r="CB183"/>
  <c r="CW183" s="1"/>
  <c r="CB181"/>
  <c r="CW181" s="1"/>
  <c r="CB179"/>
  <c r="CW179" s="1"/>
  <c r="CB177"/>
  <c r="CW177" s="1"/>
  <c r="CB184"/>
  <c r="CW184" s="1"/>
  <c r="CB182"/>
  <c r="CW182" s="1"/>
  <c r="CB180"/>
  <c r="CW180" s="1"/>
  <c r="CB178"/>
  <c r="CW178" s="1"/>
  <c r="CB176"/>
  <c r="CW176" s="1"/>
  <c r="CE184"/>
  <c r="CZ184" s="1"/>
  <c r="CE182"/>
  <c r="CZ182" s="1"/>
  <c r="CE180"/>
  <c r="CZ180" s="1"/>
  <c r="CE178"/>
  <c r="CZ178" s="1"/>
  <c r="CE176"/>
  <c r="CZ176" s="1"/>
  <c r="CE183"/>
  <c r="CZ183" s="1"/>
  <c r="CE181"/>
  <c r="CZ181" s="1"/>
  <c r="CE179"/>
  <c r="CZ179" s="1"/>
  <c r="CE177"/>
  <c r="CZ177" s="1"/>
  <c r="CD183"/>
  <c r="CY183" s="1"/>
  <c r="CD181"/>
  <c r="CY181" s="1"/>
  <c r="CD179"/>
  <c r="CY179" s="1"/>
  <c r="CD177"/>
  <c r="CY177" s="1"/>
  <c r="CD184"/>
  <c r="CY184" s="1"/>
  <c r="CD182"/>
  <c r="CY182" s="1"/>
  <c r="CD180"/>
  <c r="CY180" s="1"/>
  <c r="CD178"/>
  <c r="CY178" s="1"/>
  <c r="CD176"/>
  <c r="CY176" s="1"/>
  <c r="GW168"/>
  <c r="HR168" s="1"/>
  <c r="HE165"/>
  <c r="HZ165" s="1"/>
  <c r="HE164"/>
  <c r="HZ164" s="1"/>
  <c r="HE163"/>
  <c r="HZ163" s="1"/>
  <c r="HE162"/>
  <c r="HZ162" s="1"/>
  <c r="HE161"/>
  <c r="HZ161" s="1"/>
  <c r="CC164"/>
  <c r="CX164" s="1"/>
  <c r="CC163"/>
  <c r="CX163" s="1"/>
  <c r="CI156"/>
  <c r="DD156" s="1"/>
  <c r="CC165"/>
  <c r="CX165" s="1"/>
  <c r="CC162"/>
  <c r="CX162" s="1"/>
  <c r="CC161"/>
  <c r="CX161" s="1"/>
  <c r="CI158"/>
  <c r="DD158" s="1"/>
  <c r="CI155"/>
  <c r="DD155" s="1"/>
  <c r="CI154"/>
  <c r="DD154" s="1"/>
  <c r="CE164"/>
  <c r="CZ164" s="1"/>
  <c r="CE163"/>
  <c r="CZ163" s="1"/>
  <c r="CE165"/>
  <c r="CZ165" s="1"/>
  <c r="CE162"/>
  <c r="CZ162" s="1"/>
  <c r="CE161"/>
  <c r="CZ161" s="1"/>
  <c r="CF158"/>
  <c r="DA158" s="1"/>
  <c r="CF155"/>
  <c r="DA155" s="1"/>
  <c r="CF154"/>
  <c r="DA154" s="1"/>
  <c r="CF156"/>
  <c r="DA156" s="1"/>
  <c r="CD165"/>
  <c r="CY165" s="1"/>
  <c r="CD162"/>
  <c r="CY162" s="1"/>
  <c r="CD161"/>
  <c r="CY161" s="1"/>
  <c r="CM156"/>
  <c r="DH156" s="1"/>
  <c r="CD164"/>
  <c r="CY164" s="1"/>
  <c r="CD163"/>
  <c r="CY163" s="1"/>
  <c r="CM158"/>
  <c r="DH158" s="1"/>
  <c r="CM155"/>
  <c r="DH155" s="1"/>
  <c r="CM154"/>
  <c r="DH154" s="1"/>
  <c r="HI151"/>
  <c r="ID151" s="1"/>
  <c r="HI149"/>
  <c r="ID149" s="1"/>
  <c r="HI147"/>
  <c r="ID147" s="1"/>
  <c r="HI150"/>
  <c r="ID150" s="1"/>
  <c r="HI148"/>
  <c r="ID148" s="1"/>
  <c r="HA126"/>
  <c r="HV126" s="1"/>
  <c r="HB144"/>
  <c r="HW144" s="1"/>
  <c r="HB143"/>
  <c r="HW143" s="1"/>
  <c r="HB126"/>
  <c r="HW126" s="1"/>
  <c r="HG143"/>
  <c r="IB143" s="1"/>
  <c r="HG144"/>
  <c r="IB144" s="1"/>
  <c r="H194" i="62"/>
  <c r="GY172" i="69"/>
  <c r="HT172" s="1"/>
  <c r="GY171"/>
  <c r="HT171" s="1"/>
  <c r="GY170"/>
  <c r="HT170" s="1"/>
  <c r="GY169"/>
  <c r="HT169" s="1"/>
  <c r="GY168"/>
  <c r="HT168" s="1"/>
  <c r="GY165"/>
  <c r="HT165" s="1"/>
  <c r="GY164"/>
  <c r="HT164" s="1"/>
  <c r="GY163"/>
  <c r="HT163" s="1"/>
  <c r="GY162"/>
  <c r="HT162" s="1"/>
  <c r="GY161"/>
  <c r="HT161" s="1"/>
  <c r="GY158"/>
  <c r="HT158" s="1"/>
  <c r="GY157"/>
  <c r="HT157" s="1"/>
  <c r="GY156"/>
  <c r="HT156" s="1"/>
  <c r="GY155"/>
  <c r="HT155" s="1"/>
  <c r="GY154"/>
  <c r="HT154" s="1"/>
  <c r="GY151"/>
  <c r="HT151" s="1"/>
  <c r="GY150"/>
  <c r="HT150" s="1"/>
  <c r="GY149"/>
  <c r="HT149" s="1"/>
  <c r="GY148"/>
  <c r="HT148" s="1"/>
  <c r="GY147"/>
  <c r="HT147" s="1"/>
  <c r="GY144"/>
  <c r="HT144" s="1"/>
  <c r="GY143"/>
  <c r="HT143" s="1"/>
  <c r="GY142"/>
  <c r="HT142" s="1"/>
  <c r="GY141"/>
  <c r="HT141" s="1"/>
  <c r="GY140"/>
  <c r="HT140" s="1"/>
  <c r="GY137"/>
  <c r="HT137" s="1"/>
  <c r="GY136"/>
  <c r="HT136" s="1"/>
  <c r="GY135"/>
  <c r="HT135" s="1"/>
  <c r="GY134"/>
  <c r="HT134" s="1"/>
  <c r="GY133"/>
  <c r="HT133" s="1"/>
  <c r="GY130"/>
  <c r="HT130" s="1"/>
  <c r="GY129"/>
  <c r="HT129" s="1"/>
  <c r="GY128"/>
  <c r="HT128" s="1"/>
  <c r="GY127"/>
  <c r="HT127" s="1"/>
  <c r="GY123"/>
  <c r="HT123" s="1"/>
  <c r="GY122"/>
  <c r="HT122" s="1"/>
  <c r="GY121"/>
  <c r="HT121" s="1"/>
  <c r="GY120"/>
  <c r="HT120" s="1"/>
  <c r="GY119"/>
  <c r="HT119" s="1"/>
  <c r="H195" i="62"/>
  <c r="GZ172" i="69"/>
  <c r="HU172" s="1"/>
  <c r="GZ170"/>
  <c r="HU170" s="1"/>
  <c r="GZ168"/>
  <c r="HU168" s="1"/>
  <c r="GZ164"/>
  <c r="HU164" s="1"/>
  <c r="GZ162"/>
  <c r="HU162" s="1"/>
  <c r="GZ158"/>
  <c r="HU158" s="1"/>
  <c r="GZ156"/>
  <c r="HU156" s="1"/>
  <c r="GZ154"/>
  <c r="HU154" s="1"/>
  <c r="GZ150"/>
  <c r="HU150" s="1"/>
  <c r="GZ148"/>
  <c r="HU148" s="1"/>
  <c r="GZ142"/>
  <c r="HU142" s="1"/>
  <c r="GZ140"/>
  <c r="HU140" s="1"/>
  <c r="GZ136"/>
  <c r="HU136" s="1"/>
  <c r="GZ134"/>
  <c r="HU134" s="1"/>
  <c r="GZ130"/>
  <c r="HU130" s="1"/>
  <c r="GZ128"/>
  <c r="HU128" s="1"/>
  <c r="GZ122"/>
  <c r="HU122" s="1"/>
  <c r="GZ120"/>
  <c r="HU120" s="1"/>
  <c r="GZ171"/>
  <c r="HU171" s="1"/>
  <c r="GZ169"/>
  <c r="HU169" s="1"/>
  <c r="GZ165"/>
  <c r="HU165" s="1"/>
  <c r="GZ163"/>
  <c r="HU163" s="1"/>
  <c r="GZ161"/>
  <c r="HU161" s="1"/>
  <c r="GZ157"/>
  <c r="HU157" s="1"/>
  <c r="GZ155"/>
  <c r="HU155" s="1"/>
  <c r="GZ151"/>
  <c r="HU151" s="1"/>
  <c r="GZ149"/>
  <c r="HU149" s="1"/>
  <c r="GZ147"/>
  <c r="HU147" s="1"/>
  <c r="GZ141"/>
  <c r="HU141" s="1"/>
  <c r="GZ137"/>
  <c r="HU137" s="1"/>
  <c r="GZ135"/>
  <c r="HU135" s="1"/>
  <c r="GZ133"/>
  <c r="HU133" s="1"/>
  <c r="GZ129"/>
  <c r="HU129" s="1"/>
  <c r="GZ127"/>
  <c r="HU127" s="1"/>
  <c r="GZ123"/>
  <c r="HU123" s="1"/>
  <c r="GZ121"/>
  <c r="HU121" s="1"/>
  <c r="GZ119"/>
  <c r="HU119" s="1"/>
  <c r="CE77"/>
  <c r="CZ77" s="1"/>
  <c r="CE76"/>
  <c r="CZ76" s="1"/>
  <c r="CE75"/>
  <c r="CZ75" s="1"/>
  <c r="CE74"/>
  <c r="CZ74" s="1"/>
  <c r="CE73"/>
  <c r="CZ73" s="1"/>
  <c r="CE32"/>
  <c r="CZ32" s="1"/>
  <c r="CL77"/>
  <c r="DG77" s="1"/>
  <c r="CL76"/>
  <c r="DG76" s="1"/>
  <c r="CL75"/>
  <c r="DG75" s="1"/>
  <c r="CL74"/>
  <c r="DG74" s="1"/>
  <c r="CL73"/>
  <c r="DG73" s="1"/>
  <c r="CH77"/>
  <c r="DC77" s="1"/>
  <c r="CH76"/>
  <c r="DC76" s="1"/>
  <c r="CH75"/>
  <c r="DC75" s="1"/>
  <c r="CH74"/>
  <c r="DC74" s="1"/>
  <c r="CH73"/>
  <c r="DC73" s="1"/>
  <c r="BZ11"/>
  <c r="CU11" s="1"/>
  <c r="CB32"/>
  <c r="CW32" s="1"/>
  <c r="CC12"/>
  <c r="CX12" s="1"/>
  <c r="CA11"/>
  <c r="CV11" s="1"/>
  <c r="L189" i="62"/>
  <c r="M189" s="1"/>
  <c r="I195"/>
  <c r="I261"/>
  <c r="L261" s="1"/>
  <c r="M160"/>
  <c r="M188" s="1"/>
  <c r="N188" s="1"/>
  <c r="L188"/>
  <c r="M138"/>
  <c r="M185" s="1"/>
  <c r="L185"/>
  <c r="M110"/>
  <c r="M251" s="1"/>
  <c r="N251" s="1"/>
  <c r="L251"/>
  <c r="S21" i="64" s="1"/>
  <c r="M127" i="62"/>
  <c r="M254" s="1"/>
  <c r="N254" s="1"/>
  <c r="L254"/>
  <c r="S24" i="64" s="1"/>
  <c r="M115" i="62"/>
  <c r="M252" s="1"/>
  <c r="L252"/>
  <c r="S22" i="64" s="1"/>
  <c r="M154" i="62"/>
  <c r="M259" s="1"/>
  <c r="N259" s="1"/>
  <c r="L259"/>
  <c r="S29" i="64" s="1"/>
  <c r="M109" i="62"/>
  <c r="M179" s="1"/>
  <c r="N179" s="1"/>
  <c r="L179"/>
  <c r="M139"/>
  <c r="L257"/>
  <c r="S27" i="64" s="1"/>
  <c r="M120" i="62"/>
  <c r="M181" s="1"/>
  <c r="L181"/>
  <c r="M126"/>
  <c r="M182" s="1"/>
  <c r="N182" s="1"/>
  <c r="L182"/>
  <c r="M153"/>
  <c r="M187" s="1"/>
  <c r="N187" s="1"/>
  <c r="L187"/>
  <c r="M145"/>
  <c r="M186" s="1"/>
  <c r="N186" s="1"/>
  <c r="L186"/>
  <c r="M114"/>
  <c r="L180"/>
  <c r="M161"/>
  <c r="M260" s="1"/>
  <c r="L260"/>
  <c r="S30" i="64" s="1"/>
  <c r="M121" i="62"/>
  <c r="M253" s="1"/>
  <c r="N253" s="1"/>
  <c r="L253"/>
  <c r="S23" i="64" s="1"/>
  <c r="M146" i="62"/>
  <c r="M258" s="1"/>
  <c r="N258" s="1"/>
  <c r="L258"/>
  <c r="S28" i="64" s="1"/>
  <c r="CU176" i="69" l="1"/>
  <c r="IE176"/>
  <c r="CU180"/>
  <c r="IE180"/>
  <c r="CU184"/>
  <c r="IE184"/>
  <c r="CU179"/>
  <c r="IE179"/>
  <c r="CU183"/>
  <c r="IE183"/>
  <c r="CU178"/>
  <c r="IE178"/>
  <c r="CU182"/>
  <c r="IE182"/>
  <c r="CU177"/>
  <c r="IE177"/>
  <c r="CU181"/>
  <c r="IE181"/>
  <c r="T28" i="64"/>
  <c r="T23"/>
  <c r="T27"/>
  <c r="T29"/>
  <c r="T22"/>
  <c r="T24"/>
  <c r="T21"/>
  <c r="T30"/>
  <c r="CG165" i="69"/>
  <c r="DB165" s="1"/>
  <c r="CG162"/>
  <c r="DB162" s="1"/>
  <c r="CG161"/>
  <c r="DB161" s="1"/>
  <c r="CG164"/>
  <c r="DB164" s="1"/>
  <c r="CG163"/>
  <c r="DB163" s="1"/>
  <c r="BY168"/>
  <c r="CT168" s="1"/>
  <c r="CC98"/>
  <c r="CX98" s="1"/>
  <c r="CH151"/>
  <c r="DC151" s="1"/>
  <c r="CH150"/>
  <c r="DC150" s="1"/>
  <c r="CH147"/>
  <c r="DC147" s="1"/>
  <c r="CH149"/>
  <c r="DC149" s="1"/>
  <c r="CH148"/>
  <c r="DC148" s="1"/>
  <c r="CE98"/>
  <c r="CZ98" s="1"/>
  <c r="CJ151"/>
  <c r="DE151" s="1"/>
  <c r="CJ150"/>
  <c r="DE150" s="1"/>
  <c r="CJ147"/>
  <c r="DE147" s="1"/>
  <c r="CJ149"/>
  <c r="DE149" s="1"/>
  <c r="CJ148"/>
  <c r="DE148" s="1"/>
  <c r="CD98"/>
  <c r="CY98" s="1"/>
  <c r="CI149"/>
  <c r="DD149" s="1"/>
  <c r="CI148"/>
  <c r="DD148" s="1"/>
  <c r="CI151"/>
  <c r="DD151" s="1"/>
  <c r="CI150"/>
  <c r="DD150" s="1"/>
  <c r="CI147"/>
  <c r="DD147" s="1"/>
  <c r="CG149"/>
  <c r="DB149" s="1"/>
  <c r="CG148"/>
  <c r="DB148" s="1"/>
  <c r="CG151"/>
  <c r="DB151" s="1"/>
  <c r="CG150"/>
  <c r="DB150" s="1"/>
  <c r="CG147"/>
  <c r="DB147" s="1"/>
  <c r="CK150"/>
  <c r="DF150" s="1"/>
  <c r="CK149"/>
  <c r="DF149" s="1"/>
  <c r="CK151"/>
  <c r="DF151" s="1"/>
  <c r="CK148"/>
  <c r="DF148" s="1"/>
  <c r="CK147"/>
  <c r="DF147" s="1"/>
  <c r="CC113"/>
  <c r="CX113" s="1"/>
  <c r="CF143"/>
  <c r="DA143" s="1"/>
  <c r="CF144"/>
  <c r="DA144" s="1"/>
  <c r="CD113"/>
  <c r="CY113" s="1"/>
  <c r="CG144"/>
  <c r="DB144" s="1"/>
  <c r="CG143"/>
  <c r="DB143" s="1"/>
  <c r="CB113"/>
  <c r="CW113" s="1"/>
  <c r="CE144"/>
  <c r="CZ144" s="1"/>
  <c r="CE143"/>
  <c r="CZ143" s="1"/>
  <c r="CH143"/>
  <c r="DC143" s="1"/>
  <c r="CH144"/>
  <c r="DC144" s="1"/>
  <c r="CD126"/>
  <c r="CY126" s="1"/>
  <c r="CI144"/>
  <c r="DD144" s="1"/>
  <c r="CI143"/>
  <c r="DD143" s="1"/>
  <c r="CB135"/>
  <c r="CW135" s="1"/>
  <c r="CB120"/>
  <c r="CW120" s="1"/>
  <c r="CB137"/>
  <c r="CW137" s="1"/>
  <c r="CB122"/>
  <c r="CW122" s="1"/>
  <c r="CB136"/>
  <c r="CW136" s="1"/>
  <c r="CB141"/>
  <c r="CW141" s="1"/>
  <c r="CB157"/>
  <c r="CW157" s="1"/>
  <c r="CB169"/>
  <c r="CW169" s="1"/>
  <c r="CB127"/>
  <c r="CW127" s="1"/>
  <c r="CB148"/>
  <c r="CW148" s="1"/>
  <c r="CB170"/>
  <c r="CW170" s="1"/>
  <c r="CB149"/>
  <c r="CW149" s="1"/>
  <c r="CB142"/>
  <c r="CW142" s="1"/>
  <c r="CB133"/>
  <c r="CW133" s="1"/>
  <c r="CB128"/>
  <c r="CW128" s="1"/>
  <c r="CB119"/>
  <c r="CW119" s="1"/>
  <c r="CB123"/>
  <c r="CW123" s="1"/>
  <c r="CB134"/>
  <c r="CW134" s="1"/>
  <c r="CB140"/>
  <c r="CW140" s="1"/>
  <c r="CB168"/>
  <c r="CW168" s="1"/>
  <c r="CB171"/>
  <c r="CW171" s="1"/>
  <c r="CB129"/>
  <c r="CW129" s="1"/>
  <c r="CB150"/>
  <c r="CW150" s="1"/>
  <c r="CB172"/>
  <c r="CW172" s="1"/>
  <c r="CB147"/>
  <c r="CW147" s="1"/>
  <c r="CB151"/>
  <c r="CW151" s="1"/>
  <c r="CB130"/>
  <c r="CW130" s="1"/>
  <c r="CB121"/>
  <c r="CW121" s="1"/>
  <c r="CD115"/>
  <c r="CY115" s="1"/>
  <c r="CF113"/>
  <c r="DA113" s="1"/>
  <c r="CD112"/>
  <c r="CY112" s="1"/>
  <c r="CB98"/>
  <c r="CW98" s="1"/>
  <c r="CC115"/>
  <c r="CX115" s="1"/>
  <c r="CB114"/>
  <c r="CW114" s="1"/>
  <c r="CE113"/>
  <c r="CZ113" s="1"/>
  <c r="CD108"/>
  <c r="CY108" s="1"/>
  <c r="CD107"/>
  <c r="CY107" s="1"/>
  <c r="CC108"/>
  <c r="CX108" s="1"/>
  <c r="CC107"/>
  <c r="CX107" s="1"/>
  <c r="CB108"/>
  <c r="CW108" s="1"/>
  <c r="CB107"/>
  <c r="CW107" s="1"/>
  <c r="CE108"/>
  <c r="CZ108" s="1"/>
  <c r="CE107"/>
  <c r="CZ107" s="1"/>
  <c r="CQ109"/>
  <c r="DL109" s="1"/>
  <c r="CQ107"/>
  <c r="DL107" s="1"/>
  <c r="CQ105"/>
  <c r="DL105" s="1"/>
  <c r="CQ110"/>
  <c r="DL110" s="1"/>
  <c r="CQ108"/>
  <c r="DL108" s="1"/>
  <c r="CQ106"/>
  <c r="DL106" s="1"/>
  <c r="CQ104"/>
  <c r="DL104" s="1"/>
  <c r="CH101"/>
  <c r="DC101" s="1"/>
  <c r="CH102"/>
  <c r="DC102" s="1"/>
  <c r="CH100"/>
  <c r="DC100" s="1"/>
  <c r="CC97"/>
  <c r="CX97" s="1"/>
  <c r="CC95"/>
  <c r="CX95" s="1"/>
  <c r="CC93"/>
  <c r="CX93" s="1"/>
  <c r="CG98"/>
  <c r="DB98" s="1"/>
  <c r="CC96"/>
  <c r="CX96" s="1"/>
  <c r="CC94"/>
  <c r="CX94" s="1"/>
  <c r="CH98"/>
  <c r="DC98" s="1"/>
  <c r="CD96"/>
  <c r="CY96" s="1"/>
  <c r="CD94"/>
  <c r="CY94" s="1"/>
  <c r="CD97"/>
  <c r="CY97" s="1"/>
  <c r="CD95"/>
  <c r="CY95" s="1"/>
  <c r="CD93"/>
  <c r="CY93" s="1"/>
  <c r="CF98"/>
  <c r="DA98" s="1"/>
  <c r="CB96"/>
  <c r="CW96" s="1"/>
  <c r="CB94"/>
  <c r="CW94" s="1"/>
  <c r="CB97"/>
  <c r="CW97" s="1"/>
  <c r="CB95"/>
  <c r="CW95" s="1"/>
  <c r="CB93"/>
  <c r="CW93" s="1"/>
  <c r="CE97"/>
  <c r="CZ97" s="1"/>
  <c r="CE95"/>
  <c r="CZ95" s="1"/>
  <c r="CE93"/>
  <c r="CZ93" s="1"/>
  <c r="CI98"/>
  <c r="DD98" s="1"/>
  <c r="CE96"/>
  <c r="CZ96" s="1"/>
  <c r="CE94"/>
  <c r="CZ94" s="1"/>
  <c r="CD89"/>
  <c r="CY89" s="1"/>
  <c r="CB87"/>
  <c r="CW87" s="1"/>
  <c r="CB88"/>
  <c r="CW88" s="1"/>
  <c r="CD86"/>
  <c r="CY86" s="1"/>
  <c r="CB85"/>
  <c r="CW85" s="1"/>
  <c r="CB84"/>
  <c r="CW84" s="1"/>
  <c r="CG81"/>
  <c r="DB81" s="1"/>
  <c r="CG80"/>
  <c r="DB80" s="1"/>
  <c r="CC69"/>
  <c r="CX69" s="1"/>
  <c r="CC70"/>
  <c r="CX70" s="1"/>
  <c r="CD70"/>
  <c r="CY70" s="1"/>
  <c r="CD69"/>
  <c r="CY69" s="1"/>
  <c r="CB70"/>
  <c r="CW70" s="1"/>
  <c r="CB69"/>
  <c r="CW69" s="1"/>
  <c r="CE69"/>
  <c r="CZ69" s="1"/>
  <c r="CE70"/>
  <c r="CZ70" s="1"/>
  <c r="CO77"/>
  <c r="DJ77" s="1"/>
  <c r="CO76"/>
  <c r="DJ76" s="1"/>
  <c r="CO75"/>
  <c r="DJ75" s="1"/>
  <c r="CO74"/>
  <c r="DJ74" s="1"/>
  <c r="CO73"/>
  <c r="DJ73" s="1"/>
  <c r="CQ77"/>
  <c r="DL77" s="1"/>
  <c r="CQ76"/>
  <c r="DL76" s="1"/>
  <c r="CQ75"/>
  <c r="DL75" s="1"/>
  <c r="CQ74"/>
  <c r="DL74" s="1"/>
  <c r="CQ73"/>
  <c r="DL73" s="1"/>
  <c r="CF81"/>
  <c r="DA81" s="1"/>
  <c r="CF80"/>
  <c r="DA80" s="1"/>
  <c r="CP77"/>
  <c r="DK77" s="1"/>
  <c r="CP76"/>
  <c r="DK76" s="1"/>
  <c r="CP75"/>
  <c r="DK75" s="1"/>
  <c r="CP74"/>
  <c r="DK74" s="1"/>
  <c r="CP73"/>
  <c r="DK73" s="1"/>
  <c r="CE81"/>
  <c r="CZ81" s="1"/>
  <c r="CE80"/>
  <c r="CZ80" s="1"/>
  <c r="CN77"/>
  <c r="DI77" s="1"/>
  <c r="CN76"/>
  <c r="DI76" s="1"/>
  <c r="CN75"/>
  <c r="DI75" s="1"/>
  <c r="CN74"/>
  <c r="DI74" s="1"/>
  <c r="CN73"/>
  <c r="DI73" s="1"/>
  <c r="CA77"/>
  <c r="CV77" s="1"/>
  <c r="CA76"/>
  <c r="CV76" s="1"/>
  <c r="CA75"/>
  <c r="CV75" s="1"/>
  <c r="CA74"/>
  <c r="CV74" s="1"/>
  <c r="CA73"/>
  <c r="CV73" s="1"/>
  <c r="CC77"/>
  <c r="CX77" s="1"/>
  <c r="CC76"/>
  <c r="CX76" s="1"/>
  <c r="CC75"/>
  <c r="CX75" s="1"/>
  <c r="CC74"/>
  <c r="CX74" s="1"/>
  <c r="CC73"/>
  <c r="CX73" s="1"/>
  <c r="CB77"/>
  <c r="CW77" s="1"/>
  <c r="CB76"/>
  <c r="CW76" s="1"/>
  <c r="CB75"/>
  <c r="CW75" s="1"/>
  <c r="CB74"/>
  <c r="CW74" s="1"/>
  <c r="CB73"/>
  <c r="CW73" s="1"/>
  <c r="BZ77"/>
  <c r="CU77" s="1"/>
  <c r="BZ76"/>
  <c r="CU76" s="1"/>
  <c r="BZ75"/>
  <c r="CU75" s="1"/>
  <c r="BZ74"/>
  <c r="CU74" s="1"/>
  <c r="BZ73"/>
  <c r="CU73" s="1"/>
  <c r="CJ61"/>
  <c r="DE61" s="1"/>
  <c r="CJ59"/>
  <c r="DE59" s="1"/>
  <c r="CB66"/>
  <c r="CW66" s="1"/>
  <c r="CJ60"/>
  <c r="DE60" s="1"/>
  <c r="CC65"/>
  <c r="CX65" s="1"/>
  <c r="CC64"/>
  <c r="CX64" s="1"/>
  <c r="CD64"/>
  <c r="CY64" s="1"/>
  <c r="CD65"/>
  <c r="CY65" s="1"/>
  <c r="CB64"/>
  <c r="CW64" s="1"/>
  <c r="CB65"/>
  <c r="CW65" s="1"/>
  <c r="CE65"/>
  <c r="CZ65" s="1"/>
  <c r="CE64"/>
  <c r="CZ64" s="1"/>
  <c r="CC28"/>
  <c r="CX28" s="1"/>
  <c r="CG53"/>
  <c r="DB53" s="1"/>
  <c r="CG52"/>
  <c r="DB52" s="1"/>
  <c r="CG56"/>
  <c r="DB56" s="1"/>
  <c r="CG54"/>
  <c r="DB54" s="1"/>
  <c r="CG55"/>
  <c r="DB55" s="1"/>
  <c r="CD28"/>
  <c r="CY28" s="1"/>
  <c r="CH55"/>
  <c r="DC55" s="1"/>
  <c r="CH53"/>
  <c r="DC53" s="1"/>
  <c r="CH54"/>
  <c r="DC54" s="1"/>
  <c r="CH56"/>
  <c r="DC56" s="1"/>
  <c r="CH52"/>
  <c r="DC52" s="1"/>
  <c r="CB28"/>
  <c r="CW28" s="1"/>
  <c r="CF55"/>
  <c r="DA55" s="1"/>
  <c r="CF54"/>
  <c r="DA54" s="1"/>
  <c r="CF56"/>
  <c r="DA56" s="1"/>
  <c r="CF52"/>
  <c r="DA52" s="1"/>
  <c r="CF53"/>
  <c r="DA53" s="1"/>
  <c r="CE28"/>
  <c r="CZ28" s="1"/>
  <c r="CI53"/>
  <c r="DD53" s="1"/>
  <c r="CI52"/>
  <c r="DD52" s="1"/>
  <c r="CI56"/>
  <c r="DD56" s="1"/>
  <c r="CI54"/>
  <c r="DD54" s="1"/>
  <c r="CI55"/>
  <c r="DD55" s="1"/>
  <c r="CC56"/>
  <c r="CX56" s="1"/>
  <c r="CC54"/>
  <c r="CX54" s="1"/>
  <c r="CC53"/>
  <c r="CX53" s="1"/>
  <c r="CC52"/>
  <c r="CX52" s="1"/>
  <c r="CC55"/>
  <c r="CX55" s="1"/>
  <c r="CE56"/>
  <c r="CZ56" s="1"/>
  <c r="CE54"/>
  <c r="CZ54" s="1"/>
  <c r="CE53"/>
  <c r="CZ53" s="1"/>
  <c r="CE52"/>
  <c r="CZ52" s="1"/>
  <c r="CE55"/>
  <c r="CZ55" s="1"/>
  <c r="BY24"/>
  <c r="CT24" s="1"/>
  <c r="DN24" s="1"/>
  <c r="DP24" s="1"/>
  <c r="CD55"/>
  <c r="CY55" s="1"/>
  <c r="CD53"/>
  <c r="CY53" s="1"/>
  <c r="CD54"/>
  <c r="CY54" s="1"/>
  <c r="CD52"/>
  <c r="CY52" s="1"/>
  <c r="CD56"/>
  <c r="CY56" s="1"/>
  <c r="CB55"/>
  <c r="CW55" s="1"/>
  <c r="CB56"/>
  <c r="CW56" s="1"/>
  <c r="CB53"/>
  <c r="CW53" s="1"/>
  <c r="CB54"/>
  <c r="CW54" s="1"/>
  <c r="CB52"/>
  <c r="CW52" s="1"/>
  <c r="CB23"/>
  <c r="CW23" s="1"/>
  <c r="CR47"/>
  <c r="DM47" s="1"/>
  <c r="CR41"/>
  <c r="DM41" s="1"/>
  <c r="CR40"/>
  <c r="DM40" s="1"/>
  <c r="CR39"/>
  <c r="DM39" s="1"/>
  <c r="CB33"/>
  <c r="CW33" s="1"/>
  <c r="CF32"/>
  <c r="DA32" s="1"/>
  <c r="CB31"/>
  <c r="CW31" s="1"/>
  <c r="CR45"/>
  <c r="DM45" s="1"/>
  <c r="CR44"/>
  <c r="DM44" s="1"/>
  <c r="CR48"/>
  <c r="DM48" s="1"/>
  <c r="CR43"/>
  <c r="DM43" s="1"/>
  <c r="CB30"/>
  <c r="CW30" s="1"/>
  <c r="CR46"/>
  <c r="DM46" s="1"/>
  <c r="CR42"/>
  <c r="DM42" s="1"/>
  <c r="CB21"/>
  <c r="CW21" s="1"/>
  <c r="CB20"/>
  <c r="CW20" s="1"/>
  <c r="CC20"/>
  <c r="CX20" s="1"/>
  <c r="CC21"/>
  <c r="CX21" s="1"/>
  <c r="CA20"/>
  <c r="CV20" s="1"/>
  <c r="CA21"/>
  <c r="CV21" s="1"/>
  <c r="CD21"/>
  <c r="CY21" s="1"/>
  <c r="CD20"/>
  <c r="CY20" s="1"/>
  <c r="BZ21"/>
  <c r="CU21" s="1"/>
  <c r="BZ20"/>
  <c r="CU20" s="1"/>
  <c r="L195" i="62"/>
  <c r="CE15" i="69"/>
  <c r="CZ15" s="1"/>
  <c r="CG14"/>
  <c r="DB14" s="1"/>
  <c r="CH11"/>
  <c r="DC11" s="1"/>
  <c r="CE14"/>
  <c r="CZ14" s="1"/>
  <c r="CB15"/>
  <c r="CW15" s="1"/>
  <c r="CB13"/>
  <c r="CW13" s="1"/>
  <c r="CD15"/>
  <c r="CY15" s="1"/>
  <c r="CD13"/>
  <c r="CY13" s="1"/>
  <c r="CC15"/>
  <c r="CX15" s="1"/>
  <c r="CC13"/>
  <c r="CX13" s="1"/>
  <c r="CF14"/>
  <c r="DA14" s="1"/>
  <c r="CD14"/>
  <c r="CY14" s="1"/>
  <c r="CA13"/>
  <c r="CV13" s="1"/>
  <c r="CA15"/>
  <c r="CV15" s="1"/>
  <c r="N189" i="62"/>
  <c r="N195" s="1"/>
  <c r="M195"/>
  <c r="M261"/>
  <c r="N261" s="1"/>
  <c r="M180"/>
  <c r="N180" s="1"/>
  <c r="N181"/>
  <c r="N260"/>
  <c r="M257"/>
  <c r="N252"/>
  <c r="N185"/>
  <c r="BR24" i="69" l="1"/>
  <c r="D24"/>
  <c r="DX24"/>
  <c r="ED24"/>
  <c r="DV24"/>
  <c r="EE24"/>
  <c r="DW24"/>
  <c r="EG24"/>
  <c r="DY24"/>
  <c r="DQ24"/>
  <c r="DT24"/>
  <c r="EB24"/>
  <c r="EF24"/>
  <c r="EH24"/>
  <c r="DZ24"/>
  <c r="DR24"/>
  <c r="EI24"/>
  <c r="EA24"/>
  <c r="DS24"/>
  <c r="EC24"/>
  <c r="DU24"/>
  <c r="N257" i="62"/>
  <c r="G48" i="21" l="1"/>
  <c r="G49"/>
  <c r="G46"/>
  <c r="G47"/>
  <c r="EQ24" i="69"/>
  <c r="EO24"/>
  <c r="EV24"/>
  <c r="EP24"/>
  <c r="ES24"/>
  <c r="EY24"/>
  <c r="EW24"/>
  <c r="EN24"/>
  <c r="FD24"/>
  <c r="EX24"/>
  <c r="EM24"/>
  <c r="FC24"/>
  <c r="FA24"/>
  <c r="EZ24"/>
  <c r="EL24"/>
  <c r="FE24"/>
  <c r="FB24"/>
  <c r="EU24"/>
  <c r="ER24"/>
  <c r="ET24"/>
  <c r="EJ24"/>
  <c r="BT24"/>
  <c r="BV24" s="1"/>
  <c r="FL24" l="1"/>
  <c r="FM24"/>
  <c r="FN24"/>
  <c r="FG24"/>
  <c r="GB24" s="1"/>
  <c r="FZ24"/>
  <c r="FT24"/>
  <c r="FS24"/>
  <c r="FY24"/>
  <c r="FH24"/>
  <c r="FP24"/>
  <c r="FX24"/>
  <c r="FK24"/>
  <c r="FJ24"/>
  <c r="FR24"/>
  <c r="FI24"/>
  <c r="FU24"/>
  <c r="FO24"/>
  <c r="FW24"/>
  <c r="FV24"/>
  <c r="FQ24"/>
  <c r="GR24"/>
  <c r="GN24"/>
  <c r="GJ24"/>
  <c r="GF24"/>
  <c r="GO24"/>
  <c r="GK24"/>
  <c r="GG24"/>
  <c r="GC24"/>
  <c r="GT24"/>
  <c r="GP24"/>
  <c r="GL24"/>
  <c r="GH24"/>
  <c r="GD24"/>
  <c r="GU24"/>
  <c r="GQ24"/>
  <c r="GM24"/>
  <c r="GI24"/>
  <c r="GE24"/>
  <c r="GS24"/>
  <c r="BP24" l="1"/>
  <c r="J46" i="21" s="1"/>
  <c r="I104" i="62" l="1"/>
  <c r="E249" l="1"/>
  <c r="E177"/>
  <c r="L104"/>
  <c r="I250"/>
  <c r="I255" s="1"/>
  <c r="L255" s="1"/>
  <c r="I103"/>
  <c r="L100"/>
  <c r="M54"/>
  <c r="M98" s="1"/>
  <c r="M131" s="1"/>
  <c r="L57"/>
  <c r="M57" s="1"/>
  <c r="L88"/>
  <c r="L69"/>
  <c r="M69" s="1"/>
  <c r="L60"/>
  <c r="M60" s="1"/>
  <c r="L81"/>
  <c r="M81" s="1"/>
  <c r="L47"/>
  <c r="BZ115" i="69" s="1"/>
  <c r="CU115" s="1"/>
  <c r="S8" i="62"/>
  <c r="S9"/>
  <c r="S10"/>
  <c r="S7"/>
  <c r="H169"/>
  <c r="E51" i="60" s="1"/>
  <c r="K49" i="62"/>
  <c r="J49"/>
  <c r="K27"/>
  <c r="J27"/>
  <c r="K15"/>
  <c r="J15"/>
  <c r="K37"/>
  <c r="J37"/>
  <c r="B50" i="65"/>
  <c r="D303" i="60"/>
  <c r="BY184" i="69" l="1"/>
  <c r="CT184" s="1"/>
  <c r="BY182"/>
  <c r="CT182" s="1"/>
  <c r="BY180"/>
  <c r="CT180" s="1"/>
  <c r="BY178"/>
  <c r="CT178" s="1"/>
  <c r="BY183"/>
  <c r="CT183" s="1"/>
  <c r="BY181"/>
  <c r="CT181" s="1"/>
  <c r="BY179"/>
  <c r="CT179" s="1"/>
  <c r="BY177"/>
  <c r="CT177" s="1"/>
  <c r="BY176"/>
  <c r="CT176" s="1"/>
  <c r="BY163"/>
  <c r="CT163" s="1"/>
  <c r="BY156"/>
  <c r="CT156" s="1"/>
  <c r="BY149"/>
  <c r="CT149" s="1"/>
  <c r="BY147"/>
  <c r="CT147" s="1"/>
  <c r="BY165"/>
  <c r="CT165" s="1"/>
  <c r="BY161"/>
  <c r="CT161" s="1"/>
  <c r="BY158"/>
  <c r="CT158" s="1"/>
  <c r="BY151"/>
  <c r="CT151" s="1"/>
  <c r="BY164"/>
  <c r="CT164" s="1"/>
  <c r="BY155"/>
  <c r="CT155" s="1"/>
  <c r="BY148"/>
  <c r="CT148" s="1"/>
  <c r="BY162"/>
  <c r="CT162" s="1"/>
  <c r="BY154"/>
  <c r="CT154" s="1"/>
  <c r="BY150"/>
  <c r="CT150" s="1"/>
  <c r="BY144"/>
  <c r="CT144" s="1"/>
  <c r="BY143"/>
  <c r="CT143" s="1"/>
  <c r="CC137"/>
  <c r="CX137" s="1"/>
  <c r="CC136"/>
  <c r="CX136" s="1"/>
  <c r="CC134"/>
  <c r="CX134" s="1"/>
  <c r="CC130"/>
  <c r="CX130" s="1"/>
  <c r="CC129"/>
  <c r="CX129" s="1"/>
  <c r="CC128"/>
  <c r="CX128" s="1"/>
  <c r="CC141"/>
  <c r="CX141" s="1"/>
  <c r="CC135"/>
  <c r="CX135" s="1"/>
  <c r="CC133"/>
  <c r="CX133" s="1"/>
  <c r="BY126"/>
  <c r="CT126" s="1"/>
  <c r="BY32"/>
  <c r="CT32" s="1"/>
  <c r="BR32" s="1"/>
  <c r="BY109"/>
  <c r="CT109" s="1"/>
  <c r="M88" i="62"/>
  <c r="CO106" i="69"/>
  <c r="DJ106" s="1"/>
  <c r="CO105"/>
  <c r="DJ105" s="1"/>
  <c r="CO104"/>
  <c r="DJ104" s="1"/>
  <c r="M47" i="62"/>
  <c r="CL46" i="69"/>
  <c r="DG46" s="1"/>
  <c r="CL43"/>
  <c r="DG43" s="1"/>
  <c r="CL42"/>
  <c r="DG42" s="1"/>
  <c r="CL41"/>
  <c r="DG41" s="1"/>
  <c r="CL48"/>
  <c r="DG48" s="1"/>
  <c r="CL47"/>
  <c r="DG47" s="1"/>
  <c r="CL45"/>
  <c r="DG45" s="1"/>
  <c r="CL44"/>
  <c r="DG44" s="1"/>
  <c r="CL39"/>
  <c r="DG39" s="1"/>
  <c r="CL40"/>
  <c r="DG40" s="1"/>
  <c r="B71" i="7"/>
  <c r="B19" i="64" s="1"/>
  <c r="F37" s="1"/>
  <c r="F194" i="62"/>
  <c r="F183"/>
  <c r="D342" i="60"/>
  <c r="D148"/>
  <c r="D344"/>
  <c r="D150"/>
  <c r="D346"/>
  <c r="D152"/>
  <c r="D341"/>
  <c r="D147"/>
  <c r="D343"/>
  <c r="D149"/>
  <c r="D345"/>
  <c r="D151"/>
  <c r="M255" i="62"/>
  <c r="N255" s="1"/>
  <c r="L103"/>
  <c r="I178"/>
  <c r="G60" i="60" s="1"/>
  <c r="M104" i="62"/>
  <c r="M250" s="1"/>
  <c r="N250" s="1"/>
  <c r="L250"/>
  <c r="S20" i="64" s="1"/>
  <c r="K168" i="62"/>
  <c r="K38"/>
  <c r="K240" s="1"/>
  <c r="K166"/>
  <c r="K16"/>
  <c r="K238" s="1"/>
  <c r="K167"/>
  <c r="K28"/>
  <c r="K239" s="1"/>
  <c r="K169"/>
  <c r="K50"/>
  <c r="K241" s="1"/>
  <c r="J168"/>
  <c r="J38"/>
  <c r="J240" s="1"/>
  <c r="J166"/>
  <c r="J16"/>
  <c r="J238" s="1"/>
  <c r="J167"/>
  <c r="J28"/>
  <c r="J239" s="1"/>
  <c r="J169"/>
  <c r="J50"/>
  <c r="J241" s="1"/>
  <c r="I72"/>
  <c r="I92"/>
  <c r="I63"/>
  <c r="I84"/>
  <c r="M103"/>
  <c r="M178" s="1"/>
  <c r="N178" s="1"/>
  <c r="M100"/>
  <c r="L14"/>
  <c r="M14" s="1"/>
  <c r="L13"/>
  <c r="M13" s="1"/>
  <c r="L12"/>
  <c r="M12" s="1"/>
  <c r="L11"/>
  <c r="M11" s="1"/>
  <c r="L10"/>
  <c r="M10" s="1"/>
  <c r="L9"/>
  <c r="L8"/>
  <c r="L59"/>
  <c r="M59" s="1"/>
  <c r="L68"/>
  <c r="L66"/>
  <c r="L75"/>
  <c r="M75" s="1"/>
  <c r="L76"/>
  <c r="M76" s="1"/>
  <c r="L77"/>
  <c r="M77" s="1"/>
  <c r="L79"/>
  <c r="M79" s="1"/>
  <c r="L78"/>
  <c r="M78" s="1"/>
  <c r="L86"/>
  <c r="L67"/>
  <c r="L56"/>
  <c r="M56" s="1"/>
  <c r="L87"/>
  <c r="L89"/>
  <c r="M89" s="1"/>
  <c r="L41"/>
  <c r="M41" s="1"/>
  <c r="L43"/>
  <c r="L44"/>
  <c r="L45"/>
  <c r="L46"/>
  <c r="L48"/>
  <c r="M48" s="1"/>
  <c r="I40"/>
  <c r="I50" s="1"/>
  <c r="L19"/>
  <c r="L20"/>
  <c r="L21"/>
  <c r="L22"/>
  <c r="L24"/>
  <c r="L25"/>
  <c r="L26"/>
  <c r="M26" s="1"/>
  <c r="L32"/>
  <c r="L33"/>
  <c r="L34"/>
  <c r="L35"/>
  <c r="L36"/>
  <c r="M36" s="1"/>
  <c r="F166"/>
  <c r="D48" i="60" s="1"/>
  <c r="H27" i="62"/>
  <c r="H15"/>
  <c r="H166" s="1"/>
  <c r="E48" i="60" s="1"/>
  <c r="F255" i="62" l="1"/>
  <c r="AI144" i="69"/>
  <c r="AG126"/>
  <c r="BG104"/>
  <c r="AO100"/>
  <c r="AG89"/>
  <c r="AC87"/>
  <c r="AC85"/>
  <c r="AC84"/>
  <c r="BI41"/>
  <c r="AC33"/>
  <c r="AC28"/>
  <c r="AA170"/>
  <c r="Y157"/>
  <c r="AI143"/>
  <c r="AC114"/>
  <c r="AC113"/>
  <c r="AG112"/>
  <c r="AC107"/>
  <c r="BG105"/>
  <c r="AO102"/>
  <c r="AO101"/>
  <c r="AC97"/>
  <c r="AC96"/>
  <c r="AC95"/>
  <c r="AC94"/>
  <c r="AC93"/>
  <c r="AC88"/>
  <c r="AG86"/>
  <c r="AC70"/>
  <c r="AC64"/>
  <c r="AS61"/>
  <c r="AS59"/>
  <c r="BI47"/>
  <c r="BI44"/>
  <c r="AC30"/>
  <c r="AC23"/>
  <c r="BI39"/>
  <c r="BI46"/>
  <c r="AC120"/>
  <c r="AC134"/>
  <c r="BI43"/>
  <c r="AC127"/>
  <c r="AC129"/>
  <c r="AC140"/>
  <c r="AC141"/>
  <c r="AC142"/>
  <c r="AC133"/>
  <c r="AC137"/>
  <c r="BI40"/>
  <c r="AC69"/>
  <c r="BI42"/>
  <c r="BI48"/>
  <c r="BG106"/>
  <c r="AC108"/>
  <c r="AC122"/>
  <c r="AC135"/>
  <c r="AC136"/>
  <c r="BI45"/>
  <c r="AC128"/>
  <c r="AC130"/>
  <c r="AC119"/>
  <c r="AC121"/>
  <c r="AC123"/>
  <c r="AC31"/>
  <c r="AC66"/>
  <c r="AC65"/>
  <c r="AS60"/>
  <c r="H167" i="62"/>
  <c r="E49" i="60" s="1"/>
  <c r="GW170" i="69"/>
  <c r="HR170" s="1"/>
  <c r="T20" i="64"/>
  <c r="BY110" i="69"/>
  <c r="CT110" s="1"/>
  <c r="BR110" s="1"/>
  <c r="CB162"/>
  <c r="CW162" s="1"/>
  <c r="CB161"/>
  <c r="CW161" s="1"/>
  <c r="CB158"/>
  <c r="CW158" s="1"/>
  <c r="CB155"/>
  <c r="CW155" s="1"/>
  <c r="CB156"/>
  <c r="CW156" s="1"/>
  <c r="CB154"/>
  <c r="CW154" s="1"/>
  <c r="CB165"/>
  <c r="CW165" s="1"/>
  <c r="CB164"/>
  <c r="CW164" s="1"/>
  <c r="CB163"/>
  <c r="CW163" s="1"/>
  <c r="DN32"/>
  <c r="DP32" s="1"/>
  <c r="CC106"/>
  <c r="CX106" s="1"/>
  <c r="CC105"/>
  <c r="CX105" s="1"/>
  <c r="CC104"/>
  <c r="CX104" s="1"/>
  <c r="BY112"/>
  <c r="CT112" s="1"/>
  <c r="CA106"/>
  <c r="CV106" s="1"/>
  <c r="CA105"/>
  <c r="CV105" s="1"/>
  <c r="CA104"/>
  <c r="CV104" s="1"/>
  <c r="CF106"/>
  <c r="DA106" s="1"/>
  <c r="CF105"/>
  <c r="DA105" s="1"/>
  <c r="CF104"/>
  <c r="DA104" s="1"/>
  <c r="CE106"/>
  <c r="CZ106" s="1"/>
  <c r="CE105"/>
  <c r="CZ105" s="1"/>
  <c r="CE104"/>
  <c r="CZ104" s="1"/>
  <c r="CB106"/>
  <c r="CW106" s="1"/>
  <c r="CB105"/>
  <c r="CW105" s="1"/>
  <c r="CB104"/>
  <c r="CW104" s="1"/>
  <c r="BZ106"/>
  <c r="CU106" s="1"/>
  <c r="BZ105"/>
  <c r="CU105" s="1"/>
  <c r="BZ104"/>
  <c r="CU104" s="1"/>
  <c r="CH106"/>
  <c r="DC106" s="1"/>
  <c r="CH105"/>
  <c r="DC105" s="1"/>
  <c r="CH104"/>
  <c r="DC104" s="1"/>
  <c r="DN109"/>
  <c r="DP109" s="1"/>
  <c r="BR109"/>
  <c r="M87" i="62"/>
  <c r="CN106" i="69"/>
  <c r="DI106" s="1"/>
  <c r="CN105"/>
  <c r="DI105" s="1"/>
  <c r="CN104"/>
  <c r="DI104" s="1"/>
  <c r="M67" i="62"/>
  <c r="CK106" i="69"/>
  <c r="DF106" s="1"/>
  <c r="CK105"/>
  <c r="DF105" s="1"/>
  <c r="CK104"/>
  <c r="DF104" s="1"/>
  <c r="M86" i="62"/>
  <c r="CM106" i="69"/>
  <c r="DH106" s="1"/>
  <c r="CM105"/>
  <c r="DH105" s="1"/>
  <c r="CM104"/>
  <c r="DH104" s="1"/>
  <c r="M66" i="62"/>
  <c r="CJ106" i="69"/>
  <c r="DE106" s="1"/>
  <c r="CJ105"/>
  <c r="DE105" s="1"/>
  <c r="CJ104"/>
  <c r="DE104" s="1"/>
  <c r="M68" i="62"/>
  <c r="CL106" i="69"/>
  <c r="DG106" s="1"/>
  <c r="CL105"/>
  <c r="DG105" s="1"/>
  <c r="CL104"/>
  <c r="DG104" s="1"/>
  <c r="Y101"/>
  <c r="Y89"/>
  <c r="Y87"/>
  <c r="Y102"/>
  <c r="Y100"/>
  <c r="Y88"/>
  <c r="Y86"/>
  <c r="C8" i="64"/>
  <c r="Y84" i="69"/>
  <c r="Y85"/>
  <c r="M35" i="62"/>
  <c r="CD61" i="69"/>
  <c r="CY61" s="1"/>
  <c r="CD59"/>
  <c r="CY59" s="1"/>
  <c r="CD60"/>
  <c r="CY60" s="1"/>
  <c r="M33" i="62"/>
  <c r="CB61" i="69"/>
  <c r="CW61" s="1"/>
  <c r="CB59"/>
  <c r="CW59" s="1"/>
  <c r="CG48"/>
  <c r="DB48" s="1"/>
  <c r="CG45"/>
  <c r="DB45" s="1"/>
  <c r="CG44"/>
  <c r="DB44" s="1"/>
  <c r="CG46"/>
  <c r="DB46" s="1"/>
  <c r="CG43"/>
  <c r="DB43" s="1"/>
  <c r="CG42"/>
  <c r="DB42" s="1"/>
  <c r="CG41"/>
  <c r="DB41" s="1"/>
  <c r="CG40"/>
  <c r="DB40" s="1"/>
  <c r="CB60"/>
  <c r="CW60" s="1"/>
  <c r="CG47"/>
  <c r="DB47" s="1"/>
  <c r="CG39"/>
  <c r="DB39" s="1"/>
  <c r="M24" i="62"/>
  <c r="CD46" i="69"/>
  <c r="CY46" s="1"/>
  <c r="CD43"/>
  <c r="CY43" s="1"/>
  <c r="CD42"/>
  <c r="CY42" s="1"/>
  <c r="CD41"/>
  <c r="CY41" s="1"/>
  <c r="CD48"/>
  <c r="CY48" s="1"/>
  <c r="CD47"/>
  <c r="CY47" s="1"/>
  <c r="CD45"/>
  <c r="CY45" s="1"/>
  <c r="CD44"/>
  <c r="CY44" s="1"/>
  <c r="CD39"/>
  <c r="CY39" s="1"/>
  <c r="CD40"/>
  <c r="CY40" s="1"/>
  <c r="M21" i="62"/>
  <c r="CB46" i="69"/>
  <c r="CW46" s="1"/>
  <c r="CB43"/>
  <c r="CW43" s="1"/>
  <c r="CB42"/>
  <c r="CW42" s="1"/>
  <c r="CB39"/>
  <c r="CW39" s="1"/>
  <c r="CB48"/>
  <c r="CW48" s="1"/>
  <c r="CB45"/>
  <c r="CW45" s="1"/>
  <c r="CB44"/>
  <c r="CW44" s="1"/>
  <c r="CB47"/>
  <c r="CW47" s="1"/>
  <c r="CB40"/>
  <c r="CW40" s="1"/>
  <c r="CB41"/>
  <c r="CW41" s="1"/>
  <c r="M19" i="62"/>
  <c r="BZ48" i="69"/>
  <c r="CU48" s="1"/>
  <c r="BZ44"/>
  <c r="CU44" s="1"/>
  <c r="BZ41"/>
  <c r="CU41" s="1"/>
  <c r="BZ47"/>
  <c r="CU47" s="1"/>
  <c r="BZ46"/>
  <c r="CU46" s="1"/>
  <c r="BZ42"/>
  <c r="CU42" s="1"/>
  <c r="BZ39"/>
  <c r="CU39" s="1"/>
  <c r="BZ45"/>
  <c r="CU45" s="1"/>
  <c r="BZ40"/>
  <c r="CU40" s="1"/>
  <c r="BZ43"/>
  <c r="CU43" s="1"/>
  <c r="M45" i="62"/>
  <c r="CJ46" i="69"/>
  <c r="DE46" s="1"/>
  <c r="CJ43"/>
  <c r="DE43" s="1"/>
  <c r="CJ42"/>
  <c r="DE42" s="1"/>
  <c r="CJ39"/>
  <c r="DE39" s="1"/>
  <c r="CJ48"/>
  <c r="DE48" s="1"/>
  <c r="CJ45"/>
  <c r="DE45" s="1"/>
  <c r="CJ44"/>
  <c r="DE44" s="1"/>
  <c r="CJ47"/>
  <c r="DE47" s="1"/>
  <c r="CJ40"/>
  <c r="DE40" s="1"/>
  <c r="CJ41"/>
  <c r="DE41" s="1"/>
  <c r="M43" i="62"/>
  <c r="CH47" i="69"/>
  <c r="DC47" s="1"/>
  <c r="CH46"/>
  <c r="DC46" s="1"/>
  <c r="CH43"/>
  <c r="DC43" s="1"/>
  <c r="CH42"/>
  <c r="DC42" s="1"/>
  <c r="CH48"/>
  <c r="DC48" s="1"/>
  <c r="CH45"/>
  <c r="DC45" s="1"/>
  <c r="CH44"/>
  <c r="DC44" s="1"/>
  <c r="CH41"/>
  <c r="DC41" s="1"/>
  <c r="CH39"/>
  <c r="DC39" s="1"/>
  <c r="CH40"/>
  <c r="DC40" s="1"/>
  <c r="M34" i="62"/>
  <c r="CC60" i="69"/>
  <c r="CX60" s="1"/>
  <c r="CC59"/>
  <c r="CX59" s="1"/>
  <c r="CC61"/>
  <c r="CX61" s="1"/>
  <c r="M32" i="62"/>
  <c r="CA60" i="69"/>
  <c r="CV60" s="1"/>
  <c r="CF46"/>
  <c r="DA46" s="1"/>
  <c r="CF43"/>
  <c r="DA43" s="1"/>
  <c r="CF42"/>
  <c r="DA42" s="1"/>
  <c r="CF39"/>
  <c r="DA39" s="1"/>
  <c r="CF48"/>
  <c r="DA48" s="1"/>
  <c r="CF45"/>
  <c r="DA45" s="1"/>
  <c r="CF44"/>
  <c r="DA44" s="1"/>
  <c r="CF41"/>
  <c r="DA41" s="1"/>
  <c r="CA59"/>
  <c r="CV59" s="1"/>
  <c r="CA61"/>
  <c r="CV61" s="1"/>
  <c r="CF40"/>
  <c r="DA40" s="1"/>
  <c r="CF47"/>
  <c r="DA47" s="1"/>
  <c r="M25" i="62"/>
  <c r="CE48" i="69"/>
  <c r="CZ48" s="1"/>
  <c r="CE45"/>
  <c r="CZ45" s="1"/>
  <c r="CE44"/>
  <c r="CZ44" s="1"/>
  <c r="CE46"/>
  <c r="CZ46" s="1"/>
  <c r="CE43"/>
  <c r="CZ43" s="1"/>
  <c r="CE42"/>
  <c r="CZ42" s="1"/>
  <c r="CE40"/>
  <c r="CZ40" s="1"/>
  <c r="CE47"/>
  <c r="CZ47" s="1"/>
  <c r="CE39"/>
  <c r="CZ39" s="1"/>
  <c r="CE41"/>
  <c r="CZ41" s="1"/>
  <c r="M22" i="62"/>
  <c r="CC48" i="69"/>
  <c r="CX48" s="1"/>
  <c r="CC45"/>
  <c r="CX45" s="1"/>
  <c r="CC44"/>
  <c r="CX44" s="1"/>
  <c r="CC46"/>
  <c r="CX46" s="1"/>
  <c r="CC43"/>
  <c r="CX43" s="1"/>
  <c r="CC42"/>
  <c r="CX42" s="1"/>
  <c r="CC41"/>
  <c r="CX41" s="1"/>
  <c r="CC47"/>
  <c r="CX47" s="1"/>
  <c r="CC39"/>
  <c r="CX39" s="1"/>
  <c r="CC40"/>
  <c r="CX40" s="1"/>
  <c r="M20" i="62"/>
  <c r="CA47" i="69"/>
  <c r="CV47" s="1"/>
  <c r="CA40"/>
  <c r="CV40" s="1"/>
  <c r="CA41"/>
  <c r="CV41" s="1"/>
  <c r="CA44"/>
  <c r="CV44" s="1"/>
  <c r="CA48"/>
  <c r="CV48" s="1"/>
  <c r="CA45"/>
  <c r="CV45" s="1"/>
  <c r="CA39"/>
  <c r="CV39" s="1"/>
  <c r="CA42"/>
  <c r="CV42" s="1"/>
  <c r="CA46"/>
  <c r="CV46" s="1"/>
  <c r="CA43"/>
  <c r="CV43" s="1"/>
  <c r="M46" i="62"/>
  <c r="CK48" i="69"/>
  <c r="DF48" s="1"/>
  <c r="CK45"/>
  <c r="DF45" s="1"/>
  <c r="CK44"/>
  <c r="DF44" s="1"/>
  <c r="CK46"/>
  <c r="DF46" s="1"/>
  <c r="CK43"/>
  <c r="DF43" s="1"/>
  <c r="CK42"/>
  <c r="DF42" s="1"/>
  <c r="CK41"/>
  <c r="DF41" s="1"/>
  <c r="CK47"/>
  <c r="DF47" s="1"/>
  <c r="CK39"/>
  <c r="DF39" s="1"/>
  <c r="CK40"/>
  <c r="DF40" s="1"/>
  <c r="M44" i="62"/>
  <c r="CI48" i="69"/>
  <c r="DD48" s="1"/>
  <c r="CI45"/>
  <c r="DD45" s="1"/>
  <c r="CI44"/>
  <c r="DD44" s="1"/>
  <c r="CI40"/>
  <c r="DD40" s="1"/>
  <c r="CI46"/>
  <c r="DD46" s="1"/>
  <c r="CI43"/>
  <c r="DD43" s="1"/>
  <c r="CI42"/>
  <c r="DD42" s="1"/>
  <c r="CI47"/>
  <c r="DD47" s="1"/>
  <c r="CI39"/>
  <c r="DD39" s="1"/>
  <c r="CI41"/>
  <c r="DD41" s="1"/>
  <c r="L178" i="62"/>
  <c r="BY11" i="69"/>
  <c r="CT11" s="1"/>
  <c r="BY12"/>
  <c r="CT12" s="1"/>
  <c r="C133" i="64"/>
  <c r="M9" i="62"/>
  <c r="CA10" i="69"/>
  <c r="CV10" s="1"/>
  <c r="M8" i="62"/>
  <c r="BZ10" i="69"/>
  <c r="CU10" s="1"/>
  <c r="I183" i="62"/>
  <c r="G72" i="7"/>
  <c r="C62"/>
  <c r="F238" i="62"/>
  <c r="H242"/>
  <c r="J242"/>
  <c r="K242"/>
  <c r="J170"/>
  <c r="J192" s="1"/>
  <c r="J196" s="1"/>
  <c r="H170"/>
  <c r="K170"/>
  <c r="L84"/>
  <c r="I246"/>
  <c r="L63"/>
  <c r="I244"/>
  <c r="L92"/>
  <c r="I247"/>
  <c r="L72"/>
  <c r="I245"/>
  <c r="L50"/>
  <c r="I241"/>
  <c r="L18"/>
  <c r="I28"/>
  <c r="L7"/>
  <c r="I16"/>
  <c r="I38"/>
  <c r="L80"/>
  <c r="M80" s="1"/>
  <c r="L74"/>
  <c r="M74" s="1"/>
  <c r="L65"/>
  <c r="I15"/>
  <c r="I27"/>
  <c r="I167" s="1"/>
  <c r="L30"/>
  <c r="BZ112" i="69" s="1"/>
  <c r="CU112" s="1"/>
  <c r="I37" i="62"/>
  <c r="I168" s="1"/>
  <c r="L40"/>
  <c r="M40" s="1"/>
  <c r="I49"/>
  <c r="I169" s="1"/>
  <c r="L58"/>
  <c r="G64" i="7" l="1"/>
  <c r="G50" i="60"/>
  <c r="GW172" i="69"/>
  <c r="HR172" s="1"/>
  <c r="E52" i="60"/>
  <c r="I194" i="62"/>
  <c r="G65" i="60"/>
  <c r="G65" i="7"/>
  <c r="G51" i="60"/>
  <c r="G63" i="7"/>
  <c r="G49" i="60"/>
  <c r="HK183" i="69"/>
  <c r="IF183" s="1"/>
  <c r="HK181"/>
  <c r="IF181" s="1"/>
  <c r="HK179"/>
  <c r="IF179" s="1"/>
  <c r="HK177"/>
  <c r="IF177" s="1"/>
  <c r="HK184"/>
  <c r="IF184" s="1"/>
  <c r="HK182"/>
  <c r="IF182" s="1"/>
  <c r="HK180"/>
  <c r="IF180" s="1"/>
  <c r="HK178"/>
  <c r="IF178" s="1"/>
  <c r="HK176"/>
  <c r="IF176" s="1"/>
  <c r="DN110"/>
  <c r="DP110" s="1"/>
  <c r="DW32"/>
  <c r="EH32"/>
  <c r="H192" i="62"/>
  <c r="HB151" i="69"/>
  <c r="HW151" s="1"/>
  <c r="HB150"/>
  <c r="HW150" s="1"/>
  <c r="HB149"/>
  <c r="HW149" s="1"/>
  <c r="HB148"/>
  <c r="HW148" s="1"/>
  <c r="HB147"/>
  <c r="HW147" s="1"/>
  <c r="GW142"/>
  <c r="HR142" s="1"/>
  <c r="GW140"/>
  <c r="HR140" s="1"/>
  <c r="GW136"/>
  <c r="HR136" s="1"/>
  <c r="GW134"/>
  <c r="HR134" s="1"/>
  <c r="GW130"/>
  <c r="HR130" s="1"/>
  <c r="GW128"/>
  <c r="HR128" s="1"/>
  <c r="GW123"/>
  <c r="HR123" s="1"/>
  <c r="GW121"/>
  <c r="HR121" s="1"/>
  <c r="GW119"/>
  <c r="HR119" s="1"/>
  <c r="GW141"/>
  <c r="HR141" s="1"/>
  <c r="GW137"/>
  <c r="HR137" s="1"/>
  <c r="GW135"/>
  <c r="HR135" s="1"/>
  <c r="GW133"/>
  <c r="HR133" s="1"/>
  <c r="GW129"/>
  <c r="HR129" s="1"/>
  <c r="GW127"/>
  <c r="HR127" s="1"/>
  <c r="GW122"/>
  <c r="HR122" s="1"/>
  <c r="GW120"/>
  <c r="HR120" s="1"/>
  <c r="GY126"/>
  <c r="HT126" s="1"/>
  <c r="GZ144"/>
  <c r="HU144" s="1"/>
  <c r="GZ143"/>
  <c r="HU143" s="1"/>
  <c r="CF151"/>
  <c r="DA151" s="1"/>
  <c r="CF150"/>
  <c r="DA150" s="1"/>
  <c r="CF147"/>
  <c r="DA147" s="1"/>
  <c r="CF149"/>
  <c r="DA149" s="1"/>
  <c r="CF148"/>
  <c r="DA148" s="1"/>
  <c r="DV32"/>
  <c r="EE32"/>
  <c r="ED32"/>
  <c r="DS32"/>
  <c r="DT32"/>
  <c r="DZ32"/>
  <c r="EB32"/>
  <c r="DR32"/>
  <c r="CE137"/>
  <c r="CZ137" s="1"/>
  <c r="CE136"/>
  <c r="CZ136" s="1"/>
  <c r="CE134"/>
  <c r="CZ134" s="1"/>
  <c r="CE130"/>
  <c r="CZ130" s="1"/>
  <c r="CE129"/>
  <c r="CZ129" s="1"/>
  <c r="CE128"/>
  <c r="CZ128" s="1"/>
  <c r="CE126"/>
  <c r="CZ126" s="1"/>
  <c r="CE141"/>
  <c r="CZ141" s="1"/>
  <c r="CE135"/>
  <c r="CZ135" s="1"/>
  <c r="CE133"/>
  <c r="CZ133" s="1"/>
  <c r="GX172"/>
  <c r="HS172" s="1"/>
  <c r="GX171"/>
  <c r="HS171" s="1"/>
  <c r="GX170"/>
  <c r="HS170" s="1"/>
  <c r="GX169"/>
  <c r="HS169" s="1"/>
  <c r="GX168"/>
  <c r="HS168" s="1"/>
  <c r="GX165"/>
  <c r="HS165" s="1"/>
  <c r="GX164"/>
  <c r="HS164" s="1"/>
  <c r="GX163"/>
  <c r="HS163" s="1"/>
  <c r="GX162"/>
  <c r="HS162" s="1"/>
  <c r="GX161"/>
  <c r="HS161" s="1"/>
  <c r="GX158"/>
  <c r="HS158" s="1"/>
  <c r="GX157"/>
  <c r="HS157" s="1"/>
  <c r="GX156"/>
  <c r="HS156" s="1"/>
  <c r="GX155"/>
  <c r="HS155" s="1"/>
  <c r="GX154"/>
  <c r="HS154" s="1"/>
  <c r="GX151"/>
  <c r="HS151" s="1"/>
  <c r="GX150"/>
  <c r="HS150" s="1"/>
  <c r="GX149"/>
  <c r="HS149" s="1"/>
  <c r="GX148"/>
  <c r="HS148" s="1"/>
  <c r="GX147"/>
  <c r="HS147" s="1"/>
  <c r="GX144"/>
  <c r="HS144" s="1"/>
  <c r="GX143"/>
  <c r="HS143" s="1"/>
  <c r="GX126"/>
  <c r="HS126" s="1"/>
  <c r="EC32"/>
  <c r="EF32"/>
  <c r="EA32"/>
  <c r="EI32"/>
  <c r="DQ32"/>
  <c r="DY32"/>
  <c r="DU32"/>
  <c r="EG32"/>
  <c r="DX32"/>
  <c r="D32"/>
  <c r="G68" i="21" s="1"/>
  <c r="BY106" i="69"/>
  <c r="CT106" s="1"/>
  <c r="BY105"/>
  <c r="CT105" s="1"/>
  <c r="BY104"/>
  <c r="CT104" s="1"/>
  <c r="CA98"/>
  <c r="CV98" s="1"/>
  <c r="CB115"/>
  <c r="CW115" s="1"/>
  <c r="ED109"/>
  <c r="DY109"/>
  <c r="EI109"/>
  <c r="EF109"/>
  <c r="EC109"/>
  <c r="EB109"/>
  <c r="DV109"/>
  <c r="EG109"/>
  <c r="DZ109"/>
  <c r="EH109"/>
  <c r="D109"/>
  <c r="O23" i="52" s="1"/>
  <c r="DX109" i="69"/>
  <c r="DW109"/>
  <c r="DS109"/>
  <c r="DR109"/>
  <c r="DT109"/>
  <c r="EE109"/>
  <c r="DU109"/>
  <c r="DQ109"/>
  <c r="EA109"/>
  <c r="M65" i="62"/>
  <c r="CI106" i="69"/>
  <c r="DD106" s="1"/>
  <c r="CI105"/>
  <c r="DD105" s="1"/>
  <c r="CI104"/>
  <c r="DD104" s="1"/>
  <c r="CM77"/>
  <c r="DH77" s="1"/>
  <c r="CM76"/>
  <c r="DH76" s="1"/>
  <c r="CM75"/>
  <c r="DH75" s="1"/>
  <c r="CM74"/>
  <c r="DH74" s="1"/>
  <c r="CM73"/>
  <c r="DH73" s="1"/>
  <c r="CD81"/>
  <c r="CY81" s="1"/>
  <c r="CD80"/>
  <c r="CY80" s="1"/>
  <c r="BY77"/>
  <c r="CT77" s="1"/>
  <c r="BY76"/>
  <c r="CT76" s="1"/>
  <c r="BY75"/>
  <c r="CT75" s="1"/>
  <c r="BY74"/>
  <c r="CT74" s="1"/>
  <c r="BY73"/>
  <c r="CT73" s="1"/>
  <c r="M30" i="62"/>
  <c r="BY60" i="69"/>
  <c r="CT60" s="1"/>
  <c r="BY59"/>
  <c r="CT59" s="1"/>
  <c r="BY61"/>
  <c r="CT61" s="1"/>
  <c r="M18" i="62"/>
  <c r="BY45" i="69"/>
  <c r="CT45" s="1"/>
  <c r="BY43"/>
  <c r="CT43" s="1"/>
  <c r="BY40"/>
  <c r="CT40" s="1"/>
  <c r="BY39"/>
  <c r="CT39" s="1"/>
  <c r="BY47"/>
  <c r="CT47" s="1"/>
  <c r="BY42"/>
  <c r="CT42" s="1"/>
  <c r="BY46"/>
  <c r="CT46" s="1"/>
  <c r="BY41"/>
  <c r="CT41" s="1"/>
  <c r="BY44"/>
  <c r="CT44" s="1"/>
  <c r="BY48"/>
  <c r="CT48" s="1"/>
  <c r="BZ22"/>
  <c r="CU22" s="1"/>
  <c r="DN22" s="1"/>
  <c r="DQ22" s="1"/>
  <c r="CA56"/>
  <c r="CV56" s="1"/>
  <c r="CA54"/>
  <c r="CV54" s="1"/>
  <c r="CA53"/>
  <c r="CV53" s="1"/>
  <c r="CA52"/>
  <c r="CV52" s="1"/>
  <c r="CA55"/>
  <c r="CV55" s="1"/>
  <c r="DN12"/>
  <c r="D12" s="1"/>
  <c r="H17" i="45" s="1"/>
  <c r="BR12" i="69"/>
  <c r="CC14"/>
  <c r="CX14" s="1"/>
  <c r="BZ13"/>
  <c r="CU13" s="1"/>
  <c r="BZ15"/>
  <c r="CU15" s="1"/>
  <c r="DN11"/>
  <c r="D11" s="1"/>
  <c r="H16" i="45" s="1"/>
  <c r="BR11" i="69"/>
  <c r="K192" i="62"/>
  <c r="M7"/>
  <c r="BY10" i="69"/>
  <c r="CT10" s="1"/>
  <c r="L183" i="62"/>
  <c r="BY157" i="69" s="1"/>
  <c r="CT157" s="1"/>
  <c r="M72" i="62"/>
  <c r="M245" s="1"/>
  <c r="N245" s="1"/>
  <c r="L245"/>
  <c r="S15" i="64" s="1"/>
  <c r="M92" i="62"/>
  <c r="M247" s="1"/>
  <c r="N247" s="1"/>
  <c r="L247"/>
  <c r="S17" i="64" s="1"/>
  <c r="M63" i="62"/>
  <c r="M244" s="1"/>
  <c r="N244" s="1"/>
  <c r="L244"/>
  <c r="S14" i="64" s="1"/>
  <c r="M84" i="62"/>
  <c r="M246" s="1"/>
  <c r="N246" s="1"/>
  <c r="L246"/>
  <c r="S16" i="64" s="1"/>
  <c r="L15" i="62"/>
  <c r="I166"/>
  <c r="G48" i="60" s="1"/>
  <c r="L38" i="62"/>
  <c r="I240"/>
  <c r="L16"/>
  <c r="I238"/>
  <c r="L28"/>
  <c r="I239"/>
  <c r="M50"/>
  <c r="M241" s="1"/>
  <c r="N241" s="1"/>
  <c r="L241"/>
  <c r="S11" i="64" s="1"/>
  <c r="M58" i="62"/>
  <c r="L27"/>
  <c r="L49"/>
  <c r="L169" s="1"/>
  <c r="L37"/>
  <c r="M183" l="1"/>
  <c r="M194" s="1"/>
  <c r="DT110" i="69"/>
  <c r="D110"/>
  <c r="O24" i="52" s="1"/>
  <c r="EH110" i="69"/>
  <c r="EA110"/>
  <c r="DY110"/>
  <c r="DW110"/>
  <c r="EE110"/>
  <c r="ED110"/>
  <c r="EI110"/>
  <c r="EC110"/>
  <c r="DX110"/>
  <c r="EB110"/>
  <c r="DS110"/>
  <c r="DZ110"/>
  <c r="DR110"/>
  <c r="DU110"/>
  <c r="EG110"/>
  <c r="EF110"/>
  <c r="DV110"/>
  <c r="DQ110"/>
  <c r="L167" i="62"/>
  <c r="BZ101" i="69" s="1"/>
  <c r="CU101" s="1"/>
  <c r="BY170"/>
  <c r="CT170" s="1"/>
  <c r="T11" i="64"/>
  <c r="T16"/>
  <c r="T14"/>
  <c r="T17"/>
  <c r="T15"/>
  <c r="CC126" i="69"/>
  <c r="CX126" s="1"/>
  <c r="CD144"/>
  <c r="CY144" s="1"/>
  <c r="CD143"/>
  <c r="CY143" s="1"/>
  <c r="CA134"/>
  <c r="CV134" s="1"/>
  <c r="CA136"/>
  <c r="CV136" s="1"/>
  <c r="CA123"/>
  <c r="CV123" s="1"/>
  <c r="CA121"/>
  <c r="CV121" s="1"/>
  <c r="CA119"/>
  <c r="CV119" s="1"/>
  <c r="CA130"/>
  <c r="CV130" s="1"/>
  <c r="CA147"/>
  <c r="CV147" s="1"/>
  <c r="CA151"/>
  <c r="CV151" s="1"/>
  <c r="CA163"/>
  <c r="CV163" s="1"/>
  <c r="CA133"/>
  <c r="CV133" s="1"/>
  <c r="CA142"/>
  <c r="CV142" s="1"/>
  <c r="CA156"/>
  <c r="CV156" s="1"/>
  <c r="CA170"/>
  <c r="CV170" s="1"/>
  <c r="CA120"/>
  <c r="CV120" s="1"/>
  <c r="CA122"/>
  <c r="CV122" s="1"/>
  <c r="CA128"/>
  <c r="CV128" s="1"/>
  <c r="CA137"/>
  <c r="CV137" s="1"/>
  <c r="CA149"/>
  <c r="CV149" s="1"/>
  <c r="CA161"/>
  <c r="CV161" s="1"/>
  <c r="CA165"/>
  <c r="CV165" s="1"/>
  <c r="CA135"/>
  <c r="CV135" s="1"/>
  <c r="CA144"/>
  <c r="CV144" s="1"/>
  <c r="CA158"/>
  <c r="CV158" s="1"/>
  <c r="CA172"/>
  <c r="CV172" s="1"/>
  <c r="CA168"/>
  <c r="CV168" s="1"/>
  <c r="CA169"/>
  <c r="CV169" s="1"/>
  <c r="CA171"/>
  <c r="CV171" s="1"/>
  <c r="CA162"/>
  <c r="CV162" s="1"/>
  <c r="CA164"/>
  <c r="CV164" s="1"/>
  <c r="CA154"/>
  <c r="CV154" s="1"/>
  <c r="CA155"/>
  <c r="CV155" s="1"/>
  <c r="CA157"/>
  <c r="CV157" s="1"/>
  <c r="CA148"/>
  <c r="CV148" s="1"/>
  <c r="CA150"/>
  <c r="CV150" s="1"/>
  <c r="CA140"/>
  <c r="CV140" s="1"/>
  <c r="CA141"/>
  <c r="CV141" s="1"/>
  <c r="CA143"/>
  <c r="CV143" s="1"/>
  <c r="CA127"/>
  <c r="CV127" s="1"/>
  <c r="CA129"/>
  <c r="CV129" s="1"/>
  <c r="EN32"/>
  <c r="BT32"/>
  <c r="BV32" s="1"/>
  <c r="GN32" s="1"/>
  <c r="EQ32"/>
  <c r="EV32"/>
  <c r="EW32"/>
  <c r="EY32"/>
  <c r="EL32"/>
  <c r="EX32"/>
  <c r="EP32"/>
  <c r="ET32"/>
  <c r="EM32"/>
  <c r="BR22"/>
  <c r="FC32"/>
  <c r="EO32"/>
  <c r="FE32"/>
  <c r="FB32"/>
  <c r="ES32"/>
  <c r="EZ32"/>
  <c r="ER32"/>
  <c r="FA32"/>
  <c r="FD32"/>
  <c r="EJ32"/>
  <c r="EU32"/>
  <c r="L168" i="62"/>
  <c r="CA100" i="69" s="1"/>
  <c r="CV100" s="1"/>
  <c r="BY115"/>
  <c r="CT115" s="1"/>
  <c r="CA114"/>
  <c r="CV114" s="1"/>
  <c r="CC112"/>
  <c r="CX112" s="1"/>
  <c r="CA113"/>
  <c r="CV113" s="1"/>
  <c r="EW109"/>
  <c r="EM109"/>
  <c r="FA109"/>
  <c r="EN109"/>
  <c r="ES109"/>
  <c r="EV109"/>
  <c r="ER109"/>
  <c r="EY109"/>
  <c r="FE109"/>
  <c r="EZ109"/>
  <c r="EL109"/>
  <c r="EQ109"/>
  <c r="EP109"/>
  <c r="EO109"/>
  <c r="ET109"/>
  <c r="FD109"/>
  <c r="FC109"/>
  <c r="EX109"/>
  <c r="FB109"/>
  <c r="EU109"/>
  <c r="EJ109"/>
  <c r="BT109"/>
  <c r="BV109" s="1"/>
  <c r="CA108"/>
  <c r="CV108" s="1"/>
  <c r="CP105"/>
  <c r="DK105" s="1"/>
  <c r="BR105" s="1"/>
  <c r="CA107"/>
  <c r="CV107" s="1"/>
  <c r="CP106"/>
  <c r="DK106" s="1"/>
  <c r="BR106" s="1"/>
  <c r="CP104"/>
  <c r="DK104" s="1"/>
  <c r="BR104" s="1"/>
  <c r="CA102"/>
  <c r="CV102" s="1"/>
  <c r="CG102"/>
  <c r="DB102" s="1"/>
  <c r="CG100"/>
  <c r="DB100" s="1"/>
  <c r="CA97"/>
  <c r="CV97" s="1"/>
  <c r="CA95"/>
  <c r="CV95" s="1"/>
  <c r="CA93"/>
  <c r="CV93" s="1"/>
  <c r="CG101"/>
  <c r="DB101" s="1"/>
  <c r="CA96"/>
  <c r="CV96" s="1"/>
  <c r="CA94"/>
  <c r="CV94" s="1"/>
  <c r="CB101"/>
  <c r="CW101" s="1"/>
  <c r="CB102"/>
  <c r="CW102" s="1"/>
  <c r="CB100"/>
  <c r="CW100" s="1"/>
  <c r="CA88"/>
  <c r="CV88" s="1"/>
  <c r="CC86"/>
  <c r="CX86" s="1"/>
  <c r="CC89"/>
  <c r="CX89" s="1"/>
  <c r="CA87"/>
  <c r="CV87" s="1"/>
  <c r="CA84"/>
  <c r="CV84" s="1"/>
  <c r="CA85"/>
  <c r="CV85" s="1"/>
  <c r="BR73"/>
  <c r="DN73"/>
  <c r="DP73" s="1"/>
  <c r="DN75"/>
  <c r="DP75" s="1"/>
  <c r="BR75"/>
  <c r="DN77"/>
  <c r="DP77" s="1"/>
  <c r="BR77"/>
  <c r="BR74"/>
  <c r="DN74"/>
  <c r="DP74" s="1"/>
  <c r="DN76"/>
  <c r="DP76" s="1"/>
  <c r="BR76"/>
  <c r="CA69"/>
  <c r="CV69" s="1"/>
  <c r="CA70"/>
  <c r="CV70" s="1"/>
  <c r="CA66"/>
  <c r="CV66" s="1"/>
  <c r="CA65"/>
  <c r="CV65" s="1"/>
  <c r="CI60"/>
  <c r="DD60" s="1"/>
  <c r="CI59"/>
  <c r="DD59" s="1"/>
  <c r="CI61"/>
  <c r="DD61" s="1"/>
  <c r="CA64"/>
  <c r="CV64" s="1"/>
  <c r="CA28"/>
  <c r="CV28" s="1"/>
  <c r="CQ46"/>
  <c r="DL46" s="1"/>
  <c r="CQ45"/>
  <c r="DL45" s="1"/>
  <c r="CQ44"/>
  <c r="DL44" s="1"/>
  <c r="CQ43"/>
  <c r="DL43" s="1"/>
  <c r="CQ42"/>
  <c r="DL42" s="1"/>
  <c r="CQ39"/>
  <c r="DL39" s="1"/>
  <c r="CA30"/>
  <c r="CV30" s="1"/>
  <c r="CQ48"/>
  <c r="DL48" s="1"/>
  <c r="CA33"/>
  <c r="CV33" s="1"/>
  <c r="CQ41"/>
  <c r="DL41" s="1"/>
  <c r="CQ40"/>
  <c r="DL40" s="1"/>
  <c r="CQ47"/>
  <c r="DL47" s="1"/>
  <c r="CA31"/>
  <c r="CV31" s="1"/>
  <c r="L194" i="62"/>
  <c r="CA23" i="69"/>
  <c r="CV23" s="1"/>
  <c r="D22"/>
  <c r="G31" i="21" s="1"/>
  <c r="DZ22" i="69"/>
  <c r="EH22"/>
  <c r="ED22"/>
  <c r="EC22"/>
  <c r="EB22"/>
  <c r="DT22"/>
  <c r="EG22"/>
  <c r="EI22"/>
  <c r="EA22"/>
  <c r="DS22"/>
  <c r="DU22"/>
  <c r="DR22"/>
  <c r="DV22"/>
  <c r="EF22"/>
  <c r="DX22"/>
  <c r="DP22"/>
  <c r="DY22"/>
  <c r="EE22"/>
  <c r="DW22"/>
  <c r="DP11"/>
  <c r="DP12"/>
  <c r="DQ11"/>
  <c r="EB11"/>
  <c r="EH11"/>
  <c r="EA11"/>
  <c r="EG11"/>
  <c r="EC11"/>
  <c r="EF11"/>
  <c r="EE11"/>
  <c r="DZ11"/>
  <c r="EI11"/>
  <c r="ED11"/>
  <c r="DW11"/>
  <c r="DS11"/>
  <c r="DV11"/>
  <c r="DU11"/>
  <c r="DT11"/>
  <c r="DX11"/>
  <c r="DR11"/>
  <c r="DY11"/>
  <c r="DQ12"/>
  <c r="EB12"/>
  <c r="DZ12"/>
  <c r="EA12"/>
  <c r="EI12"/>
  <c r="EH12"/>
  <c r="EG12"/>
  <c r="EF12"/>
  <c r="EE12"/>
  <c r="ED12"/>
  <c r="EC12"/>
  <c r="DU12"/>
  <c r="DX12"/>
  <c r="DS12"/>
  <c r="DY12"/>
  <c r="DW12"/>
  <c r="DV12"/>
  <c r="DR12"/>
  <c r="DT12"/>
  <c r="I170" i="62"/>
  <c r="G62" i="7"/>
  <c r="N183" i="62"/>
  <c r="N194" s="1"/>
  <c r="I242"/>
  <c r="M28"/>
  <c r="M239" s="1"/>
  <c r="N239" s="1"/>
  <c r="L239"/>
  <c r="S9" i="64" s="1"/>
  <c r="M16" i="62"/>
  <c r="M238" s="1"/>
  <c r="L238"/>
  <c r="S8" i="64" s="1"/>
  <c r="M38" i="62"/>
  <c r="M240" s="1"/>
  <c r="N240" s="1"/>
  <c r="L240"/>
  <c r="S10" i="64" s="1"/>
  <c r="M15" i="62"/>
  <c r="M166" s="1"/>
  <c r="L166"/>
  <c r="M37"/>
  <c r="M168" s="1"/>
  <c r="N168" s="1"/>
  <c r="M49"/>
  <c r="M169" s="1"/>
  <c r="N169" s="1"/>
  <c r="M27"/>
  <c r="M167" s="1"/>
  <c r="N167" s="1"/>
  <c r="I192" l="1"/>
  <c r="G52" i="60"/>
  <c r="BZ86" i="69"/>
  <c r="CU86" s="1"/>
  <c r="BZ102"/>
  <c r="CU102" s="1"/>
  <c r="BZ89"/>
  <c r="CU89" s="1"/>
  <c r="BZ100"/>
  <c r="CU100" s="1"/>
  <c r="FH32"/>
  <c r="CA101"/>
  <c r="CV101" s="1"/>
  <c r="FA110"/>
  <c r="FB110"/>
  <c r="BT110"/>
  <c r="BV110" s="1"/>
  <c r="GR110" s="1"/>
  <c r="EV110"/>
  <c r="EU110"/>
  <c r="DN105"/>
  <c r="DZ105" s="1"/>
  <c r="ES110"/>
  <c r="EM110"/>
  <c r="EQ110"/>
  <c r="EX110"/>
  <c r="EJ110"/>
  <c r="EZ110"/>
  <c r="ET110"/>
  <c r="EL110"/>
  <c r="ER110"/>
  <c r="FC110"/>
  <c r="EN110"/>
  <c r="EO110"/>
  <c r="EY110"/>
  <c r="FE110"/>
  <c r="EW110"/>
  <c r="EP110"/>
  <c r="FD110"/>
  <c r="T10" i="64"/>
  <c r="T8"/>
  <c r="T9"/>
  <c r="GO32" i="69"/>
  <c r="GK32"/>
  <c r="GP32"/>
  <c r="GU32"/>
  <c r="GM32"/>
  <c r="GQ32"/>
  <c r="GC32"/>
  <c r="BZ143"/>
  <c r="BZ155"/>
  <c r="BZ168"/>
  <c r="BZ171"/>
  <c r="BZ148"/>
  <c r="BZ162"/>
  <c r="BZ170"/>
  <c r="BZ172"/>
  <c r="BZ161"/>
  <c r="BZ163"/>
  <c r="BZ165"/>
  <c r="BZ156"/>
  <c r="BZ158"/>
  <c r="BZ147"/>
  <c r="BZ149"/>
  <c r="BZ151"/>
  <c r="BZ144"/>
  <c r="BZ126"/>
  <c r="BZ154"/>
  <c r="BZ157"/>
  <c r="BZ169"/>
  <c r="BZ150"/>
  <c r="BZ164"/>
  <c r="GL32"/>
  <c r="GI32"/>
  <c r="GJ32"/>
  <c r="GT32"/>
  <c r="GR32"/>
  <c r="GS32"/>
  <c r="FM32"/>
  <c r="GH32" s="1"/>
  <c r="FG32"/>
  <c r="GB32" s="1"/>
  <c r="FL32"/>
  <c r="GG32" s="1"/>
  <c r="FQ32"/>
  <c r="FJ32"/>
  <c r="GE32" s="1"/>
  <c r="FR32"/>
  <c r="FT32"/>
  <c r="FK32"/>
  <c r="GF32" s="1"/>
  <c r="FI32"/>
  <c r="GD32" s="1"/>
  <c r="FS32"/>
  <c r="FZ32"/>
  <c r="FO32"/>
  <c r="FP32"/>
  <c r="FY32"/>
  <c r="FN32"/>
  <c r="FV32"/>
  <c r="FW32"/>
  <c r="FX32"/>
  <c r="FU32"/>
  <c r="DN104"/>
  <c r="DZ104" s="1"/>
  <c r="FX109"/>
  <c r="FP109"/>
  <c r="FH109"/>
  <c r="GC109" s="1"/>
  <c r="FS109"/>
  <c r="FK109"/>
  <c r="GF109" s="1"/>
  <c r="FZ109"/>
  <c r="FR109"/>
  <c r="FJ109"/>
  <c r="GE109" s="1"/>
  <c r="FU109"/>
  <c r="FM109"/>
  <c r="GH109" s="1"/>
  <c r="FT109"/>
  <c r="FL109"/>
  <c r="GG109" s="1"/>
  <c r="FW109"/>
  <c r="FO109"/>
  <c r="FG109"/>
  <c r="GB109" s="1"/>
  <c r="FV109"/>
  <c r="FN109"/>
  <c r="FY109"/>
  <c r="FQ109"/>
  <c r="FI109"/>
  <c r="GD109" s="1"/>
  <c r="GQ109"/>
  <c r="GU109"/>
  <c r="GR109"/>
  <c r="GT109"/>
  <c r="GP109"/>
  <c r="GN109"/>
  <c r="GS109"/>
  <c r="GI109"/>
  <c r="GJ109"/>
  <c r="GO109"/>
  <c r="GL109"/>
  <c r="GM109"/>
  <c r="GK109"/>
  <c r="DN106"/>
  <c r="DZ106" s="1"/>
  <c r="BY102"/>
  <c r="CT102" s="1"/>
  <c r="BY100"/>
  <c r="CT100" s="1"/>
  <c r="BY101"/>
  <c r="CT101" s="1"/>
  <c r="BY88"/>
  <c r="CT88" s="1"/>
  <c r="BY86"/>
  <c r="CT86" s="1"/>
  <c r="BY89"/>
  <c r="CT89" s="1"/>
  <c r="BY87"/>
  <c r="CT87" s="1"/>
  <c r="BY85"/>
  <c r="CT85" s="1"/>
  <c r="BY84"/>
  <c r="CT84" s="1"/>
  <c r="D76"/>
  <c r="S34" i="65" s="1"/>
  <c r="J34" s="1"/>
  <c r="DZ76" i="69"/>
  <c r="EF76"/>
  <c r="DY76"/>
  <c r="DW76"/>
  <c r="EG76"/>
  <c r="EE76"/>
  <c r="EB76"/>
  <c r="DU76"/>
  <c r="EI76"/>
  <c r="DV76"/>
  <c r="DX76"/>
  <c r="EH76"/>
  <c r="EC76"/>
  <c r="EA76"/>
  <c r="ED76"/>
  <c r="DQ76"/>
  <c r="DT76"/>
  <c r="DS76"/>
  <c r="DR76"/>
  <c r="DT74"/>
  <c r="DX74"/>
  <c r="DU74"/>
  <c r="DY74"/>
  <c r="EA74"/>
  <c r="DZ74"/>
  <c r="EB74"/>
  <c r="D74"/>
  <c r="S32" i="65" s="1"/>
  <c r="J32" s="1"/>
  <c r="EC74" i="69"/>
  <c r="EE74"/>
  <c r="ED74"/>
  <c r="DW74"/>
  <c r="DV74"/>
  <c r="EG74"/>
  <c r="EI74"/>
  <c r="EH74"/>
  <c r="EF74"/>
  <c r="DR74"/>
  <c r="DQ74"/>
  <c r="DS74"/>
  <c r="D77"/>
  <c r="S35" i="65" s="1"/>
  <c r="J35" s="1"/>
  <c r="EI77" i="69"/>
  <c r="EF77"/>
  <c r="DY77"/>
  <c r="EA77"/>
  <c r="DX77"/>
  <c r="DW77"/>
  <c r="EG77"/>
  <c r="EC77"/>
  <c r="DU77"/>
  <c r="ED77"/>
  <c r="EE77"/>
  <c r="EB77"/>
  <c r="DV77"/>
  <c r="EH77"/>
  <c r="DZ77"/>
  <c r="DQ77"/>
  <c r="DS77"/>
  <c r="DR77"/>
  <c r="DT77"/>
  <c r="D75"/>
  <c r="S33" i="65" s="1"/>
  <c r="J33" s="1"/>
  <c r="DY75" i="69"/>
  <c r="EI75"/>
  <c r="EF75"/>
  <c r="DW75"/>
  <c r="EG75"/>
  <c r="EC75"/>
  <c r="DV75"/>
  <c r="DU75"/>
  <c r="EA75"/>
  <c r="EH75"/>
  <c r="DZ75"/>
  <c r="DX75"/>
  <c r="EE75"/>
  <c r="ED75"/>
  <c r="EB75"/>
  <c r="DS75"/>
  <c r="DR75"/>
  <c r="DT75"/>
  <c r="DQ75"/>
  <c r="EI73"/>
  <c r="EA73"/>
  <c r="EB73"/>
  <c r="DY73"/>
  <c r="EG73"/>
  <c r="DZ73"/>
  <c r="EH73"/>
  <c r="D73"/>
  <c r="S31" i="65" s="1"/>
  <c r="J31" s="1"/>
  <c r="K31" s="1"/>
  <c r="DW73" i="69"/>
  <c r="EE73"/>
  <c r="DX73"/>
  <c r="EF73"/>
  <c r="DU73"/>
  <c r="EC73"/>
  <c r="DV73"/>
  <c r="ED73"/>
  <c r="DQ73"/>
  <c r="DS73"/>
  <c r="DR73"/>
  <c r="DT73"/>
  <c r="CF64"/>
  <c r="DA64" s="1"/>
  <c r="CF66"/>
  <c r="DA66" s="1"/>
  <c r="CF65"/>
  <c r="DA65" s="1"/>
  <c r="G29" i="21"/>
  <c r="G32"/>
  <c r="G30"/>
  <c r="G28"/>
  <c r="FA22" i="69"/>
  <c r="EM22"/>
  <c r="FB22"/>
  <c r="EN22"/>
  <c r="EO22"/>
  <c r="FE22"/>
  <c r="EP22"/>
  <c r="EY22"/>
  <c r="FD22"/>
  <c r="ES22"/>
  <c r="EU22"/>
  <c r="ET22"/>
  <c r="ER22"/>
  <c r="EQ22"/>
  <c r="EW22"/>
  <c r="FC22"/>
  <c r="EX22"/>
  <c r="EZ22"/>
  <c r="EV22"/>
  <c r="EL22"/>
  <c r="BT22"/>
  <c r="BV22" s="1"/>
  <c r="EJ22"/>
  <c r="EP12"/>
  <c r="EN11"/>
  <c r="EL12"/>
  <c r="ER12"/>
  <c r="ET12"/>
  <c r="FA12"/>
  <c r="FE12"/>
  <c r="EN12"/>
  <c r="ES12"/>
  <c r="EO12"/>
  <c r="EQ12"/>
  <c r="EZ12"/>
  <c r="FB12"/>
  <c r="FD12"/>
  <c r="EW12"/>
  <c r="EX12"/>
  <c r="EU11"/>
  <c r="ET11"/>
  <c r="EQ11"/>
  <c r="EO11"/>
  <c r="EZ11"/>
  <c r="EV11"/>
  <c r="FB11"/>
  <c r="FC11"/>
  <c r="FD11"/>
  <c r="EM11"/>
  <c r="EJ11"/>
  <c r="EU12"/>
  <c r="EY12"/>
  <c r="FC12"/>
  <c r="EV12"/>
  <c r="EM12"/>
  <c r="EJ12"/>
  <c r="EP11"/>
  <c r="ER11"/>
  <c r="ES11"/>
  <c r="FE11"/>
  <c r="FA11"/>
  <c r="EY11"/>
  <c r="EW11"/>
  <c r="EX11"/>
  <c r="EL11"/>
  <c r="BT12"/>
  <c r="BV12" s="1"/>
  <c r="BT11"/>
  <c r="BV11" s="1"/>
  <c r="L242" i="62"/>
  <c r="M242" s="1"/>
  <c r="N242" s="1"/>
  <c r="N166"/>
  <c r="N238"/>
  <c r="GJ110" i="69" l="1"/>
  <c r="FM12"/>
  <c r="GH12" s="1"/>
  <c r="FK110"/>
  <c r="GI110"/>
  <c r="GM110"/>
  <c r="GG110"/>
  <c r="DQ105"/>
  <c r="EE105"/>
  <c r="EH105"/>
  <c r="GS110"/>
  <c r="GH110"/>
  <c r="GP110"/>
  <c r="DY105"/>
  <c r="DX105"/>
  <c r="CM184"/>
  <c r="DH184" s="1"/>
  <c r="CM182"/>
  <c r="DH182" s="1"/>
  <c r="CM180"/>
  <c r="DH180" s="1"/>
  <c r="CM178"/>
  <c r="DH178" s="1"/>
  <c r="CM176"/>
  <c r="DH176" s="1"/>
  <c r="CM183"/>
  <c r="DH183" s="1"/>
  <c r="CM181"/>
  <c r="DH181" s="1"/>
  <c r="CM179"/>
  <c r="DH179" s="1"/>
  <c r="CM177"/>
  <c r="DH177" s="1"/>
  <c r="GN110"/>
  <c r="GT110"/>
  <c r="GQ110"/>
  <c r="GL110"/>
  <c r="GU110"/>
  <c r="GK110"/>
  <c r="GO110"/>
  <c r="GF110"/>
  <c r="EB105"/>
  <c r="EF105"/>
  <c r="DS105"/>
  <c r="EI105"/>
  <c r="DP105"/>
  <c r="FR110"/>
  <c r="EC105"/>
  <c r="EA105"/>
  <c r="ED105"/>
  <c r="DT105"/>
  <c r="D105"/>
  <c r="O19" i="52" s="1"/>
  <c r="DU105" i="69"/>
  <c r="DV105"/>
  <c r="DR105"/>
  <c r="DW105"/>
  <c r="EG105"/>
  <c r="FJ110"/>
  <c r="GE110" s="1"/>
  <c r="FS110"/>
  <c r="FT110"/>
  <c r="FU110"/>
  <c r="FQ110"/>
  <c r="FH110"/>
  <c r="GC110" s="1"/>
  <c r="FI110"/>
  <c r="GD110" s="1"/>
  <c r="FG110"/>
  <c r="GB110" s="1"/>
  <c r="FX110"/>
  <c r="FN110"/>
  <c r="FY110"/>
  <c r="FO110"/>
  <c r="FZ110"/>
  <c r="FP110"/>
  <c r="FV110"/>
  <c r="FL110"/>
  <c r="FW110"/>
  <c r="FM110"/>
  <c r="CU164"/>
  <c r="IE164"/>
  <c r="CU169"/>
  <c r="IE169"/>
  <c r="IL169" s="1"/>
  <c r="L55" i="61" s="1"/>
  <c r="C55" s="1"/>
  <c r="CU154" i="69"/>
  <c r="IE154"/>
  <c r="CU149"/>
  <c r="IE149"/>
  <c r="CU158"/>
  <c r="IE158"/>
  <c r="CU165"/>
  <c r="IE165"/>
  <c r="CU161"/>
  <c r="IE161"/>
  <c r="CU170"/>
  <c r="IE170"/>
  <c r="IL170" s="1"/>
  <c r="L56" i="61" s="1"/>
  <c r="C56" s="1"/>
  <c r="CU148" i="69"/>
  <c r="IE148"/>
  <c r="CU171"/>
  <c r="IE171"/>
  <c r="IL171" s="1"/>
  <c r="L57" i="61" s="1"/>
  <c r="C57" s="1"/>
  <c r="CU155" i="69"/>
  <c r="IE155"/>
  <c r="CU150"/>
  <c r="IE150"/>
  <c r="CU157"/>
  <c r="IE157"/>
  <c r="IL157" s="1"/>
  <c r="L43" i="61" s="1"/>
  <c r="C43" s="1"/>
  <c r="CU126" i="69"/>
  <c r="IE126"/>
  <c r="CU144"/>
  <c r="IE144"/>
  <c r="CU151"/>
  <c r="IE151"/>
  <c r="CU147"/>
  <c r="IE147"/>
  <c r="CU156"/>
  <c r="IE156"/>
  <c r="CU163"/>
  <c r="IE163"/>
  <c r="CU172"/>
  <c r="IE172"/>
  <c r="IL172" s="1"/>
  <c r="L58" i="61" s="1"/>
  <c r="C58" s="1"/>
  <c r="CU162" i="69"/>
  <c r="IE162"/>
  <c r="CU168"/>
  <c r="IE168"/>
  <c r="IL168" s="1"/>
  <c r="L54" i="61" s="1"/>
  <c r="C54" s="1"/>
  <c r="CU143" i="69"/>
  <c r="IE143"/>
  <c r="BP32"/>
  <c r="J68" i="21" s="1"/>
  <c r="EA104" i="69"/>
  <c r="DT104"/>
  <c r="EC104"/>
  <c r="EG104"/>
  <c r="DW104"/>
  <c r="EB104"/>
  <c r="DR104"/>
  <c r="DP104"/>
  <c r="DQ104"/>
  <c r="DX104"/>
  <c r="EE104"/>
  <c r="ED104"/>
  <c r="EF104"/>
  <c r="DS104"/>
  <c r="DU104"/>
  <c r="EI104"/>
  <c r="DY104"/>
  <c r="DV104"/>
  <c r="D104"/>
  <c r="O18" i="52" s="1"/>
  <c r="EH104" i="69"/>
  <c r="EC106"/>
  <c r="DQ106"/>
  <c r="EE106"/>
  <c r="EI106"/>
  <c r="DU106"/>
  <c r="ED106"/>
  <c r="DR106"/>
  <c r="D106"/>
  <c r="O20" i="52" s="1"/>
  <c r="DS106" i="69"/>
  <c r="DW106"/>
  <c r="EB106"/>
  <c r="EA106"/>
  <c r="EF106"/>
  <c r="DY106"/>
  <c r="DV106"/>
  <c r="EG106"/>
  <c r="DT106"/>
  <c r="DP106"/>
  <c r="DX106"/>
  <c r="EH106"/>
  <c r="BP109"/>
  <c r="K23" i="52" s="1"/>
  <c r="EL74" i="69"/>
  <c r="BT74"/>
  <c r="BV74" s="1"/>
  <c r="GU74" s="1"/>
  <c r="EP73"/>
  <c r="EM75"/>
  <c r="EP77"/>
  <c r="EN77"/>
  <c r="EM77"/>
  <c r="FD77"/>
  <c r="EX77"/>
  <c r="EZ77"/>
  <c r="EY77"/>
  <c r="ES77"/>
  <c r="EW77"/>
  <c r="FB77"/>
  <c r="EL77"/>
  <c r="EO77"/>
  <c r="EV77"/>
  <c r="ER77"/>
  <c r="FA77"/>
  <c r="EQ77"/>
  <c r="FC77"/>
  <c r="ET77"/>
  <c r="EU77"/>
  <c r="FE77"/>
  <c r="EJ77"/>
  <c r="EN76"/>
  <c r="EO76"/>
  <c r="EM76"/>
  <c r="EW76"/>
  <c r="FD76"/>
  <c r="ER76"/>
  <c r="EQ76"/>
  <c r="FA76"/>
  <c r="ES76"/>
  <c r="FB76"/>
  <c r="EJ76"/>
  <c r="EP76"/>
  <c r="EZ76"/>
  <c r="EY76"/>
  <c r="ET76"/>
  <c r="FE76"/>
  <c r="EX76"/>
  <c r="FC76"/>
  <c r="EU76"/>
  <c r="EV76"/>
  <c r="EL76"/>
  <c r="EP75"/>
  <c r="EO75"/>
  <c r="EZ75"/>
  <c r="ET75"/>
  <c r="FD75"/>
  <c r="EQ75"/>
  <c r="EY75"/>
  <c r="ES75"/>
  <c r="FE75"/>
  <c r="EJ75"/>
  <c r="EN75"/>
  <c r="EX75"/>
  <c r="FA75"/>
  <c r="EV75"/>
  <c r="EW75"/>
  <c r="ER75"/>
  <c r="FC75"/>
  <c r="FB75"/>
  <c r="EU75"/>
  <c r="EL75"/>
  <c r="EM74"/>
  <c r="FB74"/>
  <c r="FE74"/>
  <c r="ER74"/>
  <c r="EZ74"/>
  <c r="EY74"/>
  <c r="EX74"/>
  <c r="EW74"/>
  <c r="EQ74"/>
  <c r="EP74"/>
  <c r="EJ74"/>
  <c r="EO74"/>
  <c r="EN74"/>
  <c r="FD74"/>
  <c r="FC74"/>
  <c r="ES74"/>
  <c r="FA74"/>
  <c r="EV74"/>
  <c r="EU74"/>
  <c r="ET74"/>
  <c r="EL73"/>
  <c r="EO73"/>
  <c r="EZ73"/>
  <c r="EY73"/>
  <c r="FB73"/>
  <c r="FA73"/>
  <c r="EV73"/>
  <c r="EU73"/>
  <c r="EW73"/>
  <c r="EN73"/>
  <c r="EM73"/>
  <c r="ER73"/>
  <c r="EQ73"/>
  <c r="ET73"/>
  <c r="ES73"/>
  <c r="FD73"/>
  <c r="FC73"/>
  <c r="EX73"/>
  <c r="FE73"/>
  <c r="EJ73"/>
  <c r="BT76"/>
  <c r="BV76" s="1"/>
  <c r="BT75"/>
  <c r="BV75" s="1"/>
  <c r="BT73"/>
  <c r="BV73" s="1"/>
  <c r="BT77"/>
  <c r="BV77" s="1"/>
  <c r="FW22"/>
  <c r="FS22"/>
  <c r="FO22"/>
  <c r="FK22"/>
  <c r="FG22"/>
  <c r="GB22" s="1"/>
  <c r="FX22"/>
  <c r="FT22"/>
  <c r="FP22"/>
  <c r="FL22"/>
  <c r="FH22"/>
  <c r="GC22" s="1"/>
  <c r="FY22"/>
  <c r="FU22"/>
  <c r="FQ22"/>
  <c r="FM22"/>
  <c r="FI22"/>
  <c r="FZ22"/>
  <c r="FV22"/>
  <c r="FR22"/>
  <c r="FN22"/>
  <c r="FJ22"/>
  <c r="GR22"/>
  <c r="GN22"/>
  <c r="GJ22"/>
  <c r="GF22"/>
  <c r="GS22"/>
  <c r="GO22"/>
  <c r="GK22"/>
  <c r="GG22"/>
  <c r="GT22"/>
  <c r="GP22"/>
  <c r="GL22"/>
  <c r="GH22"/>
  <c r="GD22"/>
  <c r="GU22"/>
  <c r="GQ22"/>
  <c r="GM22"/>
  <c r="GI22"/>
  <c r="GE22"/>
  <c r="FL12"/>
  <c r="GG12" s="1"/>
  <c r="FW11"/>
  <c r="FI12"/>
  <c r="GD12" s="1"/>
  <c r="FS12"/>
  <c r="FW12"/>
  <c r="FU11"/>
  <c r="FX11"/>
  <c r="FJ12"/>
  <c r="GE12" s="1"/>
  <c r="FT12"/>
  <c r="FP12"/>
  <c r="FG12"/>
  <c r="GB12" s="1"/>
  <c r="FX12"/>
  <c r="FQ12"/>
  <c r="FL11"/>
  <c r="GG11" s="1"/>
  <c r="FQ11"/>
  <c r="FR11"/>
  <c r="FU12"/>
  <c r="FY12"/>
  <c r="FO12"/>
  <c r="FH12"/>
  <c r="GC12" s="1"/>
  <c r="FN12"/>
  <c r="FZ12"/>
  <c r="FR12"/>
  <c r="FV12"/>
  <c r="FK12"/>
  <c r="GF12" s="1"/>
  <c r="FG11"/>
  <c r="GB11" s="1"/>
  <c r="FV11"/>
  <c r="FH11"/>
  <c r="GC11" s="1"/>
  <c r="FS11"/>
  <c r="FM11"/>
  <c r="GH11" s="1"/>
  <c r="FT11"/>
  <c r="FO11"/>
  <c r="FN11"/>
  <c r="FI11"/>
  <c r="GD11" s="1"/>
  <c r="FY11"/>
  <c r="FP11"/>
  <c r="FK11"/>
  <c r="GF11" s="1"/>
  <c r="FJ11"/>
  <c r="GE11" s="1"/>
  <c r="FZ11"/>
  <c r="GT11"/>
  <c r="GL11"/>
  <c r="GQ11"/>
  <c r="GI11"/>
  <c r="GN11"/>
  <c r="GS11"/>
  <c r="GK11"/>
  <c r="GP11"/>
  <c r="GU11"/>
  <c r="GM11"/>
  <c r="GR11"/>
  <c r="GJ11"/>
  <c r="GO11"/>
  <c r="GR12"/>
  <c r="GP12"/>
  <c r="GM12"/>
  <c r="GN12"/>
  <c r="GU12"/>
  <c r="GL12"/>
  <c r="GQ12"/>
  <c r="GJ12"/>
  <c r="GK12"/>
  <c r="GI12"/>
  <c r="GS12"/>
  <c r="GT12"/>
  <c r="GO12"/>
  <c r="FJ75" l="1"/>
  <c r="FI76"/>
  <c r="FI77"/>
  <c r="GD77" s="1"/>
  <c r="FI74"/>
  <c r="GD74" s="1"/>
  <c r="EO105"/>
  <c r="EV105"/>
  <c r="EQ105"/>
  <c r="FC105"/>
  <c r="EX105"/>
  <c r="FD105"/>
  <c r="BT105"/>
  <c r="BV105" s="1"/>
  <c r="GS105" s="1"/>
  <c r="FE105"/>
  <c r="FB105"/>
  <c r="EN105"/>
  <c r="EZ105"/>
  <c r="BP110"/>
  <c r="K24" i="52" s="1"/>
  <c r="EY105" i="69"/>
  <c r="EP105"/>
  <c r="EW105"/>
  <c r="ES105"/>
  <c r="ER105"/>
  <c r="ET105"/>
  <c r="EM105"/>
  <c r="EU105"/>
  <c r="FA105"/>
  <c r="EL105"/>
  <c r="EJ105"/>
  <c r="L59" i="61"/>
  <c r="L70" s="1"/>
  <c r="DN168" i="69"/>
  <c r="BR168"/>
  <c r="DQ168"/>
  <c r="DN157"/>
  <c r="BR157"/>
  <c r="DQ157"/>
  <c r="DN171"/>
  <c r="DQ171" s="1"/>
  <c r="BR171"/>
  <c r="DN170"/>
  <c r="DQ170" s="1"/>
  <c r="BR170"/>
  <c r="DN169"/>
  <c r="DQ169" s="1"/>
  <c r="BR169"/>
  <c r="EZ104"/>
  <c r="EX104"/>
  <c r="EY104"/>
  <c r="EP104"/>
  <c r="FE104"/>
  <c r="BT104"/>
  <c r="BV104" s="1"/>
  <c r="GR104" s="1"/>
  <c r="ES104"/>
  <c r="EN104"/>
  <c r="FD104"/>
  <c r="ER104"/>
  <c r="EO104"/>
  <c r="EV104"/>
  <c r="ET104"/>
  <c r="EM104"/>
  <c r="FC104"/>
  <c r="EW104"/>
  <c r="EJ104"/>
  <c r="EL104"/>
  <c r="EU104"/>
  <c r="EQ104"/>
  <c r="FB104"/>
  <c r="FA104"/>
  <c r="EN106"/>
  <c r="FC106"/>
  <c r="EJ106"/>
  <c r="EQ106"/>
  <c r="EW106"/>
  <c r="ET106"/>
  <c r="EV106"/>
  <c r="EM106"/>
  <c r="EZ106"/>
  <c r="EU106"/>
  <c r="FA106"/>
  <c r="ER106"/>
  <c r="FB106"/>
  <c r="EX106"/>
  <c r="ES106"/>
  <c r="EO106"/>
  <c r="FE106"/>
  <c r="EY106"/>
  <c r="FD106"/>
  <c r="EP106"/>
  <c r="BT106"/>
  <c r="BV106" s="1"/>
  <c r="GP106" s="1"/>
  <c r="EL106"/>
  <c r="FG76"/>
  <c r="GB76" s="1"/>
  <c r="FG77"/>
  <c r="GB77" s="1"/>
  <c r="GJ74"/>
  <c r="GK74"/>
  <c r="FZ76"/>
  <c r="FN77"/>
  <c r="FH76"/>
  <c r="GC76" s="1"/>
  <c r="FP75"/>
  <c r="FR74"/>
  <c r="FM76"/>
  <c r="FK76"/>
  <c r="FX76"/>
  <c r="FS74"/>
  <c r="FO75"/>
  <c r="FJ76"/>
  <c r="FU74"/>
  <c r="FY75"/>
  <c r="FP77"/>
  <c r="FR77"/>
  <c r="FY77"/>
  <c r="FP74"/>
  <c r="GI74"/>
  <c r="GP74"/>
  <c r="FU75"/>
  <c r="FW75"/>
  <c r="FZ74"/>
  <c r="FR76"/>
  <c r="FQ75"/>
  <c r="FS76"/>
  <c r="FP76"/>
  <c r="FU76"/>
  <c r="FK77"/>
  <c r="FW77"/>
  <c r="FL77"/>
  <c r="FM77"/>
  <c r="FK74"/>
  <c r="GF74" s="1"/>
  <c r="FH74"/>
  <c r="GC74" s="1"/>
  <c r="FX74"/>
  <c r="FM74"/>
  <c r="FJ74"/>
  <c r="GE74" s="1"/>
  <c r="GL74"/>
  <c r="GN74"/>
  <c r="GO74"/>
  <c r="FT75"/>
  <c r="FK75"/>
  <c r="FM75"/>
  <c r="FY73"/>
  <c r="FT73"/>
  <c r="FO73"/>
  <c r="FV73"/>
  <c r="FW73"/>
  <c r="FV74"/>
  <c r="FV76"/>
  <c r="FQ77"/>
  <c r="FV75"/>
  <c r="FM73"/>
  <c r="FL73"/>
  <c r="FO76"/>
  <c r="FW76"/>
  <c r="FL76"/>
  <c r="FT76"/>
  <c r="FQ76"/>
  <c r="FY76"/>
  <c r="FN76"/>
  <c r="FS77"/>
  <c r="FX77"/>
  <c r="FH77"/>
  <c r="GC77" s="1"/>
  <c r="FO77"/>
  <c r="FT77"/>
  <c r="FJ77"/>
  <c r="FZ77"/>
  <c r="FU77"/>
  <c r="FV77"/>
  <c r="FG74"/>
  <c r="GB74" s="1"/>
  <c r="FO74"/>
  <c r="FW74"/>
  <c r="FL74"/>
  <c r="FT74"/>
  <c r="FQ74"/>
  <c r="FY74"/>
  <c r="FN74"/>
  <c r="GQ74"/>
  <c r="GT74"/>
  <c r="GG74"/>
  <c r="GS74"/>
  <c r="GM74"/>
  <c r="GH74"/>
  <c r="GR74"/>
  <c r="FN73"/>
  <c r="FI73"/>
  <c r="GD73" s="1"/>
  <c r="FQ73"/>
  <c r="FH73"/>
  <c r="GC73" s="1"/>
  <c r="FP73"/>
  <c r="FK73"/>
  <c r="GF73" s="1"/>
  <c r="FG75"/>
  <c r="GB75" s="1"/>
  <c r="FL75"/>
  <c r="FZ75"/>
  <c r="FI75"/>
  <c r="GD75" s="1"/>
  <c r="FS75"/>
  <c r="FX75"/>
  <c r="FH75"/>
  <c r="GC75" s="1"/>
  <c r="FR75"/>
  <c r="FN75"/>
  <c r="FG73"/>
  <c r="GB73" s="1"/>
  <c r="FS73"/>
  <c r="FJ73"/>
  <c r="GE73" s="1"/>
  <c r="FR73"/>
  <c r="FZ73"/>
  <c r="FU73"/>
  <c r="FX73"/>
  <c r="GR73"/>
  <c r="GN73"/>
  <c r="GJ73"/>
  <c r="GS73"/>
  <c r="GO73"/>
  <c r="GK73"/>
  <c r="GG73"/>
  <c r="GT73"/>
  <c r="GP73"/>
  <c r="GL73"/>
  <c r="GH73"/>
  <c r="GU73"/>
  <c r="GQ73"/>
  <c r="GM73"/>
  <c r="GI73"/>
  <c r="GU76"/>
  <c r="GN76"/>
  <c r="GF76"/>
  <c r="GS76"/>
  <c r="GJ76"/>
  <c r="GG76"/>
  <c r="GD76"/>
  <c r="GL76"/>
  <c r="GT76"/>
  <c r="GI76"/>
  <c r="GQ76"/>
  <c r="GK76"/>
  <c r="GR76"/>
  <c r="GO76"/>
  <c r="GH76"/>
  <c r="GP76"/>
  <c r="GE76"/>
  <c r="GM76"/>
  <c r="GR77"/>
  <c r="GL77"/>
  <c r="GU77"/>
  <c r="GS77"/>
  <c r="GN77"/>
  <c r="GE77"/>
  <c r="GP77"/>
  <c r="GK77"/>
  <c r="GF77"/>
  <c r="GJ77"/>
  <c r="GO77"/>
  <c r="GH77"/>
  <c r="GI77"/>
  <c r="GG77"/>
  <c r="GM77"/>
  <c r="GQ77"/>
  <c r="GT77"/>
  <c r="GT75"/>
  <c r="GO75"/>
  <c r="GF75"/>
  <c r="GI75"/>
  <c r="GH75"/>
  <c r="GM75"/>
  <c r="GR75"/>
  <c r="GG75"/>
  <c r="GS75"/>
  <c r="GK75"/>
  <c r="GL75"/>
  <c r="GQ75"/>
  <c r="GJ75"/>
  <c r="GN75"/>
  <c r="GP75"/>
  <c r="GU75"/>
  <c r="GE75"/>
  <c r="BP22"/>
  <c r="J28" i="21" s="1"/>
  <c r="BP12" i="69"/>
  <c r="I17" i="45" s="1"/>
  <c r="BP11" i="69"/>
  <c r="I16" i="45" s="1"/>
  <c r="GL105" i="69" l="1"/>
  <c r="FP105"/>
  <c r="FS104"/>
  <c r="GU105"/>
  <c r="FV105"/>
  <c r="GQ105"/>
  <c r="FL105"/>
  <c r="GG105" s="1"/>
  <c r="FO105"/>
  <c r="GI105"/>
  <c r="GJ105"/>
  <c r="GM105"/>
  <c r="FT105"/>
  <c r="GR105"/>
  <c r="GT105"/>
  <c r="GN105"/>
  <c r="GO105"/>
  <c r="GP105"/>
  <c r="GK105"/>
  <c r="FS105"/>
  <c r="FH105"/>
  <c r="GC105" s="1"/>
  <c r="FR105"/>
  <c r="FI105"/>
  <c r="GD105" s="1"/>
  <c r="FJ105"/>
  <c r="GE105" s="1"/>
  <c r="FN105"/>
  <c r="FX105"/>
  <c r="FU105"/>
  <c r="FY105"/>
  <c r="FW105"/>
  <c r="FK105"/>
  <c r="GF105" s="1"/>
  <c r="FM105"/>
  <c r="GH105" s="1"/>
  <c r="FZ105"/>
  <c r="FQ105"/>
  <c r="FG105"/>
  <c r="GB105" s="1"/>
  <c r="FJ104"/>
  <c r="GE104" s="1"/>
  <c r="DS170"/>
  <c r="DP170"/>
  <c r="DY170"/>
  <c r="EG170"/>
  <c r="DZ170"/>
  <c r="EH170"/>
  <c r="DW170"/>
  <c r="EE170"/>
  <c r="DT170"/>
  <c r="EB170"/>
  <c r="D170"/>
  <c r="DU170"/>
  <c r="EC170"/>
  <c r="DV170"/>
  <c r="ED170"/>
  <c r="DR170"/>
  <c r="EA170"/>
  <c r="EI170"/>
  <c r="DX170"/>
  <c r="EF170"/>
  <c r="DR171"/>
  <c r="DU171"/>
  <c r="EC171"/>
  <c r="DS171"/>
  <c r="DZ171"/>
  <c r="EH171"/>
  <c r="EA171"/>
  <c r="EI171"/>
  <c r="DT171"/>
  <c r="EB171"/>
  <c r="DP171"/>
  <c r="D171"/>
  <c r="DY171"/>
  <c r="EG171"/>
  <c r="DV171"/>
  <c r="ED171"/>
  <c r="DW171"/>
  <c r="EE171"/>
  <c r="DX171"/>
  <c r="EF171"/>
  <c r="DR168"/>
  <c r="D168"/>
  <c r="M54" i="61" s="1"/>
  <c r="EA168" i="69"/>
  <c r="EI168"/>
  <c r="DV168"/>
  <c r="ED168"/>
  <c r="DU168"/>
  <c r="EC168"/>
  <c r="DX168"/>
  <c r="EF168"/>
  <c r="DW168"/>
  <c r="EE168"/>
  <c r="DS168"/>
  <c r="DZ168"/>
  <c r="EH168"/>
  <c r="DY168"/>
  <c r="EG168"/>
  <c r="DT168"/>
  <c r="EB168"/>
  <c r="DP168"/>
  <c r="DR169"/>
  <c r="D169"/>
  <c r="EA169"/>
  <c r="EI169"/>
  <c r="DV169"/>
  <c r="ED169"/>
  <c r="DU169"/>
  <c r="EC169"/>
  <c r="DX169"/>
  <c r="EF169"/>
  <c r="DW169"/>
  <c r="EE169"/>
  <c r="DS169"/>
  <c r="DZ169"/>
  <c r="EH169"/>
  <c r="DY169"/>
  <c r="EG169"/>
  <c r="DT169"/>
  <c r="EB169"/>
  <c r="DP169"/>
  <c r="DR157"/>
  <c r="D157"/>
  <c r="DY157"/>
  <c r="EG157"/>
  <c r="DV157"/>
  <c r="ED157"/>
  <c r="DW157"/>
  <c r="EE157"/>
  <c r="DX157"/>
  <c r="EF157"/>
  <c r="DU157"/>
  <c r="EC157"/>
  <c r="DS157"/>
  <c r="DZ157"/>
  <c r="EH157"/>
  <c r="EA157"/>
  <c r="EI157"/>
  <c r="DT157"/>
  <c r="EB157"/>
  <c r="DP157"/>
  <c r="GT104"/>
  <c r="GK104"/>
  <c r="GU104"/>
  <c r="GL104"/>
  <c r="GM104"/>
  <c r="GJ104"/>
  <c r="GN104"/>
  <c r="FM104"/>
  <c r="GH104" s="1"/>
  <c r="GI104"/>
  <c r="GP104"/>
  <c r="GO104"/>
  <c r="GQ104"/>
  <c r="GS104"/>
  <c r="FU104"/>
  <c r="FH104"/>
  <c r="GC104" s="1"/>
  <c r="FR104"/>
  <c r="FW104"/>
  <c r="FP104"/>
  <c r="FL104"/>
  <c r="GG104" s="1"/>
  <c r="FZ104"/>
  <c r="FO104"/>
  <c r="GL106"/>
  <c r="FK104"/>
  <c r="GF104" s="1"/>
  <c r="FQ104"/>
  <c r="FG104"/>
  <c r="GB104" s="1"/>
  <c r="FI104"/>
  <c r="GD104" s="1"/>
  <c r="FY104"/>
  <c r="FX104"/>
  <c r="FV104"/>
  <c r="FT104"/>
  <c r="FN104"/>
  <c r="GS106"/>
  <c r="GR106"/>
  <c r="FU106"/>
  <c r="GI106"/>
  <c r="GO106"/>
  <c r="GU106"/>
  <c r="GK106"/>
  <c r="GN106"/>
  <c r="GQ106"/>
  <c r="GT106"/>
  <c r="GJ106"/>
  <c r="GM106"/>
  <c r="FO106"/>
  <c r="FI106"/>
  <c r="GD106" s="1"/>
  <c r="FJ106"/>
  <c r="GE106" s="1"/>
  <c r="FK106"/>
  <c r="GF106" s="1"/>
  <c r="FT106"/>
  <c r="FZ106"/>
  <c r="FP106"/>
  <c r="FN106"/>
  <c r="FY106"/>
  <c r="FW106"/>
  <c r="FR106"/>
  <c r="FM106"/>
  <c r="GH106" s="1"/>
  <c r="FH106"/>
  <c r="GC106" s="1"/>
  <c r="FX106"/>
  <c r="FS106"/>
  <c r="FV106"/>
  <c r="FQ106"/>
  <c r="FL106"/>
  <c r="GG106" s="1"/>
  <c r="FG106"/>
  <c r="GB106" s="1"/>
  <c r="BP74"/>
  <c r="M32" i="65" s="1"/>
  <c r="BP75" i="69"/>
  <c r="M33" i="65" s="1"/>
  <c r="BP77" i="69"/>
  <c r="M35" i="65" s="1"/>
  <c r="BP73" i="69"/>
  <c r="M31" i="65" s="1"/>
  <c r="BP76" i="69"/>
  <c r="M34" i="65" s="1"/>
  <c r="M55" i="61" l="1"/>
  <c r="D55" s="1"/>
  <c r="BP105" i="69"/>
  <c r="K19" i="52" s="1"/>
  <c r="EM170" i="69"/>
  <c r="EM169"/>
  <c r="FB171"/>
  <c r="FB170"/>
  <c r="EM171"/>
  <c r="EX168"/>
  <c r="EM157"/>
  <c r="EX157"/>
  <c r="EM168"/>
  <c r="EL157"/>
  <c r="EJ157"/>
  <c r="BT157"/>
  <c r="BV157" s="1"/>
  <c r="EJ168"/>
  <c r="BT168"/>
  <c r="BV168" s="1"/>
  <c r="EL168"/>
  <c r="D54" i="61"/>
  <c r="EL171" i="69"/>
  <c r="EJ171"/>
  <c r="BT171"/>
  <c r="BV171" s="1"/>
  <c r="EP157"/>
  <c r="EW157"/>
  <c r="EV157"/>
  <c r="EY157"/>
  <c r="FB157"/>
  <c r="FA157"/>
  <c r="EZ157"/>
  <c r="FC157"/>
  <c r="EX169"/>
  <c r="FC169"/>
  <c r="FD169"/>
  <c r="EO169"/>
  <c r="ES169"/>
  <c r="ET169"/>
  <c r="EQ169"/>
  <c r="ER169"/>
  <c r="EW169"/>
  <c r="EN169"/>
  <c r="EP168"/>
  <c r="EU168"/>
  <c r="EV168"/>
  <c r="FA168"/>
  <c r="FB168"/>
  <c r="EY168"/>
  <c r="EZ168"/>
  <c r="FE168"/>
  <c r="ET171"/>
  <c r="ES171"/>
  <c r="ER171"/>
  <c r="EU171"/>
  <c r="EP171"/>
  <c r="EW171"/>
  <c r="EV171"/>
  <c r="EY171"/>
  <c r="EN171"/>
  <c r="ET170"/>
  <c r="EW170"/>
  <c r="EZ170"/>
  <c r="EY170"/>
  <c r="EP170"/>
  <c r="ES170"/>
  <c r="EV170"/>
  <c r="EU170"/>
  <c r="EO170"/>
  <c r="EJ169"/>
  <c r="BT169"/>
  <c r="BV169" s="1"/>
  <c r="EL169"/>
  <c r="BT170"/>
  <c r="BV170" s="1"/>
  <c r="EL170"/>
  <c r="EJ170"/>
  <c r="FE157"/>
  <c r="FD157"/>
  <c r="EO157"/>
  <c r="EQ157"/>
  <c r="ET157"/>
  <c r="ES157"/>
  <c r="ER157"/>
  <c r="EU157"/>
  <c r="EN157"/>
  <c r="EP169"/>
  <c r="EU169"/>
  <c r="EV169"/>
  <c r="FA169"/>
  <c r="FB169"/>
  <c r="EY169"/>
  <c r="EZ169"/>
  <c r="FE169"/>
  <c r="FC168"/>
  <c r="FD168"/>
  <c r="EO168"/>
  <c r="ES168"/>
  <c r="ET168"/>
  <c r="EQ168"/>
  <c r="ER168"/>
  <c r="EW168"/>
  <c r="EN168"/>
  <c r="FA171"/>
  <c r="EZ171"/>
  <c r="FC171"/>
  <c r="EX171"/>
  <c r="FE171"/>
  <c r="FD171"/>
  <c r="EO171"/>
  <c r="EQ171"/>
  <c r="FE170"/>
  <c r="EN170"/>
  <c r="ER170"/>
  <c r="EQ170"/>
  <c r="EX170"/>
  <c r="FA170"/>
  <c r="FD170"/>
  <c r="FC170"/>
  <c r="BP104"/>
  <c r="K18" i="52" s="1"/>
  <c r="BP106" i="69"/>
  <c r="K20" i="52" s="1"/>
  <c r="M56" i="61" l="1"/>
  <c r="D56" s="1"/>
  <c r="GR170" i="69"/>
  <c r="GN170"/>
  <c r="GJ170"/>
  <c r="GF170"/>
  <c r="GS170"/>
  <c r="GO170"/>
  <c r="GK170"/>
  <c r="GG170"/>
  <c r="GT170"/>
  <c r="GP170"/>
  <c r="GL170"/>
  <c r="GH170"/>
  <c r="GU170"/>
  <c r="GQ170"/>
  <c r="GM170"/>
  <c r="GI170"/>
  <c r="GS169"/>
  <c r="GO169"/>
  <c r="GK169"/>
  <c r="GG169"/>
  <c r="GR169"/>
  <c r="GN169"/>
  <c r="GJ169"/>
  <c r="GF169"/>
  <c r="GU169"/>
  <c r="GQ169"/>
  <c r="GM169"/>
  <c r="GI169"/>
  <c r="GT169"/>
  <c r="GP169"/>
  <c r="GL169"/>
  <c r="GH169"/>
  <c r="GS171"/>
  <c r="GO171"/>
  <c r="GK171"/>
  <c r="GG171"/>
  <c r="GR171"/>
  <c r="GN171"/>
  <c r="GJ171"/>
  <c r="GF171"/>
  <c r="GU171"/>
  <c r="GQ171"/>
  <c r="GM171"/>
  <c r="GI171"/>
  <c r="GT171"/>
  <c r="GP171"/>
  <c r="GL171"/>
  <c r="GH171"/>
  <c r="FX171"/>
  <c r="FT171"/>
  <c r="FP171"/>
  <c r="FL171"/>
  <c r="FH171"/>
  <c r="GC171" s="1"/>
  <c r="FW171"/>
  <c r="FS171"/>
  <c r="FO171"/>
  <c r="FK171"/>
  <c r="FG171"/>
  <c r="GB171" s="1"/>
  <c r="FZ171"/>
  <c r="FV171"/>
  <c r="FR171"/>
  <c r="FN171"/>
  <c r="FJ171"/>
  <c r="GE171" s="1"/>
  <c r="FY171"/>
  <c r="FU171"/>
  <c r="FQ171"/>
  <c r="FM171"/>
  <c r="FI171"/>
  <c r="GD171" s="1"/>
  <c r="GR168"/>
  <c r="GN168"/>
  <c r="GJ168"/>
  <c r="GF168"/>
  <c r="GS168"/>
  <c r="GO168"/>
  <c r="GK168"/>
  <c r="GG168"/>
  <c r="GT168"/>
  <c r="GP168"/>
  <c r="GL168"/>
  <c r="GH168"/>
  <c r="GU168"/>
  <c r="GQ168"/>
  <c r="GM168"/>
  <c r="GI168"/>
  <c r="GU157"/>
  <c r="GQ157"/>
  <c r="GM157"/>
  <c r="GI157"/>
  <c r="GT157"/>
  <c r="GP157"/>
  <c r="GL157"/>
  <c r="GH157"/>
  <c r="GS157"/>
  <c r="GO157"/>
  <c r="GK157"/>
  <c r="GG157"/>
  <c r="GR157"/>
  <c r="GN157"/>
  <c r="GJ157"/>
  <c r="GF157"/>
  <c r="FZ157"/>
  <c r="FV157"/>
  <c r="FR157"/>
  <c r="FN157"/>
  <c r="FJ157"/>
  <c r="GE157" s="1"/>
  <c r="FY157"/>
  <c r="FU157"/>
  <c r="FQ157"/>
  <c r="FM157"/>
  <c r="FI157"/>
  <c r="GD157" s="1"/>
  <c r="FX157"/>
  <c r="FT157"/>
  <c r="FP157"/>
  <c r="FL157"/>
  <c r="FH157"/>
  <c r="GC157" s="1"/>
  <c r="FW157"/>
  <c r="FS157"/>
  <c r="FO157"/>
  <c r="FK157"/>
  <c r="FG157"/>
  <c r="GB157" s="1"/>
  <c r="FW170"/>
  <c r="FS170"/>
  <c r="FO170"/>
  <c r="FK170"/>
  <c r="FG170"/>
  <c r="GB170" s="1"/>
  <c r="FX170"/>
  <c r="FT170"/>
  <c r="FP170"/>
  <c r="FL170"/>
  <c r="FH170"/>
  <c r="GC170" s="1"/>
  <c r="FY170"/>
  <c r="FU170"/>
  <c r="FQ170"/>
  <c r="FM170"/>
  <c r="FI170"/>
  <c r="GD170" s="1"/>
  <c r="FZ170"/>
  <c r="FV170"/>
  <c r="FR170"/>
  <c r="FN170"/>
  <c r="FJ170"/>
  <c r="GE170" s="1"/>
  <c r="FX169"/>
  <c r="FT169"/>
  <c r="FP169"/>
  <c r="FL169"/>
  <c r="FH169"/>
  <c r="GC169" s="1"/>
  <c r="FW169"/>
  <c r="FS169"/>
  <c r="FO169"/>
  <c r="FK169"/>
  <c r="FG169"/>
  <c r="GB169" s="1"/>
  <c r="FZ169"/>
  <c r="FV169"/>
  <c r="FR169"/>
  <c r="FN169"/>
  <c r="FJ169"/>
  <c r="GE169" s="1"/>
  <c r="FY169"/>
  <c r="FU169"/>
  <c r="FQ169"/>
  <c r="FM169"/>
  <c r="FI169"/>
  <c r="GD169" s="1"/>
  <c r="FW168"/>
  <c r="FS168"/>
  <c r="FO168"/>
  <c r="FZ168"/>
  <c r="FV168"/>
  <c r="FR168"/>
  <c r="FN168"/>
  <c r="FJ168"/>
  <c r="GE168" s="1"/>
  <c r="FI168"/>
  <c r="GD168" s="1"/>
  <c r="FG168"/>
  <c r="GB168" s="1"/>
  <c r="FY168"/>
  <c r="FU168"/>
  <c r="FQ168"/>
  <c r="FM168"/>
  <c r="FX168"/>
  <c r="FT168"/>
  <c r="FP168"/>
  <c r="FL168"/>
  <c r="FH168"/>
  <c r="GC168" s="1"/>
  <c r="FK168"/>
  <c r="M57" i="61" l="1"/>
  <c r="D57" s="1"/>
  <c r="BP157" i="69"/>
  <c r="J43" i="61" s="1"/>
  <c r="BP171" i="69"/>
  <c r="J57" i="61" s="1"/>
  <c r="BP168" i="69"/>
  <c r="J54" i="61" s="1"/>
  <c r="BP170" i="69"/>
  <c r="J56" i="61" s="1"/>
  <c r="BP169" i="69"/>
  <c r="J55" i="61" s="1"/>
  <c r="H69" i="63"/>
  <c r="L73"/>
  <c r="K73"/>
  <c r="E69"/>
  <c r="F69"/>
  <c r="G69"/>
  <c r="I69"/>
  <c r="J69"/>
  <c r="D69"/>
  <c r="D17" i="7"/>
  <c r="D18"/>
  <c r="B26" i="64"/>
  <c r="B7"/>
  <c r="B13"/>
  <c r="E37" l="1"/>
  <c r="C132"/>
  <c r="G37"/>
  <c r="C134"/>
  <c r="D37"/>
  <c r="C131"/>
  <c r="D19" i="7"/>
  <c r="G34" i="65" l="1"/>
  <c r="H34"/>
  <c r="G27"/>
  <c r="K35"/>
  <c r="K33"/>
  <c r="K32"/>
  <c r="K34" l="1"/>
  <c r="E38" i="63" l="1"/>
  <c r="E30"/>
  <c r="F30" l="1"/>
  <c r="G30" s="1"/>
  <c r="F38"/>
  <c r="G38" s="1"/>
  <c r="H38" s="1"/>
  <c r="I38" s="1"/>
  <c r="J38" s="1"/>
  <c r="K38" s="1"/>
  <c r="L38" s="1"/>
  <c r="I30" l="1"/>
  <c r="J30" s="1"/>
  <c r="K30"/>
  <c r="H30"/>
  <c r="L30" l="1"/>
  <c r="C62" i="61" l="1"/>
  <c r="B70"/>
  <c r="B69"/>
  <c r="B68"/>
  <c r="B67"/>
  <c r="B66"/>
  <c r="B65"/>
  <c r="B64"/>
  <c r="B63"/>
  <c r="C59"/>
  <c r="C70" s="1"/>
  <c r="D95" i="7" s="1"/>
  <c r="C97" i="58" l="1"/>
  <c r="E15" i="7"/>
  <c r="U9" i="64"/>
  <c r="H29" i="52"/>
  <c r="H28"/>
  <c r="H26"/>
  <c r="B26" i="55"/>
  <c r="I91" i="21"/>
  <c r="H91"/>
  <c r="G91"/>
  <c r="J91" s="1"/>
  <c r="H76"/>
  <c r="H65"/>
  <c r="H45"/>
  <c r="H36"/>
  <c r="H27"/>
  <c r="H18"/>
  <c r="H6"/>
  <c r="C26" i="45"/>
  <c r="E21"/>
  <c r="U23" i="64" l="1"/>
  <c r="V23" s="1"/>
  <c r="F23" s="1"/>
  <c r="V9"/>
  <c r="M23"/>
  <c r="U29"/>
  <c r="V29" s="1"/>
  <c r="U8"/>
  <c r="V8" s="1"/>
  <c r="U15"/>
  <c r="V15" s="1"/>
  <c r="U21"/>
  <c r="V21" s="1"/>
  <c r="U28"/>
  <c r="V28" s="1"/>
  <c r="U10"/>
  <c r="V10" s="1"/>
  <c r="U16"/>
  <c r="V16" s="1"/>
  <c r="U22"/>
  <c r="V22" s="1"/>
  <c r="U11"/>
  <c r="V11" s="1"/>
  <c r="U17"/>
  <c r="V17" s="1"/>
  <c r="U24"/>
  <c r="V24" s="1"/>
  <c r="U30"/>
  <c r="V30" s="1"/>
  <c r="U14"/>
  <c r="V14" s="1"/>
  <c r="U20"/>
  <c r="U27"/>
  <c r="V27" s="1"/>
  <c r="E22" i="45"/>
  <c r="C9" i="14"/>
  <c r="C13"/>
  <c r="C12"/>
  <c r="C11"/>
  <c r="C10"/>
  <c r="C8"/>
  <c r="K23" i="64" l="1"/>
  <c r="H23"/>
  <c r="E23"/>
  <c r="J23"/>
  <c r="G23"/>
  <c r="D23"/>
  <c r="L23"/>
  <c r="I23"/>
  <c r="V20"/>
  <c r="V25" s="1"/>
  <c r="V31"/>
  <c r="V18"/>
  <c r="V12"/>
  <c r="F27"/>
  <c r="I27"/>
  <c r="L27"/>
  <c r="D27"/>
  <c r="G27"/>
  <c r="J27"/>
  <c r="M27"/>
  <c r="E27"/>
  <c r="H27"/>
  <c r="K27"/>
  <c r="L14"/>
  <c r="H14"/>
  <c r="D14"/>
  <c r="K14"/>
  <c r="G14"/>
  <c r="J14"/>
  <c r="F14"/>
  <c r="M14"/>
  <c r="I14"/>
  <c r="E14"/>
  <c r="L24"/>
  <c r="H24"/>
  <c r="D24"/>
  <c r="K24"/>
  <c r="G24"/>
  <c r="J24"/>
  <c r="F24"/>
  <c r="M24"/>
  <c r="I24"/>
  <c r="E24"/>
  <c r="E11"/>
  <c r="M11"/>
  <c r="J11"/>
  <c r="K11"/>
  <c r="H11"/>
  <c r="I11"/>
  <c r="F11"/>
  <c r="G11"/>
  <c r="D11"/>
  <c r="L11"/>
  <c r="L16"/>
  <c r="H16"/>
  <c r="D16"/>
  <c r="K16"/>
  <c r="G16"/>
  <c r="J16"/>
  <c r="F16"/>
  <c r="M16"/>
  <c r="I16"/>
  <c r="E16"/>
  <c r="H28"/>
  <c r="K28"/>
  <c r="J28"/>
  <c r="M28"/>
  <c r="E28"/>
  <c r="L28"/>
  <c r="D28"/>
  <c r="G28"/>
  <c r="F28"/>
  <c r="I28"/>
  <c r="L15"/>
  <c r="H15"/>
  <c r="D15"/>
  <c r="K15"/>
  <c r="G15"/>
  <c r="J15"/>
  <c r="F15"/>
  <c r="M15"/>
  <c r="I15"/>
  <c r="E15"/>
  <c r="J29"/>
  <c r="M29"/>
  <c r="E29"/>
  <c r="H29"/>
  <c r="K29"/>
  <c r="F29"/>
  <c r="I29"/>
  <c r="L29"/>
  <c r="D29"/>
  <c r="G29"/>
  <c r="L9"/>
  <c r="I9"/>
  <c r="M9"/>
  <c r="K9"/>
  <c r="G9"/>
  <c r="E9"/>
  <c r="J9"/>
  <c r="F9"/>
  <c r="H9"/>
  <c r="D9"/>
  <c r="L30"/>
  <c r="D30"/>
  <c r="G30"/>
  <c r="F30"/>
  <c r="I30"/>
  <c r="H30"/>
  <c r="K30"/>
  <c r="J30"/>
  <c r="M30"/>
  <c r="E30"/>
  <c r="L17"/>
  <c r="H17"/>
  <c r="D17"/>
  <c r="K17"/>
  <c r="G17"/>
  <c r="J17"/>
  <c r="F17"/>
  <c r="M17"/>
  <c r="I17"/>
  <c r="E17"/>
  <c r="L22"/>
  <c r="H22"/>
  <c r="D22"/>
  <c r="K22"/>
  <c r="G22"/>
  <c r="J22"/>
  <c r="F22"/>
  <c r="M22"/>
  <c r="I22"/>
  <c r="E22"/>
  <c r="E10"/>
  <c r="M10"/>
  <c r="J10"/>
  <c r="K10"/>
  <c r="H10"/>
  <c r="I10"/>
  <c r="F10"/>
  <c r="G10"/>
  <c r="D10"/>
  <c r="L10"/>
  <c r="L21"/>
  <c r="H21"/>
  <c r="D21"/>
  <c r="K21"/>
  <c r="G21"/>
  <c r="J21"/>
  <c r="F21"/>
  <c r="M21"/>
  <c r="I21"/>
  <c r="E21"/>
  <c r="E8"/>
  <c r="M8"/>
  <c r="J8"/>
  <c r="K8"/>
  <c r="H8"/>
  <c r="I8"/>
  <c r="F8"/>
  <c r="G8"/>
  <c r="D8"/>
  <c r="L8"/>
  <c r="F409" i="60"/>
  <c r="E409"/>
  <c r="E408"/>
  <c r="D410"/>
  <c r="I373"/>
  <c r="H373"/>
  <c r="F373"/>
  <c r="E373"/>
  <c r="H372"/>
  <c r="E372"/>
  <c r="I340"/>
  <c r="H340"/>
  <c r="F340"/>
  <c r="E340"/>
  <c r="H339"/>
  <c r="E339"/>
  <c r="I297"/>
  <c r="H297"/>
  <c r="F297"/>
  <c r="E297"/>
  <c r="H296"/>
  <c r="E296"/>
  <c r="I244"/>
  <c r="H244"/>
  <c r="F244"/>
  <c r="E244"/>
  <c r="H243"/>
  <c r="E243"/>
  <c r="J19"/>
  <c r="G19"/>
  <c r="L13" i="7"/>
  <c r="L12"/>
  <c r="L11"/>
  <c r="L10"/>
  <c r="L9"/>
  <c r="L8"/>
  <c r="N5"/>
  <c r="M5"/>
  <c r="L55"/>
  <c r="N42"/>
  <c r="M42"/>
  <c r="L48"/>
  <c r="N23" i="64" l="1"/>
  <c r="E20"/>
  <c r="H20"/>
  <c r="M20"/>
  <c r="M25" s="1"/>
  <c r="G20"/>
  <c r="I20"/>
  <c r="I25" s="1"/>
  <c r="D20"/>
  <c r="D25" s="1"/>
  <c r="L20"/>
  <c r="L25" s="1"/>
  <c r="F20"/>
  <c r="F25" s="1"/>
  <c r="K20"/>
  <c r="K25" s="1"/>
  <c r="J20"/>
  <c r="J25" s="1"/>
  <c r="L12"/>
  <c r="G12"/>
  <c r="M12"/>
  <c r="I12"/>
  <c r="K12"/>
  <c r="F12"/>
  <c r="E12"/>
  <c r="H12"/>
  <c r="J12"/>
  <c r="N8"/>
  <c r="D12"/>
  <c r="G25"/>
  <c r="N29"/>
  <c r="N27"/>
  <c r="D31"/>
  <c r="N30"/>
  <c r="E25"/>
  <c r="H25"/>
  <c r="N15"/>
  <c r="N28"/>
  <c r="I18"/>
  <c r="F18"/>
  <c r="G18"/>
  <c r="D18"/>
  <c r="L18"/>
  <c r="K31"/>
  <c r="E31"/>
  <c r="J31"/>
  <c r="I31"/>
  <c r="E18"/>
  <c r="M18"/>
  <c r="J18"/>
  <c r="K18"/>
  <c r="H18"/>
  <c r="H31"/>
  <c r="M31"/>
  <c r="G31"/>
  <c r="L31"/>
  <c r="F31"/>
  <c r="H121" i="60"/>
  <c r="E121"/>
  <c r="J133"/>
  <c r="G133"/>
  <c r="G193"/>
  <c r="J193"/>
  <c r="D252"/>
  <c r="E252"/>
  <c r="E134" s="1"/>
  <c r="M51" i="7" s="1"/>
  <c r="C298" i="60"/>
  <c r="D143" s="1"/>
  <c r="D299"/>
  <c r="D300"/>
  <c r="D301"/>
  <c r="D302"/>
  <c r="D304"/>
  <c r="C305"/>
  <c r="D144" s="1"/>
  <c r="D306"/>
  <c r="D307"/>
  <c r="D308"/>
  <c r="D309"/>
  <c r="D311"/>
  <c r="E347"/>
  <c r="D374"/>
  <c r="D375"/>
  <c r="D376"/>
  <c r="D377"/>
  <c r="D378"/>
  <c r="D379"/>
  <c r="D380"/>
  <c r="E381"/>
  <c r="E137" s="1"/>
  <c r="M54" i="7" s="1"/>
  <c r="D411" i="60"/>
  <c r="D412"/>
  <c r="D413"/>
  <c r="D414"/>
  <c r="G122"/>
  <c r="O42" i="7" s="1"/>
  <c r="J122" i="60"/>
  <c r="D134"/>
  <c r="L51" i="7" s="1"/>
  <c r="D135" i="60"/>
  <c r="L52" i="7" s="1"/>
  <c r="D136" i="60"/>
  <c r="L53" i="7" s="1"/>
  <c r="D137" i="60"/>
  <c r="L54" i="7" s="1"/>
  <c r="C141" i="60"/>
  <c r="C142"/>
  <c r="C146"/>
  <c r="C154"/>
  <c r="F38" i="64" l="1" a="1"/>
  <c r="G38" a="1"/>
  <c r="D38" a="1"/>
  <c r="E38" a="1"/>
  <c r="N31"/>
  <c r="E141" i="60"/>
  <c r="J340"/>
  <c r="J373"/>
  <c r="G340"/>
  <c r="G373"/>
  <c r="G244"/>
  <c r="G297"/>
  <c r="J244"/>
  <c r="J297"/>
  <c r="E154"/>
  <c r="E153"/>
  <c r="E136" s="1"/>
  <c r="M53" i="7" s="1"/>
  <c r="D38" i="64" l="1"/>
  <c r="D42"/>
  <c r="D47"/>
  <c r="D43"/>
  <c r="D39"/>
  <c r="D44"/>
  <c r="D40"/>
  <c r="D45"/>
  <c r="D41"/>
  <c r="D46"/>
  <c r="F38"/>
  <c r="F41"/>
  <c r="F47"/>
  <c r="F43"/>
  <c r="F39"/>
  <c r="F44"/>
  <c r="F40"/>
  <c r="F45"/>
  <c r="F46"/>
  <c r="F42"/>
  <c r="E38"/>
  <c r="E39"/>
  <c r="E43"/>
  <c r="E47"/>
  <c r="E41"/>
  <c r="E45"/>
  <c r="E44"/>
  <c r="E40"/>
  <c r="E46"/>
  <c r="E42"/>
  <c r="G38"/>
  <c r="G45"/>
  <c r="G41"/>
  <c r="G46"/>
  <c r="G42"/>
  <c r="G47"/>
  <c r="G43"/>
  <c r="G39"/>
  <c r="G44"/>
  <c r="G40"/>
  <c r="J169" i="60"/>
  <c r="I169"/>
  <c r="H169"/>
  <c r="G169"/>
  <c r="D8"/>
  <c r="L7" i="7" s="1"/>
  <c r="D7" i="60"/>
  <c r="L6" i="7" s="1"/>
  <c r="H41" i="64" l="1"/>
  <c r="G48"/>
  <c r="E48"/>
  <c r="F48"/>
  <c r="H38"/>
  <c r="D48"/>
  <c r="H44"/>
  <c r="H40"/>
  <c r="H39"/>
  <c r="H47"/>
  <c r="J47" s="1"/>
  <c r="H46"/>
  <c r="H45"/>
  <c r="H43"/>
  <c r="H42"/>
  <c r="N11"/>
  <c r="N9"/>
  <c r="N24"/>
  <c r="N22"/>
  <c r="N20"/>
  <c r="N21"/>
  <c r="N17"/>
  <c r="N16"/>
  <c r="H48" l="1"/>
  <c r="N25"/>
  <c r="N10"/>
  <c r="N12" s="1"/>
  <c r="N14"/>
  <c r="M16" i="52" l="1"/>
  <c r="M24"/>
  <c r="E413" i="60" l="1"/>
  <c r="D126" l="1"/>
  <c r="L47" i="7" s="1"/>
  <c r="D124" i="60"/>
  <c r="L45" i="7" s="1"/>
  <c r="D245" i="60" l="1"/>
  <c r="E78" i="58" l="1"/>
  <c r="C79"/>
  <c r="C80" s="1"/>
  <c r="D81"/>
  <c r="C66"/>
  <c r="E79" l="1"/>
  <c r="M19" i="52"/>
  <c r="M18"/>
  <c r="D97" i="58"/>
  <c r="C89"/>
  <c r="C71"/>
  <c r="B62"/>
  <c r="C29"/>
  <c r="D66" s="1"/>
  <c r="B29"/>
  <c r="J28"/>
  <c r="I28"/>
  <c r="H28"/>
  <c r="T28" s="1"/>
  <c r="G28"/>
  <c r="F28"/>
  <c r="E28"/>
  <c r="D28"/>
  <c r="D67" s="1"/>
  <c r="C67" s="1"/>
  <c r="T27"/>
  <c r="R27"/>
  <c r="Q27"/>
  <c r="R26"/>
  <c r="Q26"/>
  <c r="R25"/>
  <c r="Q25"/>
  <c r="R24"/>
  <c r="Q24"/>
  <c r="R23"/>
  <c r="Q23"/>
  <c r="R22"/>
  <c r="Q22"/>
  <c r="Q21"/>
  <c r="Q20"/>
  <c r="R19"/>
  <c r="Q19"/>
  <c r="T18"/>
  <c r="R18"/>
  <c r="Q18"/>
  <c r="Q17"/>
  <c r="R16"/>
  <c r="Q16"/>
  <c r="R15"/>
  <c r="Q15"/>
  <c r="R14"/>
  <c r="Q14"/>
  <c r="R13"/>
  <c r="Q13"/>
  <c r="Q12"/>
  <c r="Q11"/>
  <c r="R10"/>
  <c r="Q10"/>
  <c r="R9"/>
  <c r="Q9"/>
  <c r="Q8"/>
  <c r="T7"/>
  <c r="R7"/>
  <c r="Q7"/>
  <c r="D3"/>
  <c r="E3" s="1"/>
  <c r="D125" i="60"/>
  <c r="L46" i="7" s="1"/>
  <c r="D123" i="60"/>
  <c r="L44" i="7" s="1"/>
  <c r="M23" i="52"/>
  <c r="M22"/>
  <c r="M29"/>
  <c r="M21"/>
  <c r="M28"/>
  <c r="M20"/>
  <c r="M26"/>
  <c r="M12"/>
  <c r="M11"/>
  <c r="M10"/>
  <c r="M15"/>
  <c r="M14"/>
  <c r="M9"/>
  <c r="M8"/>
  <c r="M7"/>
  <c r="C7" i="14"/>
  <c r="E29" i="58" l="1"/>
  <c r="D69" s="1"/>
  <c r="R28"/>
  <c r="C69"/>
  <c r="D29"/>
  <c r="D68" s="1"/>
  <c r="C68" s="1"/>
  <c r="F3"/>
  <c r="F62" s="1"/>
  <c r="D36" i="7" s="1"/>
  <c r="Q28" i="58"/>
  <c r="D62"/>
  <c r="D37" i="7" s="1"/>
  <c r="D42" i="65" s="1"/>
  <c r="C62" i="58"/>
  <c r="D43" i="7" s="1"/>
  <c r="E62" i="58"/>
  <c r="D42" i="7" l="1"/>
  <c r="D46"/>
  <c r="F46" s="1"/>
  <c r="D45"/>
  <c r="F45" s="1"/>
  <c r="D44"/>
  <c r="F44" s="1"/>
  <c r="F42"/>
  <c r="G42" s="1"/>
  <c r="F43"/>
  <c r="D31" i="45" s="1"/>
  <c r="D32" s="1"/>
  <c r="D28"/>
  <c r="E45" i="7"/>
  <c r="E46"/>
  <c r="D41" i="65"/>
  <c r="D43"/>
  <c r="E50" i="7"/>
  <c r="E43"/>
  <c r="E51"/>
  <c r="E69" i="58"/>
  <c r="F69" s="1"/>
  <c r="E66"/>
  <c r="F66" s="1"/>
  <c r="E71"/>
  <c r="F71" s="1"/>
  <c r="E67"/>
  <c r="F67" s="1"/>
  <c r="E44" i="7"/>
  <c r="E42"/>
  <c r="E70" i="58"/>
  <c r="E68"/>
  <c r="F68" s="1"/>
  <c r="D51" i="7"/>
  <c r="F29" i="58"/>
  <c r="D70" s="1"/>
  <c r="G3"/>
  <c r="H42" i="7" l="1"/>
  <c r="D27" i="45"/>
  <c r="D30"/>
  <c r="D29"/>
  <c r="H43" i="7"/>
  <c r="D26" i="45"/>
  <c r="G43" i="7"/>
  <c r="I46" i="64"/>
  <c r="I45"/>
  <c r="I44"/>
  <c r="I41"/>
  <c r="I42"/>
  <c r="G45" i="7"/>
  <c r="I38" i="64" s="1"/>
  <c r="H45" i="7"/>
  <c r="G46"/>
  <c r="H46"/>
  <c r="C70" i="58"/>
  <c r="F70" s="1"/>
  <c r="D50" i="7"/>
  <c r="F51"/>
  <c r="G44"/>
  <c r="H44"/>
  <c r="G29" i="58"/>
  <c r="H3"/>
  <c r="D81" i="64" l="1"/>
  <c r="E81" s="1"/>
  <c r="F81" s="1"/>
  <c r="J44"/>
  <c r="I43"/>
  <c r="I40"/>
  <c r="F50" i="7"/>
  <c r="G50" s="1"/>
  <c r="I39" i="64"/>
  <c r="J43"/>
  <c r="H51" i="7"/>
  <c r="G51"/>
  <c r="H29" i="58"/>
  <c r="I3"/>
  <c r="I48" i="64" l="1"/>
  <c r="J48" s="1"/>
  <c r="H50" i="7"/>
  <c r="J39" i="64"/>
  <c r="J46"/>
  <c r="J40"/>
  <c r="J38"/>
  <c r="F49"/>
  <c r="G49"/>
  <c r="E49"/>
  <c r="D49"/>
  <c r="H49"/>
  <c r="J41"/>
  <c r="J45"/>
  <c r="J42"/>
  <c r="I29" i="58"/>
  <c r="I30" s="1"/>
  <c r="J3"/>
  <c r="J49" i="64" l="1"/>
  <c r="J29" i="58"/>
  <c r="J30" s="1"/>
  <c r="K3"/>
  <c r="K29" l="1"/>
  <c r="K30" s="1"/>
  <c r="L3"/>
  <c r="L29" l="1"/>
  <c r="L30" s="1"/>
  <c r="M3"/>
  <c r="M29" s="1"/>
  <c r="N3" l="1"/>
  <c r="N29" l="1"/>
  <c r="N30" s="1"/>
  <c r="O3"/>
  <c r="O29" l="1"/>
  <c r="P3"/>
  <c r="P29" l="1"/>
  <c r="D27" i="7" s="1"/>
  <c r="Q3" i="58"/>
  <c r="R3" s="1"/>
  <c r="D25" i="55" l="1"/>
  <c r="D23"/>
  <c r="D21"/>
  <c r="D19"/>
  <c r="D18"/>
  <c r="D24"/>
  <c r="D22"/>
  <c r="D20"/>
  <c r="R29" i="58"/>
  <c r="D25" i="7" s="1"/>
  <c r="S3" i="58"/>
  <c r="T3" s="1"/>
  <c r="E12" i="55" l="1"/>
  <c r="T29" i="58"/>
  <c r="T30" s="1"/>
  <c r="E6" i="45" s="1"/>
  <c r="E9" s="1"/>
  <c r="U3" i="58"/>
  <c r="V3" s="1"/>
  <c r="W3" s="1"/>
  <c r="X3" s="1"/>
  <c r="Y3" s="1"/>
  <c r="Z3" s="1"/>
  <c r="AA3" s="1"/>
  <c r="AB3" s="1"/>
  <c r="AC3" s="1"/>
  <c r="AD3" s="1"/>
  <c r="AE3" s="1"/>
  <c r="AF3" s="1"/>
  <c r="AG3" s="1"/>
  <c r="AH3" s="1"/>
  <c r="AI3" s="1"/>
  <c r="AJ3" s="1"/>
  <c r="AK3" s="1"/>
  <c r="AL3" s="1"/>
  <c r="AM3" s="1"/>
  <c r="E10" i="45" l="1"/>
  <c r="F79" i="64"/>
  <c r="E79"/>
  <c r="D79"/>
  <c r="F16" i="45"/>
  <c r="E11"/>
  <c r="F20"/>
  <c r="F15"/>
  <c r="F19"/>
  <c r="F18"/>
  <c r="F17"/>
  <c r="F21"/>
  <c r="E7"/>
  <c r="E9" i="55"/>
  <c r="E7"/>
  <c r="E5"/>
  <c r="E11"/>
  <c r="G11" s="1"/>
  <c r="E24" s="1"/>
  <c r="E10"/>
  <c r="E8"/>
  <c r="E6"/>
  <c r="E8" i="45"/>
  <c r="I32" l="1"/>
  <c r="I30"/>
  <c r="I31"/>
  <c r="I27"/>
  <c r="I28"/>
  <c r="I29"/>
  <c r="I26"/>
  <c r="G17"/>
  <c r="G21"/>
  <c r="G16"/>
  <c r="F22"/>
  <c r="E61" s="1"/>
  <c r="J27" l="1"/>
  <c r="K27" s="1"/>
  <c r="J32"/>
  <c r="K32" s="1"/>
  <c r="J28"/>
  <c r="K28" s="1"/>
  <c r="I33" l="1"/>
  <c r="E16" i="7" l="1"/>
  <c r="E17" l="1"/>
  <c r="J56" i="62" s="1"/>
  <c r="K43" i="64"/>
  <c r="D124" s="1"/>
  <c r="K40"/>
  <c r="D121" s="1"/>
  <c r="H50"/>
  <c r="K38"/>
  <c r="H375" i="60"/>
  <c r="H251"/>
  <c r="D104" i="64"/>
  <c r="H380" i="60"/>
  <c r="H345"/>
  <c r="H151" s="1"/>
  <c r="H248"/>
  <c r="E95" i="64"/>
  <c r="E28" i="21"/>
  <c r="E46"/>
  <c r="E10"/>
  <c r="H10" s="1"/>
  <c r="E67"/>
  <c r="E39"/>
  <c r="E7"/>
  <c r="E77"/>
  <c r="E32" i="45"/>
  <c r="E28"/>
  <c r="F27"/>
  <c r="E18" i="7"/>
  <c r="E26" i="45" l="1"/>
  <c r="E31"/>
  <c r="E82" i="21"/>
  <c r="E81"/>
  <c r="E9"/>
  <c r="E47"/>
  <c r="H47" s="1"/>
  <c r="E19"/>
  <c r="E20" s="1"/>
  <c r="E38"/>
  <c r="E66"/>
  <c r="E92" i="64"/>
  <c r="F104"/>
  <c r="H341" i="60"/>
  <c r="H147" s="1"/>
  <c r="H376"/>
  <c r="E96" i="64"/>
  <c r="H247" i="60"/>
  <c r="H344"/>
  <c r="H150" s="1"/>
  <c r="H379"/>
  <c r="K46" i="64"/>
  <c r="D127" s="1"/>
  <c r="D50"/>
  <c r="D131" s="1"/>
  <c r="F131" s="1"/>
  <c r="K41"/>
  <c r="D122" s="1"/>
  <c r="K47"/>
  <c r="D128" s="1"/>
  <c r="J89" i="62"/>
  <c r="J87"/>
  <c r="J81"/>
  <c r="J79"/>
  <c r="J77"/>
  <c r="J75"/>
  <c r="J69"/>
  <c r="J67"/>
  <c r="J65"/>
  <c r="J59"/>
  <c r="J57"/>
  <c r="J88"/>
  <c r="J86"/>
  <c r="J80"/>
  <c r="J78"/>
  <c r="J76"/>
  <c r="J74"/>
  <c r="J68"/>
  <c r="J66"/>
  <c r="J58"/>
  <c r="J60"/>
  <c r="E19" i="7"/>
  <c r="F32" i="45"/>
  <c r="G32" s="1"/>
  <c r="F251" i="60" s="1"/>
  <c r="F28" i="45"/>
  <c r="G28" s="1"/>
  <c r="E29"/>
  <c r="E27"/>
  <c r="G27" s="1"/>
  <c r="F246" i="60" s="1"/>
  <c r="E30" i="45"/>
  <c r="E86" i="21"/>
  <c r="H86" s="1"/>
  <c r="E80"/>
  <c r="E83"/>
  <c r="E78"/>
  <c r="E11"/>
  <c r="H11" s="1"/>
  <c r="E37"/>
  <c r="E41"/>
  <c r="E49"/>
  <c r="H49" s="1"/>
  <c r="E72"/>
  <c r="H72" s="1"/>
  <c r="E12"/>
  <c r="H12" s="1"/>
  <c r="E8"/>
  <c r="E40"/>
  <c r="E48"/>
  <c r="H48" s="1"/>
  <c r="H100"/>
  <c r="E97" i="64"/>
  <c r="E93"/>
  <c r="H246" i="60"/>
  <c r="H250"/>
  <c r="H343"/>
  <c r="H149" s="1"/>
  <c r="H374"/>
  <c r="H378"/>
  <c r="E98" i="64"/>
  <c r="E94"/>
  <c r="E104"/>
  <c r="I131"/>
  <c r="K131" s="1"/>
  <c r="H245" i="60"/>
  <c r="H249"/>
  <c r="H342"/>
  <c r="H148" s="1"/>
  <c r="H346"/>
  <c r="H152" s="1"/>
  <c r="H377"/>
  <c r="E14"/>
  <c r="M13" i="7" s="1"/>
  <c r="G50" i="64"/>
  <c r="D134" s="1"/>
  <c r="F134" s="1"/>
  <c r="I134" s="1"/>
  <c r="K134" s="1"/>
  <c r="L134" s="1"/>
  <c r="F50"/>
  <c r="D133" s="1"/>
  <c r="F133" s="1"/>
  <c r="I133" s="1"/>
  <c r="K133" s="1"/>
  <c r="L133" s="1"/>
  <c r="K45"/>
  <c r="D126" s="1"/>
  <c r="K39"/>
  <c r="D120" s="1"/>
  <c r="E50"/>
  <c r="D132" s="1"/>
  <c r="F132" s="1"/>
  <c r="I132" s="1"/>
  <c r="K42"/>
  <c r="D123" s="1"/>
  <c r="K44"/>
  <c r="D125" s="1"/>
  <c r="F16" i="7"/>
  <c r="D47" i="65" s="1"/>
  <c r="F24" i="55"/>
  <c r="F380" i="60" s="1"/>
  <c r="G380" s="1"/>
  <c r="F15" i="7"/>
  <c r="E79" i="21"/>
  <c r="E84"/>
  <c r="H84" s="1"/>
  <c r="E71"/>
  <c r="H71" s="1"/>
  <c r="E69"/>
  <c r="E85"/>
  <c r="H85" s="1"/>
  <c r="E70"/>
  <c r="H70" s="1"/>
  <c r="E68"/>
  <c r="H68" s="1"/>
  <c r="D131" i="63"/>
  <c r="D134"/>
  <c r="D119" i="64"/>
  <c r="H119" s="1"/>
  <c r="H126"/>
  <c r="E29" i="21"/>
  <c r="H28"/>
  <c r="H46"/>
  <c r="E306" i="60"/>
  <c r="H306" s="1"/>
  <c r="H347" l="1"/>
  <c r="H62" i="62"/>
  <c r="H172" s="1"/>
  <c r="F42" i="21"/>
  <c r="E95" s="1"/>
  <c r="H95" s="1"/>
  <c r="K61" i="62"/>
  <c r="K62" s="1"/>
  <c r="K172" s="1"/>
  <c r="D132" i="63"/>
  <c r="D152" s="1"/>
  <c r="D133"/>
  <c r="F133" s="1"/>
  <c r="G133" s="1"/>
  <c r="G153" s="1"/>
  <c r="G50" i="21"/>
  <c r="F96" s="1"/>
  <c r="I96" s="1"/>
  <c r="F303" i="60" s="1"/>
  <c r="I303" s="1"/>
  <c r="F50" i="21"/>
  <c r="E96" s="1"/>
  <c r="I62" i="62"/>
  <c r="I172" s="1"/>
  <c r="E33" i="45"/>
  <c r="F61" s="1"/>
  <c r="G61" s="1"/>
  <c r="H61" s="1"/>
  <c r="H381" i="60"/>
  <c r="H154" s="1"/>
  <c r="H61" i="62"/>
  <c r="H83"/>
  <c r="H174" s="1"/>
  <c r="E56" i="60" s="1"/>
  <c r="K82" i="62"/>
  <c r="K83" s="1"/>
  <c r="J82"/>
  <c r="H82"/>
  <c r="I83"/>
  <c r="I82"/>
  <c r="H91"/>
  <c r="H175" s="1"/>
  <c r="H90"/>
  <c r="K90"/>
  <c r="K91" s="1"/>
  <c r="J90"/>
  <c r="J91" s="1"/>
  <c r="I91"/>
  <c r="I90"/>
  <c r="L90" s="1"/>
  <c r="M90" s="1"/>
  <c r="H71"/>
  <c r="H173" s="1"/>
  <c r="J70"/>
  <c r="J71" s="1"/>
  <c r="H70"/>
  <c r="K70"/>
  <c r="K71" s="1"/>
  <c r="I71"/>
  <c r="I70"/>
  <c r="I61"/>
  <c r="L61" s="1"/>
  <c r="J61"/>
  <c r="J62" s="1"/>
  <c r="K132" i="64"/>
  <c r="L132" s="1"/>
  <c r="I135"/>
  <c r="F135"/>
  <c r="H252" i="60"/>
  <c r="H141" s="1"/>
  <c r="K135" i="64"/>
  <c r="L131"/>
  <c r="K50"/>
  <c r="H50" i="21"/>
  <c r="F73"/>
  <c r="E101" s="1"/>
  <c r="F87"/>
  <c r="E102" s="1"/>
  <c r="D52" i="7"/>
  <c r="F52"/>
  <c r="G52"/>
  <c r="H52"/>
  <c r="I380" i="60"/>
  <c r="J380" s="1"/>
  <c r="D46" i="65"/>
  <c r="P7" s="1"/>
  <c r="F17" i="7"/>
  <c r="F132" i="63"/>
  <c r="G132" s="1"/>
  <c r="G152" s="1"/>
  <c r="D153"/>
  <c r="E206" i="60"/>
  <c r="H206" s="1"/>
  <c r="D154" i="63"/>
  <c r="F134"/>
  <c r="G134" s="1"/>
  <c r="G154" s="1"/>
  <c r="E203" i="60"/>
  <c r="H203" s="1"/>
  <c r="F131" i="63"/>
  <c r="G131" s="1"/>
  <c r="G151" s="1"/>
  <c r="D151"/>
  <c r="P15" i="65"/>
  <c r="P19"/>
  <c r="P6"/>
  <c r="P10"/>
  <c r="H134" i="63"/>
  <c r="H131"/>
  <c r="H151" s="1"/>
  <c r="H127" i="64"/>
  <c r="H128"/>
  <c r="H121"/>
  <c r="H120"/>
  <c r="H124"/>
  <c r="H123"/>
  <c r="H125"/>
  <c r="H122"/>
  <c r="H153" i="60"/>
  <c r="H136" s="1"/>
  <c r="H134"/>
  <c r="H28" i="45"/>
  <c r="F247" i="60"/>
  <c r="H133" i="64"/>
  <c r="J133" s="1"/>
  <c r="G133"/>
  <c r="H134"/>
  <c r="J134" s="1"/>
  <c r="G134"/>
  <c r="I251" i="60"/>
  <c r="J251" s="1"/>
  <c r="G251"/>
  <c r="G246"/>
  <c r="I246"/>
  <c r="J246" s="1"/>
  <c r="H132" i="64"/>
  <c r="J132" s="1"/>
  <c r="G132"/>
  <c r="H131"/>
  <c r="D135"/>
  <c r="G131"/>
  <c r="H32" i="45"/>
  <c r="H27"/>
  <c r="H101" i="21"/>
  <c r="H96"/>
  <c r="E30"/>
  <c r="H29"/>
  <c r="E21"/>
  <c r="E204" i="60" l="1"/>
  <c r="H204" s="1"/>
  <c r="K63" i="62"/>
  <c r="K244" s="1"/>
  <c r="H133" i="63"/>
  <c r="E205" i="60"/>
  <c r="H205" s="1"/>
  <c r="P28" i="65"/>
  <c r="P33"/>
  <c r="Q33" s="1"/>
  <c r="P27"/>
  <c r="E103" i="21"/>
  <c r="H102"/>
  <c r="H103" s="1"/>
  <c r="H137" i="60"/>
  <c r="H132" i="63"/>
  <c r="H152" s="1"/>
  <c r="P8" i="65"/>
  <c r="P13"/>
  <c r="P34"/>
  <c r="Q34" s="1"/>
  <c r="P18"/>
  <c r="P9"/>
  <c r="P24"/>
  <c r="P22"/>
  <c r="D135" i="63"/>
  <c r="L62" i="62"/>
  <c r="G67" i="7"/>
  <c r="G54" i="60"/>
  <c r="F18" i="52"/>
  <c r="F22" s="1"/>
  <c r="H22" s="1"/>
  <c r="E55" i="60"/>
  <c r="F7" i="52"/>
  <c r="F12" s="1"/>
  <c r="H12" s="1"/>
  <c r="E57" i="60"/>
  <c r="F14" i="52"/>
  <c r="E54" i="60"/>
  <c r="P31" i="65"/>
  <c r="Q31" s="1"/>
  <c r="G96" i="21"/>
  <c r="L70" i="62"/>
  <c r="M70" s="1"/>
  <c r="P35" i="65"/>
  <c r="Q35" s="1"/>
  <c r="P32"/>
  <c r="Q32" s="1"/>
  <c r="M61" i="62"/>
  <c r="J172"/>
  <c r="J63"/>
  <c r="J244" s="1"/>
  <c r="L71"/>
  <c r="I173"/>
  <c r="F21" i="52"/>
  <c r="H21" s="1"/>
  <c r="L91" i="62"/>
  <c r="I175"/>
  <c r="K175"/>
  <c r="K92"/>
  <c r="K247" s="1"/>
  <c r="L83"/>
  <c r="I174"/>
  <c r="J83"/>
  <c r="J94"/>
  <c r="K94" s="1"/>
  <c r="L172"/>
  <c r="M62"/>
  <c r="M172" s="1"/>
  <c r="N172" s="1"/>
  <c r="K173"/>
  <c r="K72"/>
  <c r="K245" s="1"/>
  <c r="J173"/>
  <c r="J72"/>
  <c r="J245" s="1"/>
  <c r="J175"/>
  <c r="J92"/>
  <c r="J247" s="1"/>
  <c r="L82"/>
  <c r="M82" s="1"/>
  <c r="I94"/>
  <c r="K84"/>
  <c r="K246" s="1"/>
  <c r="K174"/>
  <c r="H94"/>
  <c r="D24" i="63" s="1"/>
  <c r="E135" i="64"/>
  <c r="L135"/>
  <c r="D44" i="65"/>
  <c r="D45" s="1"/>
  <c r="F106" i="64"/>
  <c r="E106"/>
  <c r="H97"/>
  <c r="H98"/>
  <c r="D106"/>
  <c r="H96"/>
  <c r="G99"/>
  <c r="P23" i="65"/>
  <c r="P14"/>
  <c r="F151" i="63"/>
  <c r="F203" i="60"/>
  <c r="G203" s="1"/>
  <c r="F135" i="63"/>
  <c r="E135" s="1"/>
  <c r="I131"/>
  <c r="J131" s="1"/>
  <c r="F154"/>
  <c r="F206" i="60"/>
  <c r="I206" s="1"/>
  <c r="J206" s="1"/>
  <c r="I134" i="63"/>
  <c r="I154" s="1"/>
  <c r="F153"/>
  <c r="F205" i="60"/>
  <c r="I205" s="1"/>
  <c r="I133" i="63"/>
  <c r="I153" s="1"/>
  <c r="F152"/>
  <c r="F204" i="60"/>
  <c r="I204" s="1"/>
  <c r="I132" i="63"/>
  <c r="I152" s="1"/>
  <c r="G206" i="60"/>
  <c r="J134" i="63"/>
  <c r="J154" s="1"/>
  <c r="H154"/>
  <c r="H153"/>
  <c r="G135"/>
  <c r="H135"/>
  <c r="D129" i="64"/>
  <c r="G135"/>
  <c r="J131"/>
  <c r="J135" s="1"/>
  <c r="H135"/>
  <c r="I247" i="60"/>
  <c r="J247" s="1"/>
  <c r="G247"/>
  <c r="E307"/>
  <c r="H307" s="1"/>
  <c r="E22" i="21"/>
  <c r="E31"/>
  <c r="H30"/>
  <c r="E302" i="60"/>
  <c r="H302" s="1"/>
  <c r="E303"/>
  <c r="H303" s="1"/>
  <c r="J96" i="21"/>
  <c r="E207" i="60" l="1"/>
  <c r="E125" s="1"/>
  <c r="M46" i="7" s="1"/>
  <c r="J204" i="60"/>
  <c r="E308"/>
  <c r="H308" s="1"/>
  <c r="J205"/>
  <c r="F9" i="52"/>
  <c r="H9" s="1"/>
  <c r="F10"/>
  <c r="H10" s="1"/>
  <c r="F20"/>
  <c r="G20" s="1"/>
  <c r="I20" s="1"/>
  <c r="F11"/>
  <c r="H11" s="1"/>
  <c r="G18"/>
  <c r="I18" s="1"/>
  <c r="F24"/>
  <c r="H7"/>
  <c r="F8"/>
  <c r="H8" s="1"/>
  <c r="H18"/>
  <c r="F23"/>
  <c r="F19"/>
  <c r="G19" s="1"/>
  <c r="I19" s="1"/>
  <c r="G69" i="7"/>
  <c r="G56" i="60"/>
  <c r="G70" i="7"/>
  <c r="G57" i="60"/>
  <c r="G68" i="7"/>
  <c r="G55" i="60"/>
  <c r="F16" i="52"/>
  <c r="H16" s="1"/>
  <c r="F15"/>
  <c r="H14"/>
  <c r="K248" i="62"/>
  <c r="L35" i="65"/>
  <c r="K176" i="62"/>
  <c r="K193" s="1"/>
  <c r="K196" s="1"/>
  <c r="CC102" i="69"/>
  <c r="CX102" s="1"/>
  <c r="CC101"/>
  <c r="CX101" s="1"/>
  <c r="BZ87"/>
  <c r="CU87" s="1"/>
  <c r="CA89"/>
  <c r="CV89" s="1"/>
  <c r="BZ85"/>
  <c r="CU85" s="1"/>
  <c r="CE60"/>
  <c r="CZ60" s="1"/>
  <c r="CM46"/>
  <c r="DH46" s="1"/>
  <c r="CM44"/>
  <c r="DH44" s="1"/>
  <c r="CM42"/>
  <c r="DH42" s="1"/>
  <c r="CM41"/>
  <c r="DH41" s="1"/>
  <c r="CM47"/>
  <c r="DH47" s="1"/>
  <c r="CE61"/>
  <c r="CZ61" s="1"/>
  <c r="CC100"/>
  <c r="CX100" s="1"/>
  <c r="CA86"/>
  <c r="CV86" s="1"/>
  <c r="BZ88"/>
  <c r="CU88" s="1"/>
  <c r="BZ84"/>
  <c r="CU84" s="1"/>
  <c r="CM48"/>
  <c r="DH48" s="1"/>
  <c r="CM45"/>
  <c r="DH45" s="1"/>
  <c r="CM43"/>
  <c r="DH43" s="1"/>
  <c r="CM40"/>
  <c r="DH40" s="1"/>
  <c r="CM39"/>
  <c r="DH39" s="1"/>
  <c r="CE59"/>
  <c r="CZ59" s="1"/>
  <c r="L175" i="62"/>
  <c r="M91"/>
  <c r="M175" s="1"/>
  <c r="N175" s="1"/>
  <c r="G24" i="52"/>
  <c r="I24" s="1"/>
  <c r="H24"/>
  <c r="L173" i="62"/>
  <c r="M71"/>
  <c r="M173" s="1"/>
  <c r="N173" s="1"/>
  <c r="D26" i="63"/>
  <c r="L94" i="62"/>
  <c r="M94" s="1"/>
  <c r="D25" i="63"/>
  <c r="D11" s="1"/>
  <c r="D27" s="1"/>
  <c r="J174" i="62"/>
  <c r="H176" s="1"/>
  <c r="E58" i="60" s="1"/>
  <c r="J84" i="62"/>
  <c r="J246" s="1"/>
  <c r="H248" s="1"/>
  <c r="L174"/>
  <c r="M83"/>
  <c r="M174" s="1"/>
  <c r="N174" s="1"/>
  <c r="G23" i="52"/>
  <c r="I23" s="1"/>
  <c r="H23"/>
  <c r="L31" i="65"/>
  <c r="L34"/>
  <c r="L32"/>
  <c r="L33"/>
  <c r="G205" i="60"/>
  <c r="J133" i="63"/>
  <c r="J153" s="1"/>
  <c r="G204" i="60"/>
  <c r="I151" i="63"/>
  <c r="I135"/>
  <c r="F207" i="60"/>
  <c r="F125" s="1"/>
  <c r="N46" i="7" s="1"/>
  <c r="I203" i="60"/>
  <c r="I207" s="1"/>
  <c r="I125" s="1"/>
  <c r="J151" i="63"/>
  <c r="J132"/>
  <c r="J152" s="1"/>
  <c r="H129" i="64"/>
  <c r="H207" i="60"/>
  <c r="H125" s="1"/>
  <c r="J303"/>
  <c r="G303"/>
  <c r="E32" i="21"/>
  <c r="H31"/>
  <c r="E23"/>
  <c r="H22"/>
  <c r="E309" i="60"/>
  <c r="E144" s="1"/>
  <c r="D37" i="52" l="1"/>
  <c r="E412" i="60" s="1"/>
  <c r="H20" i="52"/>
  <c r="J18"/>
  <c r="D35"/>
  <c r="E411" i="60" s="1"/>
  <c r="H19" i="52"/>
  <c r="J19" s="1"/>
  <c r="J248" i="62"/>
  <c r="H15" i="52"/>
  <c r="D36"/>
  <c r="E410" i="60" s="1"/>
  <c r="I248" i="62"/>
  <c r="L248" s="1"/>
  <c r="J23" i="52"/>
  <c r="HL181" i="69"/>
  <c r="IG181" s="1"/>
  <c r="IL181" s="1"/>
  <c r="HL177"/>
  <c r="IG177" s="1"/>
  <c r="IL177" s="1"/>
  <c r="HL182"/>
  <c r="IG182" s="1"/>
  <c r="IL182" s="1"/>
  <c r="HL178"/>
  <c r="IG178" s="1"/>
  <c r="IL178" s="1"/>
  <c r="HL183"/>
  <c r="IG183" s="1"/>
  <c r="IL183" s="1"/>
  <c r="HL179"/>
  <c r="IG179" s="1"/>
  <c r="IL179" s="1"/>
  <c r="HL184"/>
  <c r="IG184" s="1"/>
  <c r="IL184" s="1"/>
  <c r="HL180"/>
  <c r="IG180" s="1"/>
  <c r="IL180" s="1"/>
  <c r="HL176"/>
  <c r="IG176" s="1"/>
  <c r="IL176" s="1"/>
  <c r="HD165"/>
  <c r="HY165" s="1"/>
  <c r="IL165" s="1"/>
  <c r="L51" i="61" s="1"/>
  <c r="C51" s="1"/>
  <c r="HD161" i="69"/>
  <c r="HY161" s="1"/>
  <c r="IL161" s="1"/>
  <c r="L47" i="61" s="1"/>
  <c r="C47" s="1"/>
  <c r="HL155" i="69"/>
  <c r="IG155" s="1"/>
  <c r="IL155" s="1"/>
  <c r="L41" i="61" s="1"/>
  <c r="C41" s="1"/>
  <c r="HC148" i="69"/>
  <c r="HX148" s="1"/>
  <c r="IL148" s="1"/>
  <c r="L34" i="61" s="1"/>
  <c r="C34" s="1"/>
  <c r="HD164" i="69"/>
  <c r="HY164" s="1"/>
  <c r="IL164" s="1"/>
  <c r="L50" i="61" s="1"/>
  <c r="C50" s="1"/>
  <c r="HL156" i="69"/>
  <c r="IG156" s="1"/>
  <c r="IL156" s="1"/>
  <c r="L42" i="61" s="1"/>
  <c r="C42" s="1"/>
  <c r="HC151" i="69"/>
  <c r="HX151" s="1"/>
  <c r="IL151" s="1"/>
  <c r="L37" i="61" s="1"/>
  <c r="C37" s="1"/>
  <c r="HC147" i="69"/>
  <c r="HX147" s="1"/>
  <c r="IL147" s="1"/>
  <c r="L33" i="61" s="1"/>
  <c r="C33" s="1"/>
  <c r="GZ126" i="69"/>
  <c r="HU126" s="1"/>
  <c r="IL126" s="1"/>
  <c r="L12" i="61" s="1"/>
  <c r="C12" s="1"/>
  <c r="H193" i="62"/>
  <c r="H196" s="1"/>
  <c r="GX141" i="69"/>
  <c r="HS141" s="1"/>
  <c r="GX137"/>
  <c r="HS137" s="1"/>
  <c r="GX135"/>
  <c r="HS135" s="1"/>
  <c r="GX133"/>
  <c r="HS133" s="1"/>
  <c r="GX129"/>
  <c r="HS129" s="1"/>
  <c r="GX127"/>
  <c r="HS127" s="1"/>
  <c r="GX123"/>
  <c r="HS123" s="1"/>
  <c r="GX121"/>
  <c r="HS121" s="1"/>
  <c r="GX119"/>
  <c r="HS119" s="1"/>
  <c r="HD163"/>
  <c r="HY163" s="1"/>
  <c r="IL163" s="1"/>
  <c r="L49" i="61" s="1"/>
  <c r="C49" s="1"/>
  <c r="HL158" i="69"/>
  <c r="IG158" s="1"/>
  <c r="IL158" s="1"/>
  <c r="L44" i="61" s="1"/>
  <c r="C44" s="1"/>
  <c r="HC150" i="69"/>
  <c r="HX150" s="1"/>
  <c r="IL150" s="1"/>
  <c r="L36" i="61" s="1"/>
  <c r="C36" s="1"/>
  <c r="HA144" i="69"/>
  <c r="HV144" s="1"/>
  <c r="IL144" s="1"/>
  <c r="L30" i="61" s="1"/>
  <c r="C30" s="1"/>
  <c r="HD162" i="69"/>
  <c r="HY162" s="1"/>
  <c r="IL162" s="1"/>
  <c r="L48" i="61" s="1"/>
  <c r="C48" s="1"/>
  <c r="HL154" i="69"/>
  <c r="IG154" s="1"/>
  <c r="IL154" s="1"/>
  <c r="L40" i="61" s="1"/>
  <c r="C40" s="1"/>
  <c r="HC149" i="69"/>
  <c r="HX149" s="1"/>
  <c r="IL149" s="1"/>
  <c r="L35" i="61" s="1"/>
  <c r="C35" s="1"/>
  <c r="HA143" i="69"/>
  <c r="HV143" s="1"/>
  <c r="IL143" s="1"/>
  <c r="L29" i="61" s="1"/>
  <c r="C29" s="1"/>
  <c r="GX142" i="69"/>
  <c r="HS142" s="1"/>
  <c r="GX140"/>
  <c r="HS140" s="1"/>
  <c r="GX136"/>
  <c r="HS136" s="1"/>
  <c r="GX134"/>
  <c r="HS134" s="1"/>
  <c r="GX130"/>
  <c r="HS130" s="1"/>
  <c r="GX128"/>
  <c r="HS128" s="1"/>
  <c r="GX122"/>
  <c r="HS122" s="1"/>
  <c r="GX120"/>
  <c r="HS120" s="1"/>
  <c r="CE100"/>
  <c r="CZ100" s="1"/>
  <c r="CO40"/>
  <c r="DJ40" s="1"/>
  <c r="CO46"/>
  <c r="DJ46" s="1"/>
  <c r="CO44"/>
  <c r="DJ44" s="1"/>
  <c r="CO42"/>
  <c r="DJ42" s="1"/>
  <c r="CG59"/>
  <c r="DB59" s="1"/>
  <c r="CO39"/>
  <c r="DJ39" s="1"/>
  <c r="CE102"/>
  <c r="CZ102" s="1"/>
  <c r="CE101"/>
  <c r="CZ101" s="1"/>
  <c r="CG60"/>
  <c r="DB60" s="1"/>
  <c r="CO48"/>
  <c r="DJ48" s="1"/>
  <c r="CO45"/>
  <c r="DJ45" s="1"/>
  <c r="CO43"/>
  <c r="DJ43" s="1"/>
  <c r="CO41"/>
  <c r="DJ41" s="1"/>
  <c r="CG61"/>
  <c r="DB61" s="1"/>
  <c r="CO47"/>
  <c r="DJ47" s="1"/>
  <c r="CD101"/>
  <c r="CY101" s="1"/>
  <c r="CD100"/>
  <c r="CY100" s="1"/>
  <c r="CB89"/>
  <c r="CW89" s="1"/>
  <c r="BR89" s="1"/>
  <c r="CF61"/>
  <c r="DA61" s="1"/>
  <c r="CN41"/>
  <c r="DI41" s="1"/>
  <c r="CN47"/>
  <c r="DI47" s="1"/>
  <c r="CN46"/>
  <c r="DI46" s="1"/>
  <c r="CN40"/>
  <c r="DI40" s="1"/>
  <c r="CN48"/>
  <c r="DI48" s="1"/>
  <c r="CF60"/>
  <c r="DA60" s="1"/>
  <c r="CD102"/>
  <c r="CY102" s="1"/>
  <c r="CB86"/>
  <c r="CW86" s="1"/>
  <c r="BR86" s="1"/>
  <c r="CF59"/>
  <c r="DA59" s="1"/>
  <c r="CN39"/>
  <c r="DI39" s="1"/>
  <c r="CN42"/>
  <c r="DI42" s="1"/>
  <c r="CN43"/>
  <c r="DI43" s="1"/>
  <c r="CN44"/>
  <c r="DI44" s="1"/>
  <c r="CN45"/>
  <c r="DI45" s="1"/>
  <c r="CF102"/>
  <c r="DA102" s="1"/>
  <c r="CH59"/>
  <c r="DC59" s="1"/>
  <c r="CP47"/>
  <c r="DK47" s="1"/>
  <c r="CP44"/>
  <c r="DK44" s="1"/>
  <c r="CP41"/>
  <c r="DK41" s="1"/>
  <c r="CP45"/>
  <c r="DK45" s="1"/>
  <c r="DN45" s="1"/>
  <c r="ED45" s="1"/>
  <c r="CH60"/>
  <c r="DC60" s="1"/>
  <c r="CF101"/>
  <c r="DA101" s="1"/>
  <c r="CF100"/>
  <c r="DA100" s="1"/>
  <c r="CH61"/>
  <c r="DC61" s="1"/>
  <c r="CP48"/>
  <c r="DK48" s="1"/>
  <c r="CP46"/>
  <c r="DK46" s="1"/>
  <c r="CP42"/>
  <c r="DK42" s="1"/>
  <c r="CP39"/>
  <c r="DK39" s="1"/>
  <c r="CP40"/>
  <c r="DK40" s="1"/>
  <c r="CP43"/>
  <c r="DK43" s="1"/>
  <c r="BR88"/>
  <c r="DN88"/>
  <c r="DQ88" s="1"/>
  <c r="BR85"/>
  <c r="DN85"/>
  <c r="DQ85" s="1"/>
  <c r="DN87"/>
  <c r="DQ87" s="1"/>
  <c r="BR87"/>
  <c r="I176" i="62"/>
  <c r="G58" i="60" s="1"/>
  <c r="J176" i="62"/>
  <c r="J24" i="52"/>
  <c r="J20"/>
  <c r="DN84" i="69"/>
  <c r="DQ84" s="1"/>
  <c r="BR84"/>
  <c r="G207" i="60"/>
  <c r="G125" s="1"/>
  <c r="O46" i="7" s="1"/>
  <c r="L36" i="65"/>
  <c r="L55" s="1"/>
  <c r="M55" s="1"/>
  <c r="F344" i="60" s="1"/>
  <c r="J203"/>
  <c r="J207" s="1"/>
  <c r="J125" s="1"/>
  <c r="J135" i="63"/>
  <c r="H23" i="21"/>
  <c r="H32"/>
  <c r="H33" s="1"/>
  <c r="F33"/>
  <c r="E94" s="1"/>
  <c r="G33"/>
  <c r="F94" s="1"/>
  <c r="I94" s="1"/>
  <c r="F301" i="60" s="1"/>
  <c r="I301" s="1"/>
  <c r="H309"/>
  <c r="H144" s="1"/>
  <c r="D39" i="52" l="1"/>
  <c r="E414" i="60" s="1"/>
  <c r="DN48" i="69"/>
  <c r="ED48" s="1"/>
  <c r="EZ48" s="1"/>
  <c r="DN89"/>
  <c r="DR89" s="1"/>
  <c r="DN86"/>
  <c r="DR86" s="1"/>
  <c r="BR47"/>
  <c r="BR42"/>
  <c r="DN44"/>
  <c r="ED44" s="1"/>
  <c r="DN60"/>
  <c r="DV60" s="1"/>
  <c r="BR41"/>
  <c r="BR102"/>
  <c r="BR40"/>
  <c r="BR60"/>
  <c r="DN42"/>
  <c r="ED42" s="1"/>
  <c r="BR48"/>
  <c r="DN41"/>
  <c r="ED41" s="1"/>
  <c r="DN101"/>
  <c r="DT101" s="1"/>
  <c r="DN61"/>
  <c r="DV61" s="1"/>
  <c r="DN100"/>
  <c r="DT100" s="1"/>
  <c r="DN43"/>
  <c r="EH43" s="1"/>
  <c r="DN39"/>
  <c r="DP39" s="1"/>
  <c r="DN46"/>
  <c r="ED46" s="1"/>
  <c r="EZ46" s="1"/>
  <c r="BR61"/>
  <c r="BR101"/>
  <c r="BR44"/>
  <c r="DN59"/>
  <c r="DV59" s="1"/>
  <c r="L45" i="61"/>
  <c r="L68" s="1"/>
  <c r="BR46" i="69"/>
  <c r="DN40"/>
  <c r="ED40" s="1"/>
  <c r="DN47"/>
  <c r="ED47" s="1"/>
  <c r="EZ47" s="1"/>
  <c r="BR59"/>
  <c r="BR45"/>
  <c r="BR100"/>
  <c r="DN102"/>
  <c r="DT102" s="1"/>
  <c r="BR43"/>
  <c r="BR39"/>
  <c r="CN183"/>
  <c r="DI183" s="1"/>
  <c r="CN179"/>
  <c r="DI179" s="1"/>
  <c r="CN184"/>
  <c r="DI184" s="1"/>
  <c r="CN180"/>
  <c r="DI180" s="1"/>
  <c r="CN176"/>
  <c r="DI176" s="1"/>
  <c r="M248" i="62"/>
  <c r="N248" s="1"/>
  <c r="CN181" i="69"/>
  <c r="DI181" s="1"/>
  <c r="CN177"/>
  <c r="DI177" s="1"/>
  <c r="CN182"/>
  <c r="DI182" s="1"/>
  <c r="CN178"/>
  <c r="DI178" s="1"/>
  <c r="EH45"/>
  <c r="D45"/>
  <c r="G83" i="21" s="1"/>
  <c r="H83" s="1"/>
  <c r="DU45" i="69"/>
  <c r="DP45"/>
  <c r="DY45"/>
  <c r="DX45"/>
  <c r="DT45"/>
  <c r="EB45"/>
  <c r="EA45"/>
  <c r="EI45"/>
  <c r="EC45"/>
  <c r="DQ45"/>
  <c r="DS45"/>
  <c r="DW45"/>
  <c r="DZ45"/>
  <c r="DV45"/>
  <c r="DR45"/>
  <c r="DY88"/>
  <c r="EG88"/>
  <c r="EE88"/>
  <c r="EA88"/>
  <c r="EB88"/>
  <c r="DW88"/>
  <c r="DU88"/>
  <c r="DX88"/>
  <c r="DS88"/>
  <c r="D88"/>
  <c r="L9" i="55" s="1"/>
  <c r="F9" s="1"/>
  <c r="G9" s="1"/>
  <c r="E22" s="1"/>
  <c r="F22" s="1"/>
  <c r="F378" i="60" s="1"/>
  <c r="DV88" i="69"/>
  <c r="EI88"/>
  <c r="EC88"/>
  <c r="EH88"/>
  <c r="DT88"/>
  <c r="ED88"/>
  <c r="DZ88"/>
  <c r="EF88"/>
  <c r="DR88"/>
  <c r="DP88"/>
  <c r="L38" i="61"/>
  <c r="L67" s="1"/>
  <c r="L52"/>
  <c r="L69" s="1"/>
  <c r="DR84" i="69"/>
  <c r="DP84"/>
  <c r="DW84"/>
  <c r="EG84"/>
  <c r="EA84"/>
  <c r="EH84"/>
  <c r="ED84"/>
  <c r="DV84"/>
  <c r="EI84"/>
  <c r="DZ84"/>
  <c r="EF84"/>
  <c r="D84"/>
  <c r="L5" i="55" s="1"/>
  <c r="F5" s="1"/>
  <c r="G5" s="1"/>
  <c r="DX84" i="69"/>
  <c r="EE84"/>
  <c r="DT84"/>
  <c r="DU84"/>
  <c r="DY84"/>
  <c r="DS84"/>
  <c r="EC84"/>
  <c r="EB84"/>
  <c r="I193" i="62"/>
  <c r="I196" s="1"/>
  <c r="L196" s="1"/>
  <c r="L176"/>
  <c r="DP87" i="69"/>
  <c r="DZ87"/>
  <c r="DW87"/>
  <c r="ED87"/>
  <c r="EG87"/>
  <c r="DY87"/>
  <c r="DU87"/>
  <c r="EA87"/>
  <c r="EB87"/>
  <c r="DS87"/>
  <c r="DR87"/>
  <c r="D87"/>
  <c r="L8" i="55" s="1"/>
  <c r="F8" s="1"/>
  <c r="G8" s="1"/>
  <c r="E21" s="1"/>
  <c r="F21" s="1"/>
  <c r="F377" i="60" s="1"/>
  <c r="EH87" i="69"/>
  <c r="EC87"/>
  <c r="EI87"/>
  <c r="EE87"/>
  <c r="EF87"/>
  <c r="DV87"/>
  <c r="DX87"/>
  <c r="DT87"/>
  <c r="DR85"/>
  <c r="EB85"/>
  <c r="DX85"/>
  <c r="EF85"/>
  <c r="DV85"/>
  <c r="DT85"/>
  <c r="DS85"/>
  <c r="EI85"/>
  <c r="DY85"/>
  <c r="EH85"/>
  <c r="ED85"/>
  <c r="DW85"/>
  <c r="EC85"/>
  <c r="EA85"/>
  <c r="DU85"/>
  <c r="EG85"/>
  <c r="DZ85"/>
  <c r="EE85"/>
  <c r="DP85"/>
  <c r="D85"/>
  <c r="L6" i="55" s="1"/>
  <c r="F6" s="1"/>
  <c r="G6" s="1"/>
  <c r="E19" s="1"/>
  <c r="F19" s="1"/>
  <c r="F375" i="60" s="1"/>
  <c r="EG45" i="69"/>
  <c r="EE45"/>
  <c r="EF45"/>
  <c r="F150" i="60"/>
  <c r="I344"/>
  <c r="G344"/>
  <c r="G150" s="1"/>
  <c r="H94" i="21"/>
  <c r="G94"/>
  <c r="DV48" i="69" l="1"/>
  <c r="ER48" s="1"/>
  <c r="D48"/>
  <c r="EE48"/>
  <c r="FA48" s="1"/>
  <c r="EI48"/>
  <c r="FE48" s="1"/>
  <c r="DY48"/>
  <c r="EU48" s="1"/>
  <c r="DS48"/>
  <c r="EO48" s="1"/>
  <c r="DR48"/>
  <c r="EN48" s="1"/>
  <c r="DW48"/>
  <c r="ES48" s="1"/>
  <c r="DX48"/>
  <c r="ET48" s="1"/>
  <c r="EH48"/>
  <c r="FD48" s="1"/>
  <c r="EI44"/>
  <c r="EF48"/>
  <c r="FB48" s="1"/>
  <c r="EG48"/>
  <c r="FC48" s="1"/>
  <c r="EA48"/>
  <c r="EW48" s="1"/>
  <c r="DT48"/>
  <c r="EP48" s="1"/>
  <c r="DQ48"/>
  <c r="EM48" s="1"/>
  <c r="DU48"/>
  <c r="EQ48" s="1"/>
  <c r="EB48"/>
  <c r="EX48" s="1"/>
  <c r="DZ48"/>
  <c r="EV48" s="1"/>
  <c r="EC48"/>
  <c r="EY48" s="1"/>
  <c r="DP48"/>
  <c r="EL48" s="1"/>
  <c r="EC89"/>
  <c r="D41"/>
  <c r="G79" i="21" s="1"/>
  <c r="H79" s="1"/>
  <c r="DS89" i="69"/>
  <c r="EE42"/>
  <c r="EH61"/>
  <c r="DP44"/>
  <c r="DX89"/>
  <c r="EB46"/>
  <c r="EX46" s="1"/>
  <c r="EH102"/>
  <c r="DQ86"/>
  <c r="EH41"/>
  <c r="EI42"/>
  <c r="DZ59"/>
  <c r="D44"/>
  <c r="G82" i="21" s="1"/>
  <c r="H82" s="1"/>
  <c r="DT44" i="69"/>
  <c r="EF89"/>
  <c r="DU89"/>
  <c r="DP89"/>
  <c r="EE100"/>
  <c r="EE47"/>
  <c r="FA47" s="1"/>
  <c r="EG44"/>
  <c r="DX47"/>
  <c r="ET47" s="1"/>
  <c r="DY46"/>
  <c r="EU46" s="1"/>
  <c r="DZ41"/>
  <c r="EC42"/>
  <c r="EB59"/>
  <c r="DR61"/>
  <c r="DV44"/>
  <c r="EA44"/>
  <c r="DS44"/>
  <c r="DW44"/>
  <c r="DT89"/>
  <c r="EA89"/>
  <c r="D89"/>
  <c r="L10" i="55" s="1"/>
  <c r="F10" s="1"/>
  <c r="G10" s="1"/>
  <c r="E23" s="1"/>
  <c r="F23" s="1"/>
  <c r="F379" i="60" s="1"/>
  <c r="I379" s="1"/>
  <c r="J379" s="1"/>
  <c r="ED89" i="69"/>
  <c r="EI89"/>
  <c r="DT43"/>
  <c r="DZ60"/>
  <c r="DU86"/>
  <c r="EF86"/>
  <c r="EC40"/>
  <c r="DR60"/>
  <c r="EG100"/>
  <c r="EH86"/>
  <c r="EE86"/>
  <c r="DY101"/>
  <c r="EH39"/>
  <c r="DR43"/>
  <c r="DW102"/>
  <c r="D40"/>
  <c r="G78" i="21" s="1"/>
  <c r="H78" s="1"/>
  <c r="EC39" i="69"/>
  <c r="EF44"/>
  <c r="EF47"/>
  <c r="FB47" s="1"/>
  <c r="DZ47"/>
  <c r="EV47" s="1"/>
  <c r="DW46"/>
  <c r="ES46" s="1"/>
  <c r="DX46"/>
  <c r="ET46" s="1"/>
  <c r="DX41"/>
  <c r="EC41"/>
  <c r="EF46"/>
  <c r="FB46" s="1"/>
  <c r="DX61"/>
  <c r="EE44"/>
  <c r="DZ42"/>
  <c r="D42"/>
  <c r="G80" i="21" s="1"/>
  <c r="H80" s="1"/>
  <c r="EB102" i="69"/>
  <c r="EH59"/>
  <c r="D59"/>
  <c r="S22" i="65" s="1"/>
  <c r="J22" s="1"/>
  <c r="K22" s="1"/>
  <c r="Q22" s="1"/>
  <c r="L22" s="1"/>
  <c r="EB61" i="69"/>
  <c r="DZ61"/>
  <c r="DY44"/>
  <c r="DZ44"/>
  <c r="DR44"/>
  <c r="EC44"/>
  <c r="DX44"/>
  <c r="DU44"/>
  <c r="EB44"/>
  <c r="DQ44"/>
  <c r="EH44"/>
  <c r="DW89"/>
  <c r="DY89"/>
  <c r="EE89"/>
  <c r="DV89"/>
  <c r="DQ89"/>
  <c r="EH89"/>
  <c r="EB89"/>
  <c r="DZ89"/>
  <c r="EG89"/>
  <c r="DY43"/>
  <c r="DU43"/>
  <c r="DS86"/>
  <c r="EG39"/>
  <c r="DP60"/>
  <c r="EF60"/>
  <c r="DX60"/>
  <c r="DV101"/>
  <c r="DW100"/>
  <c r="EG40"/>
  <c r="DR100"/>
  <c r="DQ100"/>
  <c r="DP100"/>
  <c r="DP40"/>
  <c r="EA86"/>
  <c r="DV86"/>
  <c r="DZ86"/>
  <c r="ED86"/>
  <c r="DP86"/>
  <c r="ED101"/>
  <c r="DT39"/>
  <c r="DR40"/>
  <c r="DZ101"/>
  <c r="EC101"/>
  <c r="DU39"/>
  <c r="DZ39"/>
  <c r="EF40"/>
  <c r="DU100"/>
  <c r="EE40"/>
  <c r="EG60"/>
  <c r="DU60"/>
  <c r="EA60"/>
  <c r="D60"/>
  <c r="S23" i="65" s="1"/>
  <c r="J23" s="1"/>
  <c r="K23" s="1"/>
  <c r="Q23" s="1"/>
  <c r="L23" s="1"/>
  <c r="EF100" i="69"/>
  <c r="ED100"/>
  <c r="EB100"/>
  <c r="EA100"/>
  <c r="DX40"/>
  <c r="DS40"/>
  <c r="DT40"/>
  <c r="DW40"/>
  <c r="EI86"/>
  <c r="DW86"/>
  <c r="D86"/>
  <c r="L7" i="55" s="1"/>
  <c r="F7" s="1"/>
  <c r="G7" s="1"/>
  <c r="E20" s="1"/>
  <c r="F20" s="1"/>
  <c r="F376" i="60" s="1"/>
  <c r="G376" s="1"/>
  <c r="EG86" i="69"/>
  <c r="DT86"/>
  <c r="EB86"/>
  <c r="DX86"/>
  <c r="EC86"/>
  <c r="DY86"/>
  <c r="DQ101"/>
  <c r="EA101"/>
  <c r="DX101"/>
  <c r="EF101"/>
  <c r="DP101"/>
  <c r="EA39"/>
  <c r="EI39"/>
  <c r="DQ39"/>
  <c r="EB39"/>
  <c r="DW60"/>
  <c r="EE39"/>
  <c r="DW101"/>
  <c r="ED60"/>
  <c r="EI60"/>
  <c r="EH60"/>
  <c r="DT60"/>
  <c r="EC60"/>
  <c r="EE60"/>
  <c r="DQ60"/>
  <c r="EB60"/>
  <c r="DS60"/>
  <c r="DV100"/>
  <c r="EF39"/>
  <c r="DU101"/>
  <c r="DY60"/>
  <c r="DY100"/>
  <c r="EI100"/>
  <c r="EH100"/>
  <c r="DX100"/>
  <c r="DS100"/>
  <c r="DZ100"/>
  <c r="EC100"/>
  <c r="D100"/>
  <c r="O14" i="52" s="1"/>
  <c r="G14" s="1"/>
  <c r="I14" s="1"/>
  <c r="J14" s="1"/>
  <c r="DY40" i="69"/>
  <c r="DQ40"/>
  <c r="EB40"/>
  <c r="DU40"/>
  <c r="EI40"/>
  <c r="EA40"/>
  <c r="DV40"/>
  <c r="DZ40"/>
  <c r="EH40"/>
  <c r="DR101"/>
  <c r="EB101"/>
  <c r="EH101"/>
  <c r="EE101"/>
  <c r="DS101"/>
  <c r="EG101"/>
  <c r="EI101"/>
  <c r="D101"/>
  <c r="O15" i="52" s="1"/>
  <c r="G15" s="1"/>
  <c r="I15" s="1"/>
  <c r="J15" s="1"/>
  <c r="ED39" i="69"/>
  <c r="DY39"/>
  <c r="DW39"/>
  <c r="DS39"/>
  <c r="DV39"/>
  <c r="DX39"/>
  <c r="D39"/>
  <c r="G77" i="21" s="1"/>
  <c r="H77" s="1"/>
  <c r="DR39" i="69"/>
  <c r="EG46"/>
  <c r="FC46" s="1"/>
  <c r="EG43"/>
  <c r="DS47"/>
  <c r="EO47" s="1"/>
  <c r="DW47"/>
  <c r="ES47" s="1"/>
  <c r="EH47"/>
  <c r="FD47" s="1"/>
  <c r="EC46"/>
  <c r="EY46" s="1"/>
  <c r="EI46"/>
  <c r="FE46" s="1"/>
  <c r="DP46"/>
  <c r="EJ46" s="1"/>
  <c r="D46"/>
  <c r="DP41"/>
  <c r="DR41"/>
  <c r="DS41"/>
  <c r="EB41"/>
  <c r="EE46"/>
  <c r="FA46" s="1"/>
  <c r="DU102"/>
  <c r="DP42"/>
  <c r="DY42"/>
  <c r="EA42"/>
  <c r="DV42"/>
  <c r="DX102"/>
  <c r="DR102"/>
  <c r="EG59"/>
  <c r="EI59"/>
  <c r="DP59"/>
  <c r="DU59"/>
  <c r="EF59"/>
  <c r="DQ61"/>
  <c r="EI61"/>
  <c r="EG61"/>
  <c r="DU61"/>
  <c r="DW61"/>
  <c r="ED43"/>
  <c r="EC43"/>
  <c r="EB43"/>
  <c r="DV43"/>
  <c r="D43"/>
  <c r="G81" i="21" s="1"/>
  <c r="H81" s="1"/>
  <c r="DX59" i="69"/>
  <c r="EF41"/>
  <c r="EE43"/>
  <c r="DY59"/>
  <c r="DY61"/>
  <c r="EA47"/>
  <c r="EW47" s="1"/>
  <c r="DT47"/>
  <c r="EP47" s="1"/>
  <c r="DY47"/>
  <c r="EU47" s="1"/>
  <c r="DQ47"/>
  <c r="EM47" s="1"/>
  <c r="DV46"/>
  <c r="ER46" s="1"/>
  <c r="DU46"/>
  <c r="EQ46" s="1"/>
  <c r="DR46"/>
  <c r="EN46" s="1"/>
  <c r="DS46"/>
  <c r="EO46" s="1"/>
  <c r="DT46"/>
  <c r="EP46" s="1"/>
  <c r="DZ46"/>
  <c r="EV46" s="1"/>
  <c r="DQ46"/>
  <c r="EM46" s="1"/>
  <c r="EA46"/>
  <c r="EW46" s="1"/>
  <c r="EH46"/>
  <c r="FD46" s="1"/>
  <c r="EA41"/>
  <c r="DT41"/>
  <c r="DY41"/>
  <c r="DW41"/>
  <c r="EI41"/>
  <c r="DV41"/>
  <c r="DU41"/>
  <c r="DQ41"/>
  <c r="EF42"/>
  <c r="EF43"/>
  <c r="EE41"/>
  <c r="DW59"/>
  <c r="EG41"/>
  <c r="EG42"/>
  <c r="EB42"/>
  <c r="DW42"/>
  <c r="DQ42"/>
  <c r="DU42"/>
  <c r="DT42"/>
  <c r="DR42"/>
  <c r="DS42"/>
  <c r="DX42"/>
  <c r="EH42"/>
  <c r="DY102"/>
  <c r="EA102"/>
  <c r="EI102"/>
  <c r="D102"/>
  <c r="O16" i="52" s="1"/>
  <c r="G16" s="1"/>
  <c r="I16" s="1"/>
  <c r="J16" s="1"/>
  <c r="EE59" i="69"/>
  <c r="EC59"/>
  <c r="DS59"/>
  <c r="ED59"/>
  <c r="DQ59"/>
  <c r="DR59"/>
  <c r="EA59"/>
  <c r="DT59"/>
  <c r="DP61"/>
  <c r="D61"/>
  <c r="S24" i="65" s="1"/>
  <c r="J24" s="1"/>
  <c r="K24" s="1"/>
  <c r="Q24" s="1"/>
  <c r="L24" s="1"/>
  <c r="EC61" i="69"/>
  <c r="DS61"/>
  <c r="EF61"/>
  <c r="EE61"/>
  <c r="DT61"/>
  <c r="EA61"/>
  <c r="ED61"/>
  <c r="DQ43"/>
  <c r="DX43"/>
  <c r="DZ43"/>
  <c r="EI43"/>
  <c r="DP43"/>
  <c r="DS43"/>
  <c r="EA43"/>
  <c r="DW43"/>
  <c r="DV102"/>
  <c r="DV47"/>
  <c r="ER47" s="1"/>
  <c r="DU47"/>
  <c r="EQ47" s="1"/>
  <c r="EB47"/>
  <c r="EX47" s="1"/>
  <c r="DR47"/>
  <c r="EN47" s="1"/>
  <c r="EI47"/>
  <c r="FE47" s="1"/>
  <c r="D47"/>
  <c r="DP47"/>
  <c r="EL47" s="1"/>
  <c r="EC47"/>
  <c r="EY47" s="1"/>
  <c r="EG47"/>
  <c r="FC47" s="1"/>
  <c r="DS102"/>
  <c r="DQ102"/>
  <c r="DZ102"/>
  <c r="EG102"/>
  <c r="ED102"/>
  <c r="EC102"/>
  <c r="EE102"/>
  <c r="EF102"/>
  <c r="DP102"/>
  <c r="EM88"/>
  <c r="ET87"/>
  <c r="EY84"/>
  <c r="FC45"/>
  <c r="EP84"/>
  <c r="EM84"/>
  <c r="EL85"/>
  <c r="BT85"/>
  <c r="BV85" s="1"/>
  <c r="EJ85"/>
  <c r="EL87"/>
  <c r="EJ87"/>
  <c r="BT87"/>
  <c r="BV87" s="1"/>
  <c r="I375" i="60"/>
  <c r="J375" s="1"/>
  <c r="G375"/>
  <c r="I377"/>
  <c r="J377" s="1"/>
  <c r="G377"/>
  <c r="CF163" i="69"/>
  <c r="DA163" s="1"/>
  <c r="CN156"/>
  <c r="DI156" s="1"/>
  <c r="CF164"/>
  <c r="DA164" s="1"/>
  <c r="CN158"/>
  <c r="DI158" s="1"/>
  <c r="CN154"/>
  <c r="DI154" s="1"/>
  <c r="CE150"/>
  <c r="CZ150" s="1"/>
  <c r="CE148"/>
  <c r="CZ148" s="1"/>
  <c r="CC144"/>
  <c r="CX144" s="1"/>
  <c r="CB126"/>
  <c r="CW126" s="1"/>
  <c r="BZ137"/>
  <c r="BZ122"/>
  <c r="BZ140"/>
  <c r="BZ142"/>
  <c r="BZ133"/>
  <c r="BZ128"/>
  <c r="BZ134"/>
  <c r="BZ136"/>
  <c r="BZ121"/>
  <c r="BZ113"/>
  <c r="CU113" s="1"/>
  <c r="BZ114"/>
  <c r="CU114" s="1"/>
  <c r="BZ108"/>
  <c r="CU108" s="1"/>
  <c r="BZ96"/>
  <c r="CU96" s="1"/>
  <c r="BZ97"/>
  <c r="CU97" s="1"/>
  <c r="BZ93"/>
  <c r="CU93" s="1"/>
  <c r="BZ70"/>
  <c r="CU70" s="1"/>
  <c r="BZ69"/>
  <c r="CU69" s="1"/>
  <c r="BZ65"/>
  <c r="CU65" s="1"/>
  <c r="BZ54"/>
  <c r="CU54" s="1"/>
  <c r="BZ52"/>
  <c r="CU52" s="1"/>
  <c r="BZ31"/>
  <c r="CU31" s="1"/>
  <c r="BZ28"/>
  <c r="CU28" s="1"/>
  <c r="CB14"/>
  <c r="CW14" s="1"/>
  <c r="CM10"/>
  <c r="DH10" s="1"/>
  <c r="CF162"/>
  <c r="DA162" s="1"/>
  <c r="CF165"/>
  <c r="DA165" s="1"/>
  <c r="CF161"/>
  <c r="DA161" s="1"/>
  <c r="CN155"/>
  <c r="DI155" s="1"/>
  <c r="CE151"/>
  <c r="CZ151" s="1"/>
  <c r="CE149"/>
  <c r="CZ149" s="1"/>
  <c r="CE147"/>
  <c r="CZ147" s="1"/>
  <c r="CC143"/>
  <c r="CX143" s="1"/>
  <c r="BZ135"/>
  <c r="BZ120"/>
  <c r="BZ129"/>
  <c r="BZ130"/>
  <c r="BZ141"/>
  <c r="BZ127"/>
  <c r="BZ119"/>
  <c r="BZ123"/>
  <c r="CA115"/>
  <c r="CV115" s="1"/>
  <c r="CB112"/>
  <c r="CW112" s="1"/>
  <c r="BZ107"/>
  <c r="CU107" s="1"/>
  <c r="BZ98"/>
  <c r="CU98" s="1"/>
  <c r="BZ94"/>
  <c r="CU94" s="1"/>
  <c r="BZ95"/>
  <c r="CU95" s="1"/>
  <c r="CC80"/>
  <c r="CX80" s="1"/>
  <c r="CC81"/>
  <c r="CX81" s="1"/>
  <c r="BZ64"/>
  <c r="CU64" s="1"/>
  <c r="BZ66"/>
  <c r="CU66" s="1"/>
  <c r="BZ55"/>
  <c r="CU55" s="1"/>
  <c r="BZ56"/>
  <c r="CU56" s="1"/>
  <c r="BZ53"/>
  <c r="CU53" s="1"/>
  <c r="BZ33"/>
  <c r="CU33" s="1"/>
  <c r="BZ30"/>
  <c r="CU30" s="1"/>
  <c r="BZ23"/>
  <c r="CU23" s="1"/>
  <c r="BY15"/>
  <c r="CT15" s="1"/>
  <c r="BY13"/>
  <c r="CT13" s="1"/>
  <c r="L193" i="62"/>
  <c r="M176"/>
  <c r="E18" i="55"/>
  <c r="EJ84" i="69"/>
  <c r="BT84"/>
  <c r="BV84" s="1"/>
  <c r="EL84"/>
  <c r="BT45"/>
  <c r="BV45" s="1"/>
  <c r="EJ45"/>
  <c r="EL45"/>
  <c r="DN178"/>
  <c r="BR178"/>
  <c r="DN177"/>
  <c r="BR177"/>
  <c r="DN180"/>
  <c r="EE180" s="1"/>
  <c r="BR180"/>
  <c r="BR179"/>
  <c r="DN179"/>
  <c r="EQ85"/>
  <c r="EZ85"/>
  <c r="EO85"/>
  <c r="FB87"/>
  <c r="FD87"/>
  <c r="EX87"/>
  <c r="EQ87"/>
  <c r="FC87"/>
  <c r="ES87"/>
  <c r="FB45"/>
  <c r="FA45"/>
  <c r="EM87"/>
  <c r="FA85"/>
  <c r="FC85"/>
  <c r="EW85"/>
  <c r="ES85"/>
  <c r="FD85"/>
  <c r="FE85"/>
  <c r="EP85"/>
  <c r="FB85"/>
  <c r="EX85"/>
  <c r="EP87"/>
  <c r="ER87"/>
  <c r="FA87"/>
  <c r="EY87"/>
  <c r="EO87"/>
  <c r="EW87"/>
  <c r="EU87"/>
  <c r="EZ87"/>
  <c r="EV87"/>
  <c r="EX84"/>
  <c r="EO84"/>
  <c r="EQ84"/>
  <c r="FA84"/>
  <c r="EV84"/>
  <c r="ER84"/>
  <c r="FD84"/>
  <c r="FC84"/>
  <c r="EN88"/>
  <c r="EV88"/>
  <c r="EP88"/>
  <c r="EY88"/>
  <c r="ER88"/>
  <c r="EO88"/>
  <c r="EQ88"/>
  <c r="EX88"/>
  <c r="FA88"/>
  <c r="EU88"/>
  <c r="ER45"/>
  <c r="ES45"/>
  <c r="EM45"/>
  <c r="FE45"/>
  <c r="EX45"/>
  <c r="ET45"/>
  <c r="EM85"/>
  <c r="M196" i="62"/>
  <c r="N196" s="1"/>
  <c r="R86" i="64"/>
  <c r="EJ48" i="69"/>
  <c r="EJ88"/>
  <c r="BT88"/>
  <c r="BV88" s="1"/>
  <c r="EL88"/>
  <c r="G378" i="60"/>
  <c r="I378"/>
  <c r="J378" s="1"/>
  <c r="BR182" i="69"/>
  <c r="DN182"/>
  <c r="DN181"/>
  <c r="BR181"/>
  <c r="BR176"/>
  <c r="DN176"/>
  <c r="DN184"/>
  <c r="BR184"/>
  <c r="DN183"/>
  <c r="BR183"/>
  <c r="EV85"/>
  <c r="EY85"/>
  <c r="EU85"/>
  <c r="ER85"/>
  <c r="ET85"/>
  <c r="EN85"/>
  <c r="FE87"/>
  <c r="EN87"/>
  <c r="EU84"/>
  <c r="ET84"/>
  <c r="FB84"/>
  <c r="FE84"/>
  <c r="EZ84"/>
  <c r="EW84"/>
  <c r="ES84"/>
  <c r="EN84"/>
  <c r="EZ45"/>
  <c r="FB88"/>
  <c r="EZ88"/>
  <c r="FD88"/>
  <c r="FE88"/>
  <c r="ET88"/>
  <c r="ES88"/>
  <c r="EW88"/>
  <c r="FC88"/>
  <c r="EN45"/>
  <c r="EV45"/>
  <c r="EO45"/>
  <c r="EY45"/>
  <c r="EW45"/>
  <c r="EP45"/>
  <c r="EU45"/>
  <c r="EQ45"/>
  <c r="FD45"/>
  <c r="J344" i="60"/>
  <c r="J150" s="1"/>
  <c r="I150"/>
  <c r="E301"/>
  <c r="H301" s="1"/>
  <c r="J94" i="21"/>
  <c r="BT48" i="69" l="1"/>
  <c r="BV48" s="1"/>
  <c r="GM48" s="1"/>
  <c r="ES86"/>
  <c r="EZ100"/>
  <c r="EJ89"/>
  <c r="ES89"/>
  <c r="EP44"/>
  <c r="FA44"/>
  <c r="ET89"/>
  <c r="EQ42"/>
  <c r="EZ40"/>
  <c r="FC89"/>
  <c r="EV44"/>
  <c r="EO89"/>
  <c r="EW89"/>
  <c r="G379" i="60"/>
  <c r="EN89" i="69"/>
  <c r="BT44"/>
  <c r="BV44" s="1"/>
  <c r="GJ44" s="1"/>
  <c r="EN40"/>
  <c r="EM89"/>
  <c r="EQ44"/>
  <c r="ER44"/>
  <c r="EN39"/>
  <c r="EJ44"/>
  <c r="FA61"/>
  <c r="EY59"/>
  <c r="EL40"/>
  <c r="EX89"/>
  <c r="EQ89"/>
  <c r="FA89"/>
  <c r="EY44"/>
  <c r="FB44"/>
  <c r="FD86"/>
  <c r="ET60"/>
  <c r="EP89"/>
  <c r="EM44"/>
  <c r="EM60"/>
  <c r="FE44"/>
  <c r="L25" i="65"/>
  <c r="L54" s="1"/>
  <c r="M54" s="1"/>
  <c r="F342" i="60" s="1"/>
  <c r="G342" s="1"/>
  <c r="G148" s="1"/>
  <c r="EZ42" i="69"/>
  <c r="EW40"/>
  <c r="ET40"/>
  <c r="FD60"/>
  <c r="EJ101"/>
  <c r="EW100"/>
  <c r="BT86"/>
  <c r="BV86" s="1"/>
  <c r="GT86" s="1"/>
  <c r="EP100"/>
  <c r="EO86"/>
  <c r="EV89"/>
  <c r="FD89"/>
  <c r="BT89"/>
  <c r="BV89" s="1"/>
  <c r="GU89" s="1"/>
  <c r="EU89"/>
  <c r="FD44"/>
  <c r="EX44"/>
  <c r="ET44"/>
  <c r="EL44"/>
  <c r="EU44"/>
  <c r="FB101"/>
  <c r="ER89"/>
  <c r="EN44"/>
  <c r="ET86"/>
  <c r="EP101"/>
  <c r="ER101"/>
  <c r="FE89"/>
  <c r="EZ89"/>
  <c r="EY89"/>
  <c r="FB89"/>
  <c r="ES44"/>
  <c r="EO44"/>
  <c r="EW44"/>
  <c r="FA86"/>
  <c r="EU100"/>
  <c r="FC44"/>
  <c r="EZ44"/>
  <c r="EL89"/>
  <c r="EM102"/>
  <c r="EX39"/>
  <c r="EL43"/>
  <c r="EX59"/>
  <c r="FD61"/>
  <c r="EO41"/>
  <c r="ES39"/>
  <c r="EW101"/>
  <c r="EQ43"/>
  <c r="FC39"/>
  <c r="FA40"/>
  <c r="EM41"/>
  <c r="EU86"/>
  <c r="EY102"/>
  <c r="EX102"/>
  <c r="EW43"/>
  <c r="ES59"/>
  <c r="BT59"/>
  <c r="BV59" s="1"/>
  <c r="GT59" s="1"/>
  <c r="EW42"/>
  <c r="FA101"/>
  <c r="EO100"/>
  <c r="EM101"/>
  <c r="EJ60"/>
  <c r="FE39"/>
  <c r="EL86"/>
  <c r="EX100"/>
  <c r="FB100"/>
  <c r="EM40"/>
  <c r="ES100"/>
  <c r="EU43"/>
  <c r="ER39"/>
  <c r="EZ39"/>
  <c r="ET101"/>
  <c r="EP86"/>
  <c r="EO40"/>
  <c r="EN59"/>
  <c r="EU60"/>
  <c r="EO60"/>
  <c r="EY60"/>
  <c r="G87" i="21"/>
  <c r="F102" s="1"/>
  <c r="I102" s="1"/>
  <c r="I376" i="60"/>
  <c r="J376" s="1"/>
  <c r="EL100" i="69"/>
  <c r="FB86"/>
  <c r="EM86"/>
  <c r="EQ86"/>
  <c r="EQ60"/>
  <c r="EL46"/>
  <c r="FY46" s="1"/>
  <c r="FB102"/>
  <c r="ET42"/>
  <c r="FC101"/>
  <c r="EY100"/>
  <c r="FC102"/>
  <c r="EQ102"/>
  <c r="EP43"/>
  <c r="ET43"/>
  <c r="EN61"/>
  <c r="ES41"/>
  <c r="FB59"/>
  <c r="EZ59"/>
  <c r="EL42"/>
  <c r="EJ41"/>
  <c r="ET39"/>
  <c r="EO39"/>
  <c r="EU39"/>
  <c r="EX101"/>
  <c r="EJ100"/>
  <c r="FD100"/>
  <c r="BT101"/>
  <c r="BV101" s="1"/>
  <c r="GK101" s="1"/>
  <c r="ER100"/>
  <c r="EX60"/>
  <c r="FA60"/>
  <c r="ER60"/>
  <c r="FE60"/>
  <c r="EM39"/>
  <c r="EW39"/>
  <c r="EJ86"/>
  <c r="FE86"/>
  <c r="FB40"/>
  <c r="EW60"/>
  <c r="FC60"/>
  <c r="EJ47"/>
  <c r="EN43"/>
  <c r="EY101"/>
  <c r="EZ101"/>
  <c r="EV101"/>
  <c r="EU101"/>
  <c r="EW61"/>
  <c r="EO61"/>
  <c r="EY86"/>
  <c r="EX86"/>
  <c r="FC86"/>
  <c r="ES40"/>
  <c r="EP40"/>
  <c r="EY40"/>
  <c r="EP59"/>
  <c r="EY42"/>
  <c r="EU42"/>
  <c r="FA100"/>
  <c r="EM100"/>
  <c r="FC100"/>
  <c r="EN100"/>
  <c r="FC40"/>
  <c r="EQ101"/>
  <c r="EP60"/>
  <c r="EL39"/>
  <c r="BT40"/>
  <c r="BV40" s="1"/>
  <c r="GN40" s="1"/>
  <c r="EZ86"/>
  <c r="EV86"/>
  <c r="ER86"/>
  <c r="EW86"/>
  <c r="EV40"/>
  <c r="EQ40"/>
  <c r="FD102"/>
  <c r="EN86"/>
  <c r="FD41"/>
  <c r="G12" i="55"/>
  <c r="F12" s="1"/>
  <c r="ES102" i="69"/>
  <c r="EY39"/>
  <c r="FE101"/>
  <c r="H87" i="21"/>
  <c r="EV100" i="69"/>
  <c r="BT43"/>
  <c r="BV43" s="1"/>
  <c r="GJ43" s="1"/>
  <c r="FD59"/>
  <c r="ES42"/>
  <c r="ER41"/>
  <c r="ET59"/>
  <c r="EX61"/>
  <c r="EQ59"/>
  <c r="EN102"/>
  <c r="EX41"/>
  <c r="EN41"/>
  <c r="EO101"/>
  <c r="FD101"/>
  <c r="EN101"/>
  <c r="EU40"/>
  <c r="EQ100"/>
  <c r="FE100"/>
  <c r="FB39"/>
  <c r="EL60"/>
  <c r="EZ60"/>
  <c r="FA39"/>
  <c r="EP41"/>
  <c r="BT39"/>
  <c r="BV39" s="1"/>
  <c r="GO39" s="1"/>
  <c r="EJ39"/>
  <c r="EL101"/>
  <c r="EL61"/>
  <c r="EJ40"/>
  <c r="BT102"/>
  <c r="BV102" s="1"/>
  <c r="GO102" s="1"/>
  <c r="EJ42"/>
  <c r="BT100"/>
  <c r="BV100" s="1"/>
  <c r="GF100" s="1"/>
  <c r="FD43"/>
  <c r="FE43"/>
  <c r="FD39"/>
  <c r="EV39"/>
  <c r="EP39"/>
  <c r="EQ39"/>
  <c r="EV61"/>
  <c r="FD40"/>
  <c r="ER40"/>
  <c r="FE40"/>
  <c r="EX40"/>
  <c r="ET102"/>
  <c r="EN42"/>
  <c r="ET100"/>
  <c r="EV60"/>
  <c r="FB60"/>
  <c r="EN60"/>
  <c r="BT60"/>
  <c r="BV60" s="1"/>
  <c r="GL60" s="1"/>
  <c r="ES101"/>
  <c r="ES60"/>
  <c r="EU102"/>
  <c r="FD42"/>
  <c r="FC41"/>
  <c r="FA102"/>
  <c r="EZ102"/>
  <c r="EV102"/>
  <c r="EO102"/>
  <c r="EJ43"/>
  <c r="EV43"/>
  <c r="EM43"/>
  <c r="EW102"/>
  <c r="EO42"/>
  <c r="EP42"/>
  <c r="FA42"/>
  <c r="EX42"/>
  <c r="FA41"/>
  <c r="FB42"/>
  <c r="FE41"/>
  <c r="EU41"/>
  <c r="EW41"/>
  <c r="EU61"/>
  <c r="FA43"/>
  <c r="ER43"/>
  <c r="EY43"/>
  <c r="ES61"/>
  <c r="FC61"/>
  <c r="ET61"/>
  <c r="FE59"/>
  <c r="ER42"/>
  <c r="EL41"/>
  <c r="EU59"/>
  <c r="FB41"/>
  <c r="EZ41"/>
  <c r="EX43"/>
  <c r="EZ43"/>
  <c r="EZ61"/>
  <c r="EP61"/>
  <c r="FB61"/>
  <c r="EY61"/>
  <c r="ER59"/>
  <c r="EW59"/>
  <c r="EM59"/>
  <c r="EO59"/>
  <c r="FA59"/>
  <c r="FE42"/>
  <c r="EV42"/>
  <c r="FB43"/>
  <c r="EQ41"/>
  <c r="BT61"/>
  <c r="BV61" s="1"/>
  <c r="GR61" s="1"/>
  <c r="EJ61"/>
  <c r="EJ102"/>
  <c r="EL102"/>
  <c r="BT42"/>
  <c r="BV42" s="1"/>
  <c r="GQ42" s="1"/>
  <c r="ES43"/>
  <c r="EO43"/>
  <c r="EQ61"/>
  <c r="FE61"/>
  <c r="EM61"/>
  <c r="EV59"/>
  <c r="FC59"/>
  <c r="FE102"/>
  <c r="EM42"/>
  <c r="ER61"/>
  <c r="FC42"/>
  <c r="EY41"/>
  <c r="EV41"/>
  <c r="ET41"/>
  <c r="FC43"/>
  <c r="EJ59"/>
  <c r="EL59"/>
  <c r="E36" i="52"/>
  <c r="F410" i="60" s="1"/>
  <c r="BT41" i="69"/>
  <c r="BV41" s="1"/>
  <c r="GT41" s="1"/>
  <c r="BT46"/>
  <c r="BV46" s="1"/>
  <c r="GL46" s="1"/>
  <c r="EP102"/>
  <c r="ER102"/>
  <c r="BT47"/>
  <c r="BV47" s="1"/>
  <c r="GH47" s="1"/>
  <c r="GR39"/>
  <c r="EE183"/>
  <c r="D183"/>
  <c r="K7" i="63" s="1"/>
  <c r="DZ183" i="69"/>
  <c r="DT183"/>
  <c r="DX183"/>
  <c r="DS183"/>
  <c r="DY183"/>
  <c r="DW183"/>
  <c r="DQ183"/>
  <c r="ED183"/>
  <c r="EB183"/>
  <c r="EG183"/>
  <c r="DP183"/>
  <c r="EH183"/>
  <c r="DV183"/>
  <c r="EI183"/>
  <c r="EF183"/>
  <c r="DR183"/>
  <c r="DU183"/>
  <c r="EA183"/>
  <c r="EC183"/>
  <c r="EE184"/>
  <c r="DP184"/>
  <c r="DT184"/>
  <c r="EG184"/>
  <c r="DQ184"/>
  <c r="DV184"/>
  <c r="DZ184"/>
  <c r="EB184"/>
  <c r="DS184"/>
  <c r="EI184"/>
  <c r="DR184"/>
  <c r="EF184"/>
  <c r="DY184"/>
  <c r="DW184"/>
  <c r="EA184"/>
  <c r="EC184"/>
  <c r="DX184"/>
  <c r="D184"/>
  <c r="L7" i="63" s="1"/>
  <c r="DU184" i="69"/>
  <c r="ED184"/>
  <c r="EH184"/>
  <c r="EE181"/>
  <c r="DV181"/>
  <c r="DU181"/>
  <c r="EC181"/>
  <c r="DQ181"/>
  <c r="DZ181"/>
  <c r="DW181"/>
  <c r="DP181"/>
  <c r="EH181"/>
  <c r="DY181"/>
  <c r="ED181"/>
  <c r="D181"/>
  <c r="I7" i="63" s="1"/>
  <c r="I71" s="1"/>
  <c r="I73" s="1"/>
  <c r="I75" s="1"/>
  <c r="I85" s="1"/>
  <c r="I91" s="1"/>
  <c r="EA181" i="69"/>
  <c r="DR181"/>
  <c r="EF181"/>
  <c r="EG181"/>
  <c r="DS181"/>
  <c r="DT181"/>
  <c r="EB181"/>
  <c r="DX181"/>
  <c r="EI181"/>
  <c r="GI61"/>
  <c r="GS88"/>
  <c r="GP88"/>
  <c r="GF88"/>
  <c r="GT88"/>
  <c r="GL88"/>
  <c r="GE88"/>
  <c r="GJ88"/>
  <c r="GG88"/>
  <c r="GM88"/>
  <c r="GK88"/>
  <c r="GH88"/>
  <c r="GR88"/>
  <c r="GI88"/>
  <c r="GN88"/>
  <c r="GQ88"/>
  <c r="GU88"/>
  <c r="GO88"/>
  <c r="GH48"/>
  <c r="FU48"/>
  <c r="FZ48"/>
  <c r="FJ48"/>
  <c r="FK48"/>
  <c r="FP48"/>
  <c r="FY48"/>
  <c r="FI48"/>
  <c r="FN48"/>
  <c r="FO48"/>
  <c r="FT48"/>
  <c r="FM48"/>
  <c r="FR48"/>
  <c r="FS48"/>
  <c r="FX48"/>
  <c r="FH48"/>
  <c r="FQ48"/>
  <c r="FV48"/>
  <c r="FW48"/>
  <c r="FG48"/>
  <c r="FL48"/>
  <c r="GQ84"/>
  <c r="GM84"/>
  <c r="GN84"/>
  <c r="GL84"/>
  <c r="GT84"/>
  <c r="GU84"/>
  <c r="GR84"/>
  <c r="GO84"/>
  <c r="GS84"/>
  <c r="GP84"/>
  <c r="GF84"/>
  <c r="GK84"/>
  <c r="GI84"/>
  <c r="GH84"/>
  <c r="GJ84"/>
  <c r="GG84"/>
  <c r="N176" i="62"/>
  <c r="N193" s="1"/>
  <c r="M193"/>
  <c r="BR13" i="69"/>
  <c r="DN13"/>
  <c r="BR112"/>
  <c r="DN112"/>
  <c r="DS112" s="1"/>
  <c r="CU123"/>
  <c r="IE123"/>
  <c r="IL123" s="1"/>
  <c r="L9" i="61" s="1"/>
  <c r="C9" s="1"/>
  <c r="CU127" i="69"/>
  <c r="IE127"/>
  <c r="IL127" s="1"/>
  <c r="L13" i="61" s="1"/>
  <c r="C13" s="1"/>
  <c r="CU130" i="69"/>
  <c r="IE130"/>
  <c r="IL130" s="1"/>
  <c r="L16" i="61" s="1"/>
  <c r="C16" s="1"/>
  <c r="IE120" i="69"/>
  <c r="IL120" s="1"/>
  <c r="L6" i="61" s="1"/>
  <c r="C6" s="1"/>
  <c r="CU120" i="69"/>
  <c r="DN155"/>
  <c r="EE155" s="1"/>
  <c r="BR155"/>
  <c r="DN165"/>
  <c r="DW165" s="1"/>
  <c r="BR165"/>
  <c r="CU136"/>
  <c r="IE136"/>
  <c r="IL136" s="1"/>
  <c r="L22" i="61" s="1"/>
  <c r="C22" s="1"/>
  <c r="CU128" i="69"/>
  <c r="IE128"/>
  <c r="IL128" s="1"/>
  <c r="L14" i="61" s="1"/>
  <c r="C14" s="1"/>
  <c r="CU142" i="69"/>
  <c r="IE142"/>
  <c r="IL142" s="1"/>
  <c r="L28" i="61" s="1"/>
  <c r="C28" s="1"/>
  <c r="CU122" i="69"/>
  <c r="IE122"/>
  <c r="IL122" s="1"/>
  <c r="L8" i="61" s="1"/>
  <c r="C8" s="1"/>
  <c r="DN154" i="69"/>
  <c r="EE154" s="1"/>
  <c r="BR154"/>
  <c r="DN164"/>
  <c r="DW164" s="1"/>
  <c r="BR164"/>
  <c r="DN163"/>
  <c r="DW163" s="1"/>
  <c r="BR163"/>
  <c r="GN87"/>
  <c r="GF87"/>
  <c r="GR87"/>
  <c r="GQ87"/>
  <c r="GK87"/>
  <c r="GJ87"/>
  <c r="GU87"/>
  <c r="GP87"/>
  <c r="GT87"/>
  <c r="GS87"/>
  <c r="GG87"/>
  <c r="GI87"/>
  <c r="GL87"/>
  <c r="GO87"/>
  <c r="GM87"/>
  <c r="GH87"/>
  <c r="FH87"/>
  <c r="GC87" s="1"/>
  <c r="FJ87"/>
  <c r="GE87" s="1"/>
  <c r="FI87"/>
  <c r="GD87" s="1"/>
  <c r="FV87"/>
  <c r="FL87"/>
  <c r="FK87"/>
  <c r="FZ87"/>
  <c r="FN87"/>
  <c r="FP87"/>
  <c r="FO87"/>
  <c r="FG87"/>
  <c r="GB87" s="1"/>
  <c r="FY87"/>
  <c r="FU87"/>
  <c r="FQ87"/>
  <c r="FW87"/>
  <c r="FT87"/>
  <c r="FS87"/>
  <c r="FR87"/>
  <c r="FM87"/>
  <c r="FX87"/>
  <c r="GR85"/>
  <c r="GT85"/>
  <c r="GS85"/>
  <c r="GG85"/>
  <c r="GK85"/>
  <c r="GM85"/>
  <c r="GL85"/>
  <c r="GN85"/>
  <c r="GJ85"/>
  <c r="GQ85"/>
  <c r="GP85"/>
  <c r="GH85"/>
  <c r="GF85"/>
  <c r="GI85"/>
  <c r="GO85"/>
  <c r="GU85"/>
  <c r="FU47"/>
  <c r="FZ47"/>
  <c r="FJ47"/>
  <c r="FK47"/>
  <c r="FP47"/>
  <c r="FY47"/>
  <c r="FI47"/>
  <c r="FN47"/>
  <c r="FO47"/>
  <c r="FT47"/>
  <c r="FM47"/>
  <c r="FR47"/>
  <c r="FS47"/>
  <c r="FX47"/>
  <c r="FH47"/>
  <c r="FQ47"/>
  <c r="FV47"/>
  <c r="FW47"/>
  <c r="FG47"/>
  <c r="FL47"/>
  <c r="EE176"/>
  <c r="DW176"/>
  <c r="EC176"/>
  <c r="D176"/>
  <c r="D7" i="63" s="1"/>
  <c r="D71" s="1"/>
  <c r="D73" s="1"/>
  <c r="EF176" i="69"/>
  <c r="EH176"/>
  <c r="DS176"/>
  <c r="EB176"/>
  <c r="ED176"/>
  <c r="EI176"/>
  <c r="EG176"/>
  <c r="DZ176"/>
  <c r="DX176"/>
  <c r="DP176"/>
  <c r="DU176"/>
  <c r="DQ176"/>
  <c r="DR176"/>
  <c r="DY176"/>
  <c r="EA176"/>
  <c r="DV176"/>
  <c r="DT176"/>
  <c r="EE182"/>
  <c r="DS182"/>
  <c r="DP182"/>
  <c r="EF182"/>
  <c r="EC182"/>
  <c r="DZ182"/>
  <c r="D182"/>
  <c r="J7" i="63" s="1"/>
  <c r="J71" s="1"/>
  <c r="J73" s="1"/>
  <c r="J75" s="1"/>
  <c r="J85" s="1"/>
  <c r="J91" s="1"/>
  <c r="DT182" i="69"/>
  <c r="DQ182"/>
  <c r="EG182"/>
  <c r="ED182"/>
  <c r="EI182"/>
  <c r="EA182"/>
  <c r="DX182"/>
  <c r="DU182"/>
  <c r="DR182"/>
  <c r="EH182"/>
  <c r="DW182"/>
  <c r="EB182"/>
  <c r="DY182"/>
  <c r="DV182"/>
  <c r="FX88"/>
  <c r="FR88"/>
  <c r="FI88"/>
  <c r="GD88" s="1"/>
  <c r="FV88"/>
  <c r="FO88"/>
  <c r="FL88"/>
  <c r="FM88"/>
  <c r="FQ88"/>
  <c r="FK88"/>
  <c r="FH88"/>
  <c r="GC88" s="1"/>
  <c r="FJ88"/>
  <c r="FG88"/>
  <c r="GB88" s="1"/>
  <c r="FT88"/>
  <c r="FN88"/>
  <c r="FP88"/>
  <c r="FU88"/>
  <c r="FY88"/>
  <c r="FW88"/>
  <c r="FZ88"/>
  <c r="FS88"/>
  <c r="S86" i="64"/>
  <c r="E105" s="1"/>
  <c r="EE179" i="69"/>
  <c r="DZ179"/>
  <c r="EB179"/>
  <c r="EH179"/>
  <c r="EG179"/>
  <c r="EF179"/>
  <c r="DV179"/>
  <c r="DX179"/>
  <c r="DY179"/>
  <c r="DU179"/>
  <c r="EI179"/>
  <c r="DW179"/>
  <c r="D179"/>
  <c r="G7" i="63" s="1"/>
  <c r="G71" s="1"/>
  <c r="G73" s="1"/>
  <c r="G75" s="1"/>
  <c r="G85" s="1"/>
  <c r="G91" s="1"/>
  <c r="ED179" i="69"/>
  <c r="EA179"/>
  <c r="DT179"/>
  <c r="DS179"/>
  <c r="DR179"/>
  <c r="DP179"/>
  <c r="DQ179"/>
  <c r="EC179"/>
  <c r="DT180"/>
  <c r="D180"/>
  <c r="H7" i="63" s="1"/>
  <c r="H71" s="1"/>
  <c r="H73" s="1"/>
  <c r="H75" s="1"/>
  <c r="H85" s="1"/>
  <c r="H91" s="1"/>
  <c r="EH180" i="69"/>
  <c r="EG180"/>
  <c r="DP180"/>
  <c r="DS180"/>
  <c r="DU180"/>
  <c r="DZ180"/>
  <c r="DV180"/>
  <c r="EB180"/>
  <c r="ED180"/>
  <c r="EI180"/>
  <c r="DW180"/>
  <c r="EA180"/>
  <c r="EC180"/>
  <c r="EF180"/>
  <c r="DY180"/>
  <c r="DR180"/>
  <c r="DQ180"/>
  <c r="DX180"/>
  <c r="EE177"/>
  <c r="D177"/>
  <c r="E7" i="63" s="1"/>
  <c r="E71" s="1"/>
  <c r="E73" s="1"/>
  <c r="E75" s="1"/>
  <c r="E85" s="1"/>
  <c r="E91" s="1"/>
  <c r="DX177" i="69"/>
  <c r="EA177"/>
  <c r="DW177"/>
  <c r="DU177"/>
  <c r="DT177"/>
  <c r="DV177"/>
  <c r="EC177"/>
  <c r="DY177"/>
  <c r="EH177"/>
  <c r="EI177"/>
  <c r="ED177"/>
  <c r="DZ177"/>
  <c r="EF177"/>
  <c r="DQ177"/>
  <c r="DS177"/>
  <c r="DP177"/>
  <c r="EG177"/>
  <c r="DR177"/>
  <c r="EB177"/>
  <c r="EE178"/>
  <c r="D178"/>
  <c r="F7" i="63" s="1"/>
  <c r="F71" s="1"/>
  <c r="F73" s="1"/>
  <c r="F75" s="1"/>
  <c r="F85" s="1"/>
  <c r="F91" s="1"/>
  <c r="DV178" i="69"/>
  <c r="DS178"/>
  <c r="EB178"/>
  <c r="DU178"/>
  <c r="EH178"/>
  <c r="EA178"/>
  <c r="EF178"/>
  <c r="ED178"/>
  <c r="DZ178"/>
  <c r="DP178"/>
  <c r="DQ178"/>
  <c r="DY178"/>
  <c r="DW178"/>
  <c r="DR178"/>
  <c r="DT178"/>
  <c r="EG178"/>
  <c r="EI178"/>
  <c r="EC178"/>
  <c r="DX178"/>
  <c r="FR45"/>
  <c r="FT45"/>
  <c r="FY45"/>
  <c r="FH45"/>
  <c r="GC45" s="1"/>
  <c r="FS45"/>
  <c r="FU45"/>
  <c r="FL45"/>
  <c r="GG45" s="1"/>
  <c r="FJ45"/>
  <c r="GE45" s="1"/>
  <c r="FW45"/>
  <c r="FK45"/>
  <c r="GF45" s="1"/>
  <c r="FZ45"/>
  <c r="FI45"/>
  <c r="GD45" s="1"/>
  <c r="FO45"/>
  <c r="FQ45"/>
  <c r="FX45"/>
  <c r="FM45"/>
  <c r="FN45"/>
  <c r="FG45"/>
  <c r="GB45" s="1"/>
  <c r="FV45"/>
  <c r="FP45"/>
  <c r="GO45"/>
  <c r="GI45"/>
  <c r="GS45"/>
  <c r="GN45"/>
  <c r="GP45"/>
  <c r="GQ45"/>
  <c r="GT45"/>
  <c r="GK45"/>
  <c r="GJ45"/>
  <c r="GM45"/>
  <c r="GR45"/>
  <c r="GL45"/>
  <c r="GH45"/>
  <c r="GU45"/>
  <c r="FV84"/>
  <c r="FN84"/>
  <c r="FY84"/>
  <c r="FQ84"/>
  <c r="FI84"/>
  <c r="GD84" s="1"/>
  <c r="FT84"/>
  <c r="FL84"/>
  <c r="FW84"/>
  <c r="FO84"/>
  <c r="FG84"/>
  <c r="GB84" s="1"/>
  <c r="FZ84"/>
  <c r="FR84"/>
  <c r="FJ84"/>
  <c r="GE84" s="1"/>
  <c r="FU84"/>
  <c r="FM84"/>
  <c r="FX84"/>
  <c r="FP84"/>
  <c r="FH84"/>
  <c r="GC84" s="1"/>
  <c r="FS84"/>
  <c r="FK84"/>
  <c r="E25" i="55"/>
  <c r="E26" s="1"/>
  <c r="F18"/>
  <c r="BR15" i="69"/>
  <c r="DN15"/>
  <c r="DP15" s="1"/>
  <c r="BR115"/>
  <c r="DN115"/>
  <c r="CU119"/>
  <c r="IE119"/>
  <c r="IL119" s="1"/>
  <c r="L5" i="61" s="1"/>
  <c r="C5" s="1"/>
  <c r="CU141" i="69"/>
  <c r="IE141"/>
  <c r="IL141" s="1"/>
  <c r="L27" i="61" s="1"/>
  <c r="C27" s="1"/>
  <c r="CU129" i="69"/>
  <c r="IE129"/>
  <c r="IL129" s="1"/>
  <c r="L15" i="61" s="1"/>
  <c r="C15" s="1"/>
  <c r="CU135" i="69"/>
  <c r="IE135"/>
  <c r="IL135" s="1"/>
  <c r="L21" i="61" s="1"/>
  <c r="C21" s="1"/>
  <c r="DN161" i="69"/>
  <c r="BR161"/>
  <c r="BR162"/>
  <c r="DN162"/>
  <c r="DN14"/>
  <c r="BR14"/>
  <c r="CU121"/>
  <c r="IE121"/>
  <c r="IL121" s="1"/>
  <c r="L7" i="61" s="1"/>
  <c r="C7" s="1"/>
  <c r="CU134" i="69"/>
  <c r="IE134"/>
  <c r="IL134" s="1"/>
  <c r="L20" i="61" s="1"/>
  <c r="C20" s="1"/>
  <c r="CU133" i="69"/>
  <c r="IE133"/>
  <c r="IL133" s="1"/>
  <c r="L19" i="61" s="1"/>
  <c r="C19" s="1"/>
  <c r="CU140" i="69"/>
  <c r="IE140"/>
  <c r="IL140" s="1"/>
  <c r="L26" i="61" s="1"/>
  <c r="C26" s="1"/>
  <c r="CU137" i="69"/>
  <c r="IE137"/>
  <c r="IL137" s="1"/>
  <c r="L23" i="61" s="1"/>
  <c r="C23" s="1"/>
  <c r="DN158" i="69"/>
  <c r="EE158" s="1"/>
  <c r="BR158"/>
  <c r="DN156"/>
  <c r="EE156" s="1"/>
  <c r="BR156"/>
  <c r="FX85"/>
  <c r="FM85"/>
  <c r="FR85"/>
  <c r="FS85"/>
  <c r="FZ85"/>
  <c r="FP85"/>
  <c r="FW85"/>
  <c r="FV85"/>
  <c r="FQ85"/>
  <c r="FL85"/>
  <c r="FO85"/>
  <c r="FK85"/>
  <c r="FH85"/>
  <c r="GC85" s="1"/>
  <c r="FJ85"/>
  <c r="GE85" s="1"/>
  <c r="FU85"/>
  <c r="FG85"/>
  <c r="GB85" s="1"/>
  <c r="FN85"/>
  <c r="FI85"/>
  <c r="GD85" s="1"/>
  <c r="FY85"/>
  <c r="FT85"/>
  <c r="G301" i="60"/>
  <c r="J301"/>
  <c r="GP44" i="69" l="1"/>
  <c r="GD48"/>
  <c r="GO59"/>
  <c r="GP40"/>
  <c r="GT89"/>
  <c r="GB48"/>
  <c r="GP59"/>
  <c r="GM101"/>
  <c r="GQ89"/>
  <c r="GD46"/>
  <c r="GN44"/>
  <c r="GH86"/>
  <c r="GE48"/>
  <c r="GC48"/>
  <c r="FM46"/>
  <c r="GO44"/>
  <c r="GM44"/>
  <c r="GJ48"/>
  <c r="GK48"/>
  <c r="GP48"/>
  <c r="GQ48"/>
  <c r="GN48"/>
  <c r="GK46"/>
  <c r="GB46"/>
  <c r="FJ46"/>
  <c r="GI44"/>
  <c r="GU44"/>
  <c r="GT44"/>
  <c r="GL86"/>
  <c r="GO48"/>
  <c r="GI48"/>
  <c r="GT48"/>
  <c r="GF48"/>
  <c r="GU48"/>
  <c r="GG48"/>
  <c r="GR48"/>
  <c r="GL48"/>
  <c r="GS48"/>
  <c r="GK60"/>
  <c r="GT100"/>
  <c r="FJ39"/>
  <c r="FQ44"/>
  <c r="FK40"/>
  <c r="GF40" s="1"/>
  <c r="FN89"/>
  <c r="FV60"/>
  <c r="GJ59"/>
  <c r="GI59"/>
  <c r="GS102"/>
  <c r="GT40"/>
  <c r="GK41"/>
  <c r="GR60"/>
  <c r="GQ60"/>
  <c r="GM59"/>
  <c r="GS59"/>
  <c r="GL59"/>
  <c r="I342" i="60"/>
  <c r="I148" s="1"/>
  <c r="GJ100" i="69"/>
  <c r="GK102"/>
  <c r="GK40"/>
  <c r="GO40"/>
  <c r="GQ101"/>
  <c r="GL101"/>
  <c r="GK89"/>
  <c r="GS89"/>
  <c r="FY89"/>
  <c r="FL44"/>
  <c r="GG44" s="1"/>
  <c r="GM41"/>
  <c r="GI41"/>
  <c r="GO60"/>
  <c r="GU60"/>
  <c r="GN60"/>
  <c r="GT60"/>
  <c r="GR59"/>
  <c r="GU59"/>
  <c r="GK59"/>
  <c r="GN59"/>
  <c r="GQ59"/>
  <c r="F148" i="60"/>
  <c r="GO100" i="69"/>
  <c r="GI100"/>
  <c r="GS100"/>
  <c r="GM102"/>
  <c r="GJ40"/>
  <c r="GI40"/>
  <c r="GU40"/>
  <c r="GO101"/>
  <c r="GJ101"/>
  <c r="GS101"/>
  <c r="G102" i="21"/>
  <c r="GJ89" i="69"/>
  <c r="GR89"/>
  <c r="GP89"/>
  <c r="GM89"/>
  <c r="FW61"/>
  <c r="GE39"/>
  <c r="FO42"/>
  <c r="FU86"/>
  <c r="GQ41"/>
  <c r="GS41"/>
  <c r="GP41"/>
  <c r="GG100"/>
  <c r="GM100"/>
  <c r="GE100"/>
  <c r="GH100"/>
  <c r="GQ102"/>
  <c r="GL102"/>
  <c r="GT102"/>
  <c r="GR47"/>
  <c r="GO43"/>
  <c r="GS43"/>
  <c r="GT47"/>
  <c r="FU42"/>
  <c r="FM60"/>
  <c r="GH60" s="1"/>
  <c r="FJ40"/>
  <c r="GE40" s="1"/>
  <c r="FM89"/>
  <c r="GS44"/>
  <c r="GL44"/>
  <c r="GR44"/>
  <c r="GK44"/>
  <c r="GQ44"/>
  <c r="GM86"/>
  <c r="FM44"/>
  <c r="GH44" s="1"/>
  <c r="FR61"/>
  <c r="FX61"/>
  <c r="FT42"/>
  <c r="FG60"/>
  <c r="GB60" s="1"/>
  <c r="FH40"/>
  <c r="GC40" s="1"/>
  <c r="FX86"/>
  <c r="FS44"/>
  <c r="FG89"/>
  <c r="GB89" s="1"/>
  <c r="D75" i="63"/>
  <c r="D85" s="1"/>
  <c r="D91" s="1"/>
  <c r="M73"/>
  <c r="GP46" i="69"/>
  <c r="GN46"/>
  <c r="FH46"/>
  <c r="FV46"/>
  <c r="FO46"/>
  <c r="FU40"/>
  <c r="GI86"/>
  <c r="GQ86"/>
  <c r="GK86"/>
  <c r="GS86"/>
  <c r="FW44"/>
  <c r="FO89"/>
  <c r="FI89"/>
  <c r="GD89" s="1"/>
  <c r="FJ41"/>
  <c r="GE41" s="1"/>
  <c r="FG40"/>
  <c r="GB40" s="1"/>
  <c r="FJ89"/>
  <c r="GE89" s="1"/>
  <c r="FI101"/>
  <c r="GD101" s="1"/>
  <c r="FH100"/>
  <c r="GC100" s="1"/>
  <c r="FT61"/>
  <c r="FJ42"/>
  <c r="GE42" s="1"/>
  <c r="FX60"/>
  <c r="FV39"/>
  <c r="FI40"/>
  <c r="GD40" s="1"/>
  <c r="FR86"/>
  <c r="FG44"/>
  <c r="GB44" s="1"/>
  <c r="FV89"/>
  <c r="GE46"/>
  <c r="GJ46"/>
  <c r="GC46"/>
  <c r="GH46"/>
  <c r="GQ46"/>
  <c r="FS46"/>
  <c r="FG46"/>
  <c r="FP46"/>
  <c r="FU46"/>
  <c r="FI46"/>
  <c r="FL60"/>
  <c r="GG60" s="1"/>
  <c r="FW60"/>
  <c r="FS42"/>
  <c r="FL42"/>
  <c r="GG42" s="1"/>
  <c r="FT40"/>
  <c r="FH61"/>
  <c r="GC61" s="1"/>
  <c r="FN61"/>
  <c r="FX39"/>
  <c r="F36" i="52"/>
  <c r="G410" i="60" s="1"/>
  <c r="GO86" i="69"/>
  <c r="GR86"/>
  <c r="GN86"/>
  <c r="GU86"/>
  <c r="GG86"/>
  <c r="GP86"/>
  <c r="GJ86"/>
  <c r="FU44"/>
  <c r="FP44"/>
  <c r="FY44"/>
  <c r="FI44"/>
  <c r="GD44" s="1"/>
  <c r="FX89"/>
  <c r="FS89"/>
  <c r="FR89"/>
  <c r="GO42"/>
  <c r="GM39"/>
  <c r="FN43"/>
  <c r="FW39"/>
  <c r="GL61"/>
  <c r="FH59"/>
  <c r="GC59" s="1"/>
  <c r="FG41"/>
  <c r="GO47"/>
  <c r="GU47"/>
  <c r="GS47"/>
  <c r="FW41"/>
  <c r="FU59"/>
  <c r="GB41"/>
  <c r="FG59"/>
  <c r="GB59" s="1"/>
  <c r="FX59"/>
  <c r="FL61"/>
  <c r="GG61" s="1"/>
  <c r="FS60"/>
  <c r="FU39"/>
  <c r="FY42"/>
  <c r="FJ86"/>
  <c r="GE86" s="1"/>
  <c r="GR41"/>
  <c r="GN41"/>
  <c r="GL41"/>
  <c r="GU41"/>
  <c r="GJ41"/>
  <c r="GO41"/>
  <c r="FQ60"/>
  <c r="FR60"/>
  <c r="FH60"/>
  <c r="GC60" s="1"/>
  <c r="GJ60"/>
  <c r="GM60"/>
  <c r="GP60"/>
  <c r="GS60"/>
  <c r="GI60"/>
  <c r="GD100"/>
  <c r="GU100"/>
  <c r="GR100"/>
  <c r="GN100"/>
  <c r="GK100"/>
  <c r="GP100"/>
  <c r="GL100"/>
  <c r="GQ100"/>
  <c r="FZ42"/>
  <c r="FI42"/>
  <c r="GD42" s="1"/>
  <c r="FP42"/>
  <c r="FN42"/>
  <c r="GU102"/>
  <c r="GR102"/>
  <c r="GN102"/>
  <c r="GP102"/>
  <c r="GJ102"/>
  <c r="GI102"/>
  <c r="FN40"/>
  <c r="FS40"/>
  <c r="FW40"/>
  <c r="FR40"/>
  <c r="GQ40"/>
  <c r="GM40"/>
  <c r="GS40"/>
  <c r="GL40"/>
  <c r="GR40"/>
  <c r="FU61"/>
  <c r="FK61"/>
  <c r="GF61" s="1"/>
  <c r="FP61"/>
  <c r="FQ61"/>
  <c r="FG61"/>
  <c r="GB61" s="1"/>
  <c r="GP101"/>
  <c r="GN101"/>
  <c r="GT101"/>
  <c r="GU101"/>
  <c r="GR101"/>
  <c r="GI101"/>
  <c r="FL39"/>
  <c r="GG39" s="1"/>
  <c r="FR39"/>
  <c r="GI47"/>
  <c r="GF47"/>
  <c r="GG47"/>
  <c r="GL47"/>
  <c r="GM47"/>
  <c r="FY41"/>
  <c r="FI41"/>
  <c r="GD41" s="1"/>
  <c r="FQ59"/>
  <c r="FW59"/>
  <c r="FK59"/>
  <c r="GF59" s="1"/>
  <c r="FK86"/>
  <c r="GF86" s="1"/>
  <c r="FG86"/>
  <c r="GB86" s="1"/>
  <c r="GQ43"/>
  <c r="FL102"/>
  <c r="GG102" s="1"/>
  <c r="FX41"/>
  <c r="FP43"/>
  <c r="FM86"/>
  <c r="FV100"/>
  <c r="FZ39"/>
  <c r="FH39"/>
  <c r="GC39" s="1"/>
  <c r="FQ39"/>
  <c r="GJ47"/>
  <c r="GD47"/>
  <c r="GK47"/>
  <c r="GE47"/>
  <c r="GP47"/>
  <c r="GB47"/>
  <c r="GQ47"/>
  <c r="GC47"/>
  <c r="GN47"/>
  <c r="FM41"/>
  <c r="GH41" s="1"/>
  <c r="FH41"/>
  <c r="GC41" s="1"/>
  <c r="FL41"/>
  <c r="GG41" s="1"/>
  <c r="FQ41"/>
  <c r="FN59"/>
  <c r="FO59"/>
  <c r="FT59"/>
  <c r="FR59"/>
  <c r="FH86"/>
  <c r="GC86" s="1"/>
  <c r="FI86"/>
  <c r="GD86" s="1"/>
  <c r="FW86"/>
  <c r="FN86"/>
  <c r="FS86"/>
  <c r="FL86"/>
  <c r="GT43"/>
  <c r="GM43"/>
  <c r="GK43"/>
  <c r="FJ100"/>
  <c r="FQ43"/>
  <c r="FG100"/>
  <c r="GB100" s="1"/>
  <c r="FQ101"/>
  <c r="FZ44"/>
  <c r="FH44"/>
  <c r="GC44" s="1"/>
  <c r="FO44"/>
  <c r="FV44"/>
  <c r="FR44"/>
  <c r="FJ44"/>
  <c r="GE44" s="1"/>
  <c r="FK44"/>
  <c r="GF44" s="1"/>
  <c r="FX44"/>
  <c r="FN44"/>
  <c r="FT44"/>
  <c r="GF89"/>
  <c r="GI89"/>
  <c r="GG89"/>
  <c r="GH89"/>
  <c r="GN89"/>
  <c r="GL89"/>
  <c r="GO89"/>
  <c r="FP89"/>
  <c r="FW89"/>
  <c r="FU89"/>
  <c r="FH89"/>
  <c r="GC89" s="1"/>
  <c r="FZ89"/>
  <c r="FT89"/>
  <c r="FQ89"/>
  <c r="FK89"/>
  <c r="FL89"/>
  <c r="FT43"/>
  <c r="GP43"/>
  <c r="GI43"/>
  <c r="GR43"/>
  <c r="GN43"/>
  <c r="GL43"/>
  <c r="GU43"/>
  <c r="FL100"/>
  <c r="FI100"/>
  <c r="FS102"/>
  <c r="L31" i="61"/>
  <c r="L66" s="1"/>
  <c r="FK60" i="69"/>
  <c r="GF60" s="1"/>
  <c r="FN102"/>
  <c r="FG102"/>
  <c r="GB102" s="1"/>
  <c r="FO101"/>
  <c r="FV43"/>
  <c r="FZ100"/>
  <c r="FZ43"/>
  <c r="FS43"/>
  <c r="FY43"/>
  <c r="FR100"/>
  <c r="FN100"/>
  <c r="FO100"/>
  <c r="FO102"/>
  <c r="FS101"/>
  <c r="FW43"/>
  <c r="FJ102"/>
  <c r="GE102" s="1"/>
  <c r="FL101"/>
  <c r="GG101" s="1"/>
  <c r="FI43"/>
  <c r="GD43" s="1"/>
  <c r="FX43"/>
  <c r="GP42"/>
  <c r="GN42"/>
  <c r="GN61"/>
  <c r="GO61"/>
  <c r="FT101"/>
  <c r="FU101"/>
  <c r="FK101"/>
  <c r="GF101" s="1"/>
  <c r="GQ39"/>
  <c r="GT39"/>
  <c r="FO43"/>
  <c r="FM101"/>
  <c r="GH101" s="1"/>
  <c r="FK39"/>
  <c r="GF39" s="1"/>
  <c r="FP59"/>
  <c r="FO61"/>
  <c r="FG42"/>
  <c r="GB42" s="1"/>
  <c r="FG101"/>
  <c r="GB101" s="1"/>
  <c r="FV41"/>
  <c r="FM102"/>
  <c r="GH102" s="1"/>
  <c r="FQ100"/>
  <c r="FQ86"/>
  <c r="FZ40"/>
  <c r="GF46"/>
  <c r="GU46"/>
  <c r="GO46"/>
  <c r="GI46"/>
  <c r="GT46"/>
  <c r="GS46"/>
  <c r="GM46"/>
  <c r="GG46"/>
  <c r="GR46"/>
  <c r="FX46"/>
  <c r="FR46"/>
  <c r="FL46"/>
  <c r="FW46"/>
  <c r="FQ46"/>
  <c r="FK46"/>
  <c r="FZ46"/>
  <c r="FT46"/>
  <c r="FN46"/>
  <c r="FN60"/>
  <c r="FI60"/>
  <c r="GD60" s="1"/>
  <c r="FY60"/>
  <c r="FT60"/>
  <c r="FO60"/>
  <c r="FJ60"/>
  <c r="GE60" s="1"/>
  <c r="FZ60"/>
  <c r="FU60"/>
  <c r="FP60"/>
  <c r="FW42"/>
  <c r="FQ42"/>
  <c r="FM42"/>
  <c r="GH42" s="1"/>
  <c r="FH42"/>
  <c r="GC42" s="1"/>
  <c r="FV42"/>
  <c r="FR42"/>
  <c r="FX42"/>
  <c r="FK42"/>
  <c r="GF42" s="1"/>
  <c r="FM40"/>
  <c r="GH40" s="1"/>
  <c r="FP40"/>
  <c r="FV40"/>
  <c r="FO40"/>
  <c r="FX40"/>
  <c r="FL40"/>
  <c r="GG40" s="1"/>
  <c r="FY40"/>
  <c r="FQ40"/>
  <c r="FM61"/>
  <c r="GH61" s="1"/>
  <c r="FJ61"/>
  <c r="GE61" s="1"/>
  <c r="FZ61"/>
  <c r="FS61"/>
  <c r="FI61"/>
  <c r="GD61" s="1"/>
  <c r="FY61"/>
  <c r="FV61"/>
  <c r="FY39"/>
  <c r="FM39"/>
  <c r="GH39" s="1"/>
  <c r="FS39"/>
  <c r="FT39"/>
  <c r="FG39"/>
  <c r="GB39" s="1"/>
  <c r="FI39"/>
  <c r="GD39" s="1"/>
  <c r="FO39"/>
  <c r="FP39"/>
  <c r="FN39"/>
  <c r="FT41"/>
  <c r="FP41"/>
  <c r="FU41"/>
  <c r="FS41"/>
  <c r="FR41"/>
  <c r="FO41"/>
  <c r="FK41"/>
  <c r="GF41" s="1"/>
  <c r="FZ41"/>
  <c r="FN41"/>
  <c r="FI59"/>
  <c r="GD59" s="1"/>
  <c r="FY59"/>
  <c r="FV59"/>
  <c r="FL59"/>
  <c r="GG59" s="1"/>
  <c r="FM59"/>
  <c r="GH59" s="1"/>
  <c r="FJ59"/>
  <c r="GE59" s="1"/>
  <c r="FZ59"/>
  <c r="FS59"/>
  <c r="FT86"/>
  <c r="FZ86"/>
  <c r="FP86"/>
  <c r="FY86"/>
  <c r="FV86"/>
  <c r="FO86"/>
  <c r="FG43"/>
  <c r="GB43" s="1"/>
  <c r="FK43"/>
  <c r="GF43" s="1"/>
  <c r="FU43"/>
  <c r="FM43"/>
  <c r="GH43" s="1"/>
  <c r="FJ43"/>
  <c r="GE43" s="1"/>
  <c r="FH43"/>
  <c r="GC43" s="1"/>
  <c r="FL43"/>
  <c r="GG43" s="1"/>
  <c r="FR43"/>
  <c r="FU100"/>
  <c r="FX100"/>
  <c r="FT100"/>
  <c r="FM100"/>
  <c r="FP100"/>
  <c r="FW100"/>
  <c r="FS100"/>
  <c r="FY100"/>
  <c r="FK100"/>
  <c r="GJ42"/>
  <c r="GI42"/>
  <c r="GU42"/>
  <c r="FR102"/>
  <c r="FI102"/>
  <c r="GD102" s="1"/>
  <c r="GM61"/>
  <c r="GS61"/>
  <c r="GJ61"/>
  <c r="FP101"/>
  <c r="FZ101"/>
  <c r="FN101"/>
  <c r="FW101"/>
  <c r="FJ101"/>
  <c r="GE101" s="1"/>
  <c r="FH101"/>
  <c r="GC101" s="1"/>
  <c r="FR101"/>
  <c r="GI39"/>
  <c r="GK39"/>
  <c r="GN39"/>
  <c r="FT102"/>
  <c r="GT42"/>
  <c r="GM42"/>
  <c r="GS42"/>
  <c r="GL42"/>
  <c r="GR42"/>
  <c r="GK42"/>
  <c r="FV102"/>
  <c r="FQ102"/>
  <c r="GT61"/>
  <c r="GU61"/>
  <c r="GK61"/>
  <c r="GP61"/>
  <c r="GQ61"/>
  <c r="FX101"/>
  <c r="FY101"/>
  <c r="FV101"/>
  <c r="GJ39"/>
  <c r="GP39"/>
  <c r="GL39"/>
  <c r="GU39"/>
  <c r="GS39"/>
  <c r="D80" i="64"/>
  <c r="D84" s="1"/>
  <c r="FA180" i="69"/>
  <c r="F93" i="64"/>
  <c r="H93" s="1"/>
  <c r="FK102" i="69"/>
  <c r="GF102" s="1"/>
  <c r="FH102"/>
  <c r="GC102" s="1"/>
  <c r="FX102"/>
  <c r="FP102"/>
  <c r="FZ102"/>
  <c r="FU102"/>
  <c r="FW102"/>
  <c r="FY102"/>
  <c r="FE181"/>
  <c r="EZ184"/>
  <c r="EY183"/>
  <c r="EU182"/>
  <c r="EP176"/>
  <c r="BP87"/>
  <c r="H8" i="55" s="1"/>
  <c r="EY178" i="69"/>
  <c r="EX177"/>
  <c r="EM180"/>
  <c r="EM179"/>
  <c r="D105" i="64"/>
  <c r="D107" s="1"/>
  <c r="F80"/>
  <c r="F82" s="1"/>
  <c r="DQ156" i="69"/>
  <c r="DS156"/>
  <c r="DU156"/>
  <c r="DV156"/>
  <c r="DR156"/>
  <c r="EI156"/>
  <c r="EF156"/>
  <c r="DY156"/>
  <c r="DZ156"/>
  <c r="DW156"/>
  <c r="DT156"/>
  <c r="D156"/>
  <c r="EC156"/>
  <c r="ED156"/>
  <c r="EA156"/>
  <c r="DX156"/>
  <c r="DP156"/>
  <c r="EG156"/>
  <c r="EH156"/>
  <c r="EB156"/>
  <c r="D14"/>
  <c r="H19" i="45" s="1"/>
  <c r="G19" s="1"/>
  <c r="DT14" i="69"/>
  <c r="EI14"/>
  <c r="EG14"/>
  <c r="ED14"/>
  <c r="DP14"/>
  <c r="DU14"/>
  <c r="EA14"/>
  <c r="EF14"/>
  <c r="EH14"/>
  <c r="DW14"/>
  <c r="DQ14"/>
  <c r="EC14"/>
  <c r="EB14"/>
  <c r="DY14"/>
  <c r="DV14"/>
  <c r="DZ14"/>
  <c r="EE14"/>
  <c r="DR14"/>
  <c r="DX14"/>
  <c r="DQ161"/>
  <c r="D161"/>
  <c r="M47" i="61" s="1"/>
  <c r="EA161" i="69"/>
  <c r="DZ161"/>
  <c r="DY161"/>
  <c r="DX161"/>
  <c r="DP161"/>
  <c r="EE161"/>
  <c r="ED161"/>
  <c r="EC161"/>
  <c r="EB161"/>
  <c r="DS161"/>
  <c r="DR161"/>
  <c r="EI161"/>
  <c r="EH161"/>
  <c r="EG161"/>
  <c r="EF161"/>
  <c r="DV161"/>
  <c r="DU161"/>
  <c r="DT161"/>
  <c r="EL178"/>
  <c r="EJ178"/>
  <c r="BT178"/>
  <c r="BV178" s="1"/>
  <c r="F19" i="63"/>
  <c r="F34" s="1"/>
  <c r="F13"/>
  <c r="F28" s="1"/>
  <c r="F10"/>
  <c r="F11" s="1"/>
  <c r="F27" s="1"/>
  <c r="EJ180" i="69"/>
  <c r="BT180"/>
  <c r="BV180" s="1"/>
  <c r="EL180"/>
  <c r="E109" i="64"/>
  <c r="E107"/>
  <c r="F308" i="60"/>
  <c r="J102" i="21"/>
  <c r="DQ164" i="69"/>
  <c r="D164"/>
  <c r="EG164"/>
  <c r="ED164"/>
  <c r="EE164"/>
  <c r="EF164"/>
  <c r="EC164"/>
  <c r="DZ164"/>
  <c r="EA164"/>
  <c r="DT164"/>
  <c r="DP164"/>
  <c r="DR164"/>
  <c r="DY164"/>
  <c r="DV164"/>
  <c r="DX164"/>
  <c r="DU164"/>
  <c r="DS164"/>
  <c r="EH164"/>
  <c r="EI164"/>
  <c r="EB164"/>
  <c r="D165"/>
  <c r="EE165"/>
  <c r="ED165"/>
  <c r="DY165"/>
  <c r="DX165"/>
  <c r="DS165"/>
  <c r="EA165"/>
  <c r="DZ165"/>
  <c r="DU165"/>
  <c r="DT165"/>
  <c r="DQ165"/>
  <c r="DV165"/>
  <c r="DP165"/>
  <c r="EG165"/>
  <c r="EF165"/>
  <c r="DR165"/>
  <c r="EI165"/>
  <c r="EH165"/>
  <c r="EC165"/>
  <c r="EB165"/>
  <c r="D13"/>
  <c r="H18" i="45" s="1"/>
  <c r="G18" s="1"/>
  <c r="DQ13" i="69"/>
  <c r="DX13"/>
  <c r="DZ13"/>
  <c r="EA13"/>
  <c r="DU13"/>
  <c r="DY13"/>
  <c r="EI13"/>
  <c r="ED13"/>
  <c r="DT13"/>
  <c r="EB13"/>
  <c r="DV13"/>
  <c r="EF13"/>
  <c r="DW13"/>
  <c r="DR13"/>
  <c r="EC13"/>
  <c r="EE13"/>
  <c r="EG13"/>
  <c r="EH13"/>
  <c r="DS13"/>
  <c r="I19" i="63"/>
  <c r="I34" s="1"/>
  <c r="I13"/>
  <c r="I28" s="1"/>
  <c r="I10"/>
  <c r="I11" s="1"/>
  <c r="I27" s="1"/>
  <c r="BT181" i="69"/>
  <c r="BV181" s="1"/>
  <c r="EJ181"/>
  <c r="EL181"/>
  <c r="K19" i="63"/>
  <c r="K34" s="1"/>
  <c r="K13"/>
  <c r="K28" s="1"/>
  <c r="K10"/>
  <c r="K11" s="1"/>
  <c r="K27" s="1"/>
  <c r="K67"/>
  <c r="K69" s="1"/>
  <c r="BP85" i="69"/>
  <c r="H6" i="55" s="1"/>
  <c r="BP45" i="69"/>
  <c r="J83" i="21" s="1"/>
  <c r="FC178" i="69"/>
  <c r="EN178"/>
  <c r="EU178"/>
  <c r="EZ178"/>
  <c r="EW178"/>
  <c r="EQ178"/>
  <c r="EO178"/>
  <c r="FC177"/>
  <c r="EO177"/>
  <c r="FB177"/>
  <c r="EZ177"/>
  <c r="FD177"/>
  <c r="EY177"/>
  <c r="EP177"/>
  <c r="ES177"/>
  <c r="ET177"/>
  <c r="FA177"/>
  <c r="EU180"/>
  <c r="EY180"/>
  <c r="ES180"/>
  <c r="EZ180"/>
  <c r="ER180"/>
  <c r="EQ180"/>
  <c r="FD180"/>
  <c r="EP180"/>
  <c r="EN179"/>
  <c r="EP179"/>
  <c r="EZ179"/>
  <c r="ES179"/>
  <c r="EQ179"/>
  <c r="ET179"/>
  <c r="FB179"/>
  <c r="FD179"/>
  <c r="EV179"/>
  <c r="ES182"/>
  <c r="EN182"/>
  <c r="ET182"/>
  <c r="FE182"/>
  <c r="FC182"/>
  <c r="EP182"/>
  <c r="EV182"/>
  <c r="FB182"/>
  <c r="EO182"/>
  <c r="EW176"/>
  <c r="EN176"/>
  <c r="EQ176"/>
  <c r="ET176"/>
  <c r="FC176"/>
  <c r="EZ176"/>
  <c r="EO176"/>
  <c r="FB176"/>
  <c r="EY176"/>
  <c r="FA176"/>
  <c r="L17" i="61"/>
  <c r="L64" s="1"/>
  <c r="ET181" i="69"/>
  <c r="EP181"/>
  <c r="FC181"/>
  <c r="EN181"/>
  <c r="EU181"/>
  <c r="EV181"/>
  <c r="EY181"/>
  <c r="ER181"/>
  <c r="FD184"/>
  <c r="EQ184"/>
  <c r="ET184"/>
  <c r="EW184"/>
  <c r="EU184"/>
  <c r="EN184"/>
  <c r="EO184"/>
  <c r="EV184"/>
  <c r="EM184"/>
  <c r="EP184"/>
  <c r="FA184"/>
  <c r="EW183"/>
  <c r="EN183"/>
  <c r="FE183"/>
  <c r="FD183"/>
  <c r="FC183"/>
  <c r="EZ183"/>
  <c r="ES183"/>
  <c r="EO183"/>
  <c r="EP183"/>
  <c r="DQ162"/>
  <c r="DS162"/>
  <c r="EH162"/>
  <c r="EG162"/>
  <c r="EB162"/>
  <c r="EA162"/>
  <c r="DV162"/>
  <c r="DU162"/>
  <c r="DX162"/>
  <c r="DP162"/>
  <c r="DR162"/>
  <c r="EE162"/>
  <c r="DZ162"/>
  <c r="DY162"/>
  <c r="DT162"/>
  <c r="D162"/>
  <c r="EI162"/>
  <c r="ED162"/>
  <c r="EC162"/>
  <c r="EF162"/>
  <c r="DP115"/>
  <c r="DS115"/>
  <c r="DU115"/>
  <c r="DQ115"/>
  <c r="DY115"/>
  <c r="EE115"/>
  <c r="DX115"/>
  <c r="EC115"/>
  <c r="EF115"/>
  <c r="DW115"/>
  <c r="EH115"/>
  <c r="ED115"/>
  <c r="DZ115"/>
  <c r="DT115"/>
  <c r="D115"/>
  <c r="O29" i="52" s="1"/>
  <c r="G29" s="1"/>
  <c r="I29" s="1"/>
  <c r="J29" s="1"/>
  <c r="EG115" i="69"/>
  <c r="EI115"/>
  <c r="DV115"/>
  <c r="EA115"/>
  <c r="EB115"/>
  <c r="DQ158"/>
  <c r="DW158"/>
  <c r="DV158"/>
  <c r="DP158"/>
  <c r="EG158"/>
  <c r="EF158"/>
  <c r="DR158"/>
  <c r="EI158"/>
  <c r="EH158"/>
  <c r="EC158"/>
  <c r="EB158"/>
  <c r="D158"/>
  <c r="ED158"/>
  <c r="DY158"/>
  <c r="DX158"/>
  <c r="DS158"/>
  <c r="EA158"/>
  <c r="DZ158"/>
  <c r="DU158"/>
  <c r="DT158"/>
  <c r="D15"/>
  <c r="H20" i="45" s="1"/>
  <c r="G20" s="1"/>
  <c r="EC15" i="69"/>
  <c r="EA15"/>
  <c r="EF15"/>
  <c r="EI15"/>
  <c r="DV15"/>
  <c r="DU15"/>
  <c r="DZ15"/>
  <c r="EB15"/>
  <c r="ED15"/>
  <c r="DR15"/>
  <c r="DY15"/>
  <c r="EH15"/>
  <c r="DS15"/>
  <c r="DQ15"/>
  <c r="DX15"/>
  <c r="EE15"/>
  <c r="EG15"/>
  <c r="DW15"/>
  <c r="DT15"/>
  <c r="F374" i="60"/>
  <c r="F25" i="55"/>
  <c r="F26" s="1"/>
  <c r="BT177" i="69"/>
  <c r="BV177" s="1"/>
  <c r="EL177"/>
  <c r="EJ177"/>
  <c r="E19" i="63"/>
  <c r="E34" s="1"/>
  <c r="E13"/>
  <c r="E28" s="1"/>
  <c r="E10"/>
  <c r="E11" s="1"/>
  <c r="E27" s="1"/>
  <c r="H19"/>
  <c r="H34" s="1"/>
  <c r="H13"/>
  <c r="H28" s="1"/>
  <c r="H10"/>
  <c r="H11" s="1"/>
  <c r="H27" s="1"/>
  <c r="EL179" i="69"/>
  <c r="BT179"/>
  <c r="BV179" s="1"/>
  <c r="EJ179"/>
  <c r="G19" i="63"/>
  <c r="G34" s="1"/>
  <c r="G13"/>
  <c r="G28" s="1"/>
  <c r="G10"/>
  <c r="G11" s="1"/>
  <c r="G27" s="1"/>
  <c r="J19"/>
  <c r="J34" s="1"/>
  <c r="J10"/>
  <c r="J11" s="1"/>
  <c r="J27" s="1"/>
  <c r="J13"/>
  <c r="J28" s="1"/>
  <c r="EJ182" i="69"/>
  <c r="EL182"/>
  <c r="BT182"/>
  <c r="BV182" s="1"/>
  <c r="EL176"/>
  <c r="BT176"/>
  <c r="BV176" s="1"/>
  <c r="EJ176"/>
  <c r="D19" i="63"/>
  <c r="D34" s="1"/>
  <c r="D13"/>
  <c r="D28" s="1"/>
  <c r="D29" s="1"/>
  <c r="D31" s="1"/>
  <c r="D17"/>
  <c r="DQ163" i="69"/>
  <c r="DY163"/>
  <c r="DZ163"/>
  <c r="DT163"/>
  <c r="DS163"/>
  <c r="DU163"/>
  <c r="DV163"/>
  <c r="DR163"/>
  <c r="EI163"/>
  <c r="EF163"/>
  <c r="DP163"/>
  <c r="EG163"/>
  <c r="EH163"/>
  <c r="EE163"/>
  <c r="EB163"/>
  <c r="D163"/>
  <c r="EC163"/>
  <c r="ED163"/>
  <c r="EA163"/>
  <c r="DX163"/>
  <c r="DQ154"/>
  <c r="DW154"/>
  <c r="DS154"/>
  <c r="EH154"/>
  <c r="EG154"/>
  <c r="EB154"/>
  <c r="D154"/>
  <c r="M40" i="61" s="1"/>
  <c r="EI154" i="69"/>
  <c r="ED154"/>
  <c r="EC154"/>
  <c r="EF154"/>
  <c r="DR154"/>
  <c r="DZ154"/>
  <c r="DY154"/>
  <c r="DT154"/>
  <c r="DP154"/>
  <c r="EA154"/>
  <c r="DV154"/>
  <c r="DU154"/>
  <c r="DX154"/>
  <c r="DQ155"/>
  <c r="DW155"/>
  <c r="DS155"/>
  <c r="EH155"/>
  <c r="EG155"/>
  <c r="EB155"/>
  <c r="D155"/>
  <c r="EI155"/>
  <c r="ED155"/>
  <c r="EC155"/>
  <c r="EF155"/>
  <c r="DR155"/>
  <c r="DZ155"/>
  <c r="DY155"/>
  <c r="DT155"/>
  <c r="DP155"/>
  <c r="EA155"/>
  <c r="DV155"/>
  <c r="DU155"/>
  <c r="DX155"/>
  <c r="EA112"/>
  <c r="EG112"/>
  <c r="EF112"/>
  <c r="DV112"/>
  <c r="EB112"/>
  <c r="DW112"/>
  <c r="ED112"/>
  <c r="EH112"/>
  <c r="DU112"/>
  <c r="DQ112"/>
  <c r="DT112"/>
  <c r="EI112"/>
  <c r="EE112"/>
  <c r="D112"/>
  <c r="O26" i="52" s="1"/>
  <c r="G26" s="1"/>
  <c r="I26" s="1"/>
  <c r="J26" s="1"/>
  <c r="DZ112" i="69"/>
  <c r="DY112"/>
  <c r="EC112"/>
  <c r="DX112"/>
  <c r="DR112"/>
  <c r="DP112"/>
  <c r="L13" i="63"/>
  <c r="L28" s="1"/>
  <c r="L10"/>
  <c r="L11" s="1"/>
  <c r="L27" s="1"/>
  <c r="L19"/>
  <c r="L34" s="1"/>
  <c r="L67"/>
  <c r="L69" s="1"/>
  <c r="L75" s="1"/>
  <c r="L85" s="1"/>
  <c r="L91" s="1"/>
  <c r="EJ184" i="69"/>
  <c r="BT184"/>
  <c r="BV184" s="1"/>
  <c r="EL184"/>
  <c r="EL183"/>
  <c r="EJ183"/>
  <c r="BT183"/>
  <c r="BV183" s="1"/>
  <c r="L24" i="61"/>
  <c r="L65" s="1"/>
  <c r="DS14" i="69"/>
  <c r="DW161"/>
  <c r="DW162"/>
  <c r="L10" i="61"/>
  <c r="L63" s="1"/>
  <c r="DR115" i="69"/>
  <c r="BP84"/>
  <c r="H5" i="55" s="1"/>
  <c r="ET178" i="69"/>
  <c r="FE178"/>
  <c r="EP178"/>
  <c r="ES178"/>
  <c r="EM178"/>
  <c r="EV178"/>
  <c r="FB178"/>
  <c r="FD178"/>
  <c r="EX178"/>
  <c r="ER178"/>
  <c r="FA178"/>
  <c r="EN177"/>
  <c r="EM177"/>
  <c r="EV177"/>
  <c r="FE177"/>
  <c r="EU177"/>
  <c r="ER177"/>
  <c r="EQ177"/>
  <c r="EW177"/>
  <c r="ET180"/>
  <c r="EN180"/>
  <c r="FB180"/>
  <c r="EW180"/>
  <c r="FE180"/>
  <c r="EX180"/>
  <c r="EV180"/>
  <c r="EO180"/>
  <c r="FC180"/>
  <c r="EY179"/>
  <c r="EO179"/>
  <c r="EW179"/>
  <c r="FE179"/>
  <c r="EU179"/>
  <c r="ER179"/>
  <c r="FC179"/>
  <c r="EX179"/>
  <c r="FA179"/>
  <c r="F105" i="64"/>
  <c r="F95"/>
  <c r="H95" s="1"/>
  <c r="F92"/>
  <c r="E80"/>
  <c r="F94"/>
  <c r="H94" s="1"/>
  <c r="BP88" i="69"/>
  <c r="H9" i="55" s="1"/>
  <c r="ER182" i="69"/>
  <c r="EX182"/>
  <c r="FD182"/>
  <c r="EQ182"/>
  <c r="EW182"/>
  <c r="EZ182"/>
  <c r="EM182"/>
  <c r="EY182"/>
  <c r="FA182"/>
  <c r="ER176"/>
  <c r="EU176"/>
  <c r="EM176"/>
  <c r="EV176"/>
  <c r="FE176"/>
  <c r="EX176"/>
  <c r="FD176"/>
  <c r="ES176"/>
  <c r="DP13"/>
  <c r="EX181"/>
  <c r="EO181"/>
  <c r="FB181"/>
  <c r="EW181"/>
  <c r="EZ181"/>
  <c r="FD181"/>
  <c r="ES181"/>
  <c r="EM181"/>
  <c r="EQ181"/>
  <c r="FA181"/>
  <c r="EY184"/>
  <c r="ES184"/>
  <c r="FB184"/>
  <c r="FE184"/>
  <c r="EX184"/>
  <c r="ER184"/>
  <c r="FC184"/>
  <c r="EQ183"/>
  <c r="FB183"/>
  <c r="ER183"/>
  <c r="EX183"/>
  <c r="EM183"/>
  <c r="EU183"/>
  <c r="ET183"/>
  <c r="EV183"/>
  <c r="FA183"/>
  <c r="D109" i="64" l="1"/>
  <c r="D110" s="1"/>
  <c r="D111" s="1"/>
  <c r="BP48" i="69"/>
  <c r="J342" i="60"/>
  <c r="J148" s="1"/>
  <c r="M51" i="61"/>
  <c r="D51" s="1"/>
  <c r="M50"/>
  <c r="C52"/>
  <c r="C69" s="1"/>
  <c r="D94" i="7" s="1"/>
  <c r="D50" i="61"/>
  <c r="M48"/>
  <c r="D48" s="1"/>
  <c r="M49"/>
  <c r="D49" s="1"/>
  <c r="M41"/>
  <c r="D41" s="1"/>
  <c r="M43"/>
  <c r="D43" s="1"/>
  <c r="M42"/>
  <c r="D42" s="1"/>
  <c r="C38"/>
  <c r="C67" s="1"/>
  <c r="D92" i="7" s="1"/>
  <c r="BP59" i="69"/>
  <c r="M22" i="65" s="1"/>
  <c r="D82" i="64"/>
  <c r="D85" s="1"/>
  <c r="D86" s="1"/>
  <c r="F84"/>
  <c r="BP40" i="69"/>
  <c r="J78" i="21" s="1"/>
  <c r="BP42" i="69"/>
  <c r="J80" i="21" s="1"/>
  <c r="BP46" i="69"/>
  <c r="BP86"/>
  <c r="H7" i="55" s="1"/>
  <c r="BP47" i="69"/>
  <c r="BP100"/>
  <c r="K14" i="52" s="1"/>
  <c r="BP89" i="69"/>
  <c r="H10" i="55" s="1"/>
  <c r="BP44" i="69"/>
  <c r="J82" i="21" s="1"/>
  <c r="BP41" i="69"/>
  <c r="J79" i="21" s="1"/>
  <c r="BP60" i="69"/>
  <c r="M23" i="65" s="1"/>
  <c r="BP101" i="69"/>
  <c r="K15" i="52" s="1"/>
  <c r="BP61" i="69"/>
  <c r="M24" i="65" s="1"/>
  <c r="BP39" i="69"/>
  <c r="J77" i="21" s="1"/>
  <c r="BP43" i="69"/>
  <c r="J81" i="21" s="1"/>
  <c r="ES164" i="69"/>
  <c r="ES163"/>
  <c r="BP102"/>
  <c r="K16" i="52" s="1"/>
  <c r="EN115" i="69"/>
  <c r="ES162"/>
  <c r="EO14"/>
  <c r="FA155"/>
  <c r="ES165"/>
  <c r="FA156"/>
  <c r="ES161"/>
  <c r="FA154"/>
  <c r="FA158"/>
  <c r="L29" i="63"/>
  <c r="L31" s="1"/>
  <c r="L82" s="1"/>
  <c r="L88" s="1"/>
  <c r="ET155" i="69"/>
  <c r="ET154"/>
  <c r="ET163"/>
  <c r="E29" i="63"/>
  <c r="E31" s="1"/>
  <c r="E82" s="1"/>
  <c r="E88" s="1"/>
  <c r="EP15" i="69"/>
  <c r="EP158"/>
  <c r="K29" i="63"/>
  <c r="K31" s="1"/>
  <c r="K82" s="1"/>
  <c r="K88" s="1"/>
  <c r="I29"/>
  <c r="I31" s="1"/>
  <c r="I82" s="1"/>
  <c r="I88" s="1"/>
  <c r="EY165" i="69"/>
  <c r="FE164"/>
  <c r="EX156"/>
  <c r="F29" i="63"/>
  <c r="F31" s="1"/>
  <c r="F82" s="1"/>
  <c r="F88" s="1"/>
  <c r="BT13" i="69"/>
  <c r="BV13" s="1"/>
  <c r="EJ13"/>
  <c r="EL13"/>
  <c r="E84" i="64"/>
  <c r="E82"/>
  <c r="L71" i="61"/>
  <c r="GG183" i="69"/>
  <c r="GS183"/>
  <c r="GT183"/>
  <c r="GN183"/>
  <c r="GJ183"/>
  <c r="GH183"/>
  <c r="GI183"/>
  <c r="GU183"/>
  <c r="GR183"/>
  <c r="GL183"/>
  <c r="GM183"/>
  <c r="GO183"/>
  <c r="GK183"/>
  <c r="GP183"/>
  <c r="GQ183"/>
  <c r="FL183"/>
  <c r="FG183"/>
  <c r="GB183" s="1"/>
  <c r="FT183"/>
  <c r="FH183"/>
  <c r="GC183" s="1"/>
  <c r="FM183"/>
  <c r="FN183"/>
  <c r="FX183"/>
  <c r="FO183"/>
  <c r="FI183"/>
  <c r="GD183" s="1"/>
  <c r="FY183"/>
  <c r="FW183"/>
  <c r="FJ183"/>
  <c r="GE183" s="1"/>
  <c r="FK183"/>
  <c r="GF183" s="1"/>
  <c r="FZ183"/>
  <c r="FU183"/>
  <c r="FV183"/>
  <c r="FP183"/>
  <c r="FS183"/>
  <c r="FQ183"/>
  <c r="FR183"/>
  <c r="GR184"/>
  <c r="GJ184"/>
  <c r="GK184"/>
  <c r="GI184"/>
  <c r="GL184"/>
  <c r="GM184"/>
  <c r="GH184"/>
  <c r="GN184"/>
  <c r="GS184"/>
  <c r="GQ184"/>
  <c r="GT184"/>
  <c r="GO184"/>
  <c r="GP184"/>
  <c r="GU184"/>
  <c r="EL112"/>
  <c r="BT112"/>
  <c r="BV112" s="1"/>
  <c r="EJ112"/>
  <c r="BT155"/>
  <c r="BV155" s="1"/>
  <c r="EJ155"/>
  <c r="EL155"/>
  <c r="EJ154"/>
  <c r="EL154"/>
  <c r="BT154"/>
  <c r="BV154" s="1"/>
  <c r="F17" i="63"/>
  <c r="F33" s="1"/>
  <c r="F50" s="1"/>
  <c r="F52" s="1"/>
  <c r="J17"/>
  <c r="J33" s="1"/>
  <c r="J50" s="1"/>
  <c r="J52" s="1"/>
  <c r="I17"/>
  <c r="I33" s="1"/>
  <c r="I50" s="1"/>
  <c r="I52" s="1"/>
  <c r="K17"/>
  <c r="K33" s="1"/>
  <c r="K50" s="1"/>
  <c r="K52" s="1"/>
  <c r="D33"/>
  <c r="D50" s="1"/>
  <c r="D52" s="1"/>
  <c r="G17"/>
  <c r="G33" s="1"/>
  <c r="G50" s="1"/>
  <c r="G52" s="1"/>
  <c r="L17"/>
  <c r="L33" s="1"/>
  <c r="L50" s="1"/>
  <c r="L52" s="1"/>
  <c r="E17"/>
  <c r="E33" s="1"/>
  <c r="E50" s="1"/>
  <c r="E52" s="1"/>
  <c r="H17"/>
  <c r="H33" s="1"/>
  <c r="H50" s="1"/>
  <c r="H52" s="1"/>
  <c r="GS176" i="69"/>
  <c r="GO176"/>
  <c r="GN176"/>
  <c r="GI176"/>
  <c r="GM176"/>
  <c r="GG176"/>
  <c r="GF176"/>
  <c r="GH176"/>
  <c r="GL176"/>
  <c r="GU176"/>
  <c r="GQ176"/>
  <c r="GR176"/>
  <c r="GT176"/>
  <c r="GP176"/>
  <c r="GJ176"/>
  <c r="GK176"/>
  <c r="GR182"/>
  <c r="GJ182"/>
  <c r="GQ182"/>
  <c r="GI182"/>
  <c r="GH182"/>
  <c r="GT182"/>
  <c r="GS182"/>
  <c r="GN182"/>
  <c r="GU182"/>
  <c r="GM182"/>
  <c r="GP182"/>
  <c r="GO182"/>
  <c r="GL182"/>
  <c r="GK182"/>
  <c r="GU179"/>
  <c r="GH179"/>
  <c r="GJ179"/>
  <c r="GK179"/>
  <c r="GT179"/>
  <c r="GF179"/>
  <c r="GI179"/>
  <c r="GG179"/>
  <c r="GQ179"/>
  <c r="GL179"/>
  <c r="GO179"/>
  <c r="GR179"/>
  <c r="GP179"/>
  <c r="GN179"/>
  <c r="GS179"/>
  <c r="GM179"/>
  <c r="GT177"/>
  <c r="GN177"/>
  <c r="GR177"/>
  <c r="GM177"/>
  <c r="GH177"/>
  <c r="GF177"/>
  <c r="GG177"/>
  <c r="GI177"/>
  <c r="GL177"/>
  <c r="GK177"/>
  <c r="GO177"/>
  <c r="GE177"/>
  <c r="GU177"/>
  <c r="GP177"/>
  <c r="GS177"/>
  <c r="GJ177"/>
  <c r="GQ177"/>
  <c r="I374" i="60"/>
  <c r="F381"/>
  <c r="G374"/>
  <c r="G381" s="1"/>
  <c r="J31" i="45"/>
  <c r="K31" s="1"/>
  <c r="F31"/>
  <c r="G31" s="1"/>
  <c r="BT162" i="69"/>
  <c r="BV162" s="1"/>
  <c r="EJ162"/>
  <c r="EL162"/>
  <c r="M69" i="63"/>
  <c r="K75"/>
  <c r="FK181" i="69"/>
  <c r="FS181"/>
  <c r="FL181"/>
  <c r="FY181"/>
  <c r="FR181"/>
  <c r="FM181"/>
  <c r="FH181"/>
  <c r="GC181" s="1"/>
  <c r="FT181"/>
  <c r="FN181"/>
  <c r="FI181"/>
  <c r="FP181"/>
  <c r="FX181"/>
  <c r="FG181"/>
  <c r="GB181" s="1"/>
  <c r="FJ181"/>
  <c r="FZ181"/>
  <c r="FU181"/>
  <c r="FW181"/>
  <c r="FO181"/>
  <c r="FV181"/>
  <c r="FQ181"/>
  <c r="GK181"/>
  <c r="GO181"/>
  <c r="GI181"/>
  <c r="GF181"/>
  <c r="GH181"/>
  <c r="GG181"/>
  <c r="GT181"/>
  <c r="GM181"/>
  <c r="GJ181"/>
  <c r="GR181"/>
  <c r="GP181"/>
  <c r="GL181"/>
  <c r="GQ181"/>
  <c r="GN181"/>
  <c r="GS181"/>
  <c r="GD181"/>
  <c r="GE181"/>
  <c r="GU181"/>
  <c r="FJ180"/>
  <c r="FR180"/>
  <c r="FI180"/>
  <c r="GD180" s="1"/>
  <c r="FK180"/>
  <c r="FH180"/>
  <c r="GC180" s="1"/>
  <c r="FZ180"/>
  <c r="FQ180"/>
  <c r="FX180"/>
  <c r="FO180"/>
  <c r="FL180"/>
  <c r="FM180"/>
  <c r="FU180"/>
  <c r="FY180"/>
  <c r="FS180"/>
  <c r="FP180"/>
  <c r="FV180"/>
  <c r="FN180"/>
  <c r="FG180"/>
  <c r="GB180" s="1"/>
  <c r="FW180"/>
  <c r="FT180"/>
  <c r="GJ178"/>
  <c r="GN178"/>
  <c r="GL178"/>
  <c r="GI178"/>
  <c r="GG178"/>
  <c r="GF178"/>
  <c r="GH178"/>
  <c r="GP178"/>
  <c r="GU178"/>
  <c r="GO178"/>
  <c r="GK178"/>
  <c r="GT178"/>
  <c r="GQ178"/>
  <c r="GR178"/>
  <c r="GS178"/>
  <c r="GM178"/>
  <c r="FI178"/>
  <c r="GD178" s="1"/>
  <c r="FN178"/>
  <c r="FO178"/>
  <c r="FL178"/>
  <c r="FJ178"/>
  <c r="GE178" s="1"/>
  <c r="FM178"/>
  <c r="FV178"/>
  <c r="FX178"/>
  <c r="FS178"/>
  <c r="FP178"/>
  <c r="FR178"/>
  <c r="FQ178"/>
  <c r="FG178"/>
  <c r="GB178" s="1"/>
  <c r="FW178"/>
  <c r="FT178"/>
  <c r="FZ178"/>
  <c r="FU178"/>
  <c r="FY178"/>
  <c r="FK178"/>
  <c r="FH178"/>
  <c r="GC178" s="1"/>
  <c r="BT161"/>
  <c r="BV161" s="1"/>
  <c r="EJ161"/>
  <c r="EL161"/>
  <c r="J30" i="45"/>
  <c r="K30" s="1"/>
  <c r="F30"/>
  <c r="G30" s="1"/>
  <c r="EL156" i="69"/>
  <c r="BT156"/>
  <c r="BV156" s="1"/>
  <c r="EJ156"/>
  <c r="ET112"/>
  <c r="EU112"/>
  <c r="FE112"/>
  <c r="EM112"/>
  <c r="FD112"/>
  <c r="ES112"/>
  <c r="ER112"/>
  <c r="FC112"/>
  <c r="ER155"/>
  <c r="EU155"/>
  <c r="EN155"/>
  <c r="EY155"/>
  <c r="FE155"/>
  <c r="EX155"/>
  <c r="FD155"/>
  <c r="ES155"/>
  <c r="ER154"/>
  <c r="EU154"/>
  <c r="EN154"/>
  <c r="EY154"/>
  <c r="FE154"/>
  <c r="EX154"/>
  <c r="FD154"/>
  <c r="ES154"/>
  <c r="EZ163"/>
  <c r="FA163"/>
  <c r="FC163"/>
  <c r="FB163"/>
  <c r="EN163"/>
  <c r="EQ163"/>
  <c r="EP163"/>
  <c r="EU163"/>
  <c r="J29" i="63"/>
  <c r="J31" s="1"/>
  <c r="J82" s="1"/>
  <c r="J88" s="1"/>
  <c r="G29"/>
  <c r="G31" s="1"/>
  <c r="G82" s="1"/>
  <c r="G88" s="1"/>
  <c r="H29"/>
  <c r="H31" s="1"/>
  <c r="H82" s="1"/>
  <c r="ES15" i="69"/>
  <c r="FA15"/>
  <c r="EM15"/>
  <c r="FD15"/>
  <c r="EN15"/>
  <c r="EX15"/>
  <c r="EQ15"/>
  <c r="FE15"/>
  <c r="EW15"/>
  <c r="EQ158"/>
  <c r="EW158"/>
  <c r="ET158"/>
  <c r="EZ158"/>
  <c r="EX158"/>
  <c r="FD158"/>
  <c r="EN158"/>
  <c r="FC158"/>
  <c r="ER158"/>
  <c r="EM158"/>
  <c r="EJ15"/>
  <c r="EX115"/>
  <c r="ER115"/>
  <c r="FC115"/>
  <c r="EP115"/>
  <c r="EZ115"/>
  <c r="ES115"/>
  <c r="EY115"/>
  <c r="FA115"/>
  <c r="EM115"/>
  <c r="EO115"/>
  <c r="FB162"/>
  <c r="EZ162"/>
  <c r="EU162"/>
  <c r="FA162"/>
  <c r="EQ162"/>
  <c r="EW162"/>
  <c r="FC162"/>
  <c r="EO162"/>
  <c r="EO13"/>
  <c r="FC13"/>
  <c r="EY13"/>
  <c r="ES13"/>
  <c r="ER13"/>
  <c r="EP13"/>
  <c r="FE13"/>
  <c r="EQ13"/>
  <c r="EV13"/>
  <c r="EM13"/>
  <c r="EX165"/>
  <c r="FD165"/>
  <c r="EN165"/>
  <c r="FC165"/>
  <c r="ER165"/>
  <c r="EP165"/>
  <c r="EV165"/>
  <c r="EO165"/>
  <c r="EU165"/>
  <c r="FA165"/>
  <c r="EX164"/>
  <c r="FD164"/>
  <c r="EQ164"/>
  <c r="ER164"/>
  <c r="EN164"/>
  <c r="EP164"/>
  <c r="EV164"/>
  <c r="FB164"/>
  <c r="EZ164"/>
  <c r="E110" i="64"/>
  <c r="E111" s="1"/>
  <c r="F85"/>
  <c r="F86" s="1"/>
  <c r="EQ161" i="69"/>
  <c r="FB161"/>
  <c r="FD161"/>
  <c r="EN161"/>
  <c r="EX161"/>
  <c r="EZ161"/>
  <c r="EU161"/>
  <c r="EW161"/>
  <c r="EM161"/>
  <c r="EN14"/>
  <c r="EV14"/>
  <c r="EU14"/>
  <c r="EY14"/>
  <c r="ES14"/>
  <c r="FB14"/>
  <c r="EQ14"/>
  <c r="EZ14"/>
  <c r="FE14"/>
  <c r="FD156"/>
  <c r="EW156"/>
  <c r="EY156"/>
  <c r="EP156"/>
  <c r="EV156"/>
  <c r="FB156"/>
  <c r="EN156"/>
  <c r="EQ156"/>
  <c r="EM156"/>
  <c r="F99" i="64"/>
  <c r="H139" s="1"/>
  <c r="H92"/>
  <c r="H99" s="1"/>
  <c r="F109"/>
  <c r="F107"/>
  <c r="FM184" i="69"/>
  <c r="FQ184"/>
  <c r="FJ184"/>
  <c r="GE184" s="1"/>
  <c r="FT184"/>
  <c r="FS184"/>
  <c r="FV184"/>
  <c r="FN184"/>
  <c r="FX184"/>
  <c r="FR184"/>
  <c r="FG184"/>
  <c r="GB184" s="1"/>
  <c r="FP184"/>
  <c r="FH184"/>
  <c r="GC184" s="1"/>
  <c r="FZ184"/>
  <c r="FK184"/>
  <c r="GF184" s="1"/>
  <c r="FY184"/>
  <c r="FU184"/>
  <c r="FI184"/>
  <c r="GD184" s="1"/>
  <c r="FW184"/>
  <c r="FL184"/>
  <c r="GG184" s="1"/>
  <c r="FO184"/>
  <c r="D40" i="61"/>
  <c r="EL163" i="69"/>
  <c r="BT163"/>
  <c r="BV163" s="1"/>
  <c r="EJ163"/>
  <c r="D82" i="63"/>
  <c r="FG176" i="69"/>
  <c r="GB176" s="1"/>
  <c r="FJ176"/>
  <c r="GE176" s="1"/>
  <c r="FQ176"/>
  <c r="FM176"/>
  <c r="FN176"/>
  <c r="FX176"/>
  <c r="FU176"/>
  <c r="FI176"/>
  <c r="GD176" s="1"/>
  <c r="FV176"/>
  <c r="FS176"/>
  <c r="FP176"/>
  <c r="FT176"/>
  <c r="FW176"/>
  <c r="FL176"/>
  <c r="FZ176"/>
  <c r="FO176"/>
  <c r="FR176"/>
  <c r="FY176"/>
  <c r="FK176"/>
  <c r="FH176"/>
  <c r="GC176" s="1"/>
  <c r="FS182"/>
  <c r="FK182"/>
  <c r="GF182" s="1"/>
  <c r="FX182"/>
  <c r="FP182"/>
  <c r="FH182"/>
  <c r="GC182" s="1"/>
  <c r="FM182"/>
  <c r="FR182"/>
  <c r="FY182"/>
  <c r="FI182"/>
  <c r="GD182" s="1"/>
  <c r="FN182"/>
  <c r="FW182"/>
  <c r="FO182"/>
  <c r="FG182"/>
  <c r="GB182" s="1"/>
  <c r="FT182"/>
  <c r="FL182"/>
  <c r="GG182" s="1"/>
  <c r="FU182"/>
  <c r="FZ182"/>
  <c r="FJ182"/>
  <c r="GE182" s="1"/>
  <c r="FQ182"/>
  <c r="FV182"/>
  <c r="FK179"/>
  <c r="FH179"/>
  <c r="GC179" s="1"/>
  <c r="FR179"/>
  <c r="FL179"/>
  <c r="FT179"/>
  <c r="FS179"/>
  <c r="FX179"/>
  <c r="FM179"/>
  <c r="FW179"/>
  <c r="FV179"/>
  <c r="FI179"/>
  <c r="GD179" s="1"/>
  <c r="FP179"/>
  <c r="FY179"/>
  <c r="FQ179"/>
  <c r="FJ179"/>
  <c r="GE179" s="1"/>
  <c r="FU179"/>
  <c r="FN179"/>
  <c r="FO179"/>
  <c r="FG179"/>
  <c r="GB179" s="1"/>
  <c r="FZ179"/>
  <c r="FG177"/>
  <c r="GB177" s="1"/>
  <c r="FW177"/>
  <c r="FO177"/>
  <c r="FY177"/>
  <c r="FV177"/>
  <c r="FU177"/>
  <c r="FI177"/>
  <c r="GD177" s="1"/>
  <c r="FX177"/>
  <c r="FR177"/>
  <c r="FQ177"/>
  <c r="FH177"/>
  <c r="GC177" s="1"/>
  <c r="FL177"/>
  <c r="FT177"/>
  <c r="FP177"/>
  <c r="FN177"/>
  <c r="FM177"/>
  <c r="FK177"/>
  <c r="FS177"/>
  <c r="FJ177"/>
  <c r="FZ177"/>
  <c r="EL158"/>
  <c r="BT158"/>
  <c r="BV158" s="1"/>
  <c r="EJ158"/>
  <c r="BT115"/>
  <c r="BV115" s="1"/>
  <c r="EJ115"/>
  <c r="EL115"/>
  <c r="J29" i="45"/>
  <c r="K29" s="1"/>
  <c r="F29"/>
  <c r="G29" s="1"/>
  <c r="EL165" i="69"/>
  <c r="BT165"/>
  <c r="BV165" s="1"/>
  <c r="EJ165"/>
  <c r="BT164"/>
  <c r="BV164" s="1"/>
  <c r="EJ164"/>
  <c r="EL164"/>
  <c r="I308" i="60"/>
  <c r="J308" s="1"/>
  <c r="G308"/>
  <c r="GS180" i="69"/>
  <c r="GQ180"/>
  <c r="GM180"/>
  <c r="GR180"/>
  <c r="GL180"/>
  <c r="GH180"/>
  <c r="GU180"/>
  <c r="GN180"/>
  <c r="GO180"/>
  <c r="GI180"/>
  <c r="GP180"/>
  <c r="GJ180"/>
  <c r="GK180"/>
  <c r="GT180"/>
  <c r="GE180"/>
  <c r="GF180"/>
  <c r="GG180"/>
  <c r="D47" i="61"/>
  <c r="EJ14" i="69"/>
  <c r="BT14"/>
  <c r="BV14" s="1"/>
  <c r="EL14"/>
  <c r="EN112"/>
  <c r="EY112"/>
  <c r="EV112"/>
  <c r="FA112"/>
  <c r="EP112"/>
  <c r="EQ112"/>
  <c r="EZ112"/>
  <c r="EX112"/>
  <c r="FB112"/>
  <c r="EW112"/>
  <c r="EQ155"/>
  <c r="EW155"/>
  <c r="EP155"/>
  <c r="EV155"/>
  <c r="FB155"/>
  <c r="EZ155"/>
  <c r="FC155"/>
  <c r="EO155"/>
  <c r="EM155"/>
  <c r="EQ154"/>
  <c r="EW154"/>
  <c r="EP154"/>
  <c r="EV154"/>
  <c r="FB154"/>
  <c r="EZ154"/>
  <c r="FC154"/>
  <c r="EO154"/>
  <c r="EM154"/>
  <c r="EW163"/>
  <c r="EY163"/>
  <c r="EX163"/>
  <c r="FD163"/>
  <c r="FE163"/>
  <c r="ER163"/>
  <c r="EO163"/>
  <c r="EV163"/>
  <c r="EM163"/>
  <c r="FC15"/>
  <c r="ET15"/>
  <c r="EO15"/>
  <c r="EU15"/>
  <c r="EZ15"/>
  <c r="EV15"/>
  <c r="ER15"/>
  <c r="FB15"/>
  <c r="EY15"/>
  <c r="EV158"/>
  <c r="EO158"/>
  <c r="EU158"/>
  <c r="EY158"/>
  <c r="FE158"/>
  <c r="FB158"/>
  <c r="ES158"/>
  <c r="BT15"/>
  <c r="BV15" s="1"/>
  <c r="EL15"/>
  <c r="EW115"/>
  <c r="FE115"/>
  <c r="EV115"/>
  <c r="FD115"/>
  <c r="FB115"/>
  <c r="ET115"/>
  <c r="EU115"/>
  <c r="EQ115"/>
  <c r="EY162"/>
  <c r="FE162"/>
  <c r="EP162"/>
  <c r="EV162"/>
  <c r="EN162"/>
  <c r="ET162"/>
  <c r="ER162"/>
  <c r="EX162"/>
  <c r="FD162"/>
  <c r="EM162"/>
  <c r="EO112"/>
  <c r="FD13"/>
  <c r="FA13"/>
  <c r="EN13"/>
  <c r="FB13"/>
  <c r="EX13"/>
  <c r="EZ13"/>
  <c r="EU13"/>
  <c r="EW13"/>
  <c r="ET13"/>
  <c r="FE165"/>
  <c r="FB165"/>
  <c r="EM165"/>
  <c r="EQ165"/>
  <c r="EW165"/>
  <c r="ET165"/>
  <c r="EZ165"/>
  <c r="EO164"/>
  <c r="ET164"/>
  <c r="EU164"/>
  <c r="EW164"/>
  <c r="EY164"/>
  <c r="FA164"/>
  <c r="FC164"/>
  <c r="EM164"/>
  <c r="EP161"/>
  <c r="ER161"/>
  <c r="FC161"/>
  <c r="FE161"/>
  <c r="EO161"/>
  <c r="EY161"/>
  <c r="FA161"/>
  <c r="ET161"/>
  <c r="EV161"/>
  <c r="ET14"/>
  <c r="FA14"/>
  <c r="ER14"/>
  <c r="EX14"/>
  <c r="EM14"/>
  <c r="FD14"/>
  <c r="EW14"/>
  <c r="FC14"/>
  <c r="EP14"/>
  <c r="FC156"/>
  <c r="ET156"/>
  <c r="EZ156"/>
  <c r="ES156"/>
  <c r="EU156"/>
  <c r="FE156"/>
  <c r="ER156"/>
  <c r="EO156"/>
  <c r="M52" i="61" l="1"/>
  <c r="M69" s="1"/>
  <c r="G35" i="63"/>
  <c r="G36" s="1"/>
  <c r="G37" s="1"/>
  <c r="D52" i="61"/>
  <c r="D69" s="1"/>
  <c r="E69" s="1"/>
  <c r="M44"/>
  <c r="C45"/>
  <c r="C68" s="1"/>
  <c r="D93" i="7" s="1"/>
  <c r="J35" i="63"/>
  <c r="J39" s="1"/>
  <c r="K35"/>
  <c r="K36" s="1"/>
  <c r="E35"/>
  <c r="E36" s="1"/>
  <c r="F110" i="64"/>
  <c r="F111" s="1"/>
  <c r="G111" s="1"/>
  <c r="H138" s="1"/>
  <c r="I35" i="63"/>
  <c r="I36" s="1"/>
  <c r="I37" s="1"/>
  <c r="L35"/>
  <c r="L36" s="1"/>
  <c r="BP179" i="69"/>
  <c r="G78" i="63" s="1"/>
  <c r="BP176" i="69"/>
  <c r="D78" i="63" s="1"/>
  <c r="M31"/>
  <c r="H35"/>
  <c r="H36" s="1"/>
  <c r="H37" s="1"/>
  <c r="BP182" i="69"/>
  <c r="J78" i="63" s="1"/>
  <c r="GN14" i="69"/>
  <c r="GU14"/>
  <c r="GO14"/>
  <c r="GI14"/>
  <c r="GP14"/>
  <c r="GJ14"/>
  <c r="GQ14"/>
  <c r="GR14"/>
  <c r="GS14"/>
  <c r="GT14"/>
  <c r="GK14"/>
  <c r="GL14"/>
  <c r="GM14"/>
  <c r="FS165"/>
  <c r="FK165"/>
  <c r="FX165"/>
  <c r="FP165"/>
  <c r="FH165"/>
  <c r="GC165" s="1"/>
  <c r="FU165"/>
  <c r="FM165"/>
  <c r="FZ165"/>
  <c r="FR165"/>
  <c r="FJ165"/>
  <c r="GE165" s="1"/>
  <c r="FW165"/>
  <c r="FO165"/>
  <c r="FG165"/>
  <c r="GB165" s="1"/>
  <c r="FT165"/>
  <c r="FL165"/>
  <c r="FY165"/>
  <c r="FQ165"/>
  <c r="FI165"/>
  <c r="GD165" s="1"/>
  <c r="FV165"/>
  <c r="FN165"/>
  <c r="FY158"/>
  <c r="FQ158"/>
  <c r="FI158"/>
  <c r="GD158" s="1"/>
  <c r="FV158"/>
  <c r="FN158"/>
  <c r="FW158"/>
  <c r="FO158"/>
  <c r="FG158"/>
  <c r="GB158" s="1"/>
  <c r="FT158"/>
  <c r="FL158"/>
  <c r="FU158"/>
  <c r="FM158"/>
  <c r="FZ158"/>
  <c r="FR158"/>
  <c r="FJ158"/>
  <c r="GE158" s="1"/>
  <c r="FS158"/>
  <c r="FK158"/>
  <c r="FX158"/>
  <c r="FP158"/>
  <c r="FH158"/>
  <c r="GC158" s="1"/>
  <c r="FY156"/>
  <c r="FQ156"/>
  <c r="FI156"/>
  <c r="GD156" s="1"/>
  <c r="FV156"/>
  <c r="FN156"/>
  <c r="FW156"/>
  <c r="FO156"/>
  <c r="FG156"/>
  <c r="GB156" s="1"/>
  <c r="FT156"/>
  <c r="FL156"/>
  <c r="FU156"/>
  <c r="FM156"/>
  <c r="FZ156"/>
  <c r="FR156"/>
  <c r="FJ156"/>
  <c r="GE156" s="1"/>
  <c r="FS156"/>
  <c r="FK156"/>
  <c r="FX156"/>
  <c r="FP156"/>
  <c r="FH156"/>
  <c r="GC156" s="1"/>
  <c r="H31" i="45"/>
  <c r="F250" i="60"/>
  <c r="J374"/>
  <c r="J381" s="1"/>
  <c r="I381"/>
  <c r="FV155" i="69"/>
  <c r="FN155"/>
  <c r="FY155"/>
  <c r="FQ155"/>
  <c r="FI155"/>
  <c r="GD155" s="1"/>
  <c r="FT155"/>
  <c r="FL155"/>
  <c r="FW155"/>
  <c r="FO155"/>
  <c r="FG155"/>
  <c r="GB155" s="1"/>
  <c r="FZ155"/>
  <c r="FR155"/>
  <c r="FJ155"/>
  <c r="GE155" s="1"/>
  <c r="FU155"/>
  <c r="FM155"/>
  <c r="FX155"/>
  <c r="FP155"/>
  <c r="FH155"/>
  <c r="GC155" s="1"/>
  <c r="FS155"/>
  <c r="FK155"/>
  <c r="GU155"/>
  <c r="GM155"/>
  <c r="GT155"/>
  <c r="GL155"/>
  <c r="GS155"/>
  <c r="GK155"/>
  <c r="GR155"/>
  <c r="GJ155"/>
  <c r="GQ155"/>
  <c r="GI155"/>
  <c r="GP155"/>
  <c r="GH155"/>
  <c r="GO155"/>
  <c r="GG155"/>
  <c r="GN155"/>
  <c r="GF155"/>
  <c r="FS15"/>
  <c r="FH15"/>
  <c r="GC15" s="1"/>
  <c r="FR15"/>
  <c r="FG15"/>
  <c r="GB15" s="1"/>
  <c r="FQ15"/>
  <c r="FK15"/>
  <c r="GF15" s="1"/>
  <c r="FU15"/>
  <c r="FJ15"/>
  <c r="GE15" s="1"/>
  <c r="FT15"/>
  <c r="FI15"/>
  <c r="GD15" s="1"/>
  <c r="FM15"/>
  <c r="GH15" s="1"/>
  <c r="FL15"/>
  <c r="GG15" s="1"/>
  <c r="FP15"/>
  <c r="FO15"/>
  <c r="FN15"/>
  <c r="FX15"/>
  <c r="FW15"/>
  <c r="FV15"/>
  <c r="FZ15"/>
  <c r="FY15"/>
  <c r="FS14"/>
  <c r="FH14"/>
  <c r="GC14" s="1"/>
  <c r="FR14"/>
  <c r="FG14"/>
  <c r="GB14" s="1"/>
  <c r="FQ14"/>
  <c r="FK14"/>
  <c r="GF14" s="1"/>
  <c r="FU14"/>
  <c r="FJ14"/>
  <c r="GE14" s="1"/>
  <c r="FT14"/>
  <c r="FI14"/>
  <c r="GD14" s="1"/>
  <c r="FM14"/>
  <c r="GH14" s="1"/>
  <c r="FL14"/>
  <c r="GG14" s="1"/>
  <c r="FP14"/>
  <c r="FO14"/>
  <c r="FN14"/>
  <c r="FX14"/>
  <c r="FW14"/>
  <c r="FV14"/>
  <c r="FZ14"/>
  <c r="FY14"/>
  <c r="FX164"/>
  <c r="FP164"/>
  <c r="FH164"/>
  <c r="GC164" s="1"/>
  <c r="FS164"/>
  <c r="FK164"/>
  <c r="GF164" s="1"/>
  <c r="FZ164"/>
  <c r="FR164"/>
  <c r="FJ164"/>
  <c r="GE164" s="1"/>
  <c r="FU164"/>
  <c r="FM164"/>
  <c r="FT164"/>
  <c r="FL164"/>
  <c r="GG164" s="1"/>
  <c r="FW164"/>
  <c r="FO164"/>
  <c r="FG164"/>
  <c r="GB164" s="1"/>
  <c r="FV164"/>
  <c r="FN164"/>
  <c r="FY164"/>
  <c r="FQ164"/>
  <c r="FI164"/>
  <c r="GD164" s="1"/>
  <c r="GO164"/>
  <c r="GR164"/>
  <c r="GJ164"/>
  <c r="GQ164"/>
  <c r="GI164"/>
  <c r="GP164"/>
  <c r="GH164"/>
  <c r="GS164"/>
  <c r="GK164"/>
  <c r="GN164"/>
  <c r="GU164"/>
  <c r="GM164"/>
  <c r="GT164"/>
  <c r="GL164"/>
  <c r="GR165"/>
  <c r="GJ165"/>
  <c r="GS165"/>
  <c r="GK165"/>
  <c r="GT165"/>
  <c r="GL165"/>
  <c r="GU165"/>
  <c r="GM165"/>
  <c r="GN165"/>
  <c r="GF165"/>
  <c r="GO165"/>
  <c r="GG165"/>
  <c r="GP165"/>
  <c r="GH165"/>
  <c r="GQ165"/>
  <c r="GI165"/>
  <c r="F248" i="60"/>
  <c r="H29" i="45"/>
  <c r="FK115" i="69"/>
  <c r="GF115" s="1"/>
  <c r="FG115"/>
  <c r="FS115"/>
  <c r="FV115"/>
  <c r="FW115"/>
  <c r="FM115"/>
  <c r="FP115"/>
  <c r="FR115"/>
  <c r="FH115"/>
  <c r="GC115" s="1"/>
  <c r="FZ115"/>
  <c r="FO115"/>
  <c r="FI115"/>
  <c r="GD115" s="1"/>
  <c r="FQ115"/>
  <c r="FN115"/>
  <c r="FT115"/>
  <c r="FY115"/>
  <c r="FL115"/>
  <c r="GG115" s="1"/>
  <c r="FU115"/>
  <c r="FJ115"/>
  <c r="GE115" s="1"/>
  <c r="FX115"/>
  <c r="GT115"/>
  <c r="GB115"/>
  <c r="GK115"/>
  <c r="GQ115"/>
  <c r="GP115"/>
  <c r="GU115"/>
  <c r="GH115"/>
  <c r="GN115"/>
  <c r="GM115"/>
  <c r="GR115"/>
  <c r="GJ115"/>
  <c r="GS115"/>
  <c r="GI115"/>
  <c r="GL115"/>
  <c r="GO115"/>
  <c r="GT158"/>
  <c r="GL158"/>
  <c r="GU158"/>
  <c r="GM158"/>
  <c r="GR158"/>
  <c r="GJ158"/>
  <c r="GS158"/>
  <c r="GK158"/>
  <c r="GP158"/>
  <c r="GH158"/>
  <c r="GQ158"/>
  <c r="GI158"/>
  <c r="GN158"/>
  <c r="GF158"/>
  <c r="GO158"/>
  <c r="GG158"/>
  <c r="M82" i="63"/>
  <c r="D88"/>
  <c r="FW163" i="69"/>
  <c r="FO163"/>
  <c r="FG163"/>
  <c r="GB163" s="1"/>
  <c r="FT163"/>
  <c r="FL163"/>
  <c r="GG163" s="1"/>
  <c r="FY163"/>
  <c r="FQ163"/>
  <c r="FI163"/>
  <c r="GD163" s="1"/>
  <c r="FV163"/>
  <c r="FN163"/>
  <c r="FS163"/>
  <c r="FK163"/>
  <c r="GF163" s="1"/>
  <c r="FX163"/>
  <c r="FP163"/>
  <c r="FH163"/>
  <c r="GC163" s="1"/>
  <c r="FU163"/>
  <c r="FM163"/>
  <c r="FZ163"/>
  <c r="FR163"/>
  <c r="FJ163"/>
  <c r="GE163" s="1"/>
  <c r="D139" i="64"/>
  <c r="H88" i="63"/>
  <c r="GP156" i="69"/>
  <c r="GH156"/>
  <c r="GQ156"/>
  <c r="GI156"/>
  <c r="GN156"/>
  <c r="GF156"/>
  <c r="GO156"/>
  <c r="GG156"/>
  <c r="GT156"/>
  <c r="GL156"/>
  <c r="GU156"/>
  <c r="GM156"/>
  <c r="GR156"/>
  <c r="GJ156"/>
  <c r="GS156"/>
  <c r="GK156"/>
  <c r="H30" i="45"/>
  <c r="F249" i="60"/>
  <c r="FW161" i="69"/>
  <c r="FT161"/>
  <c r="FL161"/>
  <c r="FO161"/>
  <c r="FQ161"/>
  <c r="FY161"/>
  <c r="FV161"/>
  <c r="FN161"/>
  <c r="FS161"/>
  <c r="FU161"/>
  <c r="FX161"/>
  <c r="FP161"/>
  <c r="FH161"/>
  <c r="GC161" s="1"/>
  <c r="FG161"/>
  <c r="GB161" s="1"/>
  <c r="FI161"/>
  <c r="GD161" s="1"/>
  <c r="FZ161"/>
  <c r="FR161"/>
  <c r="FJ161"/>
  <c r="GE161" s="1"/>
  <c r="FK161"/>
  <c r="FM161"/>
  <c r="GR161"/>
  <c r="GJ161"/>
  <c r="GS161"/>
  <c r="GK161"/>
  <c r="GT161"/>
  <c r="GL161"/>
  <c r="GU161"/>
  <c r="GM161"/>
  <c r="GN161"/>
  <c r="GF161"/>
  <c r="GO161"/>
  <c r="GG161"/>
  <c r="GP161"/>
  <c r="GH161"/>
  <c r="GQ161"/>
  <c r="GI161"/>
  <c r="K85" i="63"/>
  <c r="M75"/>
  <c r="FX162" i="69"/>
  <c r="FP162"/>
  <c r="FH162"/>
  <c r="GC162" s="1"/>
  <c r="FS162"/>
  <c r="FK162"/>
  <c r="FZ162"/>
  <c r="FR162"/>
  <c r="FJ162"/>
  <c r="GE162" s="1"/>
  <c r="FU162"/>
  <c r="FM162"/>
  <c r="FT162"/>
  <c r="FL162"/>
  <c r="FW162"/>
  <c r="FO162"/>
  <c r="FG162"/>
  <c r="GB162" s="1"/>
  <c r="FV162"/>
  <c r="FN162"/>
  <c r="FY162"/>
  <c r="FQ162"/>
  <c r="FI162"/>
  <c r="GD162" s="1"/>
  <c r="GS162"/>
  <c r="GK162"/>
  <c r="GR162"/>
  <c r="GJ162"/>
  <c r="GU162"/>
  <c r="GM162"/>
  <c r="GT162"/>
  <c r="GL162"/>
  <c r="GO162"/>
  <c r="GG162"/>
  <c r="GN162"/>
  <c r="GF162"/>
  <c r="GQ162"/>
  <c r="GI162"/>
  <c r="GP162"/>
  <c r="GH162"/>
  <c r="F137" i="60"/>
  <c r="N54" i="7" s="1"/>
  <c r="F154" i="60"/>
  <c r="GP154" i="69"/>
  <c r="GH154"/>
  <c r="GQ154"/>
  <c r="GI154"/>
  <c r="GN154"/>
  <c r="GS154"/>
  <c r="GK154"/>
  <c r="GT154"/>
  <c r="GL154"/>
  <c r="GU154"/>
  <c r="GM154"/>
  <c r="GR154"/>
  <c r="GJ154"/>
  <c r="GO154"/>
  <c r="GG154"/>
  <c r="FN112"/>
  <c r="FM112"/>
  <c r="FZ112"/>
  <c r="FS112"/>
  <c r="FP112"/>
  <c r="FI112"/>
  <c r="GD112" s="1"/>
  <c r="FU112"/>
  <c r="FG112"/>
  <c r="GB112" s="1"/>
  <c r="FW112"/>
  <c r="FT112"/>
  <c r="FX112"/>
  <c r="FY112"/>
  <c r="FJ112"/>
  <c r="GE112" s="1"/>
  <c r="FK112"/>
  <c r="GF112" s="1"/>
  <c r="FH112"/>
  <c r="GC112" s="1"/>
  <c r="FQ112"/>
  <c r="FV112"/>
  <c r="FR112"/>
  <c r="FO112"/>
  <c r="FL112"/>
  <c r="FS13"/>
  <c r="FH13"/>
  <c r="GC13" s="1"/>
  <c r="FR13"/>
  <c r="FG13"/>
  <c r="GB13" s="1"/>
  <c r="FQ13"/>
  <c r="FK13"/>
  <c r="GF13" s="1"/>
  <c r="FU13"/>
  <c r="FJ13"/>
  <c r="GE13" s="1"/>
  <c r="FT13"/>
  <c r="FI13"/>
  <c r="GD13" s="1"/>
  <c r="FM13"/>
  <c r="FL13"/>
  <c r="GG13" s="1"/>
  <c r="FP13"/>
  <c r="FO13"/>
  <c r="FN13"/>
  <c r="FX13"/>
  <c r="FW13"/>
  <c r="FV13"/>
  <c r="FZ13"/>
  <c r="FY13"/>
  <c r="GU13"/>
  <c r="GO13"/>
  <c r="GI13"/>
  <c r="GL13"/>
  <c r="GJ13"/>
  <c r="GQ13"/>
  <c r="GK13"/>
  <c r="GR13"/>
  <c r="GS13"/>
  <c r="GP13"/>
  <c r="GT13"/>
  <c r="GH13"/>
  <c r="GM13"/>
  <c r="GN13"/>
  <c r="BP177"/>
  <c r="E78" i="63" s="1"/>
  <c r="BP184" i="69"/>
  <c r="L78" i="63" s="1"/>
  <c r="BP181" i="69"/>
  <c r="I78" i="63" s="1"/>
  <c r="M52"/>
  <c r="BP183" i="69"/>
  <c r="K78" i="63" s="1"/>
  <c r="F35"/>
  <c r="D35"/>
  <c r="BP178" i="69"/>
  <c r="F78" i="63" s="1"/>
  <c r="BP180" i="69"/>
  <c r="H78" i="63" s="1"/>
  <c r="E85" i="64"/>
  <c r="E86" s="1"/>
  <c r="G86" s="1"/>
  <c r="H137" s="1"/>
  <c r="GU15" i="69"/>
  <c r="GT15"/>
  <c r="GJ15"/>
  <c r="GM15"/>
  <c r="GS15"/>
  <c r="GQ15"/>
  <c r="GP15"/>
  <c r="GI15"/>
  <c r="GN15"/>
  <c r="GR15"/>
  <c r="GK15"/>
  <c r="GO15"/>
  <c r="GL15"/>
  <c r="L39" i="63"/>
  <c r="GR163" i="69"/>
  <c r="GJ163"/>
  <c r="GO163"/>
  <c r="GT163"/>
  <c r="GL163"/>
  <c r="GU163"/>
  <c r="GM163"/>
  <c r="GN163"/>
  <c r="GS163"/>
  <c r="GK163"/>
  <c r="GP163"/>
  <c r="GH163"/>
  <c r="GQ163"/>
  <c r="GI163"/>
  <c r="G39" i="63"/>
  <c r="G154" i="60"/>
  <c r="G137"/>
  <c r="O54" i="7" s="1"/>
  <c r="FY154" i="69"/>
  <c r="FQ154"/>
  <c r="FI154"/>
  <c r="GD154" s="1"/>
  <c r="FV154"/>
  <c r="FN154"/>
  <c r="FW154"/>
  <c r="FO154"/>
  <c r="FG154"/>
  <c r="GB154" s="1"/>
  <c r="FT154"/>
  <c r="FL154"/>
  <c r="FU154"/>
  <c r="FM154"/>
  <c r="FZ154"/>
  <c r="FR154"/>
  <c r="FJ154"/>
  <c r="GE154" s="1"/>
  <c r="FS154"/>
  <c r="FK154"/>
  <c r="GF154" s="1"/>
  <c r="FX154"/>
  <c r="FP154"/>
  <c r="FH154"/>
  <c r="GC154" s="1"/>
  <c r="GU112"/>
  <c r="GG112"/>
  <c r="GH112"/>
  <c r="GI112"/>
  <c r="GO112"/>
  <c r="GN112"/>
  <c r="GL112"/>
  <c r="GM112"/>
  <c r="GR112"/>
  <c r="GK112"/>
  <c r="GP112"/>
  <c r="GQ112"/>
  <c r="GJ112"/>
  <c r="GS112"/>
  <c r="GT112"/>
  <c r="H39" i="63" l="1"/>
  <c r="H83" s="1"/>
  <c r="E94" i="7"/>
  <c r="J36" i="63"/>
  <c r="M45" i="61"/>
  <c r="M68" s="1"/>
  <c r="D44"/>
  <c r="D45" s="1"/>
  <c r="D68" s="1"/>
  <c r="C31"/>
  <c r="C66" s="1"/>
  <c r="D91" i="7" s="1"/>
  <c r="K39" i="63"/>
  <c r="K83" s="1"/>
  <c r="K37"/>
  <c r="K45" s="1"/>
  <c r="K47" s="1"/>
  <c r="J37"/>
  <c r="J45" s="1"/>
  <c r="J47" s="1"/>
  <c r="I39"/>
  <c r="I83" s="1"/>
  <c r="E39"/>
  <c r="E83" s="1"/>
  <c r="E37"/>
  <c r="E45" s="1"/>
  <c r="E47" s="1"/>
  <c r="L37"/>
  <c r="L45" s="1"/>
  <c r="L47" s="1"/>
  <c r="BP162" i="69"/>
  <c r="J48" i="61" s="1"/>
  <c r="I55" i="63"/>
  <c r="I57" s="1"/>
  <c r="I45"/>
  <c r="I47" s="1"/>
  <c r="G55"/>
  <c r="G57" s="1"/>
  <c r="G45"/>
  <c r="G47" s="1"/>
  <c r="D137" i="64"/>
  <c r="H140"/>
  <c r="H142" s="1"/>
  <c r="F139"/>
  <c r="I139" s="1"/>
  <c r="D139" i="63"/>
  <c r="G139" i="64"/>
  <c r="G41" i="63"/>
  <c r="G83"/>
  <c r="G89" s="1"/>
  <c r="H55"/>
  <c r="H57" s="1"/>
  <c r="H45"/>
  <c r="H47" s="1"/>
  <c r="L83"/>
  <c r="L89" s="1"/>
  <c r="L41"/>
  <c r="I41"/>
  <c r="D36"/>
  <c r="D37" s="1"/>
  <c r="D39"/>
  <c r="F36"/>
  <c r="F37" s="1"/>
  <c r="F39"/>
  <c r="D138" i="64"/>
  <c r="G249" i="60"/>
  <c r="I249"/>
  <c r="J249" s="1"/>
  <c r="I248"/>
  <c r="J248" s="1"/>
  <c r="G248"/>
  <c r="K55" i="63"/>
  <c r="K57" s="1"/>
  <c r="J154" i="60"/>
  <c r="J137"/>
  <c r="BP154" i="69"/>
  <c r="J40" i="61" s="1"/>
  <c r="BP13" i="69"/>
  <c r="I18" i="45" s="1"/>
  <c r="BP161" i="69"/>
  <c r="J47" i="61" s="1"/>
  <c r="M88" i="63"/>
  <c r="BP164" i="69"/>
  <c r="J50" i="61" s="1"/>
  <c r="BP15" i="69"/>
  <c r="I20" i="45" s="1"/>
  <c r="BP165" i="69"/>
  <c r="J51" i="61" s="1"/>
  <c r="K91" i="63"/>
  <c r="M91" s="1"/>
  <c r="D128" s="1"/>
  <c r="M85"/>
  <c r="I137" i="60"/>
  <c r="I154"/>
  <c r="I250"/>
  <c r="J250" s="1"/>
  <c r="G250"/>
  <c r="J41" i="63"/>
  <c r="J83"/>
  <c r="J89" s="1"/>
  <c r="BP112" i="69"/>
  <c r="K26" i="52" s="1"/>
  <c r="BP163" i="69"/>
  <c r="J49" i="61" s="1"/>
  <c r="BP115" i="69"/>
  <c r="K29" i="52" s="1"/>
  <c r="BP14" i="69"/>
  <c r="I19" i="45" s="1"/>
  <c r="BP155" i="69"/>
  <c r="J41" i="61" s="1"/>
  <c r="BP156" i="69"/>
  <c r="J42" i="61" s="1"/>
  <c r="BP158" i="69"/>
  <c r="J44" i="61" s="1"/>
  <c r="N18" i="64"/>
  <c r="H41" i="63" l="1"/>
  <c r="K41"/>
  <c r="E93" i="7"/>
  <c r="E68" i="61"/>
  <c r="C24"/>
  <c r="C65" s="1"/>
  <c r="D90" i="7" s="1"/>
  <c r="C17" i="61"/>
  <c r="C64" s="1"/>
  <c r="D89" i="7" s="1"/>
  <c r="J55" i="63"/>
  <c r="J57" s="1"/>
  <c r="J59" s="1"/>
  <c r="J84" s="1"/>
  <c r="J90" s="1"/>
  <c r="J92" s="1"/>
  <c r="E41"/>
  <c r="E55"/>
  <c r="E57" s="1"/>
  <c r="E59" s="1"/>
  <c r="E84" s="1"/>
  <c r="E90" s="1"/>
  <c r="L55"/>
  <c r="L57" s="1"/>
  <c r="L59" s="1"/>
  <c r="L84" s="1"/>
  <c r="C10" i="61"/>
  <c r="C63" s="1"/>
  <c r="D88" i="7" s="1"/>
  <c r="K59" i="63"/>
  <c r="K84" s="1"/>
  <c r="K90" s="1"/>
  <c r="E89"/>
  <c r="F138" i="64"/>
  <c r="I138" s="1"/>
  <c r="D138" i="63"/>
  <c r="F41"/>
  <c r="F83"/>
  <c r="D41"/>
  <c r="M39"/>
  <c r="D83"/>
  <c r="I89"/>
  <c r="K139" i="64"/>
  <c r="L139" s="1"/>
  <c r="J139"/>
  <c r="K89" i="63"/>
  <c r="E200" i="60"/>
  <c r="F128" i="63"/>
  <c r="H128"/>
  <c r="D150"/>
  <c r="H89"/>
  <c r="D123"/>
  <c r="F55"/>
  <c r="F57" s="1"/>
  <c r="F45"/>
  <c r="F47" s="1"/>
  <c r="D45"/>
  <c r="D47" s="1"/>
  <c r="D55"/>
  <c r="D57" s="1"/>
  <c r="H139"/>
  <c r="D157"/>
  <c r="F139"/>
  <c r="E211" i="60"/>
  <c r="G139" i="63"/>
  <c r="G157" s="1"/>
  <c r="F137" i="64"/>
  <c r="D137" i="63"/>
  <c r="D140" i="64"/>
  <c r="D142" s="1"/>
  <c r="H59" i="63"/>
  <c r="H84" s="1"/>
  <c r="H90" s="1"/>
  <c r="G59"/>
  <c r="G84" s="1"/>
  <c r="I59"/>
  <c r="I84" s="1"/>
  <c r="I90" s="1"/>
  <c r="L170" i="62"/>
  <c r="BY172" i="69" s="1"/>
  <c r="CT172" s="1"/>
  <c r="E92" i="63" l="1"/>
  <c r="I92"/>
  <c r="H92"/>
  <c r="C71" i="61"/>
  <c r="D96" i="7" s="1"/>
  <c r="J86" i="63"/>
  <c r="K92"/>
  <c r="J60"/>
  <c r="K86"/>
  <c r="K60"/>
  <c r="L60"/>
  <c r="M57"/>
  <c r="I86"/>
  <c r="G138" i="64"/>
  <c r="G86" i="63"/>
  <c r="G90"/>
  <c r="G92" s="1"/>
  <c r="I137" i="64"/>
  <c r="F140"/>
  <c r="L86" i="63"/>
  <c r="L90"/>
  <c r="L92" s="1"/>
  <c r="I139"/>
  <c r="I157" s="1"/>
  <c r="F157"/>
  <c r="F211" i="60"/>
  <c r="I211" s="1"/>
  <c r="H157" i="63"/>
  <c r="J139"/>
  <c r="J157" s="1"/>
  <c r="D59"/>
  <c r="D60" s="1"/>
  <c r="M47"/>
  <c r="D147"/>
  <c r="F123"/>
  <c r="G123" s="1"/>
  <c r="H123"/>
  <c r="E195" i="60"/>
  <c r="H150" i="63"/>
  <c r="H200" i="60"/>
  <c r="F89" i="63"/>
  <c r="E210" i="60"/>
  <c r="D156" i="63"/>
  <c r="H138"/>
  <c r="F138"/>
  <c r="G138" s="1"/>
  <c r="G156" s="1"/>
  <c r="K138" i="64"/>
  <c r="L138" s="1"/>
  <c r="J138"/>
  <c r="E60" i="63"/>
  <c r="G60"/>
  <c r="I60"/>
  <c r="G137" i="64"/>
  <c r="G140" s="1"/>
  <c r="G142" s="1"/>
  <c r="F59" i="63"/>
  <c r="F84" s="1"/>
  <c r="F90" s="1"/>
  <c r="F137"/>
  <c r="G137" s="1"/>
  <c r="E209" i="60"/>
  <c r="D155" i="63"/>
  <c r="H137"/>
  <c r="D140"/>
  <c r="H211" i="60"/>
  <c r="G128" i="63"/>
  <c r="G150" s="1"/>
  <c r="F150"/>
  <c r="I128"/>
  <c r="I150" s="1"/>
  <c r="F200" i="60"/>
  <c r="I200" s="1"/>
  <c r="D89" i="63"/>
  <c r="M83"/>
  <c r="M41"/>
  <c r="H60"/>
  <c r="H86"/>
  <c r="E86"/>
  <c r="DN172" i="69"/>
  <c r="DP172" s="1"/>
  <c r="BR172"/>
  <c r="CD151"/>
  <c r="CY151" s="1"/>
  <c r="CD150"/>
  <c r="CY150" s="1"/>
  <c r="CD149"/>
  <c r="CY149" s="1"/>
  <c r="CD148"/>
  <c r="CY148" s="1"/>
  <c r="CD147"/>
  <c r="CY147" s="1"/>
  <c r="BY136"/>
  <c r="CT136" s="1"/>
  <c r="BY134"/>
  <c r="CT134" s="1"/>
  <c r="BY123"/>
  <c r="CT123" s="1"/>
  <c r="BY119"/>
  <c r="CT119" s="1"/>
  <c r="BY121"/>
  <c r="CT121" s="1"/>
  <c r="BY130"/>
  <c r="CT130" s="1"/>
  <c r="BY137"/>
  <c r="CT137" s="1"/>
  <c r="BY142"/>
  <c r="CT142" s="1"/>
  <c r="BY141"/>
  <c r="CT141" s="1"/>
  <c r="BY127"/>
  <c r="CT127" s="1"/>
  <c r="BY122"/>
  <c r="CT122" s="1"/>
  <c r="BY128"/>
  <c r="CT128" s="1"/>
  <c r="BY135"/>
  <c r="CT135" s="1"/>
  <c r="BY133"/>
  <c r="CT133" s="1"/>
  <c r="BY140"/>
  <c r="CT140" s="1"/>
  <c r="BY129"/>
  <c r="CT129" s="1"/>
  <c r="BY120"/>
  <c r="CT120" s="1"/>
  <c r="CB143"/>
  <c r="CW143" s="1"/>
  <c r="CB144"/>
  <c r="CW144" s="1"/>
  <c r="CA126"/>
  <c r="CV126" s="1"/>
  <c r="BY114"/>
  <c r="CT114" s="1"/>
  <c r="BY108"/>
  <c r="CT108" s="1"/>
  <c r="BY107"/>
  <c r="CT107" s="1"/>
  <c r="BY113"/>
  <c r="CT113" s="1"/>
  <c r="BY97"/>
  <c r="CT97" s="1"/>
  <c r="BY95"/>
  <c r="CT95" s="1"/>
  <c r="BY93"/>
  <c r="CT93" s="1"/>
  <c r="BY98"/>
  <c r="CT98" s="1"/>
  <c r="BY96"/>
  <c r="CT96" s="1"/>
  <c r="BY94"/>
  <c r="CT94" s="1"/>
  <c r="BY69"/>
  <c r="CT69" s="1"/>
  <c r="CB81"/>
  <c r="CW81" s="1"/>
  <c r="CB80"/>
  <c r="CW80" s="1"/>
  <c r="BY70"/>
  <c r="CT70" s="1"/>
  <c r="BY66"/>
  <c r="CT66" s="1"/>
  <c r="BY65"/>
  <c r="CT65" s="1"/>
  <c r="BY54"/>
  <c r="CT54" s="1"/>
  <c r="BY56"/>
  <c r="CT56" s="1"/>
  <c r="BY53"/>
  <c r="CT53" s="1"/>
  <c r="BY52"/>
  <c r="CT52" s="1"/>
  <c r="BY31"/>
  <c r="CT31" s="1"/>
  <c r="BY33"/>
  <c r="CT33" s="1"/>
  <c r="BY64"/>
  <c r="CT64" s="1"/>
  <c r="BY30"/>
  <c r="CT30" s="1"/>
  <c r="BY55"/>
  <c r="CT55" s="1"/>
  <c r="CL10"/>
  <c r="DG10" s="1"/>
  <c r="DN10" s="1"/>
  <c r="D10" s="1"/>
  <c r="H15" i="45" s="1"/>
  <c r="BY23" i="69"/>
  <c r="CT23" s="1"/>
  <c r="BY28"/>
  <c r="CT28" s="1"/>
  <c r="BY20"/>
  <c r="CT20" s="1"/>
  <c r="BY21"/>
  <c r="CT21" s="1"/>
  <c r="M170" i="62"/>
  <c r="L192"/>
  <c r="F60" i="63" l="1"/>
  <c r="M60" s="1"/>
  <c r="G211" i="60"/>
  <c r="M89" i="63"/>
  <c r="D124" s="1"/>
  <c r="F92"/>
  <c r="G155"/>
  <c r="G140"/>
  <c r="F140"/>
  <c r="E140" s="1"/>
  <c r="I138"/>
  <c r="I156" s="1"/>
  <c r="F210" i="60"/>
  <c r="I210" s="1"/>
  <c r="F156" i="63"/>
  <c r="H195" i="60"/>
  <c r="F147" i="63"/>
  <c r="I123"/>
  <c r="F195" i="60"/>
  <c r="K137" i="64"/>
  <c r="I140"/>
  <c r="I142" s="1"/>
  <c r="J137"/>
  <c r="J140" s="1"/>
  <c r="J142" s="1"/>
  <c r="F86" i="63"/>
  <c r="G200" i="60"/>
  <c r="J128" i="63"/>
  <c r="J150" s="1"/>
  <c r="J211" i="60"/>
  <c r="H155" i="63"/>
  <c r="H140"/>
  <c r="H209" i="60"/>
  <c r="E212"/>
  <c r="E126" s="1"/>
  <c r="M47" i="7" s="1"/>
  <c r="F209" i="60"/>
  <c r="G209" s="1"/>
  <c r="F155" i="63"/>
  <c r="I137"/>
  <c r="H156"/>
  <c r="J138"/>
  <c r="J156" s="1"/>
  <c r="H210" i="60"/>
  <c r="G147" i="63"/>
  <c r="H147"/>
  <c r="D84"/>
  <c r="M59"/>
  <c r="F142" i="64"/>
  <c r="E140"/>
  <c r="J200" i="60"/>
  <c r="DQ172" i="69"/>
  <c r="EA172"/>
  <c r="DZ172"/>
  <c r="DU172"/>
  <c r="DT172"/>
  <c r="D172"/>
  <c r="M58" i="61" s="1"/>
  <c r="EE172" i="69"/>
  <c r="ED172"/>
  <c r="DY172"/>
  <c r="DX172"/>
  <c r="DS172"/>
  <c r="DR172"/>
  <c r="EI172"/>
  <c r="EH172"/>
  <c r="EC172"/>
  <c r="EB172"/>
  <c r="DW172"/>
  <c r="DV172"/>
  <c r="EG172"/>
  <c r="EF172"/>
  <c r="DN126"/>
  <c r="BR126"/>
  <c r="DR126"/>
  <c r="DN143"/>
  <c r="BR143"/>
  <c r="DS143"/>
  <c r="DN129"/>
  <c r="BR129"/>
  <c r="DP129"/>
  <c r="DN133"/>
  <c r="DP133" s="1"/>
  <c r="BR133"/>
  <c r="BR128"/>
  <c r="DN128"/>
  <c r="DP128" s="1"/>
  <c r="DN127"/>
  <c r="BR127"/>
  <c r="DP127"/>
  <c r="DN142"/>
  <c r="DP142" s="1"/>
  <c r="BR142"/>
  <c r="DN130"/>
  <c r="DP130" s="1"/>
  <c r="BR130"/>
  <c r="DN119"/>
  <c r="BR119"/>
  <c r="DP119"/>
  <c r="BR134"/>
  <c r="DN134"/>
  <c r="DP134" s="1"/>
  <c r="BR147"/>
  <c r="DN147"/>
  <c r="DU147" s="1"/>
  <c r="BR149"/>
  <c r="DN149"/>
  <c r="DU149" s="1"/>
  <c r="DN151"/>
  <c r="DU151" s="1"/>
  <c r="BR151"/>
  <c r="BR144"/>
  <c r="DN144"/>
  <c r="DS144" s="1"/>
  <c r="BR120"/>
  <c r="DN120"/>
  <c r="DP120" s="1"/>
  <c r="BR140"/>
  <c r="DN140"/>
  <c r="DP140" s="1"/>
  <c r="BR135"/>
  <c r="DN135"/>
  <c r="DP135" s="1"/>
  <c r="DN122"/>
  <c r="DP122" s="1"/>
  <c r="BR122"/>
  <c r="DN141"/>
  <c r="DP141" s="1"/>
  <c r="BR141"/>
  <c r="BR137"/>
  <c r="DN137"/>
  <c r="DP137" s="1"/>
  <c r="DN121"/>
  <c r="DP121" s="1"/>
  <c r="BR121"/>
  <c r="BR123"/>
  <c r="DN123"/>
  <c r="DP123" s="1"/>
  <c r="BR136"/>
  <c r="DN136"/>
  <c r="DP136" s="1"/>
  <c r="BR148"/>
  <c r="DN148"/>
  <c r="DU148" s="1"/>
  <c r="BR150"/>
  <c r="DN150"/>
  <c r="DU150" s="1"/>
  <c r="BR107"/>
  <c r="DN107"/>
  <c r="DP107" s="1"/>
  <c r="BR114"/>
  <c r="DN114"/>
  <c r="DP114" s="1"/>
  <c r="BR113"/>
  <c r="DN113"/>
  <c r="DP113" s="1"/>
  <c r="DN108"/>
  <c r="DP108" s="1"/>
  <c r="BR108"/>
  <c r="BR96"/>
  <c r="DN96"/>
  <c r="DP96" s="1"/>
  <c r="DN93"/>
  <c r="BR93"/>
  <c r="DP93"/>
  <c r="BR97"/>
  <c r="DN97"/>
  <c r="DP97" s="1"/>
  <c r="DN94"/>
  <c r="DP94" s="1"/>
  <c r="BR94"/>
  <c r="BR98"/>
  <c r="DN98"/>
  <c r="DP98" s="1"/>
  <c r="DN95"/>
  <c r="DP95" s="1"/>
  <c r="BR95"/>
  <c r="BR80"/>
  <c r="DN80"/>
  <c r="DS80" s="1"/>
  <c r="DN69"/>
  <c r="DP69" s="1"/>
  <c r="BR69"/>
  <c r="BR70"/>
  <c r="DN70"/>
  <c r="DP70" s="1"/>
  <c r="BR81"/>
  <c r="DN81"/>
  <c r="DS81" s="1"/>
  <c r="DN55"/>
  <c r="DP55" s="1"/>
  <c r="BR55"/>
  <c r="BR64"/>
  <c r="DN64"/>
  <c r="DP64" s="1"/>
  <c r="DN31"/>
  <c r="DP31" s="1"/>
  <c r="BR31"/>
  <c r="DN53"/>
  <c r="DP53" s="1"/>
  <c r="BR53"/>
  <c r="DN54"/>
  <c r="DP54" s="1"/>
  <c r="BR54"/>
  <c r="BR66"/>
  <c r="DN66"/>
  <c r="DP66" s="1"/>
  <c r="BR30"/>
  <c r="DN30"/>
  <c r="DP30" s="1"/>
  <c r="BR33"/>
  <c r="DN33"/>
  <c r="DP33" s="1"/>
  <c r="DN52"/>
  <c r="DP52" s="1"/>
  <c r="BR52"/>
  <c r="DN56"/>
  <c r="DP56" s="1"/>
  <c r="BR56"/>
  <c r="DN65"/>
  <c r="DP65" s="1"/>
  <c r="BR65"/>
  <c r="BR10"/>
  <c r="DN21"/>
  <c r="DP21" s="1"/>
  <c r="BR21"/>
  <c r="DN28"/>
  <c r="DP28" s="1"/>
  <c r="BR28"/>
  <c r="BR20"/>
  <c r="DN20"/>
  <c r="DP20" s="1"/>
  <c r="BR23"/>
  <c r="DN23"/>
  <c r="DP23" s="1"/>
  <c r="EC10"/>
  <c r="G15" i="45"/>
  <c r="DP10" i="69"/>
  <c r="DY10"/>
  <c r="DX10"/>
  <c r="EF10"/>
  <c r="DS10"/>
  <c r="DU10"/>
  <c r="DW10"/>
  <c r="EE10"/>
  <c r="EA10"/>
  <c r="DQ10"/>
  <c r="EH10"/>
  <c r="DV10"/>
  <c r="EI10"/>
  <c r="DT10"/>
  <c r="DZ10"/>
  <c r="ED10"/>
  <c r="EG10"/>
  <c r="EB10"/>
  <c r="DR10"/>
  <c r="N170" i="62"/>
  <c r="N192" s="1"/>
  <c r="M192"/>
  <c r="G210" i="60" l="1"/>
  <c r="H212"/>
  <c r="H126" s="1"/>
  <c r="G212"/>
  <c r="G126" s="1"/>
  <c r="O47" i="7" s="1"/>
  <c r="D86" i="63"/>
  <c r="D90"/>
  <c r="M84"/>
  <c r="M86" s="1"/>
  <c r="D148"/>
  <c r="E196" i="60"/>
  <c r="F124" i="63"/>
  <c r="H124"/>
  <c r="D125"/>
  <c r="E66" i="45"/>
  <c r="L137" i="64"/>
  <c r="K140"/>
  <c r="I195" i="60"/>
  <c r="J195" s="1"/>
  <c r="J210"/>
  <c r="J137" i="63"/>
  <c r="I155"/>
  <c r="I140"/>
  <c r="F212" i="60"/>
  <c r="I209"/>
  <c r="I212" s="1"/>
  <c r="I126" s="1"/>
  <c r="J123" i="63"/>
  <c r="I147"/>
  <c r="G195" i="60"/>
  <c r="FC172" i="69"/>
  <c r="EL172"/>
  <c r="D58" i="61"/>
  <c r="D59" s="1"/>
  <c r="D70" s="1"/>
  <c r="M59"/>
  <c r="M70" s="1"/>
  <c r="FB172" i="69"/>
  <c r="ER172"/>
  <c r="EX172"/>
  <c r="FD172"/>
  <c r="EN172"/>
  <c r="ET172"/>
  <c r="EZ172"/>
  <c r="EQ172"/>
  <c r="EW172"/>
  <c r="EJ172"/>
  <c r="ES172"/>
  <c r="EY172"/>
  <c r="FE172"/>
  <c r="EO172"/>
  <c r="EU172"/>
  <c r="FA172"/>
  <c r="EP172"/>
  <c r="EV172"/>
  <c r="EM172"/>
  <c r="BT172"/>
  <c r="BV172" s="1"/>
  <c r="DQ148"/>
  <c r="DW148"/>
  <c r="DS148"/>
  <c r="EH148"/>
  <c r="EG148"/>
  <c r="EB148"/>
  <c r="D148"/>
  <c r="EI148"/>
  <c r="ED148"/>
  <c r="EC148"/>
  <c r="EF148"/>
  <c r="DR148"/>
  <c r="EE148"/>
  <c r="DZ148"/>
  <c r="DY148"/>
  <c r="DT148"/>
  <c r="DP148"/>
  <c r="EA148"/>
  <c r="DV148"/>
  <c r="DX148"/>
  <c r="DQ123"/>
  <c r="EG123"/>
  <c r="DV123"/>
  <c r="DZ123"/>
  <c r="DY123"/>
  <c r="DS123"/>
  <c r="DT123"/>
  <c r="EB123"/>
  <c r="EA123"/>
  <c r="ED123"/>
  <c r="DW123"/>
  <c r="DX123"/>
  <c r="EF123"/>
  <c r="EE123"/>
  <c r="EH123"/>
  <c r="DU123"/>
  <c r="D123"/>
  <c r="EC123"/>
  <c r="DR123"/>
  <c r="EI123"/>
  <c r="DQ121"/>
  <c r="DT121"/>
  <c r="DZ121"/>
  <c r="DR121"/>
  <c r="EI121"/>
  <c r="DU121"/>
  <c r="DX121"/>
  <c r="ED121"/>
  <c r="DV121"/>
  <c r="EB121"/>
  <c r="DY121"/>
  <c r="DW121"/>
  <c r="EC121"/>
  <c r="EH121"/>
  <c r="EA121"/>
  <c r="EF121"/>
  <c r="D121"/>
  <c r="EG121"/>
  <c r="EE121"/>
  <c r="DS121"/>
  <c r="DQ137"/>
  <c r="EE137"/>
  <c r="DV137"/>
  <c r="DS137"/>
  <c r="DU137"/>
  <c r="DR137"/>
  <c r="EF137"/>
  <c r="EC137"/>
  <c r="ED137"/>
  <c r="EH137"/>
  <c r="DX137"/>
  <c r="D137"/>
  <c r="EB137"/>
  <c r="EI137"/>
  <c r="DZ137"/>
  <c r="EG137"/>
  <c r="DW137"/>
  <c r="EA137"/>
  <c r="DT137"/>
  <c r="DY137"/>
  <c r="DQ141"/>
  <c r="D141"/>
  <c r="EI141"/>
  <c r="ED141"/>
  <c r="EC141"/>
  <c r="EF141"/>
  <c r="DW141"/>
  <c r="DS141"/>
  <c r="EH141"/>
  <c r="EG141"/>
  <c r="EB141"/>
  <c r="DR141"/>
  <c r="EA141"/>
  <c r="DV141"/>
  <c r="DU141"/>
  <c r="DX141"/>
  <c r="EE141"/>
  <c r="DZ141"/>
  <c r="DY141"/>
  <c r="DT141"/>
  <c r="DQ140"/>
  <c r="D140"/>
  <c r="M26" i="61" s="1"/>
  <c r="EI140" i="69"/>
  <c r="ED140"/>
  <c r="EC140"/>
  <c r="EF140"/>
  <c r="EE140"/>
  <c r="DZ140"/>
  <c r="DY140"/>
  <c r="DT140"/>
  <c r="DR140"/>
  <c r="EA140"/>
  <c r="DV140"/>
  <c r="DU140"/>
  <c r="DX140"/>
  <c r="DW140"/>
  <c r="DS140"/>
  <c r="EH140"/>
  <c r="EG140"/>
  <c r="EB140"/>
  <c r="DQ144"/>
  <c r="EA144"/>
  <c r="DZ144"/>
  <c r="DU144"/>
  <c r="DW144"/>
  <c r="DV144"/>
  <c r="DP144"/>
  <c r="DT144"/>
  <c r="EG144"/>
  <c r="EF144"/>
  <c r="DR144"/>
  <c r="EI144"/>
  <c r="EH144"/>
  <c r="D144"/>
  <c r="EE144"/>
  <c r="ED144"/>
  <c r="EC144"/>
  <c r="EB144"/>
  <c r="DY144"/>
  <c r="DX144"/>
  <c r="DQ151"/>
  <c r="EA151"/>
  <c r="DZ151"/>
  <c r="DT151"/>
  <c r="D151"/>
  <c r="EE151"/>
  <c r="ED151"/>
  <c r="DY151"/>
  <c r="DX151"/>
  <c r="DS151"/>
  <c r="DR151"/>
  <c r="EI151"/>
  <c r="EH151"/>
  <c r="EC151"/>
  <c r="EB151"/>
  <c r="DW151"/>
  <c r="DV151"/>
  <c r="DP151"/>
  <c r="EG151"/>
  <c r="EF151"/>
  <c r="D149"/>
  <c r="EC149"/>
  <c r="ED149"/>
  <c r="EA149"/>
  <c r="DX149"/>
  <c r="DS149"/>
  <c r="DY149"/>
  <c r="DZ149"/>
  <c r="DW149"/>
  <c r="DT149"/>
  <c r="DQ149"/>
  <c r="DV149"/>
  <c r="DR149"/>
  <c r="EI149"/>
  <c r="EF149"/>
  <c r="DP149"/>
  <c r="EG149"/>
  <c r="EH149"/>
  <c r="EE149"/>
  <c r="EB149"/>
  <c r="DQ134"/>
  <c r="ED134"/>
  <c r="DU134"/>
  <c r="DX134"/>
  <c r="EA134"/>
  <c r="EB134"/>
  <c r="DY134"/>
  <c r="EC134"/>
  <c r="EF134"/>
  <c r="EE134"/>
  <c r="D134"/>
  <c r="EG134"/>
  <c r="DZ134"/>
  <c r="EI134"/>
  <c r="DR134"/>
  <c r="DV134"/>
  <c r="DT134"/>
  <c r="EH134"/>
  <c r="DS134"/>
  <c r="DW134"/>
  <c r="DQ119"/>
  <c r="DS119"/>
  <c r="EE119"/>
  <c r="DT119"/>
  <c r="DZ119"/>
  <c r="D119"/>
  <c r="M5" i="61" s="1"/>
  <c r="EA119" i="69"/>
  <c r="EF119"/>
  <c r="EG119"/>
  <c r="DY119"/>
  <c r="DU119"/>
  <c r="DW119"/>
  <c r="DV119"/>
  <c r="EB119"/>
  <c r="EC119"/>
  <c r="EH119"/>
  <c r="DR119"/>
  <c r="EI119"/>
  <c r="DX119"/>
  <c r="ED119"/>
  <c r="DQ142"/>
  <c r="DY142"/>
  <c r="DZ142"/>
  <c r="DW142"/>
  <c r="DT142"/>
  <c r="D142"/>
  <c r="EC142"/>
  <c r="ED142"/>
  <c r="EA142"/>
  <c r="DX142"/>
  <c r="DS142"/>
  <c r="EG142"/>
  <c r="EH142"/>
  <c r="EE142"/>
  <c r="EB142"/>
  <c r="DU142"/>
  <c r="DV142"/>
  <c r="DR142"/>
  <c r="EI142"/>
  <c r="EF142"/>
  <c r="DQ129"/>
  <c r="DU129"/>
  <c r="DS129"/>
  <c r="EH129"/>
  <c r="EI129"/>
  <c r="EB129"/>
  <c r="D129"/>
  <c r="EG129"/>
  <c r="ED129"/>
  <c r="EE129"/>
  <c r="EF129"/>
  <c r="DR129"/>
  <c r="EC129"/>
  <c r="DZ129"/>
  <c r="EA129"/>
  <c r="DT129"/>
  <c r="DY129"/>
  <c r="DV129"/>
  <c r="DW129"/>
  <c r="DX129"/>
  <c r="DQ126"/>
  <c r="EC126"/>
  <c r="ED126"/>
  <c r="EA126"/>
  <c r="DT126"/>
  <c r="DS126"/>
  <c r="DY126"/>
  <c r="DZ126"/>
  <c r="DW126"/>
  <c r="DP126"/>
  <c r="EF126"/>
  <c r="DU126"/>
  <c r="DV126"/>
  <c r="EI126"/>
  <c r="EB126"/>
  <c r="D126"/>
  <c r="M12" i="61" s="1"/>
  <c r="EG126" i="69"/>
  <c r="EH126"/>
  <c r="EE126"/>
  <c r="DX126"/>
  <c r="DQ150"/>
  <c r="D150"/>
  <c r="EG150"/>
  <c r="ED150"/>
  <c r="EE150"/>
  <c r="EF150"/>
  <c r="DS150"/>
  <c r="EH150"/>
  <c r="EI150"/>
  <c r="EB150"/>
  <c r="DR150"/>
  <c r="DY150"/>
  <c r="DV150"/>
  <c r="DW150"/>
  <c r="DX150"/>
  <c r="DP150"/>
  <c r="EC150"/>
  <c r="DZ150"/>
  <c r="EA150"/>
  <c r="DT150"/>
  <c r="DQ136"/>
  <c r="DS136"/>
  <c r="DT136"/>
  <c r="EF136"/>
  <c r="EH136"/>
  <c r="EI136"/>
  <c r="D136"/>
  <c r="EB136"/>
  <c r="DX136"/>
  <c r="ED136"/>
  <c r="EE136"/>
  <c r="DY136"/>
  <c r="DR136"/>
  <c r="DU136"/>
  <c r="DZ136"/>
  <c r="EA136"/>
  <c r="EG136"/>
  <c r="EC136"/>
  <c r="DV136"/>
  <c r="DW136"/>
  <c r="DQ122"/>
  <c r="DV122"/>
  <c r="DR122"/>
  <c r="EI122"/>
  <c r="ED122"/>
  <c r="DY122"/>
  <c r="D122"/>
  <c r="DS122"/>
  <c r="EH122"/>
  <c r="DU122"/>
  <c r="DX122"/>
  <c r="DT122"/>
  <c r="EA122"/>
  <c r="DW122"/>
  <c r="EC122"/>
  <c r="EF122"/>
  <c r="EE122"/>
  <c r="DZ122"/>
  <c r="EG122"/>
  <c r="EB122"/>
  <c r="DQ135"/>
  <c r="DT135"/>
  <c r="DS135"/>
  <c r="DZ135"/>
  <c r="DW135"/>
  <c r="DR135"/>
  <c r="EF135"/>
  <c r="ED135"/>
  <c r="EE135"/>
  <c r="DU135"/>
  <c r="D135"/>
  <c r="EB135"/>
  <c r="EI135"/>
  <c r="EH135"/>
  <c r="EC135"/>
  <c r="DX135"/>
  <c r="EA135"/>
  <c r="DV135"/>
  <c r="EG135"/>
  <c r="DY135"/>
  <c r="DQ120"/>
  <c r="DX120"/>
  <c r="EE120"/>
  <c r="EF120"/>
  <c r="DW120"/>
  <c r="DV120"/>
  <c r="DT120"/>
  <c r="EI120"/>
  <c r="EB120"/>
  <c r="DS120"/>
  <c r="EH120"/>
  <c r="D120"/>
  <c r="DY120"/>
  <c r="EG120"/>
  <c r="ED120"/>
  <c r="DR120"/>
  <c r="EA120"/>
  <c r="DU120"/>
  <c r="EC120"/>
  <c r="DZ120"/>
  <c r="DQ147"/>
  <c r="DP147"/>
  <c r="EE147"/>
  <c r="ED147"/>
  <c r="EC147"/>
  <c r="EB147"/>
  <c r="DR147"/>
  <c r="EI147"/>
  <c r="EH147"/>
  <c r="EG147"/>
  <c r="EF147"/>
  <c r="DS147"/>
  <c r="DW147"/>
  <c r="DV147"/>
  <c r="DT147"/>
  <c r="D147"/>
  <c r="M33" i="61" s="1"/>
  <c r="EA147" i="69"/>
  <c r="DZ147"/>
  <c r="DY147"/>
  <c r="DX147"/>
  <c r="D130"/>
  <c r="EE130"/>
  <c r="ED130"/>
  <c r="DY130"/>
  <c r="DX130"/>
  <c r="DR130"/>
  <c r="EI130"/>
  <c r="EH130"/>
  <c r="EC130"/>
  <c r="EB130"/>
  <c r="DQ130"/>
  <c r="DW130"/>
  <c r="DV130"/>
  <c r="EG130"/>
  <c r="EF130"/>
  <c r="EA130"/>
  <c r="DZ130"/>
  <c r="DU130"/>
  <c r="DT130"/>
  <c r="DS130"/>
  <c r="DQ127"/>
  <c r="DW127"/>
  <c r="DS127"/>
  <c r="EH127"/>
  <c r="EG127"/>
  <c r="EB127"/>
  <c r="EA127"/>
  <c r="DV127"/>
  <c r="DU127"/>
  <c r="DX127"/>
  <c r="DR127"/>
  <c r="EE127"/>
  <c r="DZ127"/>
  <c r="DY127"/>
  <c r="DT127"/>
  <c r="D127"/>
  <c r="EI127"/>
  <c r="ED127"/>
  <c r="EC127"/>
  <c r="EF127"/>
  <c r="DQ128"/>
  <c r="D128"/>
  <c r="EC128"/>
  <c r="ED128"/>
  <c r="EA128"/>
  <c r="DX128"/>
  <c r="EG128"/>
  <c r="EH128"/>
  <c r="EE128"/>
  <c r="EB128"/>
  <c r="DS128"/>
  <c r="DU128"/>
  <c r="DV128"/>
  <c r="DR128"/>
  <c r="EI128"/>
  <c r="EF128"/>
  <c r="DY128"/>
  <c r="DZ128"/>
  <c r="DW128"/>
  <c r="DT128"/>
  <c r="DQ133"/>
  <c r="EE133"/>
  <c r="ED133"/>
  <c r="EC133"/>
  <c r="EB133"/>
  <c r="DR133"/>
  <c r="EI133"/>
  <c r="EH133"/>
  <c r="EG133"/>
  <c r="EF133"/>
  <c r="DS133"/>
  <c r="DW133"/>
  <c r="DV133"/>
  <c r="DU133"/>
  <c r="DT133"/>
  <c r="D133"/>
  <c r="M19" i="61" s="1"/>
  <c r="EA133" i="69"/>
  <c r="DZ133"/>
  <c r="DY133"/>
  <c r="DX133"/>
  <c r="DQ143"/>
  <c r="DU143"/>
  <c r="EH143"/>
  <c r="EI143"/>
  <c r="EB143"/>
  <c r="D143"/>
  <c r="EG143"/>
  <c r="ED143"/>
  <c r="EE143"/>
  <c r="EF143"/>
  <c r="DR143"/>
  <c r="EC143"/>
  <c r="DZ143"/>
  <c r="EA143"/>
  <c r="DT143"/>
  <c r="DP143"/>
  <c r="DY143"/>
  <c r="DV143"/>
  <c r="DW143"/>
  <c r="DX143"/>
  <c r="DT114"/>
  <c r="EC114"/>
  <c r="EA114"/>
  <c r="EI114"/>
  <c r="DV114"/>
  <c r="ED114"/>
  <c r="D114"/>
  <c r="O28" i="52" s="1"/>
  <c r="G28" s="1"/>
  <c r="I28" s="1"/>
  <c r="J28" s="1"/>
  <c r="DZ114" i="69"/>
  <c r="EB114"/>
  <c r="EG114"/>
  <c r="DY114"/>
  <c r="DU114"/>
  <c r="EE114"/>
  <c r="DW114"/>
  <c r="DX114"/>
  <c r="EF114"/>
  <c r="EH114"/>
  <c r="DS114"/>
  <c r="DR114"/>
  <c r="DQ114"/>
  <c r="DQ108"/>
  <c r="D108"/>
  <c r="O22" i="52" s="1"/>
  <c r="G22" s="1"/>
  <c r="I22" s="1"/>
  <c r="J22" s="1"/>
  <c r="EE108" i="69"/>
  <c r="EI108"/>
  <c r="DW108"/>
  <c r="ED108"/>
  <c r="DU108"/>
  <c r="DV108"/>
  <c r="DS108"/>
  <c r="DY108"/>
  <c r="EH108"/>
  <c r="DR108"/>
  <c r="DZ108"/>
  <c r="EB108"/>
  <c r="EA108"/>
  <c r="EC108"/>
  <c r="EF108"/>
  <c r="DT108"/>
  <c r="DX108"/>
  <c r="EG108"/>
  <c r="EH113"/>
  <c r="EB113"/>
  <c r="EI113"/>
  <c r="EG113"/>
  <c r="DX113"/>
  <c r="ED113"/>
  <c r="EA113"/>
  <c r="EC113"/>
  <c r="DZ113"/>
  <c r="EE113"/>
  <c r="DY113"/>
  <c r="EF113"/>
  <c r="D113"/>
  <c r="O27" i="52" s="1"/>
  <c r="G27" s="1"/>
  <c r="DT113" i="69"/>
  <c r="DS113"/>
  <c r="DU113"/>
  <c r="DV113"/>
  <c r="DW113"/>
  <c r="DR113"/>
  <c r="DQ113"/>
  <c r="DQ107"/>
  <c r="DU107"/>
  <c r="EG107"/>
  <c r="EE107"/>
  <c r="DT107"/>
  <c r="DR107"/>
  <c r="D107"/>
  <c r="O21" i="52" s="1"/>
  <c r="G21" s="1"/>
  <c r="DS107" i="69"/>
  <c r="DX107"/>
  <c r="DY107"/>
  <c r="EF107"/>
  <c r="EH107"/>
  <c r="EC107"/>
  <c r="EI107"/>
  <c r="DW107"/>
  <c r="EB107"/>
  <c r="ED107"/>
  <c r="DZ107"/>
  <c r="DV107"/>
  <c r="EA107"/>
  <c r="D95"/>
  <c r="O9" i="52" s="1"/>
  <c r="G9" s="1"/>
  <c r="I9" s="1"/>
  <c r="J9" s="1"/>
  <c r="EA95" i="69"/>
  <c r="DX95"/>
  <c r="EH95"/>
  <c r="EB95"/>
  <c r="DZ95"/>
  <c r="EI95"/>
  <c r="DW95"/>
  <c r="ED95"/>
  <c r="EF95"/>
  <c r="EG95"/>
  <c r="EE95"/>
  <c r="DY95"/>
  <c r="EC95"/>
  <c r="DV95"/>
  <c r="DU95"/>
  <c r="DT95"/>
  <c r="DS95"/>
  <c r="DR95"/>
  <c r="DQ95"/>
  <c r="D98"/>
  <c r="O12" i="52" s="1"/>
  <c r="G12" s="1"/>
  <c r="I12" s="1"/>
  <c r="J12" s="1"/>
  <c r="EG98" i="69"/>
  <c r="EF98"/>
  <c r="EH98"/>
  <c r="EB98"/>
  <c r="EI98"/>
  <c r="EA98"/>
  <c r="EC98"/>
  <c r="EE98"/>
  <c r="ED98"/>
  <c r="DT98"/>
  <c r="DU98"/>
  <c r="DV98"/>
  <c r="DS98"/>
  <c r="DW98"/>
  <c r="DX98"/>
  <c r="DY98"/>
  <c r="DZ98"/>
  <c r="DR98"/>
  <c r="DQ98"/>
  <c r="D94"/>
  <c r="O8" i="52" s="1"/>
  <c r="G8" s="1"/>
  <c r="I8" s="1"/>
  <c r="J8" s="1"/>
  <c r="EF94" i="69"/>
  <c r="EE94"/>
  <c r="EH94"/>
  <c r="DW94"/>
  <c r="DZ94"/>
  <c r="EA94"/>
  <c r="EG94"/>
  <c r="ED94"/>
  <c r="EC94"/>
  <c r="EI94"/>
  <c r="DY94"/>
  <c r="DX94"/>
  <c r="EB94"/>
  <c r="DV94"/>
  <c r="DS94"/>
  <c r="DT94"/>
  <c r="DU94"/>
  <c r="DR94"/>
  <c r="DQ94"/>
  <c r="D97"/>
  <c r="O11" i="52" s="1"/>
  <c r="G11" s="1"/>
  <c r="I11" s="1"/>
  <c r="J11" s="1"/>
  <c r="EE97" i="69"/>
  <c r="EH97"/>
  <c r="DZ97"/>
  <c r="EG97"/>
  <c r="EA97"/>
  <c r="EB97"/>
  <c r="EC97"/>
  <c r="DW97"/>
  <c r="EF97"/>
  <c r="DX97"/>
  <c r="DY97"/>
  <c r="EI97"/>
  <c r="ED97"/>
  <c r="DT97"/>
  <c r="DS97"/>
  <c r="DV97"/>
  <c r="DU97"/>
  <c r="DR97"/>
  <c r="DQ97"/>
  <c r="D93"/>
  <c r="O7" i="52" s="1"/>
  <c r="G7" s="1"/>
  <c r="EG93" i="69"/>
  <c r="DW93"/>
  <c r="EF93"/>
  <c r="EI93"/>
  <c r="DZ93"/>
  <c r="DX93"/>
  <c r="ED93"/>
  <c r="EB93"/>
  <c r="EE93"/>
  <c r="DY93"/>
  <c r="EA93"/>
  <c r="EH93"/>
  <c r="EC93"/>
  <c r="DU93"/>
  <c r="DT93"/>
  <c r="DS93"/>
  <c r="DV93"/>
  <c r="DR93"/>
  <c r="DQ93"/>
  <c r="EA96"/>
  <c r="EB96"/>
  <c r="DY96"/>
  <c r="EG96"/>
  <c r="DZ96"/>
  <c r="EH96"/>
  <c r="D96"/>
  <c r="O10" i="52" s="1"/>
  <c r="G10" s="1"/>
  <c r="I10" s="1"/>
  <c r="J10" s="1"/>
  <c r="DW96" i="69"/>
  <c r="EE96"/>
  <c r="DX96"/>
  <c r="EF96"/>
  <c r="EC96"/>
  <c r="ED96"/>
  <c r="EI96"/>
  <c r="DS96"/>
  <c r="DU96"/>
  <c r="DV96"/>
  <c r="DT96"/>
  <c r="DR96"/>
  <c r="DQ96"/>
  <c r="EI81"/>
  <c r="EE81"/>
  <c r="EB81"/>
  <c r="DX81"/>
  <c r="DR81"/>
  <c r="D81"/>
  <c r="S28" i="65" s="1"/>
  <c r="J28" s="1"/>
  <c r="K28" s="1"/>
  <c r="Q28" s="1"/>
  <c r="L28" s="1"/>
  <c r="EH81" i="69"/>
  <c r="ED81"/>
  <c r="EG81"/>
  <c r="DP81"/>
  <c r="DU81"/>
  <c r="EA81"/>
  <c r="EF81"/>
  <c r="DT81"/>
  <c r="DQ81"/>
  <c r="DW81"/>
  <c r="DY81"/>
  <c r="EC81"/>
  <c r="DZ81"/>
  <c r="DV81"/>
  <c r="DR70"/>
  <c r="EB70"/>
  <c r="DU70"/>
  <c r="EF70"/>
  <c r="DT70"/>
  <c r="DW70"/>
  <c r="DQ70"/>
  <c r="EG70"/>
  <c r="DZ70"/>
  <c r="DS70"/>
  <c r="EC70"/>
  <c r="EA70"/>
  <c r="EH70"/>
  <c r="DX70"/>
  <c r="D70"/>
  <c r="S19" i="65" s="1"/>
  <c r="J19" s="1"/>
  <c r="K19" s="1"/>
  <c r="Q19" s="1"/>
  <c r="L19" s="1"/>
  <c r="EE70" i="69"/>
  <c r="DY70"/>
  <c r="ED70"/>
  <c r="EI70"/>
  <c r="DV70"/>
  <c r="DR69"/>
  <c r="D69"/>
  <c r="S18" i="65" s="1"/>
  <c r="J18" s="1"/>
  <c r="K18" s="1"/>
  <c r="Q18" s="1"/>
  <c r="L18" s="1"/>
  <c r="EF69" i="69"/>
  <c r="DW69"/>
  <c r="DZ69"/>
  <c r="DT69"/>
  <c r="DY69"/>
  <c r="DU69"/>
  <c r="EI69"/>
  <c r="EG69"/>
  <c r="ED69"/>
  <c r="DQ69"/>
  <c r="EA69"/>
  <c r="EH69"/>
  <c r="EB69"/>
  <c r="EE69"/>
  <c r="DS69"/>
  <c r="DV69"/>
  <c r="DX69"/>
  <c r="EC69"/>
  <c r="ED80"/>
  <c r="EF80"/>
  <c r="DT80"/>
  <c r="DV80"/>
  <c r="EG80"/>
  <c r="EH80"/>
  <c r="EB80"/>
  <c r="DZ80"/>
  <c r="DR80"/>
  <c r="D80"/>
  <c r="S27" i="65" s="1"/>
  <c r="J27" s="1"/>
  <c r="K27" s="1"/>
  <c r="Q27" s="1"/>
  <c r="L27" s="1"/>
  <c r="EA80" i="69"/>
  <c r="DY80"/>
  <c r="EC80"/>
  <c r="DP80"/>
  <c r="DU80"/>
  <c r="DX80"/>
  <c r="EE80"/>
  <c r="EI80"/>
  <c r="DQ80"/>
  <c r="DW80"/>
  <c r="DW65"/>
  <c r="EE65"/>
  <c r="EI65"/>
  <c r="DV65"/>
  <c r="DT65"/>
  <c r="DQ65"/>
  <c r="EA65"/>
  <c r="D65"/>
  <c r="S14" i="65" s="1"/>
  <c r="J14" s="1"/>
  <c r="K14" s="1"/>
  <c r="Q14" s="1"/>
  <c r="L14" s="1"/>
  <c r="DZ65" i="69"/>
  <c r="DX65"/>
  <c r="DY65"/>
  <c r="EC65"/>
  <c r="DS65"/>
  <c r="ED65"/>
  <c r="EB65"/>
  <c r="EG65"/>
  <c r="DU65"/>
  <c r="DR65"/>
  <c r="EH65"/>
  <c r="EF65"/>
  <c r="DW52"/>
  <c r="DZ52"/>
  <c r="DY52"/>
  <c r="EA52"/>
  <c r="DT52"/>
  <c r="DU52"/>
  <c r="D52"/>
  <c r="S6" i="65" s="1"/>
  <c r="J6" s="1"/>
  <c r="K6" s="1"/>
  <c r="Q6" s="1"/>
  <c r="L6" s="1"/>
  <c r="EF52" i="69"/>
  <c r="EG52"/>
  <c r="EB52"/>
  <c r="DR52"/>
  <c r="EI52"/>
  <c r="DX52"/>
  <c r="DQ52"/>
  <c r="ED52"/>
  <c r="DV52"/>
  <c r="EE52"/>
  <c r="EH52"/>
  <c r="EC52"/>
  <c r="DS52"/>
  <c r="DQ33"/>
  <c r="DR33"/>
  <c r="EF33"/>
  <c r="EH33"/>
  <c r="EI33"/>
  <c r="DS33"/>
  <c r="EG33"/>
  <c r="ED33"/>
  <c r="EE33"/>
  <c r="D33"/>
  <c r="G69" i="21" s="1"/>
  <c r="H69" s="1"/>
  <c r="EC33" i="69"/>
  <c r="DX33"/>
  <c r="EB33"/>
  <c r="DZ33"/>
  <c r="EA33"/>
  <c r="DU33"/>
  <c r="DT33"/>
  <c r="DV33"/>
  <c r="DW33"/>
  <c r="DY33"/>
  <c r="DW66"/>
  <c r="DS66"/>
  <c r="EE66"/>
  <c r="DV66"/>
  <c r="DT66"/>
  <c r="DQ66"/>
  <c r="EA66"/>
  <c r="D66"/>
  <c r="S15" i="65" s="1"/>
  <c r="J15" s="1"/>
  <c r="K15" s="1"/>
  <c r="Q15" s="1"/>
  <c r="L15" s="1"/>
  <c r="DZ66" i="69"/>
  <c r="DX66"/>
  <c r="DY66"/>
  <c r="EC66"/>
  <c r="DU66"/>
  <c r="ED66"/>
  <c r="EB66"/>
  <c r="EG66"/>
  <c r="EI66"/>
  <c r="DR66"/>
  <c r="EH66"/>
  <c r="EF66"/>
  <c r="DR54"/>
  <c r="EE54"/>
  <c r="DZ54"/>
  <c r="DY54"/>
  <c r="ED54"/>
  <c r="DT54"/>
  <c r="DW54"/>
  <c r="EB54"/>
  <c r="EI54"/>
  <c r="EF54"/>
  <c r="DU54"/>
  <c r="EA54"/>
  <c r="D54"/>
  <c r="S8" i="65" s="1"/>
  <c r="J8" s="1"/>
  <c r="K8" s="1"/>
  <c r="Q8" s="1"/>
  <c r="L8" s="1"/>
  <c r="EC54" i="69"/>
  <c r="DX54"/>
  <c r="DS54"/>
  <c r="EG54"/>
  <c r="DQ54"/>
  <c r="EH54"/>
  <c r="DV54"/>
  <c r="DQ31"/>
  <c r="D31"/>
  <c r="G67" i="21" s="1"/>
  <c r="H67" s="1"/>
  <c r="DZ31" i="69"/>
  <c r="DX31"/>
  <c r="DY31"/>
  <c r="DW31"/>
  <c r="EH31"/>
  <c r="EB31"/>
  <c r="EC31"/>
  <c r="EA31"/>
  <c r="DT31"/>
  <c r="DV31"/>
  <c r="EG31"/>
  <c r="EE31"/>
  <c r="DR31"/>
  <c r="ED31"/>
  <c r="EF31"/>
  <c r="DU31"/>
  <c r="EI31"/>
  <c r="DS31"/>
  <c r="DW64"/>
  <c r="EF64"/>
  <c r="DT64"/>
  <c r="D64"/>
  <c r="S13" i="65" s="1"/>
  <c r="J13" s="1"/>
  <c r="K13" s="1"/>
  <c r="Q13" s="1"/>
  <c r="L13" s="1"/>
  <c r="L16" s="1"/>
  <c r="L51" s="1"/>
  <c r="M51" s="1"/>
  <c r="F343" i="60" s="1"/>
  <c r="DQ64" i="69"/>
  <c r="EG64"/>
  <c r="DV64"/>
  <c r="EH64"/>
  <c r="DX64"/>
  <c r="EA64"/>
  <c r="DU64"/>
  <c r="ED64"/>
  <c r="DZ64"/>
  <c r="EE64"/>
  <c r="DY64"/>
  <c r="DR64"/>
  <c r="EB64"/>
  <c r="DS64"/>
  <c r="EI64"/>
  <c r="EC64"/>
  <c r="DR55"/>
  <c r="EB55"/>
  <c r="EH55"/>
  <c r="EE55"/>
  <c r="DV55"/>
  <c r="ED55"/>
  <c r="EC55"/>
  <c r="DW55"/>
  <c r="EG55"/>
  <c r="DT55"/>
  <c r="DZ55"/>
  <c r="EI55"/>
  <c r="D55"/>
  <c r="S9" i="65" s="1"/>
  <c r="J9" s="1"/>
  <c r="K9" s="1"/>
  <c r="Q9" s="1"/>
  <c r="L9" s="1"/>
  <c r="DY55" i="69"/>
  <c r="DS55"/>
  <c r="EF55"/>
  <c r="EA55"/>
  <c r="DX55"/>
  <c r="DQ55"/>
  <c r="DU55"/>
  <c r="EI56"/>
  <c r="DX56"/>
  <c r="EG56"/>
  <c r="EB56"/>
  <c r="DT56"/>
  <c r="EC56"/>
  <c r="DQ56"/>
  <c r="EH56"/>
  <c r="DU56"/>
  <c r="DR56"/>
  <c r="ED56"/>
  <c r="EE56"/>
  <c r="DZ56"/>
  <c r="DY56"/>
  <c r="DV56"/>
  <c r="D56"/>
  <c r="S10" i="65" s="1"/>
  <c r="J10" s="1"/>
  <c r="K10" s="1"/>
  <c r="Q10" s="1"/>
  <c r="L10" s="1"/>
  <c r="EF56" i="69"/>
  <c r="EA56"/>
  <c r="DW56"/>
  <c r="DS56"/>
  <c r="DQ30"/>
  <c r="D30"/>
  <c r="G66" i="21" s="1"/>
  <c r="EB30" i="69"/>
  <c r="DY30"/>
  <c r="DV30"/>
  <c r="EE30"/>
  <c r="DX30"/>
  <c r="EC30"/>
  <c r="EH30"/>
  <c r="DR30"/>
  <c r="EA30"/>
  <c r="EF30"/>
  <c r="EG30"/>
  <c r="ED30"/>
  <c r="DW30"/>
  <c r="DT30"/>
  <c r="DU30"/>
  <c r="DZ30"/>
  <c r="EI30"/>
  <c r="DS30"/>
  <c r="DR53"/>
  <c r="DQ53"/>
  <c r="DZ53"/>
  <c r="EG53"/>
  <c r="DV53"/>
  <c r="DW53"/>
  <c r="DY53"/>
  <c r="D53"/>
  <c r="S7" i="65" s="1"/>
  <c r="J7" s="1"/>
  <c r="K7" s="1"/>
  <c r="Q7" s="1"/>
  <c r="L7" s="1"/>
  <c r="EF53" i="69"/>
  <c r="DT53"/>
  <c r="EA53"/>
  <c r="EB53"/>
  <c r="EI53"/>
  <c r="DX53"/>
  <c r="DU53"/>
  <c r="EC53"/>
  <c r="ED53"/>
  <c r="EE53"/>
  <c r="EH53"/>
  <c r="DS53"/>
  <c r="DR23"/>
  <c r="D23"/>
  <c r="DX23"/>
  <c r="DZ23"/>
  <c r="EA23"/>
  <c r="EC23"/>
  <c r="DT23"/>
  <c r="ED23"/>
  <c r="EE23"/>
  <c r="DY23"/>
  <c r="EB23"/>
  <c r="EH23"/>
  <c r="EI23"/>
  <c r="DS23"/>
  <c r="DU23"/>
  <c r="EF23"/>
  <c r="DV23"/>
  <c r="DW23"/>
  <c r="EG23"/>
  <c r="DQ23"/>
  <c r="DQ21"/>
  <c r="DU21"/>
  <c r="DT21"/>
  <c r="EF21"/>
  <c r="EC21"/>
  <c r="EB21"/>
  <c r="DY21"/>
  <c r="EH21"/>
  <c r="EA21"/>
  <c r="DV21"/>
  <c r="EG21"/>
  <c r="DR21"/>
  <c r="D21"/>
  <c r="G21" i="21" s="1"/>
  <c r="H21" s="1"/>
  <c r="EI21" i="69"/>
  <c r="DZ21"/>
  <c r="DW21"/>
  <c r="DS21"/>
  <c r="DX21"/>
  <c r="ED21"/>
  <c r="EE21"/>
  <c r="DQ20"/>
  <c r="DU20"/>
  <c r="EA20"/>
  <c r="DZ20"/>
  <c r="DW20"/>
  <c r="EC20"/>
  <c r="DT20"/>
  <c r="EB20"/>
  <c r="EI20"/>
  <c r="EE20"/>
  <c r="DV20"/>
  <c r="DR20"/>
  <c r="DY20"/>
  <c r="EH20"/>
  <c r="DX20"/>
  <c r="ED20"/>
  <c r="EG20"/>
  <c r="D20"/>
  <c r="G9" i="21" s="1"/>
  <c r="H9" s="1"/>
  <c r="EF20" i="69"/>
  <c r="DS20"/>
  <c r="DR28"/>
  <c r="DU28"/>
  <c r="DV28"/>
  <c r="EC28"/>
  <c r="EF28"/>
  <c r="EA28"/>
  <c r="D28"/>
  <c r="E55" i="21" s="1"/>
  <c r="E56" s="1"/>
  <c r="E59" s="1"/>
  <c r="E61" s="1"/>
  <c r="EI28" i="69"/>
  <c r="ED28"/>
  <c r="DQ28"/>
  <c r="DT28"/>
  <c r="DS28"/>
  <c r="DW28"/>
  <c r="DZ28"/>
  <c r="EE28"/>
  <c r="DY28"/>
  <c r="EB28"/>
  <c r="EH28"/>
  <c r="DX28"/>
  <c r="EG28"/>
  <c r="EY10"/>
  <c r="J26" i="45"/>
  <c r="G22"/>
  <c r="E62" s="1"/>
  <c r="F26"/>
  <c r="EX10" i="69"/>
  <c r="EJ10"/>
  <c r="EL10"/>
  <c r="BT10"/>
  <c r="BV10" s="1"/>
  <c r="EN10"/>
  <c r="FC10"/>
  <c r="EV10"/>
  <c r="FE10"/>
  <c r="FD10"/>
  <c r="EW10"/>
  <c r="ES10"/>
  <c r="EO10"/>
  <c r="ET10"/>
  <c r="EZ10"/>
  <c r="EP10"/>
  <c r="ER10"/>
  <c r="EM10"/>
  <c r="FA10"/>
  <c r="EQ10"/>
  <c r="FB10"/>
  <c r="EU10"/>
  <c r="M35" i="61" l="1"/>
  <c r="D35" s="1"/>
  <c r="M37"/>
  <c r="D37" s="1"/>
  <c r="M34"/>
  <c r="D34" s="1"/>
  <c r="M36"/>
  <c r="D36" s="1"/>
  <c r="M29"/>
  <c r="D29" s="1"/>
  <c r="M28"/>
  <c r="D28" s="1"/>
  <c r="M30"/>
  <c r="D30" s="1"/>
  <c r="M27"/>
  <c r="D27" s="1"/>
  <c r="M21"/>
  <c r="D21" s="1"/>
  <c r="M22"/>
  <c r="D22" s="1"/>
  <c r="M20"/>
  <c r="D20" s="1"/>
  <c r="M23"/>
  <c r="D23" s="1"/>
  <c r="M16"/>
  <c r="D16" s="1"/>
  <c r="M15"/>
  <c r="D15" s="1"/>
  <c r="M14"/>
  <c r="D14" s="1"/>
  <c r="M13"/>
  <c r="D13" s="1"/>
  <c r="M8"/>
  <c r="D8" s="1"/>
  <c r="M7"/>
  <c r="D7" s="1"/>
  <c r="M9"/>
  <c r="D9" s="1"/>
  <c r="M6"/>
  <c r="D6" s="1"/>
  <c r="FH172" i="69"/>
  <c r="GC172" s="1"/>
  <c r="J147" i="63"/>
  <c r="F126" i="60"/>
  <c r="K142" i="64"/>
  <c r="L142" s="1"/>
  <c r="L140"/>
  <c r="H148" i="63"/>
  <c r="H125"/>
  <c r="H196" i="60"/>
  <c r="E197"/>
  <c r="J155" i="63"/>
  <c r="J140"/>
  <c r="G124"/>
  <c r="F196" i="60"/>
  <c r="F148" i="63"/>
  <c r="I124"/>
  <c r="F125"/>
  <c r="D92"/>
  <c r="M90"/>
  <c r="J209" i="60"/>
  <c r="J212" s="1"/>
  <c r="J126" s="1"/>
  <c r="FO172" i="69"/>
  <c r="E95" i="7"/>
  <c r="E70" i="61"/>
  <c r="FR172" i="69"/>
  <c r="FM172"/>
  <c r="FX172"/>
  <c r="FS172"/>
  <c r="FV172"/>
  <c r="FQ172"/>
  <c r="FL172"/>
  <c r="FG172"/>
  <c r="GB172" s="1"/>
  <c r="FW172"/>
  <c r="GN172"/>
  <c r="GF172"/>
  <c r="GO172"/>
  <c r="GG172"/>
  <c r="GP172"/>
  <c r="GH172"/>
  <c r="GQ172"/>
  <c r="GI172"/>
  <c r="GR172"/>
  <c r="GJ172"/>
  <c r="GS172"/>
  <c r="GK172"/>
  <c r="GT172"/>
  <c r="GL172"/>
  <c r="GU172"/>
  <c r="GM172"/>
  <c r="FJ172"/>
  <c r="GE172" s="1"/>
  <c r="FZ172"/>
  <c r="FU172"/>
  <c r="FP172"/>
  <c r="FK172"/>
  <c r="FN172"/>
  <c r="FI172"/>
  <c r="GD172" s="1"/>
  <c r="FY172"/>
  <c r="FT172"/>
  <c r="E63" i="45"/>
  <c r="E67" s="1"/>
  <c r="H22"/>
  <c r="BT134" i="69"/>
  <c r="BV134" s="1"/>
  <c r="GQ134" s="1"/>
  <c r="EL123"/>
  <c r="EQ149"/>
  <c r="BT140"/>
  <c r="BV140" s="1"/>
  <c r="GP140" s="1"/>
  <c r="EJ134"/>
  <c r="EL137"/>
  <c r="BT123"/>
  <c r="BV123" s="1"/>
  <c r="GR123" s="1"/>
  <c r="EQ148"/>
  <c r="EX149"/>
  <c r="FB151"/>
  <c r="ET144"/>
  <c r="EX140"/>
  <c r="EP141"/>
  <c r="FE123"/>
  <c r="ET148"/>
  <c r="EU135"/>
  <c r="EX122"/>
  <c r="EQ151"/>
  <c r="EP128"/>
  <c r="FB127"/>
  <c r="FA126"/>
  <c r="ES129"/>
  <c r="BT142"/>
  <c r="BV142" s="1"/>
  <c r="GT142" s="1"/>
  <c r="ES143"/>
  <c r="EU133"/>
  <c r="EJ133"/>
  <c r="EP130"/>
  <c r="EL130"/>
  <c r="EU147"/>
  <c r="EY120"/>
  <c r="EW120"/>
  <c r="ER135"/>
  <c r="EL135"/>
  <c r="EV122"/>
  <c r="ER136"/>
  <c r="FC136"/>
  <c r="EW150"/>
  <c r="FB142"/>
  <c r="ET119"/>
  <c r="EP137"/>
  <c r="FA121"/>
  <c r="EZ127"/>
  <c r="FC126"/>
  <c r="EN126"/>
  <c r="ET134"/>
  <c r="EL149"/>
  <c r="BT149"/>
  <c r="BV149" s="1"/>
  <c r="EJ149"/>
  <c r="EL151"/>
  <c r="BT151"/>
  <c r="BV151" s="1"/>
  <c r="EJ151"/>
  <c r="D26" i="61"/>
  <c r="EJ143" i="69"/>
  <c r="EL143"/>
  <c r="BT143"/>
  <c r="BV143" s="1"/>
  <c r="D19" i="61"/>
  <c r="D33"/>
  <c r="EL147" i="69"/>
  <c r="BT147"/>
  <c r="BV147" s="1"/>
  <c r="EJ147"/>
  <c r="EJ150"/>
  <c r="EL150"/>
  <c r="BT150"/>
  <c r="BV150" s="1"/>
  <c r="D12" i="61"/>
  <c r="EL126" i="69"/>
  <c r="BT126"/>
  <c r="BV126" s="1"/>
  <c r="EJ126"/>
  <c r="D5" i="61"/>
  <c r="EL144" i="69"/>
  <c r="BT144"/>
  <c r="BV144" s="1"/>
  <c r="EJ144"/>
  <c r="EJ148"/>
  <c r="EL148"/>
  <c r="BT148"/>
  <c r="BV148" s="1"/>
  <c r="EP143"/>
  <c r="EN143"/>
  <c r="FC143"/>
  <c r="FD143"/>
  <c r="EM143"/>
  <c r="EP133"/>
  <c r="EO133"/>
  <c r="FE133"/>
  <c r="EZ133"/>
  <c r="EN128"/>
  <c r="EX128"/>
  <c r="ET128"/>
  <c r="FA127"/>
  <c r="ET127"/>
  <c r="EX127"/>
  <c r="FD127"/>
  <c r="ES127"/>
  <c r="FB130"/>
  <c r="ER130"/>
  <c r="EY130"/>
  <c r="FE130"/>
  <c r="ET130"/>
  <c r="EZ130"/>
  <c r="BT130"/>
  <c r="BV130" s="1"/>
  <c r="EP147"/>
  <c r="ES147"/>
  <c r="FD147"/>
  <c r="EY147"/>
  <c r="EM147"/>
  <c r="EZ120"/>
  <c r="EU120"/>
  <c r="FD120"/>
  <c r="EX120"/>
  <c r="EP120"/>
  <c r="ES120"/>
  <c r="FA120"/>
  <c r="EM120"/>
  <c r="ET135"/>
  <c r="EX135"/>
  <c r="EZ135"/>
  <c r="EV135"/>
  <c r="FB122"/>
  <c r="EP122"/>
  <c r="EU122"/>
  <c r="EN136"/>
  <c r="FA136"/>
  <c r="EP136"/>
  <c r="EM136"/>
  <c r="EY150"/>
  <c r="ER150"/>
  <c r="EO150"/>
  <c r="FC150"/>
  <c r="EM150"/>
  <c r="EX126"/>
  <c r="FB126"/>
  <c r="EP126"/>
  <c r="EU129"/>
  <c r="EW129"/>
  <c r="FB129"/>
  <c r="EZ129"/>
  <c r="FE129"/>
  <c r="EO129"/>
  <c r="EM129"/>
  <c r="EJ129"/>
  <c r="EN142"/>
  <c r="EQ142"/>
  <c r="FA142"/>
  <c r="FC142"/>
  <c r="ET142"/>
  <c r="EZ142"/>
  <c r="ES142"/>
  <c r="EU142"/>
  <c r="EN119"/>
  <c r="EY119"/>
  <c r="ER119"/>
  <c r="FC119"/>
  <c r="EW119"/>
  <c r="EV119"/>
  <c r="FA119"/>
  <c r="EM119"/>
  <c r="EL119"/>
  <c r="ES134"/>
  <c r="FD134"/>
  <c r="ER134"/>
  <c r="FE134"/>
  <c r="FC134"/>
  <c r="FA134"/>
  <c r="EY134"/>
  <c r="EX134"/>
  <c r="EZ134"/>
  <c r="FD149"/>
  <c r="FE149"/>
  <c r="ER149"/>
  <c r="EP149"/>
  <c r="EV149"/>
  <c r="EO149"/>
  <c r="EW149"/>
  <c r="EY149"/>
  <c r="ES151"/>
  <c r="EY151"/>
  <c r="FE151"/>
  <c r="EO151"/>
  <c r="EU151"/>
  <c r="FA151"/>
  <c r="EP151"/>
  <c r="EW151"/>
  <c r="EX144"/>
  <c r="EZ144"/>
  <c r="FE144"/>
  <c r="FB144"/>
  <c r="EP144"/>
  <c r="ER144"/>
  <c r="EQ144"/>
  <c r="EW144"/>
  <c r="FD140"/>
  <c r="ES140"/>
  <c r="EQ140"/>
  <c r="EW140"/>
  <c r="EP140"/>
  <c r="EV140"/>
  <c r="FB140"/>
  <c r="EZ140"/>
  <c r="EV141"/>
  <c r="ET141"/>
  <c r="ER141"/>
  <c r="EN141"/>
  <c r="FC141"/>
  <c r="EO141"/>
  <c r="FB141"/>
  <c r="EZ141"/>
  <c r="EJ141"/>
  <c r="EL141"/>
  <c r="ES137"/>
  <c r="EV137"/>
  <c r="EX137"/>
  <c r="ET137"/>
  <c r="EZ137"/>
  <c r="FB137"/>
  <c r="EQ137"/>
  <c r="ER137"/>
  <c r="EM137"/>
  <c r="EW121"/>
  <c r="EY121"/>
  <c r="EU121"/>
  <c r="ER121"/>
  <c r="ET121"/>
  <c r="FE121"/>
  <c r="EV121"/>
  <c r="EM121"/>
  <c r="BT121"/>
  <c r="BV121" s="1"/>
  <c r="EY123"/>
  <c r="EQ123"/>
  <c r="FA123"/>
  <c r="ET123"/>
  <c r="EZ123"/>
  <c r="EX123"/>
  <c r="EO123"/>
  <c r="EV123"/>
  <c r="FC123"/>
  <c r="EW148"/>
  <c r="EP148"/>
  <c r="EV148"/>
  <c r="EN148"/>
  <c r="EY148"/>
  <c r="FE148"/>
  <c r="EX148"/>
  <c r="FD148"/>
  <c r="ES148"/>
  <c r="EJ128"/>
  <c r="EL128"/>
  <c r="EJ120"/>
  <c r="BT136"/>
  <c r="BV136" s="1"/>
  <c r="EJ136"/>
  <c r="EQ150"/>
  <c r="EO143"/>
  <c r="EO144"/>
  <c r="ET143"/>
  <c r="ER143"/>
  <c r="EW143"/>
  <c r="EY143"/>
  <c r="FB143"/>
  <c r="EZ143"/>
  <c r="FE143"/>
  <c r="EQ143"/>
  <c r="ET133"/>
  <c r="EV133"/>
  <c r="EQ133"/>
  <c r="ES133"/>
  <c r="FB133"/>
  <c r="FD133"/>
  <c r="EN133"/>
  <c r="EY133"/>
  <c r="FA133"/>
  <c r="BT133"/>
  <c r="BV133" s="1"/>
  <c r="ES128"/>
  <c r="EU128"/>
  <c r="FE128"/>
  <c r="ER128"/>
  <c r="EO128"/>
  <c r="FA128"/>
  <c r="FC128"/>
  <c r="EW128"/>
  <c r="EY128"/>
  <c r="EM128"/>
  <c r="EY127"/>
  <c r="FE127"/>
  <c r="EP127"/>
  <c r="EV127"/>
  <c r="EN127"/>
  <c r="EQ127"/>
  <c r="EW127"/>
  <c r="FC127"/>
  <c r="EO127"/>
  <c r="EM127"/>
  <c r="EL127"/>
  <c r="EO130"/>
  <c r="EQ130"/>
  <c r="EW130"/>
  <c r="FC130"/>
  <c r="ES130"/>
  <c r="EX130"/>
  <c r="FD130"/>
  <c r="EN130"/>
  <c r="EU130"/>
  <c r="FA130"/>
  <c r="EJ130"/>
  <c r="EL134"/>
  <c r="ET147"/>
  <c r="EV147"/>
  <c r="ER147"/>
  <c r="EO147"/>
  <c r="FC147"/>
  <c r="FE147"/>
  <c r="EX147"/>
  <c r="EZ147"/>
  <c r="EV120"/>
  <c r="EQ120"/>
  <c r="EN120"/>
  <c r="FC120"/>
  <c r="EO120"/>
  <c r="FE120"/>
  <c r="ER120"/>
  <c r="FB120"/>
  <c r="ET120"/>
  <c r="EJ140"/>
  <c r="EL140"/>
  <c r="FC135"/>
  <c r="EW135"/>
  <c r="EY135"/>
  <c r="FE135"/>
  <c r="FA135"/>
  <c r="FB135"/>
  <c r="ES135"/>
  <c r="EO135"/>
  <c r="EM135"/>
  <c r="FC122"/>
  <c r="FA122"/>
  <c r="EY122"/>
  <c r="EW122"/>
  <c r="ET122"/>
  <c r="FD122"/>
  <c r="EZ122"/>
  <c r="EN122"/>
  <c r="EM122"/>
  <c r="EJ122"/>
  <c r="EJ137"/>
  <c r="BT137"/>
  <c r="BV137" s="1"/>
  <c r="EJ123"/>
  <c r="ES136"/>
  <c r="EY136"/>
  <c r="EW136"/>
  <c r="EQ136"/>
  <c r="EU136"/>
  <c r="EZ136"/>
  <c r="EX136"/>
  <c r="FE136"/>
  <c r="FB136"/>
  <c r="EO136"/>
  <c r="EP150"/>
  <c r="EV150"/>
  <c r="ES150"/>
  <c r="EU150"/>
  <c r="EX150"/>
  <c r="FD150"/>
  <c r="FB150"/>
  <c r="EZ150"/>
  <c r="ET126"/>
  <c r="FD126"/>
  <c r="FE126"/>
  <c r="EQ126"/>
  <c r="EV126"/>
  <c r="EO126"/>
  <c r="EW126"/>
  <c r="EY126"/>
  <c r="ET129"/>
  <c r="ER129"/>
  <c r="EP129"/>
  <c r="EV129"/>
  <c r="EN129"/>
  <c r="FA129"/>
  <c r="FC129"/>
  <c r="EX129"/>
  <c r="FD129"/>
  <c r="EQ129"/>
  <c r="EL129"/>
  <c r="BT129"/>
  <c r="BV129" s="1"/>
  <c r="FE142"/>
  <c r="ER142"/>
  <c r="EX142"/>
  <c r="FD142"/>
  <c r="EO142"/>
  <c r="EW142"/>
  <c r="EY142"/>
  <c r="EP142"/>
  <c r="EV142"/>
  <c r="EM142"/>
  <c r="EL142"/>
  <c r="EZ119"/>
  <c r="FE119"/>
  <c r="FD119"/>
  <c r="EX119"/>
  <c r="ES119"/>
  <c r="EU119"/>
  <c r="FB119"/>
  <c r="EP119"/>
  <c r="EO119"/>
  <c r="BT119"/>
  <c r="BV119" s="1"/>
  <c r="EJ119"/>
  <c r="EO134"/>
  <c r="EP134"/>
  <c r="EN134"/>
  <c r="EV134"/>
  <c r="FB134"/>
  <c r="EU134"/>
  <c r="EW134"/>
  <c r="EQ134"/>
  <c r="EM134"/>
  <c r="FA149"/>
  <c r="FC149"/>
  <c r="FB149"/>
  <c r="EN149"/>
  <c r="EM149"/>
  <c r="ES149"/>
  <c r="EU149"/>
  <c r="ET149"/>
  <c r="EZ149"/>
  <c r="FC151"/>
  <c r="ER151"/>
  <c r="EX151"/>
  <c r="FD151"/>
  <c r="EN151"/>
  <c r="ET151"/>
  <c r="EZ151"/>
  <c r="EV151"/>
  <c r="EM151"/>
  <c r="EU144"/>
  <c r="EY144"/>
  <c r="FA144"/>
  <c r="FD144"/>
  <c r="EN144"/>
  <c r="FC144"/>
  <c r="ES144"/>
  <c r="EV144"/>
  <c r="EM144"/>
  <c r="FC140"/>
  <c r="EO140"/>
  <c r="ET140"/>
  <c r="ER140"/>
  <c r="EN140"/>
  <c r="EU140"/>
  <c r="FA140"/>
  <c r="EY140"/>
  <c r="FE140"/>
  <c r="EM140"/>
  <c r="EU141"/>
  <c r="FA141"/>
  <c r="EQ141"/>
  <c r="EW141"/>
  <c r="EX141"/>
  <c r="FD141"/>
  <c r="ES141"/>
  <c r="EY141"/>
  <c r="FE141"/>
  <c r="EM141"/>
  <c r="BT141"/>
  <c r="BV141" s="1"/>
  <c r="EU137"/>
  <c r="EW137"/>
  <c r="FC137"/>
  <c r="FE137"/>
  <c r="FD137"/>
  <c r="EY137"/>
  <c r="EN137"/>
  <c r="EO137"/>
  <c r="FA137"/>
  <c r="EO121"/>
  <c r="FC121"/>
  <c r="FB121"/>
  <c r="FD121"/>
  <c r="ES121"/>
  <c r="EX121"/>
  <c r="EZ121"/>
  <c r="EQ121"/>
  <c r="EN121"/>
  <c r="EP121"/>
  <c r="EJ121"/>
  <c r="EL121"/>
  <c r="EN123"/>
  <c r="FD123"/>
  <c r="FB123"/>
  <c r="ES123"/>
  <c r="EW123"/>
  <c r="EP123"/>
  <c r="EU123"/>
  <c r="ER123"/>
  <c r="EM123"/>
  <c r="ER148"/>
  <c r="EU148"/>
  <c r="FA148"/>
  <c r="FB148"/>
  <c r="EZ148"/>
  <c r="FC148"/>
  <c r="EO148"/>
  <c r="EM148"/>
  <c r="BT128"/>
  <c r="BV128" s="1"/>
  <c r="EL120"/>
  <c r="BT120"/>
  <c r="BV120" s="1"/>
  <c r="EL136"/>
  <c r="EQ147"/>
  <c r="BT135"/>
  <c r="BV135" s="1"/>
  <c r="EJ135"/>
  <c r="EU143"/>
  <c r="EV143"/>
  <c r="FA143"/>
  <c r="EX143"/>
  <c r="EW133"/>
  <c r="ER133"/>
  <c r="FC133"/>
  <c r="EX133"/>
  <c r="EM133"/>
  <c r="EL133"/>
  <c r="EV128"/>
  <c r="FB128"/>
  <c r="EQ128"/>
  <c r="FD128"/>
  <c r="EZ128"/>
  <c r="EU127"/>
  <c r="ER127"/>
  <c r="BT127"/>
  <c r="BV127" s="1"/>
  <c r="EJ127"/>
  <c r="EV130"/>
  <c r="EM130"/>
  <c r="EW147"/>
  <c r="FB147"/>
  <c r="EN147"/>
  <c r="FA147"/>
  <c r="FD135"/>
  <c r="EQ135"/>
  <c r="EN135"/>
  <c r="EP135"/>
  <c r="ES122"/>
  <c r="EQ122"/>
  <c r="EO122"/>
  <c r="FE122"/>
  <c r="ER122"/>
  <c r="EL122"/>
  <c r="BT122"/>
  <c r="BV122" s="1"/>
  <c r="EV136"/>
  <c r="ET136"/>
  <c r="FD136"/>
  <c r="ET150"/>
  <c r="EN150"/>
  <c r="FE150"/>
  <c r="FA150"/>
  <c r="ER126"/>
  <c r="ES126"/>
  <c r="EU126"/>
  <c r="EZ126"/>
  <c r="EM126"/>
  <c r="EY129"/>
  <c r="EJ142"/>
  <c r="EQ119"/>
  <c r="L38" i="65"/>
  <c r="L20"/>
  <c r="L52" s="1"/>
  <c r="M52" s="1"/>
  <c r="F345" i="60" s="1"/>
  <c r="G345" s="1"/>
  <c r="G151" s="1"/>
  <c r="L29" i="65"/>
  <c r="L53" s="1"/>
  <c r="M53" s="1"/>
  <c r="F346" i="60" s="1"/>
  <c r="F149"/>
  <c r="G343"/>
  <c r="G149" s="1"/>
  <c r="I343"/>
  <c r="L11" i="65"/>
  <c r="L50" s="1"/>
  <c r="M50" s="1"/>
  <c r="BT114" i="69"/>
  <c r="BV114" s="1"/>
  <c r="GJ114" s="1"/>
  <c r="EJ114"/>
  <c r="EL114"/>
  <c r="EM114"/>
  <c r="EW107"/>
  <c r="EN113"/>
  <c r="ET108"/>
  <c r="EJ108"/>
  <c r="E37" i="52"/>
  <c r="I21"/>
  <c r="J21" s="1"/>
  <c r="ER107" i="69"/>
  <c r="EZ107"/>
  <c r="ES107"/>
  <c r="EY107"/>
  <c r="FB107"/>
  <c r="ET107"/>
  <c r="EP107"/>
  <c r="FC107"/>
  <c r="EM107"/>
  <c r="EM113"/>
  <c r="ES113"/>
  <c r="EQ113"/>
  <c r="EP113"/>
  <c r="FB113"/>
  <c r="FA113"/>
  <c r="EY113"/>
  <c r="EZ113"/>
  <c r="FC113"/>
  <c r="EX113"/>
  <c r="FC108"/>
  <c r="EP108"/>
  <c r="EY108"/>
  <c r="EX108"/>
  <c r="EN108"/>
  <c r="EU108"/>
  <c r="ER108"/>
  <c r="EZ108"/>
  <c r="FE108"/>
  <c r="EL108"/>
  <c r="EN114"/>
  <c r="FD114"/>
  <c r="ET114"/>
  <c r="FA114"/>
  <c r="EU114"/>
  <c r="EX114"/>
  <c r="ER114"/>
  <c r="EW114"/>
  <c r="EP114"/>
  <c r="EL107"/>
  <c r="EJ113"/>
  <c r="EL113"/>
  <c r="I27" i="52"/>
  <c r="J27" s="1"/>
  <c r="E38"/>
  <c r="EV107" i="69"/>
  <c r="EX107"/>
  <c r="FE107"/>
  <c r="FD107"/>
  <c r="EU107"/>
  <c r="EO107"/>
  <c r="EN107"/>
  <c r="FA107"/>
  <c r="EQ107"/>
  <c r="ER113"/>
  <c r="EO113"/>
  <c r="EU113"/>
  <c r="EV113"/>
  <c r="EW113"/>
  <c r="ET113"/>
  <c r="FE113"/>
  <c r="FD113"/>
  <c r="FB108"/>
  <c r="EW108"/>
  <c r="EV108"/>
  <c r="FD108"/>
  <c r="EO108"/>
  <c r="EQ108"/>
  <c r="ES108"/>
  <c r="FA108"/>
  <c r="EM108"/>
  <c r="BT108"/>
  <c r="BV108" s="1"/>
  <c r="EO114"/>
  <c r="FB114"/>
  <c r="ES114"/>
  <c r="EQ114"/>
  <c r="FC114"/>
  <c r="EV114"/>
  <c r="EZ114"/>
  <c r="FE114"/>
  <c r="EY114"/>
  <c r="EJ107"/>
  <c r="BT107"/>
  <c r="BV107" s="1"/>
  <c r="BT113"/>
  <c r="BV113" s="1"/>
  <c r="I7" i="52"/>
  <c r="J7" s="1"/>
  <c r="E35"/>
  <c r="EM96" i="69"/>
  <c r="EM93"/>
  <c r="EM98"/>
  <c r="EM95"/>
  <c r="EN97"/>
  <c r="EN94"/>
  <c r="EN96"/>
  <c r="ER96"/>
  <c r="EO96"/>
  <c r="EZ96"/>
  <c r="FB96"/>
  <c r="FA96"/>
  <c r="EV96"/>
  <c r="EU96"/>
  <c r="EW96"/>
  <c r="EN93"/>
  <c r="EO93"/>
  <c r="EQ93"/>
  <c r="FD93"/>
  <c r="EU93"/>
  <c r="EX93"/>
  <c r="ET93"/>
  <c r="FE93"/>
  <c r="ES93"/>
  <c r="BT93"/>
  <c r="BV93" s="1"/>
  <c r="EM97"/>
  <c r="EQ97"/>
  <c r="EO97"/>
  <c r="EZ97"/>
  <c r="EU97"/>
  <c r="FB97"/>
  <c r="EY97"/>
  <c r="EW97"/>
  <c r="EV97"/>
  <c r="FA97"/>
  <c r="EM94"/>
  <c r="EQ94"/>
  <c r="EO94"/>
  <c r="EX94"/>
  <c r="EU94"/>
  <c r="EY94"/>
  <c r="FC94"/>
  <c r="EV94"/>
  <c r="FD94"/>
  <c r="FB94"/>
  <c r="EJ94"/>
  <c r="EL94"/>
  <c r="EN98"/>
  <c r="EU98"/>
  <c r="ES98"/>
  <c r="ER98"/>
  <c r="EP98"/>
  <c r="FA98"/>
  <c r="EW98"/>
  <c r="EX98"/>
  <c r="FB98"/>
  <c r="EN95"/>
  <c r="EP95"/>
  <c r="ER95"/>
  <c r="EU95"/>
  <c r="FC95"/>
  <c r="EZ95"/>
  <c r="FE95"/>
  <c r="EX95"/>
  <c r="ET95"/>
  <c r="EJ95"/>
  <c r="BT96"/>
  <c r="BV96" s="1"/>
  <c r="EJ96"/>
  <c r="EJ97"/>
  <c r="BT98"/>
  <c r="BV98" s="1"/>
  <c r="EJ98"/>
  <c r="EP96"/>
  <c r="EQ96"/>
  <c r="FE96"/>
  <c r="EY96"/>
  <c r="ET96"/>
  <c r="ES96"/>
  <c r="FD96"/>
  <c r="FC96"/>
  <c r="EX96"/>
  <c r="ER93"/>
  <c r="EP93"/>
  <c r="EY93"/>
  <c r="EW93"/>
  <c r="FA93"/>
  <c r="EZ93"/>
  <c r="EV93"/>
  <c r="FB93"/>
  <c r="FC93"/>
  <c r="EJ93"/>
  <c r="EL93"/>
  <c r="ER97"/>
  <c r="EP97"/>
  <c r="FE97"/>
  <c r="ET97"/>
  <c r="ES97"/>
  <c r="EX97"/>
  <c r="FC97"/>
  <c r="FD97"/>
  <c r="EP94"/>
  <c r="ER94"/>
  <c r="ET94"/>
  <c r="FE94"/>
  <c r="EZ94"/>
  <c r="EW94"/>
  <c r="ES94"/>
  <c r="FA94"/>
  <c r="BT94"/>
  <c r="BV94" s="1"/>
  <c r="EV98"/>
  <c r="ET98"/>
  <c r="EO98"/>
  <c r="EQ98"/>
  <c r="EZ98"/>
  <c r="EY98"/>
  <c r="FE98"/>
  <c r="FD98"/>
  <c r="FC98"/>
  <c r="EO95"/>
  <c r="EQ95"/>
  <c r="EY95"/>
  <c r="FA95"/>
  <c r="FB95"/>
  <c r="ES95"/>
  <c r="EV95"/>
  <c r="FD95"/>
  <c r="EW95"/>
  <c r="BT95"/>
  <c r="BV95" s="1"/>
  <c r="EL95"/>
  <c r="EL96"/>
  <c r="EL97"/>
  <c r="BT97"/>
  <c r="BV97" s="1"/>
  <c r="EL98"/>
  <c r="EO81"/>
  <c r="EM80"/>
  <c r="ET69"/>
  <c r="EV81"/>
  <c r="EJ33"/>
  <c r="ER70"/>
  <c r="BT80"/>
  <c r="BV80" s="1"/>
  <c r="EJ80"/>
  <c r="EL80"/>
  <c r="BT81"/>
  <c r="BV81" s="1"/>
  <c r="EJ81"/>
  <c r="EL81"/>
  <c r="ES80"/>
  <c r="FE80"/>
  <c r="ET80"/>
  <c r="EU80"/>
  <c r="EV80"/>
  <c r="FD80"/>
  <c r="ER80"/>
  <c r="FB80"/>
  <c r="EY69"/>
  <c r="ER69"/>
  <c r="FA69"/>
  <c r="FD69"/>
  <c r="EM69"/>
  <c r="FC69"/>
  <c r="EQ69"/>
  <c r="EP69"/>
  <c r="ES69"/>
  <c r="EJ69"/>
  <c r="EL69"/>
  <c r="FE70"/>
  <c r="EU70"/>
  <c r="FD70"/>
  <c r="EY70"/>
  <c r="EV70"/>
  <c r="EM70"/>
  <c r="EP70"/>
  <c r="EQ70"/>
  <c r="EN70"/>
  <c r="EL70"/>
  <c r="ER81"/>
  <c r="EY81"/>
  <c r="ES81"/>
  <c r="EP81"/>
  <c r="EW81"/>
  <c r="EZ81"/>
  <c r="ET81"/>
  <c r="FA81"/>
  <c r="EO80"/>
  <c r="FA80"/>
  <c r="EQ80"/>
  <c r="EY80"/>
  <c r="EW80"/>
  <c r="EN80"/>
  <c r="EX80"/>
  <c r="FC80"/>
  <c r="EP80"/>
  <c r="EZ80"/>
  <c r="EO69"/>
  <c r="EX69"/>
  <c r="EW69"/>
  <c r="EZ69"/>
  <c r="FE69"/>
  <c r="EU69"/>
  <c r="EV69"/>
  <c r="FB69"/>
  <c r="EN69"/>
  <c r="BT69"/>
  <c r="BV69" s="1"/>
  <c r="EZ70"/>
  <c r="FA70"/>
  <c r="ET70"/>
  <c r="EW70"/>
  <c r="EO70"/>
  <c r="FC70"/>
  <c r="ES70"/>
  <c r="FB70"/>
  <c r="EX70"/>
  <c r="BT70"/>
  <c r="BV70" s="1"/>
  <c r="EJ70"/>
  <c r="EU81"/>
  <c r="EM81"/>
  <c r="FB81"/>
  <c r="EQ81"/>
  <c r="FC81"/>
  <c r="FD81"/>
  <c r="EN81"/>
  <c r="EX81"/>
  <c r="FE81"/>
  <c r="EJ66"/>
  <c r="EL66"/>
  <c r="FB65"/>
  <c r="EJ64"/>
  <c r="EQ55"/>
  <c r="ER54"/>
  <c r="BT64"/>
  <c r="BV64" s="1"/>
  <c r="GK64" s="1"/>
  <c r="BT66"/>
  <c r="BV66" s="1"/>
  <c r="GJ66" s="1"/>
  <c r="EL33"/>
  <c r="EL64"/>
  <c r="BT33"/>
  <c r="BV33" s="1"/>
  <c r="GM33" s="1"/>
  <c r="EO30"/>
  <c r="ES56"/>
  <c r="EJ56"/>
  <c r="FE64"/>
  <c r="FE31"/>
  <c r="EJ31"/>
  <c r="FD66"/>
  <c r="ES33"/>
  <c r="EY52"/>
  <c r="EO53"/>
  <c r="EL53"/>
  <c r="EL54"/>
  <c r="BT65"/>
  <c r="BV65" s="1"/>
  <c r="GN65" s="1"/>
  <c r="FD53"/>
  <c r="EZ53"/>
  <c r="EQ53"/>
  <c r="FE53"/>
  <c r="EW53"/>
  <c r="FB53"/>
  <c r="EU53"/>
  <c r="ER53"/>
  <c r="EV53"/>
  <c r="EN53"/>
  <c r="FE30"/>
  <c r="EQ30"/>
  <c r="ES30"/>
  <c r="FC30"/>
  <c r="EW30"/>
  <c r="FD30"/>
  <c r="ET30"/>
  <c r="ER30"/>
  <c r="EX30"/>
  <c r="EM30"/>
  <c r="EO56"/>
  <c r="EW56"/>
  <c r="EU56"/>
  <c r="FA56"/>
  <c r="EN56"/>
  <c r="FD56"/>
  <c r="EY56"/>
  <c r="EX56"/>
  <c r="ET56"/>
  <c r="EL56"/>
  <c r="EM55"/>
  <c r="EW55"/>
  <c r="EO55"/>
  <c r="EV55"/>
  <c r="FC55"/>
  <c r="EY55"/>
  <c r="ER55"/>
  <c r="FD55"/>
  <c r="EN55"/>
  <c r="BT55"/>
  <c r="BV55" s="1"/>
  <c r="EY64"/>
  <c r="EO64"/>
  <c r="EN64"/>
  <c r="FA64"/>
  <c r="EZ64"/>
  <c r="EW64"/>
  <c r="FD64"/>
  <c r="FC64"/>
  <c r="FB64"/>
  <c r="EO31"/>
  <c r="EQ31"/>
  <c r="EZ31"/>
  <c r="FA31"/>
  <c r="ER31"/>
  <c r="EW31"/>
  <c r="EX31"/>
  <c r="ES31"/>
  <c r="ET31"/>
  <c r="BT31"/>
  <c r="BV31" s="1"/>
  <c r="FD54"/>
  <c r="FC54"/>
  <c r="ET54"/>
  <c r="EQ54"/>
  <c r="FE54"/>
  <c r="ES54"/>
  <c r="EZ54"/>
  <c r="EV54"/>
  <c r="EN54"/>
  <c r="FB66"/>
  <c r="EN66"/>
  <c r="FC66"/>
  <c r="EZ66"/>
  <c r="EY66"/>
  <c r="ET66"/>
  <c r="EM66"/>
  <c r="ER66"/>
  <c r="EO66"/>
  <c r="EU33"/>
  <c r="ER33"/>
  <c r="EQ33"/>
  <c r="EV33"/>
  <c r="ET33"/>
  <c r="EZ33"/>
  <c r="EO33"/>
  <c r="FD33"/>
  <c r="EN33"/>
  <c r="EO52"/>
  <c r="FD52"/>
  <c r="ER52"/>
  <c r="EM52"/>
  <c r="FE52"/>
  <c r="EX52"/>
  <c r="FB52"/>
  <c r="EQ52"/>
  <c r="EW52"/>
  <c r="EV52"/>
  <c r="EJ52"/>
  <c r="BT52"/>
  <c r="BV52" s="1"/>
  <c r="FD65"/>
  <c r="EQ65"/>
  <c r="EX65"/>
  <c r="EO65"/>
  <c r="EU65"/>
  <c r="EV65"/>
  <c r="EW65"/>
  <c r="EP65"/>
  <c r="FE65"/>
  <c r="ES65"/>
  <c r="EL30"/>
  <c r="BT30"/>
  <c r="BV30" s="1"/>
  <c r="G73" i="21"/>
  <c r="F101" s="1"/>
  <c r="H66"/>
  <c r="H73" s="1"/>
  <c r="FA53" i="69"/>
  <c r="EY53"/>
  <c r="ET53"/>
  <c r="EX53"/>
  <c r="EP53"/>
  <c r="ES53"/>
  <c r="FC53"/>
  <c r="EM53"/>
  <c r="EJ53"/>
  <c r="BT53"/>
  <c r="BV53" s="1"/>
  <c r="EV30"/>
  <c r="EP30"/>
  <c r="EZ30"/>
  <c r="FB30"/>
  <c r="EN30"/>
  <c r="EY30"/>
  <c r="FA30"/>
  <c r="EU30"/>
  <c r="FB56"/>
  <c r="ER56"/>
  <c r="EV56"/>
  <c r="EZ56"/>
  <c r="EQ56"/>
  <c r="EM56"/>
  <c r="EP56"/>
  <c r="FC56"/>
  <c r="FE56"/>
  <c r="BT56"/>
  <c r="BV56" s="1"/>
  <c r="ET55"/>
  <c r="FB55"/>
  <c r="EU55"/>
  <c r="FE55"/>
  <c r="EP55"/>
  <c r="ES55"/>
  <c r="EZ55"/>
  <c r="FA55"/>
  <c r="EX55"/>
  <c r="EL55"/>
  <c r="EJ55"/>
  <c r="EX64"/>
  <c r="EU64"/>
  <c r="EV64"/>
  <c r="EQ64"/>
  <c r="ET64"/>
  <c r="ER64"/>
  <c r="EM64"/>
  <c r="EP64"/>
  <c r="ES64"/>
  <c r="FB31"/>
  <c r="EN31"/>
  <c r="FC31"/>
  <c r="EP31"/>
  <c r="EY31"/>
  <c r="FD31"/>
  <c r="EU31"/>
  <c r="EV31"/>
  <c r="EM31"/>
  <c r="EL31"/>
  <c r="EM54"/>
  <c r="EO54"/>
  <c r="EY54"/>
  <c r="EW54"/>
  <c r="FB54"/>
  <c r="EX54"/>
  <c r="EP54"/>
  <c r="EU54"/>
  <c r="FA54"/>
  <c r="EJ54"/>
  <c r="BT54"/>
  <c r="BV54" s="1"/>
  <c r="FE66"/>
  <c r="EX66"/>
  <c r="EQ66"/>
  <c r="EU66"/>
  <c r="EV66"/>
  <c r="EW66"/>
  <c r="EP66"/>
  <c r="FA66"/>
  <c r="ES66"/>
  <c r="EP33"/>
  <c r="EW33"/>
  <c r="EX33"/>
  <c r="EY33"/>
  <c r="FA33"/>
  <c r="FC33"/>
  <c r="FE33"/>
  <c r="FB33"/>
  <c r="EM33"/>
  <c r="FA52"/>
  <c r="EZ52"/>
  <c r="ET52"/>
  <c r="EN52"/>
  <c r="FC52"/>
  <c r="EP52"/>
  <c r="EU52"/>
  <c r="ES52"/>
  <c r="EL52"/>
  <c r="EN65"/>
  <c r="FC65"/>
  <c r="EZ65"/>
  <c r="EY65"/>
  <c r="ET65"/>
  <c r="EM65"/>
  <c r="ER65"/>
  <c r="FA65"/>
  <c r="EJ65"/>
  <c r="EL65"/>
  <c r="EJ30"/>
  <c r="F100" i="21"/>
  <c r="E62"/>
  <c r="G40"/>
  <c r="H40" s="1"/>
  <c r="G41"/>
  <c r="H41" s="1"/>
  <c r="G39"/>
  <c r="H39" s="1"/>
  <c r="G37"/>
  <c r="H37" s="1"/>
  <c r="G38"/>
  <c r="H38" s="1"/>
  <c r="G19"/>
  <c r="F19" s="1"/>
  <c r="G20"/>
  <c r="H20" s="1"/>
  <c r="G7"/>
  <c r="F7" s="1"/>
  <c r="G8"/>
  <c r="H8" s="1"/>
  <c r="FC28" i="69"/>
  <c r="EJ28"/>
  <c r="ET28"/>
  <c r="EX28"/>
  <c r="FA28"/>
  <c r="ES28"/>
  <c r="EP28"/>
  <c r="EZ28"/>
  <c r="FB28"/>
  <c r="ER28"/>
  <c r="EN28"/>
  <c r="FD28"/>
  <c r="EU28"/>
  <c r="EV28"/>
  <c r="EO28"/>
  <c r="EM28"/>
  <c r="FE28"/>
  <c r="EW28"/>
  <c r="EY28"/>
  <c r="EQ28"/>
  <c r="EL28"/>
  <c r="EM23"/>
  <c r="EL23"/>
  <c r="EJ23"/>
  <c r="FC23"/>
  <c r="ER23"/>
  <c r="EQ23"/>
  <c r="FE23"/>
  <c r="EX23"/>
  <c r="FA23"/>
  <c r="EP23"/>
  <c r="EW23"/>
  <c r="ET23"/>
  <c r="EN23"/>
  <c r="ES23"/>
  <c r="FB23"/>
  <c r="EO23"/>
  <c r="FD23"/>
  <c r="EU23"/>
  <c r="EZ23"/>
  <c r="EY23"/>
  <c r="EV23"/>
  <c r="EO20"/>
  <c r="FA21"/>
  <c r="EZ21"/>
  <c r="EO21"/>
  <c r="EV21"/>
  <c r="FC21"/>
  <c r="EW21"/>
  <c r="EU21"/>
  <c r="EY21"/>
  <c r="EP21"/>
  <c r="EM21"/>
  <c r="EL21"/>
  <c r="ET21"/>
  <c r="ES21"/>
  <c r="FE21"/>
  <c r="EN21"/>
  <c r="ER21"/>
  <c r="FD21"/>
  <c r="EX21"/>
  <c r="FB21"/>
  <c r="EQ21"/>
  <c r="EJ21"/>
  <c r="FB20"/>
  <c r="FC20"/>
  <c r="ET20"/>
  <c r="EU20"/>
  <c r="ER20"/>
  <c r="FE20"/>
  <c r="EP20"/>
  <c r="ES20"/>
  <c r="EW20"/>
  <c r="EM20"/>
  <c r="EJ20"/>
  <c r="EZ20"/>
  <c r="FD20"/>
  <c r="EN20"/>
  <c r="FA20"/>
  <c r="EX20"/>
  <c r="EY20"/>
  <c r="EV20"/>
  <c r="EQ20"/>
  <c r="EL20"/>
  <c r="BT23"/>
  <c r="BV23" s="1"/>
  <c r="GO23" s="1"/>
  <c r="BT21"/>
  <c r="BV21" s="1"/>
  <c r="BT20"/>
  <c r="BV20" s="1"/>
  <c r="BT28"/>
  <c r="BV28" s="1"/>
  <c r="G26" i="45"/>
  <c r="F33"/>
  <c r="K26"/>
  <c r="K33" s="1"/>
  <c r="J33"/>
  <c r="GN10" i="69"/>
  <c r="GS10"/>
  <c r="GK10"/>
  <c r="GP10"/>
  <c r="GU10"/>
  <c r="GM10"/>
  <c r="GR10"/>
  <c r="GJ10"/>
  <c r="GO10"/>
  <c r="GT10"/>
  <c r="GL10"/>
  <c r="GQ10"/>
  <c r="GI10"/>
  <c r="FW10"/>
  <c r="FO10"/>
  <c r="FG10"/>
  <c r="GB10" s="1"/>
  <c r="FT10"/>
  <c r="FL10"/>
  <c r="GG10" s="1"/>
  <c r="FY10"/>
  <c r="FQ10"/>
  <c r="FI10"/>
  <c r="GD10" s="1"/>
  <c r="FV10"/>
  <c r="FN10"/>
  <c r="FS10"/>
  <c r="FK10"/>
  <c r="GF10" s="1"/>
  <c r="FX10"/>
  <c r="FP10"/>
  <c r="FH10"/>
  <c r="GC10" s="1"/>
  <c r="FU10"/>
  <c r="FM10"/>
  <c r="GH10" s="1"/>
  <c r="FZ10"/>
  <c r="FR10"/>
  <c r="FJ10"/>
  <c r="GE10" s="1"/>
  <c r="M38" i="61" l="1"/>
  <c r="M67" s="1"/>
  <c r="M24"/>
  <c r="M65" s="1"/>
  <c r="M31"/>
  <c r="M66" s="1"/>
  <c r="M10"/>
  <c r="M63" s="1"/>
  <c r="M17"/>
  <c r="M64" s="1"/>
  <c r="D38"/>
  <c r="D67" s="1"/>
  <c r="E92" i="7" s="1"/>
  <c r="D31" i="61"/>
  <c r="D66" s="1"/>
  <c r="E91" i="7" s="1"/>
  <c r="D24" i="61"/>
  <c r="D65" s="1"/>
  <c r="E65" s="1"/>
  <c r="D17"/>
  <c r="D64" s="1"/>
  <c r="E64" s="1"/>
  <c r="D10"/>
  <c r="D63" s="1"/>
  <c r="E63" s="1"/>
  <c r="FI130" i="69"/>
  <c r="FG135"/>
  <c r="GB135" s="1"/>
  <c r="FH28"/>
  <c r="GC28" s="1"/>
  <c r="FG20"/>
  <c r="GB20" s="1"/>
  <c r="FG21"/>
  <c r="GB21" s="1"/>
  <c r="FH53"/>
  <c r="FG64"/>
  <c r="GB64" s="1"/>
  <c r="FI66"/>
  <c r="GD66" s="1"/>
  <c r="FH114"/>
  <c r="FJ123"/>
  <c r="GE123" s="1"/>
  <c r="FG137"/>
  <c r="GB137" s="1"/>
  <c r="FH123"/>
  <c r="FH54"/>
  <c r="FG33"/>
  <c r="GB33" s="1"/>
  <c r="J124" i="63"/>
  <c r="I148"/>
  <c r="I125"/>
  <c r="G196" i="60"/>
  <c r="G197" s="1"/>
  <c r="I196"/>
  <c r="J196" s="1"/>
  <c r="J197" s="1"/>
  <c r="F197"/>
  <c r="E123"/>
  <c r="H197"/>
  <c r="D127" i="63"/>
  <c r="M92"/>
  <c r="E125"/>
  <c r="G148"/>
  <c r="G125"/>
  <c r="N47" i="7"/>
  <c r="GC114" i="69"/>
  <c r="GS134"/>
  <c r="BP172"/>
  <c r="J58" i="61" s="1"/>
  <c r="F62" i="45"/>
  <c r="GU114" i="69"/>
  <c r="GM142"/>
  <c r="GU134"/>
  <c r="GI142"/>
  <c r="GL134"/>
  <c r="GK140"/>
  <c r="GG140"/>
  <c r="GI123"/>
  <c r="GG142"/>
  <c r="GK142"/>
  <c r="GN134"/>
  <c r="GR134"/>
  <c r="GG134"/>
  <c r="GI134"/>
  <c r="GM123"/>
  <c r="GC123"/>
  <c r="GM140"/>
  <c r="GI140"/>
  <c r="GJ140"/>
  <c r="GL140"/>
  <c r="GF140"/>
  <c r="GH140"/>
  <c r="GF142"/>
  <c r="GH142"/>
  <c r="GJ142"/>
  <c r="GL142"/>
  <c r="GH134"/>
  <c r="GK134"/>
  <c r="GT134"/>
  <c r="GM134"/>
  <c r="GP134"/>
  <c r="GO134"/>
  <c r="GJ134"/>
  <c r="GG123"/>
  <c r="GK123"/>
  <c r="GO142"/>
  <c r="GN142"/>
  <c r="GQ142"/>
  <c r="GP142"/>
  <c r="GS142"/>
  <c r="GR142"/>
  <c r="GU142"/>
  <c r="GH123"/>
  <c r="GF123"/>
  <c r="GL123"/>
  <c r="GJ123"/>
  <c r="GS140"/>
  <c r="GR140"/>
  <c r="GU140"/>
  <c r="GT140"/>
  <c r="GO140"/>
  <c r="GN140"/>
  <c r="GQ140"/>
  <c r="GQ123"/>
  <c r="GP123"/>
  <c r="GO123"/>
  <c r="GN123"/>
  <c r="GU123"/>
  <c r="GT123"/>
  <c r="GS123"/>
  <c r="FV123"/>
  <c r="FN137"/>
  <c r="FM123"/>
  <c r="FX123"/>
  <c r="FI137"/>
  <c r="GD137" s="1"/>
  <c r="FO130"/>
  <c r="FG123"/>
  <c r="GB123" s="1"/>
  <c r="FH137"/>
  <c r="GC137" s="1"/>
  <c r="FQ137"/>
  <c r="FU137"/>
  <c r="FQ123"/>
  <c r="FT137"/>
  <c r="FS123"/>
  <c r="FL137"/>
  <c r="FI123"/>
  <c r="GD123" s="1"/>
  <c r="FL123"/>
  <c r="FW123"/>
  <c r="FR123"/>
  <c r="FX137"/>
  <c r="FZ137"/>
  <c r="FK123"/>
  <c r="FP137"/>
  <c r="F151" i="60"/>
  <c r="FN123" i="69"/>
  <c r="FY123"/>
  <c r="FT123"/>
  <c r="FO123"/>
  <c r="FZ123"/>
  <c r="FU123"/>
  <c r="FP123"/>
  <c r="FS137"/>
  <c r="FJ137"/>
  <c r="GE137" s="1"/>
  <c r="FY137"/>
  <c r="FR137"/>
  <c r="FV137"/>
  <c r="FK137"/>
  <c r="FM137"/>
  <c r="FO137"/>
  <c r="FW137"/>
  <c r="FK135"/>
  <c r="GS122"/>
  <c r="GK122"/>
  <c r="GR122"/>
  <c r="GJ122"/>
  <c r="GU122"/>
  <c r="GM122"/>
  <c r="GT122"/>
  <c r="GL122"/>
  <c r="GO122"/>
  <c r="GG122"/>
  <c r="GN122"/>
  <c r="GF122"/>
  <c r="GQ122"/>
  <c r="GI122"/>
  <c r="GP122"/>
  <c r="GH122"/>
  <c r="GO127"/>
  <c r="GG127"/>
  <c r="GN127"/>
  <c r="GF127"/>
  <c r="GQ127"/>
  <c r="GI127"/>
  <c r="GP127"/>
  <c r="GH127"/>
  <c r="GS127"/>
  <c r="GK127"/>
  <c r="GR127"/>
  <c r="GJ127"/>
  <c r="GU127"/>
  <c r="GM127"/>
  <c r="GT127"/>
  <c r="GL127"/>
  <c r="FS133"/>
  <c r="FK133"/>
  <c r="GF133" s="1"/>
  <c r="FT133"/>
  <c r="FZ133"/>
  <c r="FJ133"/>
  <c r="GE133" s="1"/>
  <c r="FU133"/>
  <c r="FM133"/>
  <c r="FX133"/>
  <c r="FH133"/>
  <c r="GC133" s="1"/>
  <c r="FN133"/>
  <c r="FW133"/>
  <c r="FO133"/>
  <c r="FG133"/>
  <c r="GB133" s="1"/>
  <c r="FL133"/>
  <c r="FR133"/>
  <c r="FY133"/>
  <c r="FQ133"/>
  <c r="FI133"/>
  <c r="GD133" s="1"/>
  <c r="FP133"/>
  <c r="FV133"/>
  <c r="GN135"/>
  <c r="GF135"/>
  <c r="GI135"/>
  <c r="GG135"/>
  <c r="GP135"/>
  <c r="GH135"/>
  <c r="GM135"/>
  <c r="GK135"/>
  <c r="GR135"/>
  <c r="GJ135"/>
  <c r="GQ135"/>
  <c r="GO135"/>
  <c r="GT135"/>
  <c r="GL135"/>
  <c r="GU135"/>
  <c r="GS135"/>
  <c r="FZ136"/>
  <c r="FR136"/>
  <c r="FJ136"/>
  <c r="GE136" s="1"/>
  <c r="FQ136"/>
  <c r="FS136"/>
  <c r="FX136"/>
  <c r="FP136"/>
  <c r="FH136"/>
  <c r="GC136" s="1"/>
  <c r="FM136"/>
  <c r="FO136"/>
  <c r="FV136"/>
  <c r="FN136"/>
  <c r="FY136"/>
  <c r="FI136"/>
  <c r="GD136" s="1"/>
  <c r="FK136"/>
  <c r="FT136"/>
  <c r="FL136"/>
  <c r="FU136"/>
  <c r="FW136"/>
  <c r="FG136"/>
  <c r="GB136" s="1"/>
  <c r="FX120"/>
  <c r="FP120"/>
  <c r="FH120"/>
  <c r="GC120" s="1"/>
  <c r="FS120"/>
  <c r="FK120"/>
  <c r="FZ120"/>
  <c r="FR120"/>
  <c r="FJ120"/>
  <c r="GE120" s="1"/>
  <c r="FU120"/>
  <c r="FM120"/>
  <c r="FT120"/>
  <c r="FL120"/>
  <c r="FW120"/>
  <c r="FO120"/>
  <c r="FG120"/>
  <c r="GB120" s="1"/>
  <c r="FV120"/>
  <c r="FN120"/>
  <c r="FY120"/>
  <c r="FQ120"/>
  <c r="FI120"/>
  <c r="GD120" s="1"/>
  <c r="GU141"/>
  <c r="GM141"/>
  <c r="GT141"/>
  <c r="GL141"/>
  <c r="GS141"/>
  <c r="GK141"/>
  <c r="GN141"/>
  <c r="GQ141"/>
  <c r="GI141"/>
  <c r="GP141"/>
  <c r="GH141"/>
  <c r="GO141"/>
  <c r="GR141"/>
  <c r="GJ141"/>
  <c r="GP119"/>
  <c r="GH119"/>
  <c r="GO119"/>
  <c r="GG119"/>
  <c r="GR119"/>
  <c r="GJ119"/>
  <c r="GQ119"/>
  <c r="GI119"/>
  <c r="GS119"/>
  <c r="GL119"/>
  <c r="GT119"/>
  <c r="GK119"/>
  <c r="GU119"/>
  <c r="GN119"/>
  <c r="GF119"/>
  <c r="GM119"/>
  <c r="FY142"/>
  <c r="FQ142"/>
  <c r="FI142"/>
  <c r="GD142" s="1"/>
  <c r="FV142"/>
  <c r="FN142"/>
  <c r="FW142"/>
  <c r="FO142"/>
  <c r="FG142"/>
  <c r="GB142" s="1"/>
  <c r="FT142"/>
  <c r="FL142"/>
  <c r="FU142"/>
  <c r="FM142"/>
  <c r="FZ142"/>
  <c r="FR142"/>
  <c r="FJ142"/>
  <c r="GE142" s="1"/>
  <c r="FS142"/>
  <c r="FK142"/>
  <c r="FX142"/>
  <c r="FP142"/>
  <c r="FH142"/>
  <c r="GC142" s="1"/>
  <c r="FX129"/>
  <c r="FP129"/>
  <c r="FH129"/>
  <c r="GC129" s="1"/>
  <c r="FS129"/>
  <c r="FK129"/>
  <c r="GF129" s="1"/>
  <c r="FZ129"/>
  <c r="FR129"/>
  <c r="FJ129"/>
  <c r="GE129" s="1"/>
  <c r="FU129"/>
  <c r="FM129"/>
  <c r="FT129"/>
  <c r="FL129"/>
  <c r="GG129" s="1"/>
  <c r="FW129"/>
  <c r="FO129"/>
  <c r="FG129"/>
  <c r="GB129" s="1"/>
  <c r="FV129"/>
  <c r="FN129"/>
  <c r="FY129"/>
  <c r="FQ129"/>
  <c r="FI129"/>
  <c r="GD129" s="1"/>
  <c r="GR137"/>
  <c r="GL137"/>
  <c r="GU137"/>
  <c r="GH137"/>
  <c r="GM137"/>
  <c r="GG137"/>
  <c r="GN137"/>
  <c r="GO137"/>
  <c r="GT137"/>
  <c r="GS137"/>
  <c r="GP137"/>
  <c r="GK137"/>
  <c r="GI137"/>
  <c r="GF137"/>
  <c r="GQ137"/>
  <c r="GJ137"/>
  <c r="FV134"/>
  <c r="FN134"/>
  <c r="FW134"/>
  <c r="FG134"/>
  <c r="GB134" s="1"/>
  <c r="FM134"/>
  <c r="FT134"/>
  <c r="FL134"/>
  <c r="FS134"/>
  <c r="FY134"/>
  <c r="FI134"/>
  <c r="GD134" s="1"/>
  <c r="FZ134"/>
  <c r="FR134"/>
  <c r="FJ134"/>
  <c r="GE134" s="1"/>
  <c r="FO134"/>
  <c r="FU134"/>
  <c r="FX134"/>
  <c r="FP134"/>
  <c r="FH134"/>
  <c r="GC134" s="1"/>
  <c r="FK134"/>
  <c r="GF134" s="1"/>
  <c r="FQ134"/>
  <c r="FT127"/>
  <c r="FL127"/>
  <c r="FX127"/>
  <c r="FP127"/>
  <c r="FH127"/>
  <c r="GC127" s="1"/>
  <c r="FS127"/>
  <c r="FK127"/>
  <c r="FZ127"/>
  <c r="FR127"/>
  <c r="FJ127"/>
  <c r="GE127" s="1"/>
  <c r="FU127"/>
  <c r="FM127"/>
  <c r="FW127"/>
  <c r="FG127"/>
  <c r="GB127" s="1"/>
  <c r="FN127"/>
  <c r="FQ127"/>
  <c r="FO127"/>
  <c r="FV127"/>
  <c r="FY127"/>
  <c r="FI127"/>
  <c r="GD127" s="1"/>
  <c r="FS119"/>
  <c r="FK119"/>
  <c r="FX119"/>
  <c r="FP119"/>
  <c r="FH119"/>
  <c r="GC119" s="1"/>
  <c r="FU119"/>
  <c r="FM119"/>
  <c r="FZ119"/>
  <c r="FR119"/>
  <c r="FJ119"/>
  <c r="GE119" s="1"/>
  <c r="FW119"/>
  <c r="FO119"/>
  <c r="FG119"/>
  <c r="GB119" s="1"/>
  <c r="FT119"/>
  <c r="FL119"/>
  <c r="FY119"/>
  <c r="FQ119"/>
  <c r="FI119"/>
  <c r="GD119" s="1"/>
  <c r="FV119"/>
  <c r="FN119"/>
  <c r="FZ148"/>
  <c r="FR148"/>
  <c r="FJ148"/>
  <c r="GE148" s="1"/>
  <c r="FU148"/>
  <c r="FM148"/>
  <c r="FX148"/>
  <c r="FP148"/>
  <c r="FH148"/>
  <c r="GC148" s="1"/>
  <c r="FS148"/>
  <c r="FK148"/>
  <c r="FV148"/>
  <c r="FN148"/>
  <c r="FY148"/>
  <c r="FQ148"/>
  <c r="FI148"/>
  <c r="GD148" s="1"/>
  <c r="FT148"/>
  <c r="FL148"/>
  <c r="FW148"/>
  <c r="FO148"/>
  <c r="FG148"/>
  <c r="GB148" s="1"/>
  <c r="FU144"/>
  <c r="FM144"/>
  <c r="GH144" s="1"/>
  <c r="FZ144"/>
  <c r="FR144"/>
  <c r="FJ144"/>
  <c r="GE144" s="1"/>
  <c r="FS144"/>
  <c r="FK144"/>
  <c r="GF144" s="1"/>
  <c r="FX144"/>
  <c r="FP144"/>
  <c r="FH144"/>
  <c r="GC144" s="1"/>
  <c r="FY144"/>
  <c r="FQ144"/>
  <c r="FI144"/>
  <c r="GD144" s="1"/>
  <c r="FV144"/>
  <c r="FN144"/>
  <c r="FW144"/>
  <c r="FO144"/>
  <c r="FG144"/>
  <c r="GB144" s="1"/>
  <c r="FT144"/>
  <c r="FL144"/>
  <c r="GG144" s="1"/>
  <c r="GN126"/>
  <c r="GS126"/>
  <c r="GK126"/>
  <c r="GT126"/>
  <c r="GL126"/>
  <c r="GU126"/>
  <c r="GM126"/>
  <c r="GR126"/>
  <c r="GJ126"/>
  <c r="GO126"/>
  <c r="GG126"/>
  <c r="GP126"/>
  <c r="GH126"/>
  <c r="GQ126"/>
  <c r="GI126"/>
  <c r="GU150"/>
  <c r="GM150"/>
  <c r="GT150"/>
  <c r="GL150"/>
  <c r="GS150"/>
  <c r="GK150"/>
  <c r="GR150"/>
  <c r="GJ150"/>
  <c r="GQ150"/>
  <c r="GI150"/>
  <c r="GP150"/>
  <c r="GH150"/>
  <c r="GO150"/>
  <c r="GG150"/>
  <c r="GN150"/>
  <c r="GF150"/>
  <c r="GT147"/>
  <c r="GL147"/>
  <c r="GU147"/>
  <c r="GM147"/>
  <c r="GR147"/>
  <c r="GJ147"/>
  <c r="GS147"/>
  <c r="GK147"/>
  <c r="GP147"/>
  <c r="GQ147"/>
  <c r="GN147"/>
  <c r="GO147"/>
  <c r="GH147"/>
  <c r="GI147"/>
  <c r="GF147"/>
  <c r="GG147"/>
  <c r="E67" i="61"/>
  <c r="GU143" i="69"/>
  <c r="GM143"/>
  <c r="GT143"/>
  <c r="GL143"/>
  <c r="GO143"/>
  <c r="GR143"/>
  <c r="GJ143"/>
  <c r="GQ143"/>
  <c r="GI143"/>
  <c r="GP143"/>
  <c r="GS143"/>
  <c r="GK143"/>
  <c r="GN143"/>
  <c r="GT151"/>
  <c r="GL151"/>
  <c r="GU151"/>
  <c r="GM151"/>
  <c r="GR151"/>
  <c r="GJ151"/>
  <c r="GS151"/>
  <c r="GK151"/>
  <c r="GP151"/>
  <c r="GH151"/>
  <c r="GQ151"/>
  <c r="GI151"/>
  <c r="GN151"/>
  <c r="GF151"/>
  <c r="GO151"/>
  <c r="GG151"/>
  <c r="FY149"/>
  <c r="FQ149"/>
  <c r="FI149"/>
  <c r="GD149" s="1"/>
  <c r="FV149"/>
  <c r="FN149"/>
  <c r="FW149"/>
  <c r="FO149"/>
  <c r="FG149"/>
  <c r="GB149" s="1"/>
  <c r="FT149"/>
  <c r="FL149"/>
  <c r="FU149"/>
  <c r="FM149"/>
  <c r="FZ149"/>
  <c r="FR149"/>
  <c r="FJ149"/>
  <c r="GE149" s="1"/>
  <c r="FS149"/>
  <c r="FK149"/>
  <c r="FX149"/>
  <c r="FP149"/>
  <c r="FH149"/>
  <c r="GC149" s="1"/>
  <c r="FR135"/>
  <c r="FQ135"/>
  <c r="FP135"/>
  <c r="FW135"/>
  <c r="FJ135"/>
  <c r="GE135" s="1"/>
  <c r="FM135"/>
  <c r="FH135"/>
  <c r="GC135" s="1"/>
  <c r="FV135"/>
  <c r="FS135"/>
  <c r="FR130"/>
  <c r="FM130"/>
  <c r="FH130"/>
  <c r="GC130" s="1"/>
  <c r="FX130"/>
  <c r="FS130"/>
  <c r="FV130"/>
  <c r="FQ130"/>
  <c r="FL130"/>
  <c r="GG130" s="1"/>
  <c r="FG130"/>
  <c r="GB130" s="1"/>
  <c r="FW130"/>
  <c r="FT122"/>
  <c r="FL122"/>
  <c r="FW122"/>
  <c r="FO122"/>
  <c r="FG122"/>
  <c r="GB122" s="1"/>
  <c r="FV122"/>
  <c r="FN122"/>
  <c r="FY122"/>
  <c r="FQ122"/>
  <c r="FI122"/>
  <c r="GD122" s="1"/>
  <c r="FX122"/>
  <c r="FP122"/>
  <c r="FH122"/>
  <c r="GC122" s="1"/>
  <c r="FS122"/>
  <c r="FK122"/>
  <c r="FZ122"/>
  <c r="FR122"/>
  <c r="FJ122"/>
  <c r="GE122" s="1"/>
  <c r="FU122"/>
  <c r="FM122"/>
  <c r="GS120"/>
  <c r="GK120"/>
  <c r="GR120"/>
  <c r="GJ120"/>
  <c r="GU120"/>
  <c r="GM120"/>
  <c r="GT120"/>
  <c r="GL120"/>
  <c r="GO120"/>
  <c r="GG120"/>
  <c r="GN120"/>
  <c r="GF120"/>
  <c r="GQ120"/>
  <c r="GI120"/>
  <c r="GP120"/>
  <c r="GH120"/>
  <c r="GR128"/>
  <c r="GJ128"/>
  <c r="GO128"/>
  <c r="GG128"/>
  <c r="GP128"/>
  <c r="GH128"/>
  <c r="GQ128"/>
  <c r="GI128"/>
  <c r="GN128"/>
  <c r="GS128"/>
  <c r="GK128"/>
  <c r="GT128"/>
  <c r="GL128"/>
  <c r="GU128"/>
  <c r="GM128"/>
  <c r="FW121"/>
  <c r="FO121"/>
  <c r="FG121"/>
  <c r="GB121" s="1"/>
  <c r="FT121"/>
  <c r="FL121"/>
  <c r="FY121"/>
  <c r="FQ121"/>
  <c r="FI121"/>
  <c r="GD121" s="1"/>
  <c r="FV121"/>
  <c r="FN121"/>
  <c r="FS121"/>
  <c r="FK121"/>
  <c r="FX121"/>
  <c r="FP121"/>
  <c r="FH121"/>
  <c r="GC121" s="1"/>
  <c r="FU121"/>
  <c r="FM121"/>
  <c r="FZ121"/>
  <c r="FR121"/>
  <c r="FJ121"/>
  <c r="GE121" s="1"/>
  <c r="GS129"/>
  <c r="GK129"/>
  <c r="GN129"/>
  <c r="GU129"/>
  <c r="GM129"/>
  <c r="GT129"/>
  <c r="GL129"/>
  <c r="GO129"/>
  <c r="GR129"/>
  <c r="GJ129"/>
  <c r="GQ129"/>
  <c r="GI129"/>
  <c r="GP129"/>
  <c r="GH129"/>
  <c r="FU140"/>
  <c r="FM140"/>
  <c r="FZ140"/>
  <c r="FR140"/>
  <c r="FJ140"/>
  <c r="GE140" s="1"/>
  <c r="FS140"/>
  <c r="FK140"/>
  <c r="FX140"/>
  <c r="FP140"/>
  <c r="FH140"/>
  <c r="GC140" s="1"/>
  <c r="FY140"/>
  <c r="FQ140"/>
  <c r="FI140"/>
  <c r="GD140" s="1"/>
  <c r="FV140"/>
  <c r="FN140"/>
  <c r="FW140"/>
  <c r="FO140"/>
  <c r="FG140"/>
  <c r="GB140" s="1"/>
  <c r="FT140"/>
  <c r="FL140"/>
  <c r="GR133"/>
  <c r="GT133"/>
  <c r="GJ133"/>
  <c r="GG133"/>
  <c r="GM133"/>
  <c r="GH133"/>
  <c r="GK133"/>
  <c r="GI133"/>
  <c r="GN133"/>
  <c r="GP133"/>
  <c r="GO133"/>
  <c r="GU133"/>
  <c r="GL133"/>
  <c r="GS133"/>
  <c r="GQ133"/>
  <c r="GS136"/>
  <c r="GK136"/>
  <c r="GP136"/>
  <c r="GN136"/>
  <c r="GU136"/>
  <c r="GM136"/>
  <c r="GT136"/>
  <c r="GR136"/>
  <c r="GO136"/>
  <c r="GG136"/>
  <c r="GH136"/>
  <c r="GF136"/>
  <c r="GQ136"/>
  <c r="GI136"/>
  <c r="GL136"/>
  <c r="GJ136"/>
  <c r="FS128"/>
  <c r="FK128"/>
  <c r="GF128" s="1"/>
  <c r="FX128"/>
  <c r="FP128"/>
  <c r="FH128"/>
  <c r="GC128" s="1"/>
  <c r="FU128"/>
  <c r="FM128"/>
  <c r="FZ128"/>
  <c r="FR128"/>
  <c r="FJ128"/>
  <c r="GE128" s="1"/>
  <c r="FW128"/>
  <c r="FO128"/>
  <c r="FG128"/>
  <c r="GB128" s="1"/>
  <c r="FT128"/>
  <c r="FL128"/>
  <c r="FY128"/>
  <c r="FQ128"/>
  <c r="FI128"/>
  <c r="GD128" s="1"/>
  <c r="FV128"/>
  <c r="FN128"/>
  <c r="GN121"/>
  <c r="GF121"/>
  <c r="GO121"/>
  <c r="GG121"/>
  <c r="GP121"/>
  <c r="GH121"/>
  <c r="GQ121"/>
  <c r="GI121"/>
  <c r="GR121"/>
  <c r="GJ121"/>
  <c r="GS121"/>
  <c r="GK121"/>
  <c r="GT121"/>
  <c r="GL121"/>
  <c r="GU121"/>
  <c r="GM121"/>
  <c r="FZ141"/>
  <c r="FR141"/>
  <c r="FJ141"/>
  <c r="GE141" s="1"/>
  <c r="FU141"/>
  <c r="FM141"/>
  <c r="FX141"/>
  <c r="FP141"/>
  <c r="FH141"/>
  <c r="GC141" s="1"/>
  <c r="FS141"/>
  <c r="FK141"/>
  <c r="GF141" s="1"/>
  <c r="FV141"/>
  <c r="FN141"/>
  <c r="FY141"/>
  <c r="FQ141"/>
  <c r="FI141"/>
  <c r="GD141" s="1"/>
  <c r="FT141"/>
  <c r="FL141"/>
  <c r="GG141" s="1"/>
  <c r="FW141"/>
  <c r="FO141"/>
  <c r="FG141"/>
  <c r="GB141" s="1"/>
  <c r="GR130"/>
  <c r="GJ130"/>
  <c r="GO130"/>
  <c r="GT130"/>
  <c r="GL130"/>
  <c r="GU130"/>
  <c r="GM130"/>
  <c r="GN130"/>
  <c r="GS130"/>
  <c r="GK130"/>
  <c r="GP130"/>
  <c r="GH130"/>
  <c r="GQ130"/>
  <c r="GI130"/>
  <c r="GU148"/>
  <c r="GM148"/>
  <c r="GT148"/>
  <c r="GL148"/>
  <c r="GS148"/>
  <c r="GK148"/>
  <c r="GR148"/>
  <c r="GJ148"/>
  <c r="GQ148"/>
  <c r="GI148"/>
  <c r="GP148"/>
  <c r="GH148"/>
  <c r="GO148"/>
  <c r="GG148"/>
  <c r="GN148"/>
  <c r="GF148"/>
  <c r="GT144"/>
  <c r="GL144"/>
  <c r="GQ144"/>
  <c r="GI144"/>
  <c r="GN144"/>
  <c r="GS144"/>
  <c r="GK144"/>
  <c r="GP144"/>
  <c r="GU144"/>
  <c r="GM144"/>
  <c r="GR144"/>
  <c r="GJ144"/>
  <c r="GO144"/>
  <c r="E88" i="7"/>
  <c r="FW126" i="69"/>
  <c r="FO126"/>
  <c r="FG126"/>
  <c r="GB126" s="1"/>
  <c r="FT126"/>
  <c r="FL126"/>
  <c r="FY126"/>
  <c r="FQ126"/>
  <c r="FI126"/>
  <c r="GD126" s="1"/>
  <c r="FV126"/>
  <c r="FN126"/>
  <c r="FS126"/>
  <c r="FX126"/>
  <c r="FH126"/>
  <c r="GC126" s="1"/>
  <c r="FM126"/>
  <c r="FR126"/>
  <c r="FK126"/>
  <c r="GF126" s="1"/>
  <c r="FP126"/>
  <c r="FU126"/>
  <c r="FZ126"/>
  <c r="FJ126"/>
  <c r="GE126" s="1"/>
  <c r="FZ150"/>
  <c r="FR150"/>
  <c r="FJ150"/>
  <c r="GE150" s="1"/>
  <c r="FU150"/>
  <c r="FM150"/>
  <c r="FX150"/>
  <c r="FP150"/>
  <c r="FH150"/>
  <c r="GC150" s="1"/>
  <c r="FS150"/>
  <c r="FK150"/>
  <c r="FV150"/>
  <c r="FN150"/>
  <c r="FY150"/>
  <c r="FQ150"/>
  <c r="FI150"/>
  <c r="GD150" s="1"/>
  <c r="FT150"/>
  <c r="FL150"/>
  <c r="FW150"/>
  <c r="FO150"/>
  <c r="FG150"/>
  <c r="GB150" s="1"/>
  <c r="FY147"/>
  <c r="FQ147"/>
  <c r="FZ147"/>
  <c r="FR147"/>
  <c r="FJ147"/>
  <c r="GE147" s="1"/>
  <c r="FW147"/>
  <c r="FO147"/>
  <c r="FX147"/>
  <c r="FP147"/>
  <c r="FH147"/>
  <c r="GC147" s="1"/>
  <c r="FU147"/>
  <c r="FV147"/>
  <c r="FG147"/>
  <c r="GB147" s="1"/>
  <c r="FK147"/>
  <c r="FL147"/>
  <c r="FM147"/>
  <c r="FN147"/>
  <c r="FS147"/>
  <c r="FT147"/>
  <c r="FI147"/>
  <c r="GD147" s="1"/>
  <c r="FZ143"/>
  <c r="FR143"/>
  <c r="FJ143"/>
  <c r="GE143" s="1"/>
  <c r="FU143"/>
  <c r="FM143"/>
  <c r="GH143" s="1"/>
  <c r="FX143"/>
  <c r="FP143"/>
  <c r="FH143"/>
  <c r="GC143" s="1"/>
  <c r="FS143"/>
  <c r="FK143"/>
  <c r="GF143" s="1"/>
  <c r="FV143"/>
  <c r="FN143"/>
  <c r="FY143"/>
  <c r="FQ143"/>
  <c r="FI143"/>
  <c r="GD143" s="1"/>
  <c r="FT143"/>
  <c r="FL143"/>
  <c r="GG143" s="1"/>
  <c r="FW143"/>
  <c r="FO143"/>
  <c r="FG143"/>
  <c r="GB143" s="1"/>
  <c r="FY151"/>
  <c r="FQ151"/>
  <c r="FI151"/>
  <c r="GD151" s="1"/>
  <c r="FV151"/>
  <c r="FN151"/>
  <c r="FW151"/>
  <c r="FO151"/>
  <c r="FG151"/>
  <c r="GB151" s="1"/>
  <c r="FT151"/>
  <c r="FL151"/>
  <c r="FU151"/>
  <c r="FM151"/>
  <c r="FZ151"/>
  <c r="FR151"/>
  <c r="FJ151"/>
  <c r="GE151" s="1"/>
  <c r="FS151"/>
  <c r="FK151"/>
  <c r="FX151"/>
  <c r="FP151"/>
  <c r="FH151"/>
  <c r="GC151" s="1"/>
  <c r="GT149"/>
  <c r="GL149"/>
  <c r="GU149"/>
  <c r="GM149"/>
  <c r="GR149"/>
  <c r="GJ149"/>
  <c r="GS149"/>
  <c r="GK149"/>
  <c r="GP149"/>
  <c r="GH149"/>
  <c r="GQ149"/>
  <c r="GI149"/>
  <c r="GN149"/>
  <c r="GF149"/>
  <c r="GO149"/>
  <c r="GG149"/>
  <c r="FT135"/>
  <c r="FI135"/>
  <c r="GD135" s="1"/>
  <c r="FY135"/>
  <c r="FN135"/>
  <c r="FO135"/>
  <c r="FL135"/>
  <c r="FZ135"/>
  <c r="FU135"/>
  <c r="FX135"/>
  <c r="FJ130"/>
  <c r="GE130" s="1"/>
  <c r="FZ130"/>
  <c r="FU130"/>
  <c r="FP130"/>
  <c r="FK130"/>
  <c r="GF130" s="1"/>
  <c r="FN130"/>
  <c r="GD130"/>
  <c r="FY130"/>
  <c r="FT130"/>
  <c r="M56" i="65"/>
  <c r="L56"/>
  <c r="FJ114" i="69"/>
  <c r="GE114" s="1"/>
  <c r="I345" i="60"/>
  <c r="J345" s="1"/>
  <c r="J151" s="1"/>
  <c r="F152"/>
  <c r="I346"/>
  <c r="G346"/>
  <c r="G152" s="1"/>
  <c r="I151"/>
  <c r="J343"/>
  <c r="J149" s="1"/>
  <c r="I149"/>
  <c r="FI114" i="69"/>
  <c r="GD114" s="1"/>
  <c r="GQ114"/>
  <c r="GG114"/>
  <c r="GH114"/>
  <c r="GS114"/>
  <c r="GI114"/>
  <c r="GF114"/>
  <c r="GT114"/>
  <c r="GO114"/>
  <c r="GP114"/>
  <c r="GK114"/>
  <c r="GR114"/>
  <c r="GM114"/>
  <c r="GL114"/>
  <c r="GN114"/>
  <c r="FO114"/>
  <c r="GT113"/>
  <c r="GN113"/>
  <c r="GO113"/>
  <c r="GR113"/>
  <c r="GM113"/>
  <c r="GU113"/>
  <c r="GL113"/>
  <c r="GK113"/>
  <c r="GS113"/>
  <c r="GJ113"/>
  <c r="GI113"/>
  <c r="GQ113"/>
  <c r="GP113"/>
  <c r="GM108"/>
  <c r="GS108"/>
  <c r="GQ108"/>
  <c r="GP108"/>
  <c r="GK108"/>
  <c r="GI108"/>
  <c r="GO108"/>
  <c r="GH108"/>
  <c r="GN108"/>
  <c r="GL108"/>
  <c r="GR108"/>
  <c r="GU108"/>
  <c r="GT108"/>
  <c r="GJ108"/>
  <c r="F37" i="52"/>
  <c r="E39"/>
  <c r="F414" i="60" s="1"/>
  <c r="F412"/>
  <c r="FN114" i="69"/>
  <c r="FQ114"/>
  <c r="FP114"/>
  <c r="FW114"/>
  <c r="FM114"/>
  <c r="FT114"/>
  <c r="FL114"/>
  <c r="FZ114"/>
  <c r="GH107"/>
  <c r="GS107"/>
  <c r="GT107"/>
  <c r="GU107"/>
  <c r="GP107"/>
  <c r="GR107"/>
  <c r="GI107"/>
  <c r="GN107"/>
  <c r="GM107"/>
  <c r="GO107"/>
  <c r="GQ107"/>
  <c r="GJ107"/>
  <c r="GK107"/>
  <c r="GL107"/>
  <c r="F38" i="52"/>
  <c r="G413" i="60" s="1"/>
  <c r="F413"/>
  <c r="FV113" i="69"/>
  <c r="FN113"/>
  <c r="FY113"/>
  <c r="FR113"/>
  <c r="FI113"/>
  <c r="GD113" s="1"/>
  <c r="FH113"/>
  <c r="GC113" s="1"/>
  <c r="FP113"/>
  <c r="FX113"/>
  <c r="FO113"/>
  <c r="FM113"/>
  <c r="GH113" s="1"/>
  <c r="FU113"/>
  <c r="FG113"/>
  <c r="GB113" s="1"/>
  <c r="FJ113"/>
  <c r="GE113" s="1"/>
  <c r="FZ113"/>
  <c r="FQ113"/>
  <c r="FW113"/>
  <c r="FL113"/>
  <c r="GG113" s="1"/>
  <c r="FT113"/>
  <c r="FK113"/>
  <c r="GF113" s="1"/>
  <c r="FS113"/>
  <c r="FL107"/>
  <c r="GG107" s="1"/>
  <c r="FO107"/>
  <c r="FV107"/>
  <c r="FY107"/>
  <c r="FI107"/>
  <c r="GD107" s="1"/>
  <c r="FP107"/>
  <c r="FS107"/>
  <c r="FZ107"/>
  <c r="FJ107"/>
  <c r="GE107" s="1"/>
  <c r="FM107"/>
  <c r="FT107"/>
  <c r="FW107"/>
  <c r="FG107"/>
  <c r="GB107" s="1"/>
  <c r="FN107"/>
  <c r="FQ107"/>
  <c r="FX107"/>
  <c r="FH107"/>
  <c r="GC107" s="1"/>
  <c r="FK107"/>
  <c r="GF107" s="1"/>
  <c r="FR107"/>
  <c r="FU107"/>
  <c r="FX108"/>
  <c r="FM108"/>
  <c r="FW108"/>
  <c r="FL108"/>
  <c r="GG108" s="1"/>
  <c r="FV108"/>
  <c r="FP108"/>
  <c r="FZ108"/>
  <c r="FO108"/>
  <c r="FY108"/>
  <c r="FN108"/>
  <c r="FS108"/>
  <c r="FH108"/>
  <c r="GC108" s="1"/>
  <c r="FR108"/>
  <c r="FG108"/>
  <c r="GB108" s="1"/>
  <c r="FQ108"/>
  <c r="FK108"/>
  <c r="GF108" s="1"/>
  <c r="FU108"/>
  <c r="FJ108"/>
  <c r="GE108" s="1"/>
  <c r="FT108"/>
  <c r="FI108"/>
  <c r="GD108" s="1"/>
  <c r="FV114"/>
  <c r="FY114"/>
  <c r="FS114"/>
  <c r="FR114"/>
  <c r="FU114"/>
  <c r="FX114"/>
  <c r="FK114"/>
  <c r="FG114"/>
  <c r="GB114" s="1"/>
  <c r="F35" i="52"/>
  <c r="G411" i="60" s="1"/>
  <c r="F411"/>
  <c r="GS97" i="69"/>
  <c r="GT97"/>
  <c r="GQ97"/>
  <c r="GL97"/>
  <c r="GP97"/>
  <c r="GM97"/>
  <c r="GN97"/>
  <c r="GK97"/>
  <c r="GI97"/>
  <c r="GH97"/>
  <c r="GU97"/>
  <c r="GJ97"/>
  <c r="GR97"/>
  <c r="GO97"/>
  <c r="FW96"/>
  <c r="FS96"/>
  <c r="FO96"/>
  <c r="FK96"/>
  <c r="GF96" s="1"/>
  <c r="FG96"/>
  <c r="GB96" s="1"/>
  <c r="FX96"/>
  <c r="FT96"/>
  <c r="FP96"/>
  <c r="FL96"/>
  <c r="GG96" s="1"/>
  <c r="FH96"/>
  <c r="GC96" s="1"/>
  <c r="FY96"/>
  <c r="FU96"/>
  <c r="FQ96"/>
  <c r="FM96"/>
  <c r="GH96" s="1"/>
  <c r="FI96"/>
  <c r="GD96" s="1"/>
  <c r="FZ96"/>
  <c r="FV96"/>
  <c r="FR96"/>
  <c r="FN96"/>
  <c r="FJ96"/>
  <c r="GE96" s="1"/>
  <c r="GU95"/>
  <c r="GJ95"/>
  <c r="GO95"/>
  <c r="GS95"/>
  <c r="GH95"/>
  <c r="GP95"/>
  <c r="GM95"/>
  <c r="GR95"/>
  <c r="GN95"/>
  <c r="GK95"/>
  <c r="GL95"/>
  <c r="GT95"/>
  <c r="GI95"/>
  <c r="GQ95"/>
  <c r="FK93"/>
  <c r="GF93" s="1"/>
  <c r="FS93"/>
  <c r="FH93"/>
  <c r="FY93"/>
  <c r="FT93"/>
  <c r="FO93"/>
  <c r="FJ93"/>
  <c r="GE93" s="1"/>
  <c r="FR93"/>
  <c r="FZ93"/>
  <c r="FM93"/>
  <c r="GH93" s="1"/>
  <c r="FU93"/>
  <c r="FP93"/>
  <c r="FX93"/>
  <c r="FL93"/>
  <c r="FG93"/>
  <c r="GB93" s="1"/>
  <c r="FW93"/>
  <c r="FN93"/>
  <c r="FV93"/>
  <c r="FI93"/>
  <c r="GD93" s="1"/>
  <c r="FQ93"/>
  <c r="GT96"/>
  <c r="GP96"/>
  <c r="GL96"/>
  <c r="GU96"/>
  <c r="GQ96"/>
  <c r="GM96"/>
  <c r="GI96"/>
  <c r="GR96"/>
  <c r="GN96"/>
  <c r="GJ96"/>
  <c r="GS96"/>
  <c r="GO96"/>
  <c r="GK96"/>
  <c r="FQ94"/>
  <c r="FV94"/>
  <c r="FJ94"/>
  <c r="GE94" s="1"/>
  <c r="FY94"/>
  <c r="FI94"/>
  <c r="GD94" s="1"/>
  <c r="FN94"/>
  <c r="FU94"/>
  <c r="FZ94"/>
  <c r="FL94"/>
  <c r="GG94" s="1"/>
  <c r="FT94"/>
  <c r="FG94"/>
  <c r="GB94" s="1"/>
  <c r="FO94"/>
  <c r="FR94"/>
  <c r="FM94"/>
  <c r="GH94" s="1"/>
  <c r="FW94"/>
  <c r="FH94"/>
  <c r="GC94" s="1"/>
  <c r="FP94"/>
  <c r="FX94"/>
  <c r="FK94"/>
  <c r="GF94" s="1"/>
  <c r="FS94"/>
  <c r="GT93"/>
  <c r="GO93"/>
  <c r="GR93"/>
  <c r="GC93"/>
  <c r="GS93"/>
  <c r="GN93"/>
  <c r="GM93"/>
  <c r="GU93"/>
  <c r="GL93"/>
  <c r="GJ93"/>
  <c r="GG93"/>
  <c r="GK93"/>
  <c r="GI93"/>
  <c r="GQ93"/>
  <c r="GP93"/>
  <c r="FM98"/>
  <c r="FP98"/>
  <c r="FX98"/>
  <c r="FR98"/>
  <c r="FV98"/>
  <c r="FG98"/>
  <c r="GB98" s="1"/>
  <c r="FL98"/>
  <c r="FZ98"/>
  <c r="FU98"/>
  <c r="FN98"/>
  <c r="FK98"/>
  <c r="GF98" s="1"/>
  <c r="FY98"/>
  <c r="FS98"/>
  <c r="FH98"/>
  <c r="GC98" s="1"/>
  <c r="FI98"/>
  <c r="GD98" s="1"/>
  <c r="FQ98"/>
  <c r="FO98"/>
  <c r="FT98"/>
  <c r="FW98"/>
  <c r="FJ98"/>
  <c r="GE98" s="1"/>
  <c r="FR97"/>
  <c r="FY97"/>
  <c r="FI97"/>
  <c r="GD97" s="1"/>
  <c r="FZ97"/>
  <c r="FJ97"/>
  <c r="GE97" s="1"/>
  <c r="FQ97"/>
  <c r="FV97"/>
  <c r="FG97"/>
  <c r="GB97" s="1"/>
  <c r="FU97"/>
  <c r="FN97"/>
  <c r="FK97"/>
  <c r="GF97" s="1"/>
  <c r="FS97"/>
  <c r="FL97"/>
  <c r="GG97" s="1"/>
  <c r="FT97"/>
  <c r="FM97"/>
  <c r="FH97"/>
  <c r="GC97" s="1"/>
  <c r="FX97"/>
  <c r="FO97"/>
  <c r="FW97"/>
  <c r="FP97"/>
  <c r="FT95"/>
  <c r="FH95"/>
  <c r="GC95" s="1"/>
  <c r="FK95"/>
  <c r="GF95" s="1"/>
  <c r="FL95"/>
  <c r="GG95" s="1"/>
  <c r="FS95"/>
  <c r="FG95"/>
  <c r="GB95" s="1"/>
  <c r="FO95"/>
  <c r="FJ95"/>
  <c r="GE95" s="1"/>
  <c r="FZ95"/>
  <c r="FQ95"/>
  <c r="FY95"/>
  <c r="FR95"/>
  <c r="FX95"/>
  <c r="FI95"/>
  <c r="GD95" s="1"/>
  <c r="FW95"/>
  <c r="FP95"/>
  <c r="FM95"/>
  <c r="FU95"/>
  <c r="FN95"/>
  <c r="FV95"/>
  <c r="GR94"/>
  <c r="GI94"/>
  <c r="GQ94"/>
  <c r="GU94"/>
  <c r="GP94"/>
  <c r="GO94"/>
  <c r="GJ94"/>
  <c r="GT94"/>
  <c r="GL94"/>
  <c r="GM94"/>
  <c r="GK94"/>
  <c r="GS94"/>
  <c r="GN94"/>
  <c r="GG98"/>
  <c r="GS98"/>
  <c r="GK98"/>
  <c r="GR98"/>
  <c r="GL98"/>
  <c r="GQ98"/>
  <c r="GP98"/>
  <c r="GU98"/>
  <c r="GN98"/>
  <c r="GJ98"/>
  <c r="GO98"/>
  <c r="GT98"/>
  <c r="GI98"/>
  <c r="GH98"/>
  <c r="GM98"/>
  <c r="GS64"/>
  <c r="GN66"/>
  <c r="GR66"/>
  <c r="GP66"/>
  <c r="GT66"/>
  <c r="GP65"/>
  <c r="GT33"/>
  <c r="GL33"/>
  <c r="GR64"/>
  <c r="GQ70"/>
  <c r="GI70"/>
  <c r="GR70"/>
  <c r="GO70"/>
  <c r="GN70"/>
  <c r="GT70"/>
  <c r="GU70"/>
  <c r="GM70"/>
  <c r="GJ70"/>
  <c r="GP70"/>
  <c r="GS70"/>
  <c r="GK70"/>
  <c r="GL70"/>
  <c r="GP69"/>
  <c r="GU69"/>
  <c r="GM69"/>
  <c r="GN69"/>
  <c r="GS69"/>
  <c r="GK69"/>
  <c r="GT69"/>
  <c r="GL69"/>
  <c r="GQ69"/>
  <c r="GI69"/>
  <c r="GR69"/>
  <c r="GJ69"/>
  <c r="GO69"/>
  <c r="FV70"/>
  <c r="FN70"/>
  <c r="FW70"/>
  <c r="FG70"/>
  <c r="GB70" s="1"/>
  <c r="FM70"/>
  <c r="GH70" s="1"/>
  <c r="FT70"/>
  <c r="FL70"/>
  <c r="GG70" s="1"/>
  <c r="FS70"/>
  <c r="FY70"/>
  <c r="FI70"/>
  <c r="GD70" s="1"/>
  <c r="FZ70"/>
  <c r="FR70"/>
  <c r="FJ70"/>
  <c r="GE70" s="1"/>
  <c r="FO70"/>
  <c r="FU70"/>
  <c r="FX70"/>
  <c r="FP70"/>
  <c r="FH70"/>
  <c r="GC70" s="1"/>
  <c r="FK70"/>
  <c r="GF70" s="1"/>
  <c r="FQ70"/>
  <c r="FU69"/>
  <c r="FM69"/>
  <c r="GH69" s="1"/>
  <c r="FZ69"/>
  <c r="FR69"/>
  <c r="FJ69"/>
  <c r="GE69" s="1"/>
  <c r="FS69"/>
  <c r="FK69"/>
  <c r="GF69" s="1"/>
  <c r="FX69"/>
  <c r="FP69"/>
  <c r="FH69"/>
  <c r="GC69" s="1"/>
  <c r="FY69"/>
  <c r="FQ69"/>
  <c r="FI69"/>
  <c r="GD69" s="1"/>
  <c r="FV69"/>
  <c r="FN69"/>
  <c r="FW69"/>
  <c r="FO69"/>
  <c r="FG69"/>
  <c r="GB69" s="1"/>
  <c r="FT69"/>
  <c r="FL69"/>
  <c r="GG69" s="1"/>
  <c r="FN80"/>
  <c r="FQ80"/>
  <c r="FT80"/>
  <c r="FW80"/>
  <c r="FG80"/>
  <c r="GB80" s="1"/>
  <c r="FR80"/>
  <c r="FU80"/>
  <c r="FX80"/>
  <c r="FH80"/>
  <c r="GC80" s="1"/>
  <c r="FK80"/>
  <c r="GF80" s="1"/>
  <c r="FV80"/>
  <c r="FY80"/>
  <c r="FI80"/>
  <c r="GD80" s="1"/>
  <c r="FL80"/>
  <c r="GG80" s="1"/>
  <c r="FO80"/>
  <c r="FZ80"/>
  <c r="FJ80"/>
  <c r="GE80" s="1"/>
  <c r="FM80"/>
  <c r="FP80"/>
  <c r="FS80"/>
  <c r="GO80"/>
  <c r="GQ80"/>
  <c r="GH80"/>
  <c r="GU80"/>
  <c r="GL80"/>
  <c r="GR80"/>
  <c r="GP80"/>
  <c r="GJ80"/>
  <c r="GT80"/>
  <c r="GN80"/>
  <c r="GS80"/>
  <c r="GI80"/>
  <c r="GK80"/>
  <c r="GM80"/>
  <c r="FP81"/>
  <c r="FN81"/>
  <c r="FY81"/>
  <c r="FJ81"/>
  <c r="GE81" s="1"/>
  <c r="FU81"/>
  <c r="FH81"/>
  <c r="GC81" s="1"/>
  <c r="FW81"/>
  <c r="FQ81"/>
  <c r="FO81"/>
  <c r="FM81"/>
  <c r="FS81"/>
  <c r="FG81"/>
  <c r="GB81" s="1"/>
  <c r="FI81"/>
  <c r="GD81" s="1"/>
  <c r="FT81"/>
  <c r="FZ81"/>
  <c r="FX81"/>
  <c r="FL81"/>
  <c r="GG81" s="1"/>
  <c r="FV81"/>
  <c r="FK81"/>
  <c r="GF81" s="1"/>
  <c r="FR81"/>
  <c r="GN81"/>
  <c r="GI81"/>
  <c r="GS81"/>
  <c r="GR81"/>
  <c r="GP81"/>
  <c r="GJ81"/>
  <c r="GL81"/>
  <c r="GT81"/>
  <c r="GO81"/>
  <c r="GH81"/>
  <c r="GU81"/>
  <c r="GQ81"/>
  <c r="GK81"/>
  <c r="GM81"/>
  <c r="GH33"/>
  <c r="GP33"/>
  <c r="GP64"/>
  <c r="GM64"/>
  <c r="GO33"/>
  <c r="GQ33"/>
  <c r="GS33"/>
  <c r="GU33"/>
  <c r="GQ64"/>
  <c r="GL64"/>
  <c r="GN64"/>
  <c r="GH64"/>
  <c r="GI64"/>
  <c r="GJ64"/>
  <c r="GO64"/>
  <c r="GT64"/>
  <c r="GU64"/>
  <c r="GQ66"/>
  <c r="GO66"/>
  <c r="GU66"/>
  <c r="GS66"/>
  <c r="GI66"/>
  <c r="GH66"/>
  <c r="GG66"/>
  <c r="GF66"/>
  <c r="GM66"/>
  <c r="GL66"/>
  <c r="GK66"/>
  <c r="GJ33"/>
  <c r="GG33"/>
  <c r="GF33"/>
  <c r="GI33"/>
  <c r="GR33"/>
  <c r="GK33"/>
  <c r="GN33"/>
  <c r="GT65"/>
  <c r="FS53"/>
  <c r="GR65"/>
  <c r="GQ65"/>
  <c r="GS65"/>
  <c r="GU65"/>
  <c r="GO65"/>
  <c r="FX33"/>
  <c r="FZ54"/>
  <c r="GI65"/>
  <c r="GL65"/>
  <c r="GK65"/>
  <c r="GJ65"/>
  <c r="GM65"/>
  <c r="GH65"/>
  <c r="GG65"/>
  <c r="FX64"/>
  <c r="FW66"/>
  <c r="FW65"/>
  <c r="FO65"/>
  <c r="FG65"/>
  <c r="GB65" s="1"/>
  <c r="FT65"/>
  <c r="FL65"/>
  <c r="FY65"/>
  <c r="FQ65"/>
  <c r="FI65"/>
  <c r="GD65" s="1"/>
  <c r="FV65"/>
  <c r="FN65"/>
  <c r="FS65"/>
  <c r="FK65"/>
  <c r="GF65" s="1"/>
  <c r="FX65"/>
  <c r="FP65"/>
  <c r="FH65"/>
  <c r="GC65" s="1"/>
  <c r="FU65"/>
  <c r="FM65"/>
  <c r="FZ65"/>
  <c r="FR65"/>
  <c r="FJ65"/>
  <c r="GE65" s="1"/>
  <c r="FS52"/>
  <c r="FX52"/>
  <c r="FH52"/>
  <c r="GC52" s="1"/>
  <c r="FM52"/>
  <c r="GH52" s="1"/>
  <c r="FR52"/>
  <c r="FW52"/>
  <c r="FG52"/>
  <c r="GB52" s="1"/>
  <c r="FL52"/>
  <c r="GG52" s="1"/>
  <c r="FQ52"/>
  <c r="FV52"/>
  <c r="FK52"/>
  <c r="GF52" s="1"/>
  <c r="FP52"/>
  <c r="FU52"/>
  <c r="FZ52"/>
  <c r="FJ52"/>
  <c r="GE52" s="1"/>
  <c r="FO52"/>
  <c r="FT52"/>
  <c r="FY52"/>
  <c r="FI52"/>
  <c r="GD52" s="1"/>
  <c r="FN52"/>
  <c r="FX31"/>
  <c r="FP31"/>
  <c r="FH31"/>
  <c r="GC31" s="1"/>
  <c r="FK31"/>
  <c r="FQ31"/>
  <c r="FZ31"/>
  <c r="FR31"/>
  <c r="FJ31"/>
  <c r="GE31" s="1"/>
  <c r="FO31"/>
  <c r="FU31"/>
  <c r="FT31"/>
  <c r="FL31"/>
  <c r="FS31"/>
  <c r="FY31"/>
  <c r="FI31"/>
  <c r="GD31" s="1"/>
  <c r="FV31"/>
  <c r="FN31"/>
  <c r="FW31"/>
  <c r="FG31"/>
  <c r="GB31" s="1"/>
  <c r="FM31"/>
  <c r="FV55"/>
  <c r="FY55"/>
  <c r="FI55"/>
  <c r="GD55" s="1"/>
  <c r="FL55"/>
  <c r="GG55" s="1"/>
  <c r="FO55"/>
  <c r="FZ55"/>
  <c r="FJ55"/>
  <c r="GE55" s="1"/>
  <c r="FM55"/>
  <c r="GH55" s="1"/>
  <c r="FP55"/>
  <c r="FS55"/>
  <c r="FN55"/>
  <c r="FQ55"/>
  <c r="FT55"/>
  <c r="FW55"/>
  <c r="FG55"/>
  <c r="GB55" s="1"/>
  <c r="FR55"/>
  <c r="FU55"/>
  <c r="FX55"/>
  <c r="FH55"/>
  <c r="GC55" s="1"/>
  <c r="FK55"/>
  <c r="GF55" s="1"/>
  <c r="GP56"/>
  <c r="GM56"/>
  <c r="GJ56"/>
  <c r="GT56"/>
  <c r="GQ56"/>
  <c r="GN56"/>
  <c r="GK56"/>
  <c r="GU56"/>
  <c r="GR56"/>
  <c r="GO56"/>
  <c r="GL56"/>
  <c r="GI56"/>
  <c r="GS56"/>
  <c r="GT53"/>
  <c r="GQ53"/>
  <c r="GN53"/>
  <c r="GK53"/>
  <c r="GU53"/>
  <c r="GR53"/>
  <c r="GO53"/>
  <c r="GL53"/>
  <c r="GI53"/>
  <c r="GS53"/>
  <c r="GP53"/>
  <c r="GM53"/>
  <c r="GJ53"/>
  <c r="GR30"/>
  <c r="GJ30"/>
  <c r="GO30"/>
  <c r="GG30"/>
  <c r="GT30"/>
  <c r="GL30"/>
  <c r="GQ30"/>
  <c r="GI30"/>
  <c r="GN30"/>
  <c r="GF30"/>
  <c r="GS30"/>
  <c r="GK30"/>
  <c r="GP30"/>
  <c r="GH30"/>
  <c r="GU30"/>
  <c r="GM30"/>
  <c r="GJ52"/>
  <c r="GT52"/>
  <c r="GQ52"/>
  <c r="GN52"/>
  <c r="GK52"/>
  <c r="GU52"/>
  <c r="GR52"/>
  <c r="GO52"/>
  <c r="GL52"/>
  <c r="GI52"/>
  <c r="GS52"/>
  <c r="GP52"/>
  <c r="GM52"/>
  <c r="GU55"/>
  <c r="GR55"/>
  <c r="GO55"/>
  <c r="GL55"/>
  <c r="GI55"/>
  <c r="GS55"/>
  <c r="GP55"/>
  <c r="GM55"/>
  <c r="GJ55"/>
  <c r="GT55"/>
  <c r="GQ55"/>
  <c r="GN55"/>
  <c r="GK55"/>
  <c r="FO56"/>
  <c r="FT56"/>
  <c r="FY56"/>
  <c r="FI56"/>
  <c r="GD56" s="1"/>
  <c r="FN56"/>
  <c r="FK56"/>
  <c r="GF56" s="1"/>
  <c r="FP56"/>
  <c r="FU56"/>
  <c r="FZ56"/>
  <c r="FJ56"/>
  <c r="GE56" s="1"/>
  <c r="FW56"/>
  <c r="FG56"/>
  <c r="GB56" s="1"/>
  <c r="FL56"/>
  <c r="GG56" s="1"/>
  <c r="FQ56"/>
  <c r="FV56"/>
  <c r="FS56"/>
  <c r="FX56"/>
  <c r="FH56"/>
  <c r="GC56" s="1"/>
  <c r="FM56"/>
  <c r="GH56" s="1"/>
  <c r="FR56"/>
  <c r="FK33"/>
  <c r="FY33"/>
  <c r="FV33"/>
  <c r="FW33"/>
  <c r="FL33"/>
  <c r="FS33"/>
  <c r="FJ33"/>
  <c r="GE33" s="1"/>
  <c r="FZ33"/>
  <c r="FM33"/>
  <c r="FP33"/>
  <c r="FJ66"/>
  <c r="GE66" s="1"/>
  <c r="FZ66"/>
  <c r="FU66"/>
  <c r="FP66"/>
  <c r="FK66"/>
  <c r="FN66"/>
  <c r="FY66"/>
  <c r="FT66"/>
  <c r="FO66"/>
  <c r="FI64"/>
  <c r="GD64" s="1"/>
  <c r="FY64"/>
  <c r="FV64"/>
  <c r="FO64"/>
  <c r="FL64"/>
  <c r="GG64" s="1"/>
  <c r="FM64"/>
  <c r="FJ64"/>
  <c r="GE64" s="1"/>
  <c r="FZ64"/>
  <c r="FS64"/>
  <c r="FP64"/>
  <c r="FG54"/>
  <c r="GB54" s="1"/>
  <c r="FV54"/>
  <c r="FS54"/>
  <c r="FM54"/>
  <c r="GH54" s="1"/>
  <c r="FO54"/>
  <c r="FI54"/>
  <c r="GD54" s="1"/>
  <c r="FP54"/>
  <c r="FJ54"/>
  <c r="GE54" s="1"/>
  <c r="FU54"/>
  <c r="FN53"/>
  <c r="FW53"/>
  <c r="FU53"/>
  <c r="FK53"/>
  <c r="GF53" s="1"/>
  <c r="FX53"/>
  <c r="FY53"/>
  <c r="FO53"/>
  <c r="FM53"/>
  <c r="GH53" s="1"/>
  <c r="FZ53"/>
  <c r="FP53"/>
  <c r="GP54"/>
  <c r="GO54"/>
  <c r="GN54"/>
  <c r="GM54"/>
  <c r="GL54"/>
  <c r="GK54"/>
  <c r="GJ54"/>
  <c r="GI54"/>
  <c r="GC54"/>
  <c r="GU54"/>
  <c r="GT54"/>
  <c r="GS54"/>
  <c r="GR54"/>
  <c r="GQ54"/>
  <c r="I101" i="21"/>
  <c r="G101"/>
  <c r="FW30" i="69"/>
  <c r="FO30"/>
  <c r="FG30"/>
  <c r="GB30" s="1"/>
  <c r="FT30"/>
  <c r="FL30"/>
  <c r="FY30"/>
  <c r="FQ30"/>
  <c r="FI30"/>
  <c r="GD30" s="1"/>
  <c r="FV30"/>
  <c r="FN30"/>
  <c r="FS30"/>
  <c r="FK30"/>
  <c r="FX30"/>
  <c r="FP30"/>
  <c r="FH30"/>
  <c r="GC30" s="1"/>
  <c r="FU30"/>
  <c r="FM30"/>
  <c r="FZ30"/>
  <c r="FR30"/>
  <c r="FJ30"/>
  <c r="GE30" s="1"/>
  <c r="GU31"/>
  <c r="GM31"/>
  <c r="GR31"/>
  <c r="GP31"/>
  <c r="GS31"/>
  <c r="GK31"/>
  <c r="GN31"/>
  <c r="GT31"/>
  <c r="GQ31"/>
  <c r="GI31"/>
  <c r="GJ31"/>
  <c r="GH31"/>
  <c r="GO31"/>
  <c r="GG31"/>
  <c r="GF31"/>
  <c r="GL31"/>
  <c r="FI33"/>
  <c r="GD33" s="1"/>
  <c r="FN33"/>
  <c r="FU33"/>
  <c r="FT33"/>
  <c r="FQ33"/>
  <c r="FR33"/>
  <c r="FO33"/>
  <c r="FH33"/>
  <c r="GC33" s="1"/>
  <c r="FR66"/>
  <c r="FM66"/>
  <c r="FH66"/>
  <c r="GC66" s="1"/>
  <c r="FX66"/>
  <c r="FS66"/>
  <c r="FV66"/>
  <c r="FQ66"/>
  <c r="FL66"/>
  <c r="FG66"/>
  <c r="GB66" s="1"/>
  <c r="FQ64"/>
  <c r="FN64"/>
  <c r="FW64"/>
  <c r="FT64"/>
  <c r="FU64"/>
  <c r="FR64"/>
  <c r="FK64"/>
  <c r="GF64" s="1"/>
  <c r="FH64"/>
  <c r="GC64" s="1"/>
  <c r="FL54"/>
  <c r="GG54" s="1"/>
  <c r="FW54"/>
  <c r="FQ54"/>
  <c r="FX54"/>
  <c r="FR54"/>
  <c r="FT54"/>
  <c r="FN54"/>
  <c r="FY54"/>
  <c r="FK54"/>
  <c r="GF54" s="1"/>
  <c r="FQ53"/>
  <c r="FG53"/>
  <c r="GB53" s="1"/>
  <c r="FT53"/>
  <c r="FR53"/>
  <c r="GC53"/>
  <c r="FI53"/>
  <c r="GD53" s="1"/>
  <c r="FV53"/>
  <c r="FL53"/>
  <c r="GG53" s="1"/>
  <c r="FJ53"/>
  <c r="GE53" s="1"/>
  <c r="F103" i="21"/>
  <c r="I100"/>
  <c r="G100"/>
  <c r="G103" s="1"/>
  <c r="H42"/>
  <c r="G42"/>
  <c r="F95" s="1"/>
  <c r="I95" s="1"/>
  <c r="G13"/>
  <c r="F92" s="1"/>
  <c r="G24"/>
  <c r="F93" s="1"/>
  <c r="I93" s="1"/>
  <c r="F300" i="60" s="1"/>
  <c r="I300" s="1"/>
  <c r="H19" i="21"/>
  <c r="H24" s="1"/>
  <c r="F24"/>
  <c r="E93" s="1"/>
  <c r="F13"/>
  <c r="E92" s="1"/>
  <c r="H7"/>
  <c r="H13" s="1"/>
  <c r="I92"/>
  <c r="FT21" i="69"/>
  <c r="FL21"/>
  <c r="FY28"/>
  <c r="FO23"/>
  <c r="FQ20"/>
  <c r="FH21"/>
  <c r="GC21" s="1"/>
  <c r="FZ20"/>
  <c r="FI23"/>
  <c r="GD23" s="1"/>
  <c r="FM20"/>
  <c r="FO21"/>
  <c r="FK23"/>
  <c r="FV23"/>
  <c r="FZ28"/>
  <c r="FX20"/>
  <c r="FP21"/>
  <c r="FU23"/>
  <c r="FN28"/>
  <c r="FP28"/>
  <c r="FW28"/>
  <c r="FY20"/>
  <c r="FH20"/>
  <c r="GC20" s="1"/>
  <c r="FJ20"/>
  <c r="GE20" s="1"/>
  <c r="FU21"/>
  <c r="FP20"/>
  <c r="FW23"/>
  <c r="FN20"/>
  <c r="FO20"/>
  <c r="FV21"/>
  <c r="FJ21"/>
  <c r="GE21" s="1"/>
  <c r="FN21"/>
  <c r="FX23"/>
  <c r="FR23"/>
  <c r="FS23"/>
  <c r="FY23"/>
  <c r="FJ28"/>
  <c r="GE28" s="1"/>
  <c r="FL28"/>
  <c r="GG28" s="1"/>
  <c r="FI28"/>
  <c r="GD28" s="1"/>
  <c r="FX28"/>
  <c r="FO28"/>
  <c r="FR21"/>
  <c r="FK20"/>
  <c r="GF20" s="1"/>
  <c r="FT23"/>
  <c r="FI20"/>
  <c r="GD20" s="1"/>
  <c r="FT20"/>
  <c r="FR20"/>
  <c r="FS20"/>
  <c r="FV20"/>
  <c r="FL20"/>
  <c r="GG20" s="1"/>
  <c r="FW20"/>
  <c r="FU20"/>
  <c r="FI21"/>
  <c r="GD21" s="1"/>
  <c r="FS21"/>
  <c r="FM21"/>
  <c r="FZ21"/>
  <c r="FY21"/>
  <c r="FW21"/>
  <c r="FQ21"/>
  <c r="FK21"/>
  <c r="GF21" s="1"/>
  <c r="FX21"/>
  <c r="FH23"/>
  <c r="GC23" s="1"/>
  <c r="FM23"/>
  <c r="FJ23"/>
  <c r="GE23" s="1"/>
  <c r="FZ23"/>
  <c r="FL23"/>
  <c r="FP23"/>
  <c r="FQ23"/>
  <c r="FN23"/>
  <c r="FG23"/>
  <c r="GB23" s="1"/>
  <c r="FU28"/>
  <c r="FK28"/>
  <c r="GF28" s="1"/>
  <c r="FV28"/>
  <c r="FR28"/>
  <c r="FS28"/>
  <c r="FG28"/>
  <c r="GB28" s="1"/>
  <c r="FT28"/>
  <c r="FQ28"/>
  <c r="FM28"/>
  <c r="GP23"/>
  <c r="GF23"/>
  <c r="GJ23"/>
  <c r="GQ23"/>
  <c r="GS23"/>
  <c r="GM23"/>
  <c r="GN23"/>
  <c r="GT23"/>
  <c r="GR23"/>
  <c r="GH23"/>
  <c r="GU23"/>
  <c r="GG23"/>
  <c r="GK23"/>
  <c r="GL23"/>
  <c r="GI23"/>
  <c r="GK28"/>
  <c r="GP28"/>
  <c r="GU28"/>
  <c r="GJ28"/>
  <c r="GO28"/>
  <c r="GT28"/>
  <c r="GI28"/>
  <c r="GN28"/>
  <c r="GS28"/>
  <c r="GH28"/>
  <c r="GM28"/>
  <c r="GR28"/>
  <c r="GL28"/>
  <c r="GQ28"/>
  <c r="GG21"/>
  <c r="GJ21"/>
  <c r="GQ21"/>
  <c r="GT21"/>
  <c r="GK21"/>
  <c r="GN21"/>
  <c r="GU21"/>
  <c r="GH21"/>
  <c r="GO21"/>
  <c r="GR21"/>
  <c r="GI21"/>
  <c r="GL21"/>
  <c r="GS21"/>
  <c r="GM21"/>
  <c r="GP21"/>
  <c r="GK20"/>
  <c r="GP20"/>
  <c r="GU20"/>
  <c r="GJ20"/>
  <c r="GO20"/>
  <c r="GT20"/>
  <c r="GI20"/>
  <c r="GN20"/>
  <c r="GS20"/>
  <c r="GH20"/>
  <c r="GM20"/>
  <c r="GR20"/>
  <c r="GL20"/>
  <c r="GQ20"/>
  <c r="H26" i="45"/>
  <c r="G33"/>
  <c r="F245" i="60"/>
  <c r="BP10" i="69"/>
  <c r="I15" i="45" s="1"/>
  <c r="F341" i="60"/>
  <c r="F147" s="1"/>
  <c r="E89" i="7" l="1"/>
  <c r="E66" i="61"/>
  <c r="D71"/>
  <c r="E96" i="7" s="1"/>
  <c r="E90"/>
  <c r="M71" i="61"/>
  <c r="E199" i="60"/>
  <c r="D149" i="63"/>
  <c r="D159" s="1"/>
  <c r="D129"/>
  <c r="D142" s="1"/>
  <c r="F127"/>
  <c r="G127" s="1"/>
  <c r="H127"/>
  <c r="H123" i="60"/>
  <c r="F123"/>
  <c r="I197"/>
  <c r="J148" i="63"/>
  <c r="J125"/>
  <c r="J123" i="60"/>
  <c r="M44" i="7"/>
  <c r="G123" i="60"/>
  <c r="F66" i="45"/>
  <c r="G66" s="1"/>
  <c r="H66" s="1"/>
  <c r="F65"/>
  <c r="G65" s="1"/>
  <c r="H65" s="1"/>
  <c r="G62"/>
  <c r="H62" s="1"/>
  <c r="H33"/>
  <c r="BP123" i="69"/>
  <c r="J9" i="61" s="1"/>
  <c r="BP137" i="69"/>
  <c r="J23" i="61" s="1"/>
  <c r="BP143" i="69"/>
  <c r="J29" i="61" s="1"/>
  <c r="BP150" i="69"/>
  <c r="J36" i="61" s="1"/>
  <c r="BP141" i="69"/>
  <c r="J27" i="61" s="1"/>
  <c r="BP147" i="69"/>
  <c r="J33" i="61" s="1"/>
  <c r="BP126" i="69"/>
  <c r="J12" i="61" s="1"/>
  <c r="E71"/>
  <c r="BP128" i="69"/>
  <c r="J14" i="61" s="1"/>
  <c r="BP140" i="69"/>
  <c r="J26" i="61" s="1"/>
  <c r="BP122" i="69"/>
  <c r="J8" i="61" s="1"/>
  <c r="BP130" i="69"/>
  <c r="J16" i="61" s="1"/>
  <c r="BP119" i="69"/>
  <c r="J5" i="61" s="1"/>
  <c r="BP129" i="69"/>
  <c r="J15" i="61" s="1"/>
  <c r="BP120" i="69"/>
  <c r="J6" i="61" s="1"/>
  <c r="BP133" i="69"/>
  <c r="J19" i="61" s="1"/>
  <c r="BP151" i="69"/>
  <c r="J37" i="61" s="1"/>
  <c r="BP121" i="69"/>
  <c r="J7" i="61" s="1"/>
  <c r="BP135" i="69"/>
  <c r="J21" i="61" s="1"/>
  <c r="BP149" i="69"/>
  <c r="J35" i="61" s="1"/>
  <c r="BP144" i="69"/>
  <c r="J30" i="61" s="1"/>
  <c r="BP148" i="69"/>
  <c r="J34" i="61" s="1"/>
  <c r="BP127" i="69"/>
  <c r="J13" i="61" s="1"/>
  <c r="BP134" i="69"/>
  <c r="J20" i="61" s="1"/>
  <c r="BP142" i="69"/>
  <c r="J28" i="61" s="1"/>
  <c r="BP136" i="69"/>
  <c r="J22" i="61" s="1"/>
  <c r="BP114" i="69"/>
  <c r="K28" i="52" s="1"/>
  <c r="I152" i="60"/>
  <c r="J346"/>
  <c r="J152" s="1"/>
  <c r="BP107" i="69"/>
  <c r="K21" i="52" s="1"/>
  <c r="F39"/>
  <c r="G414" i="60" s="1"/>
  <c r="G412"/>
  <c r="BP108" i="69"/>
  <c r="K22" i="52" s="1"/>
  <c r="BP113" i="69"/>
  <c r="K27" i="52" s="1"/>
  <c r="BP95" i="69"/>
  <c r="K9" i="52" s="1"/>
  <c r="BP97" i="69"/>
  <c r="K11" i="52" s="1"/>
  <c r="BP98" i="69"/>
  <c r="K12" i="52" s="1"/>
  <c r="BP94" i="69"/>
  <c r="K8" i="52" s="1"/>
  <c r="BP93" i="69"/>
  <c r="K7" i="52" s="1"/>
  <c r="BP96" i="69"/>
  <c r="K10" i="52" s="1"/>
  <c r="BP69" i="69"/>
  <c r="M18" i="65" s="1"/>
  <c r="BP70" i="69"/>
  <c r="M19" i="65" s="1"/>
  <c r="BP81" i="69"/>
  <c r="M28" i="65" s="1"/>
  <c r="BP80" i="69"/>
  <c r="M27" i="65" s="1"/>
  <c r="BP66" i="69"/>
  <c r="M15" i="65" s="1"/>
  <c r="BP64" i="69"/>
  <c r="M13" i="65" s="1"/>
  <c r="BP33" i="69"/>
  <c r="J69" i="21" s="1"/>
  <c r="BP30" i="69"/>
  <c r="J66" i="21" s="1"/>
  <c r="BP53" i="69"/>
  <c r="M7" i="65" s="1"/>
  <c r="BP55" i="69"/>
  <c r="M9" i="65" s="1"/>
  <c r="BP31" i="69"/>
  <c r="J67" i="21" s="1"/>
  <c r="BP52" i="69"/>
  <c r="M6" i="65" s="1"/>
  <c r="BP65" i="69"/>
  <c r="M14" i="65" s="1"/>
  <c r="F307" i="60"/>
  <c r="J101" i="21"/>
  <c r="BP54" i="69"/>
  <c r="M8" i="65" s="1"/>
  <c r="BP56" i="69"/>
  <c r="M10" i="65" s="1"/>
  <c r="I103" i="21"/>
  <c r="J100"/>
  <c r="F306" i="60"/>
  <c r="G95" i="21"/>
  <c r="F97"/>
  <c r="F105" s="1"/>
  <c r="F302" i="60"/>
  <c r="J95" i="21"/>
  <c r="H93"/>
  <c r="G93"/>
  <c r="F299" i="60"/>
  <c r="I97" i="21"/>
  <c r="H92"/>
  <c r="G92"/>
  <c r="E97"/>
  <c r="E105" s="1"/>
  <c r="BP23" i="69"/>
  <c r="J37" i="21" s="1"/>
  <c r="BP21" i="69"/>
  <c r="J19" i="21" s="1"/>
  <c r="BP28" i="69"/>
  <c r="J55" i="21" s="1"/>
  <c r="BP20" i="69"/>
  <c r="I245" i="60"/>
  <c r="F252"/>
  <c r="G245"/>
  <c r="G252" s="1"/>
  <c r="I341"/>
  <c r="I147" s="1"/>
  <c r="G341"/>
  <c r="F347"/>
  <c r="O44" i="7" l="1"/>
  <c r="I123" i="60"/>
  <c r="N44" i="7"/>
  <c r="H129" i="63"/>
  <c r="H142" s="1"/>
  <c r="H149"/>
  <c r="H159" s="1"/>
  <c r="H199" i="60"/>
  <c r="E201"/>
  <c r="E20"/>
  <c r="G149" i="63"/>
  <c r="G159" s="1"/>
  <c r="G129"/>
  <c r="G142" s="1"/>
  <c r="F149"/>
  <c r="F159" s="1"/>
  <c r="E159" s="1"/>
  <c r="F199" i="60"/>
  <c r="G199" s="1"/>
  <c r="G201" s="1"/>
  <c r="F129" i="63"/>
  <c r="I127"/>
  <c r="G63" i="45"/>
  <c r="F63"/>
  <c r="F67" s="1"/>
  <c r="J103" i="21"/>
  <c r="I105"/>
  <c r="I307" i="60"/>
  <c r="J307" s="1"/>
  <c r="G307"/>
  <c r="G97" i="21"/>
  <c r="G105" s="1"/>
  <c r="I306" i="60"/>
  <c r="G306"/>
  <c r="F309"/>
  <c r="F144" s="1"/>
  <c r="I302"/>
  <c r="J302" s="1"/>
  <c r="G302"/>
  <c r="J93" i="21"/>
  <c r="E300" i="60"/>
  <c r="J92" i="21"/>
  <c r="E299" i="60"/>
  <c r="H97" i="21"/>
  <c r="H105" s="1"/>
  <c r="I299" i="60"/>
  <c r="F304"/>
  <c r="J7" i="21"/>
  <c r="G141" i="60"/>
  <c r="G134"/>
  <c r="O51" i="7" s="1"/>
  <c r="J245" i="60"/>
  <c r="J252" s="1"/>
  <c r="I252"/>
  <c r="F134"/>
  <c r="N51" i="7" s="1"/>
  <c r="F141" i="60"/>
  <c r="G347"/>
  <c r="G147"/>
  <c r="F153"/>
  <c r="J341"/>
  <c r="I347"/>
  <c r="G153"/>
  <c r="G124" l="1"/>
  <c r="G214"/>
  <c r="E129" i="63"/>
  <c r="F142"/>
  <c r="E142" s="1"/>
  <c r="H201" i="60"/>
  <c r="H20"/>
  <c r="J127" i="63"/>
  <c r="I129"/>
  <c r="I142" s="1"/>
  <c r="I149"/>
  <c r="I159" s="1"/>
  <c r="F201" i="60"/>
  <c r="I199"/>
  <c r="J199" s="1"/>
  <c r="J201" s="1"/>
  <c r="F20"/>
  <c r="G20" s="1"/>
  <c r="E124"/>
  <c r="E214"/>
  <c r="G67" i="45"/>
  <c r="H67" s="1"/>
  <c r="H63"/>
  <c r="G309" i="60"/>
  <c r="G144" s="1"/>
  <c r="J97" i="21"/>
  <c r="J105" s="1"/>
  <c r="J306" i="60"/>
  <c r="J309" s="1"/>
  <c r="J144" s="1"/>
  <c r="I309"/>
  <c r="I144" s="1"/>
  <c r="I304"/>
  <c r="I143" s="1"/>
  <c r="H300"/>
  <c r="J300" s="1"/>
  <c r="G300"/>
  <c r="F143"/>
  <c r="F145" s="1"/>
  <c r="F155" s="1"/>
  <c r="F135"/>
  <c r="N52" i="7" s="1"/>
  <c r="F311" i="60"/>
  <c r="H299"/>
  <c r="G299"/>
  <c r="E304"/>
  <c r="I134"/>
  <c r="I141"/>
  <c r="J134"/>
  <c r="J141"/>
  <c r="G136"/>
  <c r="O53" i="7" s="1"/>
  <c r="F136" i="60"/>
  <c r="N53" i="7" s="1"/>
  <c r="J347" i="60"/>
  <c r="J147"/>
  <c r="J153" s="1"/>
  <c r="I153"/>
  <c r="M45" i="7" l="1"/>
  <c r="E127" i="60"/>
  <c r="I201"/>
  <c r="I20"/>
  <c r="J20" s="1"/>
  <c r="J129" i="63"/>
  <c r="J142" s="1"/>
  <c r="J149"/>
  <c r="J159" s="1"/>
  <c r="H124" i="60"/>
  <c r="H127" s="1"/>
  <c r="H214"/>
  <c r="O45" i="7"/>
  <c r="G127" i="60"/>
  <c r="F124"/>
  <c r="F214"/>
  <c r="J124"/>
  <c r="J127" s="1"/>
  <c r="J214"/>
  <c r="I145"/>
  <c r="I155" s="1"/>
  <c r="I311"/>
  <c r="I135"/>
  <c r="G304"/>
  <c r="G143" s="1"/>
  <c r="G145" s="1"/>
  <c r="G155" s="1"/>
  <c r="E143"/>
  <c r="E145" s="1"/>
  <c r="E155" s="1"/>
  <c r="E311"/>
  <c r="E135"/>
  <c r="J299"/>
  <c r="J304" s="1"/>
  <c r="H304"/>
  <c r="F138"/>
  <c r="F21" s="1"/>
  <c r="I136"/>
  <c r="J136"/>
  <c r="G135" l="1"/>
  <c r="O52" i="7" s="1"/>
  <c r="O48"/>
  <c r="E7" i="60"/>
  <c r="N45" i="7"/>
  <c r="F127" i="60"/>
  <c r="I124"/>
  <c r="I127" s="1"/>
  <c r="I214"/>
  <c r="M48" i="7"/>
  <c r="E162" i="60"/>
  <c r="I138"/>
  <c r="I21" s="1"/>
  <c r="G311"/>
  <c r="H135"/>
  <c r="H138" s="1"/>
  <c r="H21" s="1"/>
  <c r="H143"/>
  <c r="H145" s="1"/>
  <c r="H155" s="1"/>
  <c r="H311"/>
  <c r="M52" i="7"/>
  <c r="E138" i="60"/>
  <c r="J135"/>
  <c r="J138" s="1"/>
  <c r="J21" s="1"/>
  <c r="J143"/>
  <c r="J145" s="1"/>
  <c r="J155" s="1"/>
  <c r="J311"/>
  <c r="N55" i="7"/>
  <c r="F163" i="60"/>
  <c r="G138" l="1"/>
  <c r="G21" s="1"/>
  <c r="N48" i="7"/>
  <c r="F162" i="60"/>
  <c r="G162" s="1"/>
  <c r="H162" s="1"/>
  <c r="I162" s="1"/>
  <c r="J162" s="1"/>
  <c r="L162" s="1"/>
  <c r="M6" i="7"/>
  <c r="F7" i="60"/>
  <c r="N6" i="7" s="1"/>
  <c r="E21" i="60"/>
  <c r="E163"/>
  <c r="E164" s="1"/>
  <c r="E165" s="1"/>
  <c r="M55" i="7"/>
  <c r="G163" i="60"/>
  <c r="G164" l="1"/>
  <c r="O55" i="7"/>
  <c r="E8" i="60"/>
  <c r="M7" i="7" s="1"/>
  <c r="F164" i="60"/>
  <c r="F165" s="1"/>
  <c r="K162"/>
  <c r="E171"/>
  <c r="E172"/>
  <c r="H163"/>
  <c r="I163" s="1"/>
  <c r="E9" l="1"/>
  <c r="M8" i="7" s="1"/>
  <c r="F8" i="60"/>
  <c r="N7" i="7" s="1"/>
  <c r="F167" i="60"/>
  <c r="G165"/>
  <c r="G167" s="1"/>
  <c r="F171"/>
  <c r="F172"/>
  <c r="F9"/>
  <c r="N8" i="7" s="1"/>
  <c r="H164" i="60"/>
  <c r="J163"/>
  <c r="K163" s="1"/>
  <c r="I164"/>
  <c r="G172" l="1"/>
  <c r="E11"/>
  <c r="M10" i="7" s="1"/>
  <c r="G171" i="60"/>
  <c r="H165"/>
  <c r="H167" s="1"/>
  <c r="J164"/>
  <c r="L164" s="1"/>
  <c r="E10" s="1"/>
  <c r="M9" i="7" s="1"/>
  <c r="L163" i="60"/>
  <c r="I165" l="1"/>
  <c r="I167" s="1"/>
  <c r="H172"/>
  <c r="H171"/>
  <c r="K164"/>
  <c r="F10"/>
  <c r="N9" i="7" s="1"/>
  <c r="E12" i="60"/>
  <c r="M11" i="7" s="1"/>
  <c r="J165" i="60" l="1"/>
  <c r="J167" s="1"/>
  <c r="E166" s="1"/>
  <c r="E13" s="1"/>
  <c r="M12" i="7" s="1"/>
  <c r="I172" i="60"/>
  <c r="I171"/>
  <c r="E65" i="45"/>
  <c r="J171" i="60" l="1"/>
  <c r="J172"/>
</calcChain>
</file>

<file path=xl/sharedStrings.xml><?xml version="1.0" encoding="utf-8"?>
<sst xmlns="http://schemas.openxmlformats.org/spreadsheetml/2006/main" count="2307" uniqueCount="1193">
  <si>
    <t>Total</t>
  </si>
  <si>
    <t>Other</t>
  </si>
  <si>
    <t>Industry</t>
  </si>
  <si>
    <t>Financial Information</t>
  </si>
  <si>
    <t>Labor Costs</t>
  </si>
  <si>
    <t>Standard Work Hours per Year</t>
  </si>
  <si>
    <t>Comments</t>
  </si>
  <si>
    <t>All Other</t>
  </si>
  <si>
    <t>PC Users</t>
  </si>
  <si>
    <t>* Non-cash compensation, such as benefits and Social Security</t>
  </si>
  <si>
    <t>Burdened Annual Labor Cost</t>
  </si>
  <si>
    <t>Hardware</t>
  </si>
  <si>
    <t>Discount Rate / Cost of Capital (WACC)</t>
  </si>
  <si>
    <t>Quantity</t>
  </si>
  <si>
    <t>Total IT FTEs</t>
  </si>
  <si>
    <t>Security</t>
  </si>
  <si>
    <t>Workbook Table of Contents</t>
  </si>
  <si>
    <t>Title</t>
  </si>
  <si>
    <t>Organizational Profile</t>
  </si>
  <si>
    <t>Costs</t>
  </si>
  <si>
    <t>Benefits</t>
  </si>
  <si>
    <t>ROI</t>
  </si>
  <si>
    <t>Profile</t>
  </si>
  <si>
    <t>Customer Acquisition</t>
  </si>
  <si>
    <t>Customer Retention</t>
  </si>
  <si>
    <t>Cash Cycle Time</t>
  </si>
  <si>
    <t>Development</t>
  </si>
  <si>
    <t>Decision-Making Effectiveness</t>
  </si>
  <si>
    <t>Supply Chain Effectiveness</t>
  </si>
  <si>
    <t>Forecast Accuracy</t>
  </si>
  <si>
    <t>Business Visibility</t>
  </si>
  <si>
    <t>Business Alignment</t>
  </si>
  <si>
    <t>Medium</t>
  </si>
  <si>
    <t>Summary</t>
  </si>
  <si>
    <t>As-Is</t>
  </si>
  <si>
    <t>Initial</t>
  </si>
  <si>
    <t>Year 1</t>
  </si>
  <si>
    <t>Year 2</t>
  </si>
  <si>
    <t>Year 3</t>
  </si>
  <si>
    <t>Software</t>
  </si>
  <si>
    <t>NPV</t>
  </si>
  <si>
    <t>On This Worksheet</t>
  </si>
  <si>
    <t>Summary of Results</t>
  </si>
  <si>
    <t>Net Benefits</t>
  </si>
  <si>
    <t>Disclaimer</t>
  </si>
  <si>
    <t>Burdened Weekly Labor Rate</t>
  </si>
  <si>
    <t>Average (weighted)</t>
  </si>
  <si>
    <t>Decision success rate %</t>
  </si>
  <si>
    <t>Avg forecast error %</t>
  </si>
  <si>
    <t>% of analytical data easily accessible to authorized decision-makers</t>
  </si>
  <si>
    <t>% of org. with auto-updated KPIs linked to corporate objectives</t>
  </si>
  <si>
    <t>Days</t>
  </si>
  <si>
    <t>Hidden</t>
  </si>
  <si>
    <t>KPI / Metric</t>
  </si>
  <si>
    <t>To-Be</t>
  </si>
  <si>
    <t>To-Be TCO</t>
  </si>
  <si>
    <t>All</t>
  </si>
  <si>
    <t xml:space="preserve"> Percentile</t>
  </si>
  <si>
    <t>KPI Value</t>
  </si>
  <si>
    <t>Business Objective</t>
  </si>
  <si>
    <t>Laggard</t>
  </si>
  <si>
    <t>World Class</t>
  </si>
  <si>
    <t>Decision-Making Speed / Reaction Time to Market Event/Opportunity</t>
  </si>
  <si>
    <t>Information Availability</t>
  </si>
  <si>
    <t>% of desired information readily available</t>
  </si>
  <si>
    <t>Information Quality</t>
  </si>
  <si>
    <t>% of analytical data with single trusted access point</t>
  </si>
  <si>
    <t># of vulnerabilities (reduce attack surface)</t>
  </si>
  <si>
    <t>Project management effectiveness</t>
  </si>
  <si>
    <t>% of document-intensive projects that complete on-time / on-budget</t>
  </si>
  <si>
    <t>Savings</t>
  </si>
  <si>
    <t>Savings %</t>
  </si>
  <si>
    <t>Productivity</t>
  </si>
  <si>
    <t>As-Is FTEs</t>
  </si>
  <si>
    <t>As-Is TCO</t>
  </si>
  <si>
    <t>Intrusion, unauthorized use, data loss</t>
  </si>
  <si>
    <t>Task Workers</t>
  </si>
  <si>
    <t>Description</t>
  </si>
  <si>
    <t>Burden Rate</t>
  </si>
  <si>
    <t>One Time</t>
  </si>
  <si>
    <t>Reduce Bandwidth Costs</t>
  </si>
  <si>
    <t>Reduce Heating, Cooling Costs</t>
  </si>
  <si>
    <t>Reduce Other Facilities Costs</t>
  </si>
  <si>
    <t>Reduce/Avoid IT Service Costs</t>
  </si>
  <si>
    <t>IT Savings</t>
  </si>
  <si>
    <t>Business Savings</t>
  </si>
  <si>
    <t>Other IT Cost Avoidance/Reductions</t>
  </si>
  <si>
    <t>Software - Servers</t>
  </si>
  <si>
    <t>IT Services</t>
  </si>
  <si>
    <t>Other IT Costs</t>
  </si>
  <si>
    <t>Travel Expenses</t>
  </si>
  <si>
    <t>1=impr inc KPI</t>
  </si>
  <si>
    <t>User computing experience satisfaction</t>
  </si>
  <si>
    <t>Improve-ment %</t>
  </si>
  <si>
    <t>Annual Recurring</t>
  </si>
  <si>
    <t>One-Time</t>
  </si>
  <si>
    <t>Application A</t>
  </si>
  <si>
    <t>Application B</t>
  </si>
  <si>
    <t>Support</t>
  </si>
  <si>
    <t>Revenue</t>
  </si>
  <si>
    <t>Instructions</t>
  </si>
  <si>
    <t>Direct Savings</t>
  </si>
  <si>
    <t>Direct Cost Savings</t>
  </si>
  <si>
    <t>Profit Margin (% of Sales)</t>
  </si>
  <si>
    <t>Revenue Increase Enabled by the Solution</t>
  </si>
  <si>
    <t>Lookup Column Number</t>
  </si>
  <si>
    <t>Labor Cost Scalars</t>
  </si>
  <si>
    <t>User Type Mix</t>
  </si>
  <si>
    <t>% of Employees in Support Function</t>
  </si>
  <si>
    <t>PC User</t>
  </si>
  <si>
    <t>IW</t>
  </si>
  <si>
    <t>Power Users</t>
  </si>
  <si>
    <t>HR</t>
  </si>
  <si>
    <t>Finance</t>
  </si>
  <si>
    <t>IT</t>
  </si>
  <si>
    <t>Sales &amp; Marketing</t>
  </si>
  <si>
    <t>Net Income</t>
  </si>
  <si>
    <t>Pre-tax Margin on Added Revenue</t>
  </si>
  <si>
    <t>Revenue per Employee</t>
  </si>
  <si>
    <t>NAIC Name</t>
  </si>
  <si>
    <t>IT % of PC Users</t>
  </si>
  <si>
    <t>Admin., Support, Waste Mgmt and Remediation Svcs</t>
  </si>
  <si>
    <t>Agriculture, Forestry, Fishing, and Hunting</t>
  </si>
  <si>
    <t>Communications Sector</t>
  </si>
  <si>
    <t>Sub of Information</t>
  </si>
  <si>
    <t>Construction</t>
  </si>
  <si>
    <t>Educational Services</t>
  </si>
  <si>
    <t>Federal, State, and Local Government</t>
  </si>
  <si>
    <t>Financial Services</t>
  </si>
  <si>
    <t>Finance and Insurance</t>
  </si>
  <si>
    <t>Hospitality and Food Service</t>
  </si>
  <si>
    <t>Healthcare</t>
  </si>
  <si>
    <t>Health Care and Social Assistance</t>
  </si>
  <si>
    <t>Information</t>
  </si>
  <si>
    <t>Management of Companies and Enterprises</t>
  </si>
  <si>
    <t>Manufacturing</t>
  </si>
  <si>
    <t>Media &amp; Entertainment</t>
  </si>
  <si>
    <t>Arts, Entertainment, and Recreation</t>
  </si>
  <si>
    <t>Mining</t>
  </si>
  <si>
    <t>Other Services (except Public Administration)</t>
  </si>
  <si>
    <t>Professional, Scientific, and Technical Services</t>
  </si>
  <si>
    <t>Real Estate and Rental and Leasing</t>
  </si>
  <si>
    <t>Retail</t>
  </si>
  <si>
    <t>Retail Trade</t>
  </si>
  <si>
    <t>Transportation and Logistics</t>
  </si>
  <si>
    <t>Transportation and Warehousing</t>
  </si>
  <si>
    <t>Utilities</t>
  </si>
  <si>
    <t>Wholesale Trade</t>
  </si>
  <si>
    <t>Average / Mixed</t>
  </si>
  <si>
    <t>As % of PC Users</t>
  </si>
  <si>
    <t>Source: Based on analysis of data from U.S. Department of Labor, Bureau of Labor Statistics</t>
  </si>
  <si>
    <t>Source: Based on analysis of data from Fortune 500, Fortune Magazine</t>
  </si>
  <si>
    <t>Location Cost Scalars</t>
  </si>
  <si>
    <t>Country Labor Cost Scalar</t>
  </si>
  <si>
    <t>Labor Cost Scalar</t>
  </si>
  <si>
    <t>Work Hours per Year</t>
  </si>
  <si>
    <t>Relative Prices</t>
  </si>
  <si>
    <t>Australia</t>
  </si>
  <si>
    <t>Austria</t>
  </si>
  <si>
    <t>Belgium</t>
  </si>
  <si>
    <t>Brazil</t>
  </si>
  <si>
    <t>Canada</t>
  </si>
  <si>
    <t>China</t>
  </si>
  <si>
    <t>Denmark</t>
  </si>
  <si>
    <t>France</t>
  </si>
  <si>
    <t>Germany</t>
  </si>
  <si>
    <t>Hong Kong SAR</t>
  </si>
  <si>
    <t>India</t>
  </si>
  <si>
    <t>Indonesia</t>
  </si>
  <si>
    <t>Ireland</t>
  </si>
  <si>
    <t>Italy</t>
  </si>
  <si>
    <t>Japan</t>
  </si>
  <si>
    <t>Korea</t>
  </si>
  <si>
    <t>Mexico</t>
  </si>
  <si>
    <t>Netherlands</t>
  </si>
  <si>
    <t>New Zealand</t>
  </si>
  <si>
    <t>Norway</t>
  </si>
  <si>
    <t>Portugal</t>
  </si>
  <si>
    <t>Russian Federation</t>
  </si>
  <si>
    <t>Singapore</t>
  </si>
  <si>
    <t>Spain</t>
  </si>
  <si>
    <t>Sweden</t>
  </si>
  <si>
    <t>Taiwan</t>
  </si>
  <si>
    <t>U.K.</t>
  </si>
  <si>
    <t>U.S.</t>
  </si>
  <si>
    <t>&lt;Selected</t>
  </si>
  <si>
    <t>Source:  Based on analysis of data from U.S. Department of Labor, Bureau of Labor Statistics; The World Bank, World Development Indicators Database; and Organisation for Economic Co-operation and Development</t>
  </si>
  <si>
    <t>Labor Cost (US)</t>
  </si>
  <si>
    <t>Fully Burdened Labor Costs</t>
  </si>
  <si>
    <t>All Workers</t>
  </si>
  <si>
    <t>Key Decision-Makers / Managers</t>
  </si>
  <si>
    <t>Primary Site Location</t>
  </si>
  <si>
    <t>Metropolis</t>
  </si>
  <si>
    <t>Urban</t>
  </si>
  <si>
    <t>Suburban / Mixed</t>
  </si>
  <si>
    <t>Rural</t>
  </si>
  <si>
    <t>Selected</t>
  </si>
  <si>
    <t>Company Size Labor Cost Scalar</t>
  </si>
  <si>
    <t>Min Employees</t>
  </si>
  <si>
    <t>Small</t>
  </si>
  <si>
    <t>not used</t>
  </si>
  <si>
    <t>Large</t>
  </si>
  <si>
    <t>Enterprise</t>
  </si>
  <si>
    <t>Source: Based on analysis of data from ComputerWorld 2006 Salary Survey</t>
  </si>
  <si>
    <t>License Type: 1=Select, 2=EA</t>
  </si>
  <si>
    <t>Data Lookup Tables - For Reference Only (hidden tab)</t>
  </si>
  <si>
    <t>% of Users Impacted</t>
  </si>
  <si>
    <t>Industry is used to pre-select various default values (i.e. user type mix, labor costs)</t>
  </si>
  <si>
    <t>Used to scale labor costs.  Urban labor costs tend to be 15-20% higher than suburban locations.</t>
  </si>
  <si>
    <t>IT Labor/Services TCO Savings</t>
  </si>
  <si>
    <t>Other Direct Cost Savings</t>
  </si>
  <si>
    <t>Source of defaults is based on analysis of data from Fortune 500, Fortune Magazine and is industry-dependent (varies depending on industry selected above)</t>
  </si>
  <si>
    <t>Total PC-Users (# of Employees that use PCs on a regular basis)</t>
  </si>
  <si>
    <t>Information Workers</t>
  </si>
  <si>
    <t>PC Power Users</t>
  </si>
  <si>
    <t>Organization Revenue ($ Millions)</t>
  </si>
  <si>
    <t>Avg US Labor Cost</t>
  </si>
  <si>
    <t>Cost / Benefit Category</t>
  </si>
  <si>
    <t>Administration</t>
  </si>
  <si>
    <t>Quality of Products/Services</t>
  </si>
  <si>
    <t>Customer preference vs. competitive products % (e.g. blind taste test)</t>
  </si>
  <si>
    <t>Defect rate</t>
  </si>
  <si>
    <t># of process/product/service defects/errors per 1000</t>
  </si>
  <si>
    <t>** Base compensation plus bonuses</t>
  </si>
  <si>
    <t>Used in Net Present Value calculations</t>
  </si>
  <si>
    <t>Source: Based on analysis of data from salary surveys from ComputerWorld and InfoWorld</t>
  </si>
  <si>
    <t>Software Developer/Engineer</t>
  </si>
  <si>
    <t>Systems/Network Administrator/Engineer</t>
  </si>
  <si>
    <t>Help Desk / Technical Support</t>
  </si>
  <si>
    <t>Burden rate (labor overhead as a % of cash compensation)*</t>
  </si>
  <si>
    <t>% of Total*</t>
  </si>
  <si>
    <t>Typical % of Total</t>
  </si>
  <si>
    <t>IT Labor Costs</t>
  </si>
  <si>
    <t xml:space="preserve">Finance </t>
  </si>
  <si>
    <t>To-Be FTEs</t>
  </si>
  <si>
    <t>Total IT Employees (IT Staff) FTEs</t>
  </si>
  <si>
    <t>Revenue ($000)</t>
  </si>
  <si>
    <t>Total (Annual)</t>
  </si>
  <si>
    <t>Improved Customer Service</t>
  </si>
  <si>
    <t>Improved Sales Effectiveness</t>
  </si>
  <si>
    <t>Improved Marketing Effectiveness</t>
  </si>
  <si>
    <t>Improved Product Availability (fill rate, up-time)</t>
  </si>
  <si>
    <t>Server Hardware</t>
  </si>
  <si>
    <t>Sub Total</t>
  </si>
  <si>
    <t>Client Software</t>
  </si>
  <si>
    <t>Server Software</t>
  </si>
  <si>
    <t>Organization Total</t>
  </si>
  <si>
    <t>Supply/Operations Performance</t>
  </si>
  <si>
    <t>Sales/Marketing Performance</t>
  </si>
  <si>
    <t>Business Management Effectiveness</t>
  </si>
  <si>
    <t>System response time</t>
  </si>
  <si>
    <t>Close rate (% of qualified sales opportunities)</t>
  </si>
  <si>
    <t>Customer annual turnover (%)</t>
  </si>
  <si>
    <t>Days to accumulate information, analyze, collaborate, decide, plan (for information-intensive decisions)</t>
  </si>
  <si>
    <t>Customer Satisfaction</t>
  </si>
  <si>
    <t>% of customers that are highly satisfied when surveyed</t>
  </si>
  <si>
    <t>% of users that are highly satisfied when surveyed</t>
  </si>
  <si>
    <t>Average</t>
  </si>
  <si>
    <t>Annual On-Going</t>
  </si>
  <si>
    <t>One-time Implementation Labor/Services</t>
  </si>
  <si>
    <t>*1 Person-week is equivalent to 2 employees each dedicating 50% of a week to the task or 1 person dedicating 8 hrs per week over 5 weeks.</t>
  </si>
  <si>
    <t>One-Time Costs Avoided</t>
  </si>
  <si>
    <t>Annual Costs Avoided</t>
  </si>
  <si>
    <t>Consulting Services (Hours)</t>
  </si>
  <si>
    <t>Outsourcing (Hours)</t>
  </si>
  <si>
    <r>
      <rPr>
        <b/>
        <sz val="10"/>
        <rFont val="Arial"/>
        <family val="2"/>
      </rPr>
      <t>Industry</t>
    </r>
    <r>
      <rPr>
        <sz val="10"/>
        <rFont val="Arial"/>
        <family val="2"/>
      </rPr>
      <t xml:space="preserve"> - select the closest-matching from the drop-down</t>
    </r>
  </si>
  <si>
    <r>
      <rPr>
        <b/>
        <sz val="10"/>
        <rFont val="Arial"/>
        <family val="2"/>
      </rPr>
      <t>Primary geographic location</t>
    </r>
    <r>
      <rPr>
        <sz val="10"/>
        <rFont val="Arial"/>
        <family val="2"/>
      </rPr>
      <t xml:space="preserve"> - select the closest-matching from the drop-down</t>
    </r>
  </si>
  <si>
    <t>NPV (Net Present Value)</t>
  </si>
  <si>
    <t>IRR (Internal Rate of Return)</t>
  </si>
  <si>
    <t>ROI (Return on Investment) - [Total Net Benefits / Total Costs]</t>
  </si>
  <si>
    <t>Payback Period</t>
  </si>
  <si>
    <t>Year 4</t>
  </si>
  <si>
    <t>Year 5</t>
  </si>
  <si>
    <t>Cash Flow</t>
  </si>
  <si>
    <t>Cumulative Cash Flow</t>
  </si>
  <si>
    <t>Payback Period (Months)</t>
  </si>
  <si>
    <t>Hide</t>
  </si>
  <si>
    <t>Turn Year On/Off</t>
  </si>
  <si>
    <t>Positive Cumulative Cash Flow</t>
  </si>
  <si>
    <t>Negative Cumulative Cash Flow</t>
  </si>
  <si>
    <t>Initiative Benefits</t>
  </si>
  <si>
    <t>Initiative Costs</t>
  </si>
  <si>
    <t>Total Costs</t>
  </si>
  <si>
    <t>User Productivity Benefits</t>
  </si>
  <si>
    <t>Costs &amp; Benefits ($000)</t>
  </si>
  <si>
    <t>Costs &amp; Benefits ($ per PC)</t>
  </si>
  <si>
    <t>Software - Clients</t>
  </si>
  <si>
    <t>New/Enhanced Products/Services</t>
  </si>
  <si>
    <t>Supply costs</t>
  </si>
  <si>
    <t>Inventory carrying costs</t>
  </si>
  <si>
    <t>Ratio of PC Users to IT Staff</t>
  </si>
  <si>
    <t xml:space="preserve">IT staff to user ratio </t>
  </si>
  <si>
    <t>Source: CIO.com, January 1, 2008</t>
  </si>
  <si>
    <t xml:space="preserve">Ratio </t>
  </si>
  <si>
    <t xml:space="preserve">Education </t>
  </si>
  <si>
    <t xml:space="preserve">Wholesale/retail </t>
  </si>
  <si>
    <t xml:space="preserve">Manufacturing </t>
  </si>
  <si>
    <t xml:space="preserve">Health Care </t>
  </si>
  <si>
    <t>Government</t>
  </si>
  <si>
    <t>Worksheet Name</t>
  </si>
  <si>
    <t>Summary of costs &amp; benefits by type; Cash flow analysis; calculation of ROI, payback period, NPV, and IRR; and graphs</t>
  </si>
  <si>
    <t>KPIs</t>
  </si>
  <si>
    <t>Required Organization/Initiative Data</t>
  </si>
  <si>
    <t>Direct Cost Savings - IT</t>
  </si>
  <si>
    <t>Direct Cost Savings - Business</t>
  </si>
  <si>
    <t>Default values are provided based on inputs above.  Defaults may be adequate for rapid/ballpark assessments, but otherwise should be reviewed/modified.</t>
  </si>
  <si>
    <t># of PC Users</t>
  </si>
  <si>
    <t>% of PC Users</t>
  </si>
  <si>
    <t>Average Ann'l Cash Comp-ensation**</t>
  </si>
  <si>
    <t>Used to scale labor costs and estimate default work hours per year</t>
  </si>
  <si>
    <r>
      <rPr>
        <b/>
        <sz val="10"/>
        <rFont val="Arial"/>
        <family val="2"/>
      </rPr>
      <t>Primary Site Locations</t>
    </r>
    <r>
      <rPr>
        <sz val="10"/>
        <rFont val="Arial"/>
        <family val="2"/>
      </rPr>
      <t xml:space="preserve"> - select the closest-matching from the drop-down box</t>
    </r>
  </si>
  <si>
    <t>Organization Total ($000)</t>
  </si>
  <si>
    <t>Benefit Summary</t>
  </si>
  <si>
    <t>Benefits Summary</t>
  </si>
  <si>
    <t>Cost Summary</t>
  </si>
  <si>
    <t>Cost Details</t>
  </si>
  <si>
    <t>Benefit Sub-Categories</t>
  </si>
  <si>
    <t>Costs ($ per PC)</t>
  </si>
  <si>
    <t>Costs ($000)</t>
  </si>
  <si>
    <t>Benefits ($ per PC)</t>
  </si>
  <si>
    <t>Benefits ($000)</t>
  </si>
  <si>
    <t>Benefit Details</t>
  </si>
  <si>
    <t>Summary of Non-Financial Key Performance Indicator Changes</t>
  </si>
  <si>
    <t>Full-Time Equivalents</t>
  </si>
  <si>
    <t>Improve-ment</t>
  </si>
  <si>
    <t>Initiatives</t>
  </si>
  <si>
    <t>Key Features</t>
  </si>
  <si>
    <t>Key Performance Indicator Assessment (Optional)</t>
  </si>
  <si>
    <t>Model Components / Flowchart</t>
  </si>
  <si>
    <t>Accommodation and Food Service</t>
  </si>
  <si>
    <t>Enter values or select the closest fit from the drop-down menus.  These are the most important inputs in the model.  Your answers to these key questions will have the most significant impact on default cost and benefit drivers through-out the rest of the model.</t>
  </si>
  <si>
    <t xml:space="preserve">Duration of analysis (years) - Select from drop-down box. </t>
  </si>
  <si>
    <t>Restore Status</t>
  </si>
  <si>
    <t>Off</t>
  </si>
  <si>
    <t>This worksheet contains key inputs/assumptions that drive cost and benefit calculations throughout the model.  Defaults input values are provided based on industry, location, and organization size.  These default input values should be reviewed and modifed as appropriate.  A summary of the results is provided to the right to assist in viewing output implications of input changes.  This summary data will be updated as changes are made throughout the model.</t>
  </si>
  <si>
    <t>Margin % of Revenue (Net profit margin of new revenue enabled by the initiative)</t>
  </si>
  <si>
    <t>Architecture</t>
  </si>
  <si>
    <t>Scope</t>
  </si>
  <si>
    <t>Which best describes the SCOPE of your group's BI/DW environment?</t>
  </si>
  <si>
    <t>Which best describes the status of your group's BI/DW IMPLEMENTATION?</t>
  </si>
  <si>
    <t>What percentage of ALL EMPLOYEES that your group is charged with supporting either use your group's BI/DW environment or consume its output?</t>
  </si>
  <si>
    <t>Which best describes the SPONSOR of your BI/DW group?</t>
  </si>
  <si>
    <t>Which best describes how EXECUTIVES perceive the PURPOSE of your group's BI/DW environment?</t>
  </si>
  <si>
    <t>To what degree is the BI sponsor held ACCOUNTABLE for the outcome of the BI/DW solution?</t>
  </si>
  <si>
    <t>To what degree does the BI/DW program have PROCESSES in place to plan, prioritize, and adjust its BI/DW investments and resolve conflicts?</t>
  </si>
  <si>
    <t>How easy is it to get FUNDING for your group's annual BI/DW budget?</t>
  </si>
  <si>
    <t>What group ALLOCATES to your BI/DW group?</t>
  </si>
  <si>
    <t>The annual BI/DW BUDGET for your BI/DW group represents approximately what percent of the annual IT budget for your group?</t>
  </si>
  <si>
    <t>Which best describes the current degree of CAPITAL INVESTMENT in your BI/DW system?</t>
  </si>
  <si>
    <t>Which best describes the current MAINTENANCE BUDGET for your group's BI/DW system?</t>
  </si>
  <si>
    <t>To what degree do you rely on INTANGIBLE BENEFITS to justify your BI/DW investments?</t>
  </si>
  <si>
    <t>Which best describes the overall SUCCESS of your group's BI/DW program?</t>
  </si>
  <si>
    <t>To what degree can users directly ACCESS the data they need to make decisions from a single user interface?</t>
  </si>
  <si>
    <t>To what degree have you established standards for TECHNOLOGY AND TOOLS in your BI/DW environment?</t>
  </si>
  <si>
    <t>To what degree do individuals and groups ADHERE to the technology and tool standards that your group has established?</t>
  </si>
  <si>
    <t>To what degree has your group defined, documented, and implemented DEFINITIONS AND RULES for key terms and metrics?</t>
  </si>
  <si>
    <t>To what degree do end users TRUST THE DATA in your BI/DW environment?</t>
  </si>
  <si>
    <t>On average, how often are the MAJORITY of data elements in your BI/DW environment REFRESHED?</t>
  </si>
  <si>
    <t>Which best describes the degree of synchronization among the DATA MODELS below that your group maintains? - ETL source and target models - Data warehouse and data mart models - BI semantic or query object models</t>
  </si>
  <si>
    <t>Which best describes your BI/DW group's approach to DEVELOPING BI/DW solutions?</t>
  </si>
  <si>
    <t>To what degree has your group defined, documented, and implemented standards for DEVELOPING, TESTING, and DEPLOYING BI/DW functionality (i.e., ETL code and BI reports)?</t>
  </si>
  <si>
    <t>How long does it take your team to add a new SUBJECT AREA to the BI/DW environment?</t>
  </si>
  <si>
    <t>On average, how many BI/DW PROJECTS that last three or more months does your group run concurrently?</t>
  </si>
  <si>
    <t>To what degree do PROJECT MANAGERS control the project schedule?</t>
  </si>
  <si>
    <t>Which best describes your REPORTING environment for CASUAL USERS?</t>
  </si>
  <si>
    <t>What percentage of your CUSTOMERS OR SUPPLIERS consume content generated by your BI/DW environment? (Select either customers or suppliers, whichever is highest.)</t>
  </si>
  <si>
    <t>Which best describes how users access BUSINESS METADATA?</t>
  </si>
  <si>
    <t>Which below most closely reflects the RATIO of power users to casual users in your BI/DW environment?</t>
  </si>
  <si>
    <t>Individual - Users largely fend for themselves -- no effective BI/DW support</t>
  </si>
  <si>
    <t>Department - Single department across most or all business units</t>
  </si>
  <si>
    <t>Business Unit - Most or all departments within a business unit</t>
  </si>
  <si>
    <t>Enterprise - Most or all departments and business units within the organization</t>
  </si>
  <si>
    <t>Inter-Enterprise - Most or all departments and business units plus most or all customers or suppliers</t>
  </si>
  <si>
    <t>We haven't started yet</t>
  </si>
  <si>
    <t>We've initiated our first major project</t>
  </si>
  <si>
    <t>We've completed two or more major projects</t>
  </si>
  <si>
    <t>We've consolidated multiple projects within an enterprisewide BI/DW program</t>
  </si>
  <si>
    <t>We manage a mature, enterprisewide BI/DW program</t>
  </si>
  <si>
    <t>0 to 20%</t>
  </si>
  <si>
    <t>21 to 40%</t>
  </si>
  <si>
    <t>41 to 60%</t>
  </si>
  <si>
    <t>61 to 80%</t>
  </si>
  <si>
    <t>81 to 100%</t>
  </si>
  <si>
    <t>None to speak of right now</t>
  </si>
  <si>
    <t>CIO or an IT director</t>
  </si>
  <si>
    <t>Single sponsor from a business unit or department</t>
  </si>
  <si>
    <t>Multiple individual sponsors from multiple business units or departments</t>
  </si>
  <si>
    <t>Multiple levels of business-driven, cross-departmental steering committees</t>
  </si>
  <si>
    <t>Operational cost center - An IT system needed to run the business.</t>
  </si>
  <si>
    <t>Tactical resource - Tools to assist decision making.</t>
  </si>
  <si>
    <t>Mission-critical resource - A system that is critical to running business operations.</t>
  </si>
  <si>
    <t>Strategic resource - Key to achieving performance objectives and goals.</t>
  </si>
  <si>
    <t>Competitive differentiator - Key to gaining or keeping customers and/or market share.</t>
  </si>
  <si>
    <t>Very low</t>
  </si>
  <si>
    <t>Low</t>
  </si>
  <si>
    <t>Moderate</t>
  </si>
  <si>
    <t>High</t>
  </si>
  <si>
    <t>Very high</t>
  </si>
  <si>
    <t>Very low - Only project or program managers are held accountable.</t>
  </si>
  <si>
    <t>Low - Between very low and moderate.</t>
  </si>
  <si>
    <t>Moderate - Sponsor assumes accountability but is not incented for performance.</t>
  </si>
  <si>
    <t>High - Between moderate and very high.</t>
  </si>
  <si>
    <t>Very high - Sponsor assumes accountability and is incented for performance.</t>
  </si>
  <si>
    <t>Very low - Every BI/DW group does its own thing with its own resources.</t>
  </si>
  <si>
    <t>Moderate - Every BI/DW group competes for corporate resources through the budgeting process.</t>
  </si>
  <si>
    <t>Very high - BI/DW groups come together to prioritize investments within a formal BI/DW governance process.</t>
  </si>
  <si>
    <t>Very hard - Our budget gets cut before other IT projects.</t>
  </si>
  <si>
    <t>Hard - Between very hard and moderate.</t>
  </si>
  <si>
    <t>Moderate - We are usually funded at a rate comparable to the rest of IT.</t>
  </si>
  <si>
    <t>Easy - Between moderate and very easy.</t>
  </si>
  <si>
    <t>Very easy - With our demonstrated track record, we usually get what we ask for.</t>
  </si>
  <si>
    <t>None consistently</t>
  </si>
  <si>
    <t>Departmental budget</t>
  </si>
  <si>
    <t>Business unit budget</t>
  </si>
  <si>
    <t>Corporate IT budget via internal chargebacks or allocations</t>
  </si>
  <si>
    <t>Self-funding via external customer chargebacks or service fees</t>
  </si>
  <si>
    <t>2% to 3%</t>
  </si>
  <si>
    <t>We're bootstrapping our system.</t>
  </si>
  <si>
    <t>We've received initial capital funding to purchase software and systems.</t>
  </si>
  <si>
    <t>We're received additional capital funding to build on our initial success.</t>
  </si>
  <si>
    <t>We're received significant and sustained capital investment to pursue full deployment of our vision.</t>
  </si>
  <si>
    <t>We're now fully deployed with less need for additional capital.</t>
  </si>
  <si>
    <t>Very low - Limited or no funds to deliver and support requested business projects.</t>
  </si>
  <si>
    <t>Moderate - We have sufficient funds to deliver and support some but not all requested business projects.</t>
  </si>
  <si>
    <t>Very high - We're fully funded to deliver and support most or all requested business projects.</t>
  </si>
  <si>
    <t>Estimate the BUSINESS VALUE of your group's BI/DW environment.</t>
  </si>
  <si>
    <t>Returns are well below costs</t>
  </si>
  <si>
    <t>Returns are slightly below costs</t>
  </si>
  <si>
    <t>Returns equal costs</t>
  </si>
  <si>
    <t>Returns exceed costs</t>
  </si>
  <si>
    <t>Returns greatly exceed costs</t>
  </si>
  <si>
    <t>Primarily intangible benefits</t>
  </si>
  <si>
    <t>Mostly intangible benefits, some tangible benefits</t>
  </si>
  <si>
    <t>Equal intangible and tangible benefits</t>
  </si>
  <si>
    <t>Mostly tangible benefits, some intangible benefits</t>
  </si>
  <si>
    <t>Primarily tangible benefits</t>
  </si>
  <si>
    <t>It's in trouble and may not survive.</t>
  </si>
  <si>
    <t>It has momentum but needs to prove itself.</t>
  </si>
  <si>
    <t>It delivers some business value but is not yet considered a success.</t>
  </si>
  <si>
    <t>It delivers significant business value and is considered a success.</t>
  </si>
  <si>
    <t>It delivers a very high degree of business value and is considered a runaway success.</t>
  </si>
  <si>
    <t>Irrelevant to their jobs; a time waster</t>
  </si>
  <si>
    <t>Tangential to their jobs; marginal value</t>
  </si>
  <si>
    <t>Relevant to their jobs; good value</t>
  </si>
  <si>
    <t>Critical to their jobs; superior value</t>
  </si>
  <si>
    <t>A key to success; superior value</t>
  </si>
  <si>
    <t>Desktop- or user-generated reports (i.e., spreadmarts)</t>
  </si>
  <si>
    <t>Multiple, non-integrated data marts or packaged solutions</t>
  </si>
  <si>
    <t>Multiple, non-integrated data warehouses</t>
  </si>
  <si>
    <t>A single, central DW with multiple dependent marts (Inmon), conformed data marts (Kimball), or no data marts</t>
  </si>
  <si>
    <t>A BI/DW service that federates a central DW and other data sources via a standard interface</t>
  </si>
  <si>
    <t>Very low - Users can access virtually none of the data they need.</t>
  </si>
  <si>
    <t>Moderate - Users can access a moderate amount of the data they need.</t>
  </si>
  <si>
    <t>Very high - Users can access all the data they need.</t>
  </si>
  <si>
    <t>Very low - We have not defined standards</t>
  </si>
  <si>
    <t>Low - We have defined some standards</t>
  </si>
  <si>
    <t>Moderate - We have defined about half the standards</t>
  </si>
  <si>
    <t>High - We have defined most of the standards</t>
  </si>
  <si>
    <t>Very high - We have defined all standards</t>
  </si>
  <si>
    <t>Very low - No one adheres (or standards don't yet exist).</t>
  </si>
  <si>
    <t>Low - Few people and groups adhere.</t>
  </si>
  <si>
    <t>Moderate - Some people and groups adhere.</t>
  </si>
  <si>
    <t>High - Most people and groups adhere.</t>
  </si>
  <si>
    <t>Very high - All people and groups adhere.</t>
  </si>
  <si>
    <t>Very low - None defined.</t>
  </si>
  <si>
    <t>Low - Some defined.</t>
  </si>
  <si>
    <t>Moderate - About half defined.</t>
  </si>
  <si>
    <t>High - Most defined.</t>
  </si>
  <si>
    <t>Very high - All defined.</t>
  </si>
  <si>
    <t>Very low - Users don't trust the data. They find too many errors, exceptions, or omissions. They rely on other sources of data to make critical decisions.</t>
  </si>
  <si>
    <t>Moderate - Users somewhat trust the data. They reconcile it with more trusted sources before using.</t>
  </si>
  <si>
    <t>Very high - Users trust the data. They view it as the system of record for the company and rely on it for critical decisions.</t>
  </si>
  <si>
    <t>Either annually or quarterly</t>
  </si>
  <si>
    <t>Either quarterly or monthly</t>
  </si>
  <si>
    <t>Either monthly or weekly</t>
  </si>
  <si>
    <t>Either weekly or daily</t>
  </si>
  <si>
    <t>Either daily or intra-day</t>
  </si>
  <si>
    <t>To what degree has your group integrated UNSTRUCTURED DATA in the BI/DW environment?</t>
  </si>
  <si>
    <t>Very low - No plans or approach.</t>
  </si>
  <si>
    <t>Moderate - Users can search text and documents via a separate application.</t>
  </si>
  <si>
    <t>Very high - We return related structured and unstructured data via a single BI query.</t>
  </si>
  <si>
    <t>Very low - We do not synchronize models.</t>
  </si>
  <si>
    <t>Low - We manually synchronize some of the models.</t>
  </si>
  <si>
    <t>Moderate - We manually synchronize some models, others automatically.</t>
  </si>
  <si>
    <t>High - We automatically synchronize most models, but not all.</t>
  </si>
  <si>
    <t>Very high - We automatically synchronize all models.</t>
  </si>
  <si>
    <t>Independent - Business groups develop their own BI/DW solutions without our assistance or guidance.</t>
  </si>
  <si>
    <t>Ad hoc - We develop one-off BI/DW solutions as business groups fund them using whatever tools and techniques make sense.</t>
  </si>
  <si>
    <t>Aligned - We develop one-off BI/DW solutions, but use a common set of tools and techniques to ensure long-term alignment.</t>
  </si>
  <si>
    <t>Standardized - We develop a portfolio of integrated BI applications using a common set of tools and techniques, working within a common architecture and process framework.</t>
  </si>
  <si>
    <t>Federated - We let business units develop their own BI/DW solutions as long as they adhere to our architecture and process framework.</t>
  </si>
  <si>
    <t>Very low - Our group has not established BI/DW standards.</t>
  </si>
  <si>
    <t>Low - Our group has established some BI/DW standards.</t>
  </si>
  <si>
    <t>Moderate - Our group has established about half of the BI/DW standards needed.</t>
  </si>
  <si>
    <t>High - Our group has established most BI/DW standards.</t>
  </si>
  <si>
    <t>Very high - Our group has established a comprehensive set of BI/DW standards.</t>
  </si>
  <si>
    <t>12+ months</t>
  </si>
  <si>
    <t>9 to 12 months</t>
  </si>
  <si>
    <t>6 to 9 months</t>
  </si>
  <si>
    <t>3 to 6 months</t>
  </si>
  <si>
    <t>Three months or less</t>
  </si>
  <si>
    <t>Very low - Business executives give them a schedule to meet regardless of business requirements, change requests, and available resources.</t>
  </si>
  <si>
    <t>Moderate - Business executives and project managers negotiate a schedule based on business requirements, change requests, and available resources.</t>
  </si>
  <si>
    <t>Very high - Project managers define the schedule based on business requirements, change requests, and available resources.</t>
  </si>
  <si>
    <t>Which best describes the highest level PURPOSE of your BI environment?</t>
  </si>
  <si>
    <t>Level 1 - Delivers paper or online reports for organizational consumption</t>
  </si>
  <si>
    <t>Level 2 - Enables users to analyze trends/issues and gain insights on their own</t>
  </si>
  <si>
    <t>Level 3 - Monitors business events as they happen and enables proactive responses</t>
  </si>
  <si>
    <t>Level 4 - Predicts outcomes, models results, and optimizes plans</t>
  </si>
  <si>
    <t>Level 5 - Automates processes and responses, including customer interactions</t>
  </si>
  <si>
    <t>Custom - Casual users rely on static or custom reports created by IT.</t>
  </si>
  <si>
    <t>Uncontrolled - Casual users rely on power users to create reports for them with spreadsheets or desktop tools.</t>
  </si>
  <si>
    <t>Self-service - Casual users create their own reports with our standard-issue BI tools.</t>
  </si>
  <si>
    <t>Delegated - A team of super users creates reports on behalf of their colleagues using our standard issue BI tools.</t>
  </si>
  <si>
    <t>Customized delivery - The BI team develops a set of tailored, parameterized reports and dashboards that are the system of record for casual users.</t>
  </si>
  <si>
    <t>20 to 40%</t>
  </si>
  <si>
    <t>40 to 60%</t>
  </si>
  <si>
    <t>60 to 80%</t>
  </si>
  <si>
    <t>80 to 100%</t>
  </si>
  <si>
    <t>Level 1 - There is no business metadata to access.</t>
  </si>
  <si>
    <t>Level 2 - Users consult metadata reports that we periodically distribute.</t>
  </si>
  <si>
    <t>Level 3 - Users query various repositories to access business metadata.</t>
  </si>
  <si>
    <t>Level 4 - Users query a central repository to access up-to-date business metadata.</t>
  </si>
  <si>
    <t>Level 5 - Users click once to view integrated, contextual, up-to-date business metadata.</t>
  </si>
  <si>
    <t>100% power users</t>
  </si>
  <si>
    <t>80% power users, 20% casual users</t>
  </si>
  <si>
    <t>60% power users, 40% casual users</t>
  </si>
  <si>
    <t>40% power users, 60% casual users</t>
  </si>
  <si>
    <t>20% power users, 80% casual users</t>
  </si>
  <si>
    <t>Sponsorship</t>
  </si>
  <si>
    <t>Funding</t>
  </si>
  <si>
    <t>Value</t>
  </si>
  <si>
    <t>Data</t>
  </si>
  <si>
    <t>Delivery</t>
  </si>
  <si>
    <t>Section Score</t>
  </si>
  <si>
    <t>Current (As-Is)</t>
  </si>
  <si>
    <t>Improvement</t>
  </si>
  <si>
    <t>Your Organization Performance</t>
  </si>
  <si>
    <t>Typical Industry KPI Values</t>
  </si>
  <si>
    <t>a</t>
  </si>
  <si>
    <t>b</t>
  </si>
  <si>
    <r>
      <rPr>
        <b/>
        <sz val="9"/>
        <rFont val="Arial"/>
        <family val="2"/>
      </rPr>
      <t>Scope</t>
    </r>
    <r>
      <rPr>
        <sz val="9"/>
        <rFont val="Arial"/>
        <family val="2"/>
      </rPr>
      <t>. To what extent does the BI/DW program support all parts of the organization and all potential users?</t>
    </r>
  </si>
  <si>
    <r>
      <rPr>
        <b/>
        <sz val="9"/>
        <rFont val="Arial"/>
        <family val="2"/>
      </rPr>
      <t>Sponsorship</t>
    </r>
    <r>
      <rPr>
        <sz val="9"/>
        <rFont val="Arial"/>
        <family val="2"/>
      </rPr>
      <t>. To what degree are BI/DW sponsors engaged and committed to the program?</t>
    </r>
  </si>
  <si>
    <r>
      <rPr>
        <b/>
        <sz val="9"/>
        <rFont val="Arial"/>
        <family val="2"/>
      </rPr>
      <t>Funding</t>
    </r>
    <r>
      <rPr>
        <sz val="9"/>
        <rFont val="Arial"/>
        <family val="2"/>
      </rPr>
      <t>. How successful is the BI/DW team in securing funding to meet business requirements?</t>
    </r>
  </si>
  <si>
    <r>
      <rPr>
        <b/>
        <sz val="9"/>
        <rFont val="Arial"/>
        <family val="2"/>
      </rPr>
      <t>Value</t>
    </r>
    <r>
      <rPr>
        <sz val="9"/>
        <rFont val="Arial"/>
        <family val="2"/>
      </rPr>
      <t>. How effectively does the BI/DW solution meet business needs and expectations?</t>
    </r>
  </si>
  <si>
    <r>
      <rPr>
        <b/>
        <sz val="9"/>
        <rFont val="Arial"/>
        <family val="2"/>
      </rPr>
      <t>Architecture</t>
    </r>
    <r>
      <rPr>
        <sz val="9"/>
        <rFont val="Arial"/>
        <family val="2"/>
      </rPr>
      <t>. How advanced is the BI/DW architecture, and to what degree do groups adhere to architectural standards?</t>
    </r>
  </si>
  <si>
    <r>
      <rPr>
        <b/>
        <sz val="9"/>
        <rFont val="Arial"/>
        <family val="2"/>
      </rPr>
      <t>Data</t>
    </r>
    <r>
      <rPr>
        <sz val="9"/>
        <rFont val="Arial"/>
        <family val="2"/>
      </rPr>
      <t>. To what degree does the data provided by the BI/DW environment meet business requirements?</t>
    </r>
  </si>
  <si>
    <r>
      <rPr>
        <b/>
        <sz val="9"/>
        <rFont val="Arial"/>
        <family val="2"/>
      </rPr>
      <t>Development</t>
    </r>
    <r>
      <rPr>
        <sz val="9"/>
        <rFont val="Arial"/>
        <family val="2"/>
      </rPr>
      <t>. How effective is the BI/DW team’s approach to managing projects and developing solutions?</t>
    </r>
  </si>
  <si>
    <r>
      <rPr>
        <b/>
        <sz val="9"/>
        <rFont val="Arial"/>
        <family val="2"/>
      </rPr>
      <t>Delivery</t>
    </r>
    <r>
      <rPr>
        <sz val="9"/>
        <rFont val="Arial"/>
        <family val="2"/>
      </rPr>
      <t>. How aligned are reporting/analysis capabilities with user requirements and what is the extent of usage?</t>
    </r>
  </si>
  <si>
    <t>Preliminary Matury Assessment</t>
  </si>
  <si>
    <t>Reporting</t>
  </si>
  <si>
    <t>Low query response time, scalable, reliable, robust back-up &amp; recovery</t>
  </si>
  <si>
    <t>Robust security</t>
  </si>
  <si>
    <t>High data quality</t>
  </si>
  <si>
    <t>Highly comprehensive, consistent, &amp; trustworthy; widely regarded as the sanctioned/trusted “Single version of the truth”</t>
  </si>
  <si>
    <t>Metadata management</t>
  </si>
  <si>
    <t>Centralized reporting</t>
  </si>
  <si>
    <t>User-empowered reporting</t>
  </si>
  <si>
    <t>Advanced data visualization</t>
  </si>
  <si>
    <t>Tools to graphically visualize/analyze complex data</t>
  </si>
  <si>
    <t>Advanced analytics</t>
  </si>
  <si>
    <t>Automated/integrated KPIs</t>
  </si>
  <si>
    <t>Alerts and notifications</t>
  </si>
  <si>
    <t>Alerts users to significant variances from expected results</t>
  </si>
  <si>
    <t>Standardized tools, process, and rules to conduct budgeting, forecasting, and planning</t>
  </si>
  <si>
    <t>Financial consolidation</t>
  </si>
  <si>
    <t>Automated/consistent consolidation of business unit financial data</t>
  </si>
  <si>
    <t>Integrated workflow</t>
  </si>
  <si>
    <t>Business users can define, modify and maintain logical business models integrated with business rules, workflows and enterprise data</t>
  </si>
  <si>
    <t>Profitability management</t>
  </si>
  <si>
    <t>Automated corrective action</t>
  </si>
  <si>
    <t>Hardware Costs</t>
  </si>
  <si>
    <t>Component</t>
  </si>
  <si>
    <t>Storage Costs</t>
  </si>
  <si>
    <t>Total Storage Cost</t>
  </si>
  <si>
    <t>Processing Power Scalar</t>
  </si>
  <si>
    <t>Number of Servers</t>
  </si>
  <si>
    <t xml:space="preserve">Processing Costs </t>
  </si>
  <si>
    <t>Total Hardware Cost</t>
  </si>
  <si>
    <t>Server Software Licensing Costs</t>
  </si>
  <si>
    <t>Total Server Software Costs</t>
  </si>
  <si>
    <t>Total Server Costs (Hardware+Software)</t>
  </si>
  <si>
    <t>Implementation Costs - Labor</t>
  </si>
  <si>
    <t>Implementation Costs - Hardware &amp; Software</t>
  </si>
  <si>
    <t>Total Person-Wks</t>
  </si>
  <si>
    <t>Cost per Person-Wk</t>
  </si>
  <si>
    <t>Total Person-Weeks</t>
  </si>
  <si>
    <t>Savings/Mo (min) per Impacted User</t>
  </si>
  <si>
    <t>% Impacted</t>
  </si>
  <si>
    <t>Avg Time Savings/ User Minutes/ Month</t>
  </si>
  <si>
    <t>Incidents/ Month</t>
  </si>
  <si>
    <t>Minutes/ Incident</t>
  </si>
  <si>
    <t>Time dealing with security intrusion, unauthorized use, data loss, etc.</t>
  </si>
  <si>
    <t>Security pre-cautions</t>
  </si>
  <si>
    <t>Communication &amp; Collaboration</t>
  </si>
  <si>
    <t>Time saved due to enhanced ability to collaborate electronically</t>
  </si>
  <si>
    <t>Ability/time to analyze, absorb, &amp; understand information</t>
  </si>
  <si>
    <t>Integration of applications and data</t>
  </si>
  <si>
    <t>User Application Development</t>
  </si>
  <si>
    <t>New application capabilities</t>
  </si>
  <si>
    <t>Work days per year</t>
  </si>
  <si>
    <t>Work hours per year</t>
  </si>
  <si>
    <t>Hourly rate</t>
  </si>
  <si>
    <t>Rate per minute</t>
  </si>
  <si>
    <t>Power User</t>
  </si>
  <si>
    <t>Casual User</t>
  </si>
  <si>
    <t>Benefit / User / Yr</t>
  </si>
  <si>
    <t>User Productivity Benefit Calculations</t>
  </si>
  <si>
    <t>Business Process Automation</t>
  </si>
  <si>
    <t>Collecting/combining data/information</t>
  </si>
  <si>
    <t>Data analysis</t>
  </si>
  <si>
    <t>Creating ad hoc BI-dependent documents</t>
  </si>
  <si>
    <t>How do POWER USERS perceive the VALUE of the BI/DW environment?</t>
  </si>
  <si>
    <t>How do CASUAL USERS perceive the VALUE of the BI/DW environment?</t>
  </si>
  <si>
    <t>Not Adjusted</t>
  </si>
  <si>
    <t>BI Applications</t>
  </si>
  <si>
    <t>Web analytics</t>
  </si>
  <si>
    <t>Activity-based costing</t>
  </si>
  <si>
    <t>Pricing optimization</t>
  </si>
  <si>
    <t>Sales force automation</t>
  </si>
  <si>
    <t>Call center analytic apps</t>
  </si>
  <si>
    <t>Sales analytic apps</t>
  </si>
  <si>
    <t xml:space="preserve"> A BI/DW application consists of a distinct set of related reports, dashboards, briefing books, or scorecards designed to support a specific set of tasks within a business domain or process.</t>
  </si>
  <si>
    <t>Indicate the extent to which desired portions of each of the following source systems have been included in (or fully integrated/federated with) the data warehouse</t>
  </si>
  <si>
    <t>Business process/activity monitoring (BAM)</t>
  </si>
  <si>
    <t>Fraud, waste, and abuse detection</t>
  </si>
  <si>
    <t>Campaign management/analysis</t>
  </si>
  <si>
    <t>Fulfillment management analysis</t>
  </si>
  <si>
    <t>Logistics management analysis</t>
  </si>
  <si>
    <t>Production and inventory analysis</t>
  </si>
  <si>
    <t>Demand forecasting/planning</t>
  </si>
  <si>
    <t>Consolidation</t>
  </si>
  <si>
    <t xml:space="preserve">Project Manager </t>
  </si>
  <si>
    <t xml:space="preserve">Business Analyst(s) </t>
  </si>
  <si>
    <t xml:space="preserve">Technical Lead / Solution Architect </t>
  </si>
  <si>
    <t xml:space="preserve">Data Modeler(s) </t>
  </si>
  <si>
    <t xml:space="preserve">ETL/Database Specialist(s) </t>
  </si>
  <si>
    <t xml:space="preserve">Front-End Tool Specialist(s) </t>
  </si>
  <si>
    <t xml:space="preserve">Stakeholders / Biz.Subj.Matter Expert(s) </t>
  </si>
  <si>
    <t xml:space="preserve">IT - Network Administrator(s) </t>
  </si>
  <si>
    <t>IT - System / DB Administrator(s)</t>
  </si>
  <si>
    <t>Required Roles</t>
  </si>
  <si>
    <t>Deploy</t>
  </si>
  <si>
    <t>Project Management</t>
  </si>
  <si>
    <t>Documentation, Report Development</t>
  </si>
  <si>
    <t>Planning, Evaluation, Needs Analysis, System Modeling</t>
  </si>
  <si>
    <t>Testing (lab / pilot)</t>
  </si>
  <si>
    <t>Engineering, Development, Configuration, Tuning</t>
  </si>
  <si>
    <t>External Consultants/Services</t>
  </si>
  <si>
    <t>Person-Weeks</t>
  </si>
  <si>
    <t>Current Adoption (As-Is)</t>
  </si>
  <si>
    <t>Simulated Adoption (To-Be)</t>
  </si>
  <si>
    <t>Source Systems</t>
  </si>
  <si>
    <t>Total (GB)</t>
  </si>
  <si>
    <t>Database administration</t>
  </si>
  <si>
    <t>Waste</t>
  </si>
  <si>
    <t xml:space="preserve">Fixed assets </t>
  </si>
  <si>
    <t>Business Objects, Cognos, MicroStrategy</t>
  </si>
  <si>
    <t>Ascential Software (DataStage), Informatica (PowerCenter), SAS (ETL Studio)</t>
  </si>
  <si>
    <t>Perf Mgmt / Scorecarding</t>
  </si>
  <si>
    <t>Client/Desktop Software Licensing Costs</t>
  </si>
  <si>
    <t>Server Application CALs (Client Access Licenses)</t>
  </si>
  <si>
    <t>Storage Hardware</t>
  </si>
  <si>
    <t>Total per BI User</t>
  </si>
  <si>
    <t>Quantity of Licenses (# of users requiring new licenses)</t>
  </si>
  <si>
    <t>Cost per License</t>
  </si>
  <si>
    <t>Power User Tools</t>
  </si>
  <si>
    <t>Client Application Licenses</t>
  </si>
  <si>
    <t>Total PPUs</t>
  </si>
  <si>
    <t>DW Database</t>
  </si>
  <si>
    <r>
      <t xml:space="preserve">To what degree is your sponsor COMMITTED to the BI/DW program?    </t>
    </r>
    <r>
      <rPr>
        <sz val="8"/>
        <rFont val="Arial"/>
        <family val="2"/>
      </rPr>
      <t xml:space="preserve">A committed sponsor evangelizes the BI/DW program to the entire company, secures funding, leads political interference, appoints a trusted advisor to oversee the project on a part-time basis, and sees the project through to completion (i.e., doesn't leave to pursue personal ambitions). </t>
    </r>
  </si>
  <si>
    <t>1%</t>
  </si>
  <si>
    <r>
      <t xml:space="preserve">What percent of desired/beneficial BI APPLICATIONS have been deployed/adopted?    </t>
    </r>
    <r>
      <rPr>
        <sz val="6"/>
        <color rgb="FF0000FF"/>
        <rFont val="Arial"/>
        <family val="2"/>
      </rPr>
      <t xml:space="preserve">A BI/DW application consists of a distinct set of related reports, dashboards, briefing books, or scorecards designed to support a specific set of tasks within a business domain or process, such as revenue management, customer churn analysis, supplier performance management, etc. </t>
    </r>
  </si>
  <si>
    <t>What portion of your organization's DEPARTMENTS OR FUNCTIONAL AREAS is supported by a centralized BI/DW environment?</t>
  </si>
  <si>
    <t>1 to 20%</t>
  </si>
  <si>
    <t>What portion of desired/beneficial DATA SOURCES does your BI/DW environment draw from?</t>
  </si>
  <si>
    <t>Ttl</t>
  </si>
  <si>
    <t>BI Application</t>
  </si>
  <si>
    <t>Value of Source (lookup)</t>
  </si>
  <si>
    <t>Range</t>
  </si>
  <si>
    <t>Maturity</t>
  </si>
  <si>
    <t>0 = No investment simulated</t>
  </si>
  <si>
    <t>1 = Minor enhancement/upgrade</t>
  </si>
  <si>
    <t>2 = Moderate improvement</t>
  </si>
  <si>
    <t>3 = Substantial improvement / major overhaul</t>
  </si>
  <si>
    <t>App Complexity (1=simple; 10=highly complex)</t>
  </si>
  <si>
    <t>Initiative Selection Extent</t>
  </si>
  <si>
    <t>Index</t>
  </si>
  <si>
    <t>Desc</t>
  </si>
  <si>
    <t>Closes % of Remaining Gap</t>
  </si>
  <si>
    <t>Source Complexity (1=simple; 10=highly complex)</t>
  </si>
  <si>
    <t>Importance Rating (0=not needed, 10=highly beneficial)</t>
  </si>
  <si>
    <t>Output (dependent variable) Calculations, Enabler List Builder</t>
  </si>
  <si>
    <t>Weighted Value</t>
  </si>
  <si>
    <t>Portion of Improvement</t>
  </si>
  <si>
    <t>Impact Rank</t>
  </si>
  <si>
    <t>Description Column</t>
  </si>
  <si>
    <t>Mins to be Listed</t>
  </si>
  <si>
    <t>Portion</t>
  </si>
  <si>
    <t>#</t>
  </si>
  <si>
    <t>Srtd Descptn &amp; (% Impt)</t>
  </si>
  <si>
    <t>max</t>
  </si>
  <si>
    <t>Position</t>
  </si>
  <si>
    <t xml:space="preserve">	Integration_x000D_</t>
  </si>
  <si>
    <t xml:space="preserve">	Data management_x000D_</t>
  </si>
  <si>
    <t>% of Remaining Gap</t>
  </si>
  <si>
    <t>App Complexity</t>
  </si>
  <si>
    <t>Extent Rating</t>
  </si>
  <si>
    <t>Enter the extent to which you'd like to simulate the costs/benefits of implementing the following initiative types.  You will be able to refine these on the "Initiatives" worksheet. This model estimates the costs and benefits of these initiatives.</t>
  </si>
  <si>
    <t>Sales/customer data</t>
  </si>
  <si>
    <t>Product data</t>
  </si>
  <si>
    <t>Marketing / campaign data</t>
  </si>
  <si>
    <t>Value Column</t>
  </si>
  <si>
    <t>coefficients</t>
  </si>
  <si>
    <t>Scorecards / Dashboards</t>
  </si>
  <si>
    <t>Adoption Difficulty (1=simple; 10=highly complex)</t>
  </si>
  <si>
    <t>IT Labor/Services</t>
  </si>
  <si>
    <t>Collaboration (data-intensive)</t>
  </si>
  <si>
    <t>Budgeting</t>
  </si>
  <si>
    <t>Financial planning and forecasting</t>
  </si>
  <si>
    <t xml:space="preserve">Performance Management </t>
  </si>
  <si>
    <t>As-Is FTEs*</t>
  </si>
  <si>
    <t>BI-Related IT Labor TCO and Labor Savings</t>
  </si>
  <si>
    <t>BI Staff % of Total IT Staff</t>
  </si>
  <si>
    <t>Ratio of PC Users to BI Staff</t>
  </si>
  <si>
    <t>IT Staff % of PC Users</t>
  </si>
  <si>
    <t>% Reduction</t>
  </si>
  <si>
    <t>To-Be FTEs*</t>
  </si>
  <si>
    <t>On-Going BI IT Labor Activities</t>
  </si>
  <si>
    <t>4+</t>
  </si>
  <si>
    <t>4% to 6%</t>
  </si>
  <si>
    <t>7% or more</t>
  </si>
  <si>
    <t>Key Performance Indicator (KPI) Assessment</t>
  </si>
  <si>
    <t>Activity / Task / Process</t>
  </si>
  <si>
    <t>Downtime or trouble-shooting time of BI-related systems</t>
  </si>
  <si>
    <t>User Support</t>
  </si>
  <si>
    <t>Enhance DW Platform</t>
  </si>
  <si>
    <t>Enhance BI Platform</t>
  </si>
  <si>
    <t>IT Training</t>
  </si>
  <si>
    <t>Formal (Classroom) Training</t>
  </si>
  <si>
    <t>Internal Training</t>
  </si>
  <si>
    <t>Independent Learning (Self-Study)</t>
  </si>
  <si>
    <t>Staff trained with this type of training</t>
  </si>
  <si>
    <t>Hours of training per staff member</t>
  </si>
  <si>
    <t>Labor Cost per Hour</t>
  </si>
  <si>
    <t>Training time (labor cost)</t>
  </si>
  <si>
    <t>Class and Additional Fee Cost per trainee</t>
  </si>
  <si>
    <t>Cost per Employee Trained</t>
  </si>
  <si>
    <t>Total Cost</t>
  </si>
  <si>
    <t>End-User Labor &amp; Training</t>
  </si>
  <si>
    <t>End-User Labor</t>
  </si>
  <si>
    <t>Hours per User Impacted</t>
  </si>
  <si>
    <t># Of Users</t>
  </si>
  <si>
    <t>Solution planning &amp; testing</t>
  </si>
  <si>
    <t>Downtime (Unable to be productive); e.g. during implementation of the solution</t>
  </si>
  <si>
    <t>Resolution of issues related to the new solution</t>
  </si>
  <si>
    <t>System configuration</t>
  </si>
  <si>
    <t>Data entry (not previously required)</t>
  </si>
  <si>
    <t>End-User Training</t>
  </si>
  <si>
    <t>External Classroom Training</t>
  </si>
  <si>
    <t>% of Employees trained</t>
  </si>
  <si>
    <t>Employees trained</t>
  </si>
  <si>
    <t>Hours of training per employee</t>
  </si>
  <si>
    <t>Labor/Service Summary</t>
  </si>
  <si>
    <t>Other Internal Labor</t>
  </si>
  <si>
    <t>Max Person-Weeks for 2500 BI User Org</t>
  </si>
  <si>
    <t>Scalar (based on # of Users</t>
  </si>
  <si>
    <t>Total Person-Weeks Estimated</t>
  </si>
  <si>
    <t>% of max (improvement)</t>
  </si>
  <si>
    <t>Change management</t>
  </si>
  <si>
    <t>Financial analysis</t>
  </si>
  <si>
    <t>Financial reporting</t>
  </si>
  <si>
    <t>Financial planning</t>
  </si>
  <si>
    <t>Supply chain analytics/optimization</t>
  </si>
  <si>
    <t>e.g. supplier performance</t>
  </si>
  <si>
    <t>HR/workforce analytics</t>
  </si>
  <si>
    <t>e.g. Sarbanes-Oxley</t>
  </si>
  <si>
    <t>Robust governance, monitoring, and auditing</t>
  </si>
  <si>
    <t>Enables BI apps to be integrated into a business process, and/or embedded in another application</t>
  </si>
  <si>
    <t>Business activity monitoring</t>
  </si>
  <si>
    <t>DW-sourced activity-based costing (ABC) and robust analysis of price/quantity/customer/product mix</t>
  </si>
  <si>
    <t>Low data latency; near real-time / less than one day, as needed</t>
  </si>
  <si>
    <t>whether a single DW, conformed data marts, or a virtual DW that effectively federates all desired data sources</t>
  </si>
  <si>
    <t>Standardized data marts</t>
  </si>
  <si>
    <t>A single, central DW</t>
  </si>
  <si>
    <t>Data management</t>
  </si>
  <si>
    <t>Automated data movement/integration</t>
  </si>
  <si>
    <t>Supports prediction of outcomes, models results, and optimizes plans</t>
  </si>
  <si>
    <t>Specialized tools enabling trend analysis, data mining, cluster analysis, etc.</t>
  </si>
  <si>
    <t>Broad-reach analytic tools</t>
  </si>
  <si>
    <t>Basic BI tools for all potential BI users (e.g. spreadsheets, interactive web-based analysis, etc.)</t>
  </si>
  <si>
    <t>Predictive analysis</t>
  </si>
  <si>
    <t>Robust, user-driven</t>
  </si>
  <si>
    <t>Supports variety of report types</t>
  </si>
  <si>
    <t>End-users build their own reports within a centrally managed environment (self-service reporting)</t>
  </si>
  <si>
    <t>Near-real-time monitoring/alerting of business activities and operational data</t>
  </si>
  <si>
    <t>BI/DW platform integration with productivity applications (e.g. Excel) incluing formats, formulas, data "refresh", cell locking, write-back, etc.</t>
  </si>
  <si>
    <t>BI/DW platform integration with user tools (e.g. Excel)</t>
  </si>
  <si>
    <t>Comprehensive hierarchy of KPIs based on shared business logic linking individual/department objectives to corporate strategy</t>
  </si>
  <si>
    <t>Individualized dashboards</t>
  </si>
  <si>
    <t>Enterprise scorecards</t>
  </si>
  <si>
    <t>Monitor performance metrics/KPIs (key performance indicators), compared to target value (e.g. balanced scorecards); Customizable individual KPIs; “click-to-analyze” functionality; Intuitive data displays (dials, gauges, traffic lights)</t>
  </si>
  <si>
    <t>Report scheduling, subscription, distribution</t>
  </si>
  <si>
    <t>Formal/static, interactive/drill-down, web-based, Excel, etc.</t>
  </si>
  <si>
    <t>Ad hoc query</t>
  </si>
  <si>
    <t>Collaboration portal integration</t>
  </si>
  <si>
    <t>Robust ability to share/discuss reports, analysis, performance, etc.</t>
  </si>
  <si>
    <t>Leverage workflow to rapidly analyze, respond to, and correct out-of-band conditions; ability to proactively assign tasks, route approvals, and monitor progress based on pre-defined business rules</t>
  </si>
  <si>
    <t>Enables users to create their own standards-conformed BI apps without IT involvement (graphical or wizard-based development tools)</t>
  </si>
  <si>
    <t>User app development</t>
  </si>
  <si>
    <t>Robust/comprehensive development tools leveraging common architecture, standards, and process framework for designing, implementing and maintaining the data-warehousing environment</t>
  </si>
  <si>
    <t>Robust development tools</t>
  </si>
  <si>
    <t>Extensible / supports web services</t>
  </si>
  <si>
    <t>Any data marts adhere to consistent/unified corporate data structure, definitions, metadata, and management tools</t>
  </si>
  <si>
    <t>Governance</t>
  </si>
  <si>
    <t>Defined, documented, and implemented definitions and rules for key terms and metrics (e.g. dimensions, hierarchies, measures, performance metrics, formulas, business logic, report layouts)</t>
  </si>
  <si>
    <t>Metadata definitions</t>
  </si>
  <si>
    <t>Metadata leveraged in all BI components; ability to easily search, capture, store, reuse and publish integrated/contextual/up-to-date metadata objects</t>
  </si>
  <si>
    <t>IT able to create &amp; centrally manage parameterized reports</t>
  </si>
  <si>
    <t>Data mining, search, OLAP, etc.</t>
  </si>
  <si>
    <t>KPIs are centrally managed, DW-sourced, auto-updated</t>
  </si>
  <si>
    <t>Consistent/robust DW/BI architecture, including administration, standards, management tools, object model, user interfaces, query engine, etc.</t>
  </si>
  <si>
    <t>Privileged access, auditing, etc.</t>
  </si>
  <si>
    <t>Importance-weighted (for benefit calcs)</t>
  </si>
  <si>
    <t>Complexity-weighted (for cost calcs)</t>
  </si>
  <si>
    <t>Raw Data Beneficial to Have in the DW (GB)</t>
  </si>
  <si>
    <t>Adoption Improve-ment</t>
  </si>
  <si>
    <t>Summary - Importance-weighted for benefit calculations</t>
  </si>
  <si>
    <t>Summary - Complexity-weighted for cost calculations</t>
  </si>
  <si>
    <t>Integration / ETL</t>
  </si>
  <si>
    <t>Reporting / Query / OLAP</t>
  </si>
  <si>
    <t>Casual User Tools</t>
  </si>
  <si>
    <t># of Production PPUs (Processing Power Units) Roughly equivalent to 1 average dual-core processor plus required RAM and other hardware</t>
  </si>
  <si>
    <t>Processors per Server</t>
  </si>
  <si>
    <t>Application Server Costs</t>
  </si>
  <si>
    <t>Cost per PPUs (incl. operating system, RAM, controllers, switches, NICs, 5-yr maintenance, etc)</t>
  </si>
  <si>
    <t>Portal / Collab / Workflow</t>
  </si>
  <si>
    <t>Other IT Tools</t>
  </si>
  <si>
    <t>Total Org ($000)</t>
  </si>
  <si>
    <t>Importance Rating / Size</t>
  </si>
  <si>
    <t>Retire/Avoid Obsolete/Superceded Software Costs - PCs</t>
  </si>
  <si>
    <t>Retire/Avoid Hardware Costs</t>
  </si>
  <si>
    <t>Reduce/Avoid Travel Expenses</t>
  </si>
  <si>
    <t># of employees impacted</t>
  </si>
  <si>
    <t>Average number of trips per year currently per impacted employee</t>
  </si>
  <si>
    <t>% of trips that could be avoided due to the proposed solution</t>
  </si>
  <si>
    <t>Trips avoided</t>
  </si>
  <si>
    <t>Cost of average trip</t>
  </si>
  <si>
    <t>Total Annual Benefit</t>
  </si>
  <si>
    <t>Per BI User</t>
  </si>
  <si>
    <t>Retire/Avoid Obsolete/Superceded Software Costs - Servers</t>
  </si>
  <si>
    <t>Client access license</t>
  </si>
  <si>
    <t>Utility</t>
  </si>
  <si>
    <t>Application</t>
  </si>
  <si>
    <t>Database</t>
  </si>
  <si>
    <t>Capabilities/features included in the proposed solution that can reduce the need for current or expected software costs</t>
  </si>
  <si>
    <t>Servers</t>
  </si>
  <si>
    <t>Storage</t>
  </si>
  <si>
    <t>Fully Burdened Cost per FTE*</t>
  </si>
  <si>
    <t>* Base compensation plus bonuses X burden rate.  Defaults are from "IT Staff Labor Rates" on the Profile worksheet.</t>
  </si>
  <si>
    <t>Report creation</t>
  </si>
  <si>
    <t>Application development</t>
  </si>
  <si>
    <t>IT Labor TCO / BI User / Year</t>
  </si>
  <si>
    <t>Integration</t>
  </si>
  <si>
    <t>% of BI staff trained with this type of training</t>
  </si>
  <si>
    <t>Database Administrator</t>
  </si>
  <si>
    <t>Integration-related activities</t>
  </si>
  <si>
    <t>Efforts to ensure/maintain data quality in DW/BI-relatedf systems: data cleansing and validation</t>
  </si>
  <si>
    <t>Management and administration of DW/BI-related systems (finance, sr. mgmt, etc.)</t>
  </si>
  <si>
    <t>Administration of DW/BI-related systems</t>
  </si>
  <si>
    <t>Creation of reports for business user consumption</t>
  </si>
  <si>
    <t>Source System Inclusion / Integration</t>
  </si>
  <si>
    <t>Benefit 
($ per BI User)</t>
  </si>
  <si>
    <t>Number of PC Users in the "Organization"</t>
  </si>
  <si>
    <t>Total Targeted Business Intelligence Users (BI Users)</t>
  </si>
  <si>
    <t>IT Labor/Services (by Capability Type)</t>
  </si>
  <si>
    <t>IT Labor/Services (by Activity Type)</t>
  </si>
  <si>
    <t>Cost</t>
  </si>
  <si>
    <t>Total Costs ($000)</t>
  </si>
  <si>
    <t>Total Costs (per BI User)</t>
  </si>
  <si>
    <t>Time dealing with security issue avoidance such as passwords, access permissions, etc.</t>
  </si>
  <si>
    <t>Time saved with new application capabilities that were not practical to develop in prior environment</t>
  </si>
  <si>
    <t>BI-dependent application development</t>
  </si>
  <si>
    <t>Rework due to lost work or data</t>
  </si>
  <si>
    <t>Incl self-help, peer support, and IT support</t>
  </si>
  <si>
    <t>*Conversion Factor (portion of time saved that will be effectively utilized to add real value to the organization)</t>
  </si>
  <si>
    <t>End-user development time of re-usable BI-dependent capabilities</t>
  </si>
  <si>
    <t>Communication and distribution of BI-related information</t>
  </si>
  <si>
    <t>Incl. KPIs, objectives, goals</t>
  </si>
  <si>
    <t>Workflow activities</t>
  </si>
  <si>
    <t>Review, approval, routing, signature collection of BI-related information</t>
  </si>
  <si>
    <t>Elimination of business process activities</t>
  </si>
  <si>
    <t>Time savings due to business process automation (elimination of manual or duplicative activities) e.g. eliminate data entry into line-of-business applications</t>
  </si>
  <si>
    <t>Consolidation of financial information</t>
  </si>
  <si>
    <t>Setting, routing, approval, and tracking of budgets</t>
  </si>
  <si>
    <t>Time searching for BI-related information</t>
  </si>
  <si>
    <t>Performance, Reliability, and Security</t>
  </si>
  <si>
    <t>Information Access &amp; Analysis</t>
  </si>
  <si>
    <t>Time waiting for BI-related systems to resond to user inputs (e.g. query response time)</t>
  </si>
  <si>
    <t>Response time (performance)</t>
  </si>
  <si>
    <t>Time integrating applications and data</t>
  </si>
  <si>
    <t>Ad hoc document creation</t>
  </si>
  <si>
    <t>Time combining information from multiple sources</t>
  </si>
  <si>
    <t>Report authoring</t>
  </si>
  <si>
    <t>Planning and forecasting financial information</t>
  </si>
  <si>
    <t>Power User mix</t>
  </si>
  <si>
    <t>Casual User mix</t>
  </si>
  <si>
    <t>Features</t>
  </si>
  <si>
    <t>Final Feature List</t>
  </si>
  <si>
    <t>Wtd Rtg</t>
  </si>
  <si>
    <t>IT Labor</t>
  </si>
  <si>
    <t>Number of BI Users</t>
  </si>
  <si>
    <t>Training &amp; End User Labor</t>
  </si>
  <si>
    <t>BI Applications IT Labor</t>
  </si>
  <si>
    <t>Source System Inclusion / Integration IT Labor</t>
  </si>
  <si>
    <t>Enhance DW Platform IT Labor</t>
  </si>
  <si>
    <t>Enhance BI Platform IT Labor</t>
  </si>
  <si>
    <t>Training &amp; User Labor</t>
  </si>
  <si>
    <t>Capability Assessment and Initiative Selection</t>
  </si>
  <si>
    <t>Marketing / Sales Apps</t>
  </si>
  <si>
    <t>Financial Apps</t>
  </si>
  <si>
    <t>Other / General Mgmt Apps</t>
  </si>
  <si>
    <t>Marketing / Sales Data Integration</t>
  </si>
  <si>
    <t>Financial Data Integration</t>
  </si>
  <si>
    <t>Other Data Integration</t>
  </si>
  <si>
    <t>Supply Chain / Ops Data Integration</t>
  </si>
  <si>
    <t>Architecture Standards &amp; Adherence</t>
  </si>
  <si>
    <t>Data Management</t>
  </si>
  <si>
    <t>Data Integration/ETL</t>
  </si>
  <si>
    <t>Data Warehouse / Data Marts</t>
  </si>
  <si>
    <t>Analytical Tools</t>
  </si>
  <si>
    <t>Workflow and Collaboration</t>
  </si>
  <si>
    <t>Preliminary Capability Assessment and Initiative Selection</t>
  </si>
  <si>
    <t>Current (As-Is) Capability Adoption %</t>
  </si>
  <si>
    <t>Simulated (To-Be) Capability Adoption %</t>
  </si>
  <si>
    <t>Initiative Invest-ment Level*</t>
  </si>
  <si>
    <t>Annual On-Going % of Initial</t>
  </si>
  <si>
    <t>New/Expanded Channels or Geographies</t>
  </si>
  <si>
    <t>Revenue Growth (Profit on)</t>
  </si>
  <si>
    <t>Profit on Revenue ($000)</t>
  </si>
  <si>
    <t>Revenue from newly introduced products/services (introduced within 12 months)</t>
  </si>
  <si>
    <t>Revenue from new channels or geographies</t>
  </si>
  <si>
    <t>Revenue potentially impacted by direct sales efforts</t>
  </si>
  <si>
    <t>Revenue most influenced by marketing initiatives</t>
  </si>
  <si>
    <t>Revenue most influenced by quality of customer service provided</t>
  </si>
  <si>
    <t>Revenue lost due to product not available (out of stock, downtime, etc.)</t>
  </si>
  <si>
    <t>Added Annual Revenue ($000)</t>
  </si>
  <si>
    <t>Revenue Driver</t>
  </si>
  <si>
    <t>Revenue Impacted (% of Total)</t>
  </si>
  <si>
    <t>Potential Portion of Revenue Impacted</t>
  </si>
  <si>
    <t>Revenue Increase due to the Solution</t>
  </si>
  <si>
    <t>On-time delivery %</t>
  </si>
  <si>
    <t>Compliance</t>
  </si>
  <si>
    <t>% of regulations in full compliance</t>
  </si>
  <si>
    <t>Financial Management Performance</t>
  </si>
  <si>
    <t>Supply/Operations/IT Performance</t>
  </si>
  <si>
    <t>Analysis/reporting Time</t>
  </si>
  <si>
    <t>Avg time (days) to complete financial reporting, planning, and forecasting activities</t>
  </si>
  <si>
    <t>Fraud-related expenses</t>
  </si>
  <si>
    <t>Reduce External Business Services</t>
  </si>
  <si>
    <t>Reduce Operational/Administrative Expenses</t>
  </si>
  <si>
    <t>Printing/paper costs</t>
  </si>
  <si>
    <t>Other Operations Costs</t>
  </si>
  <si>
    <t>Security incident remediation-related expenses (incidents/yr)</t>
  </si>
  <si>
    <t>Other external services (Hours)</t>
  </si>
  <si>
    <t>Operational Costs</t>
  </si>
  <si>
    <t>External Business Services</t>
  </si>
  <si>
    <t>Supply / Operations Apps</t>
  </si>
  <si>
    <t>Row</t>
  </si>
  <si>
    <t>List Maker</t>
  </si>
  <si>
    <t>Count</t>
  </si>
  <si>
    <t>Prior Enablers (row below))</t>
  </si>
  <si>
    <t>Working capital costs</t>
  </si>
  <si>
    <r>
      <rPr>
        <b/>
        <sz val="10"/>
        <color rgb="FF0000FF"/>
        <rFont val="Arial"/>
        <family val="2"/>
      </rPr>
      <t>Code (row)</t>
    </r>
    <r>
      <rPr>
        <b/>
        <sz val="10"/>
        <rFont val="Arial"/>
        <family val="2"/>
      </rPr>
      <t xml:space="preserve"> </t>
    </r>
  </si>
  <si>
    <r>
      <t xml:space="preserve">Description of Source (lookup), </t>
    </r>
    <r>
      <rPr>
        <b/>
        <sz val="10"/>
        <color rgb="FFFF0000"/>
        <rFont val="Arial"/>
        <family val="2"/>
      </rPr>
      <t>Importance Rating (0-9)</t>
    </r>
  </si>
  <si>
    <t/>
  </si>
  <si>
    <t>Key Initiatives Enabling the Improvement</t>
  </si>
  <si>
    <t>Development of BI-related applications and platform capabilities</t>
  </si>
  <si>
    <t>Paste These as "Values" below:</t>
  </si>
  <si>
    <t>Loyalty/churn analysis</t>
  </si>
  <si>
    <t>Customer behavior analysis</t>
  </si>
  <si>
    <t>Customer performance analysis</t>
  </si>
  <si>
    <t>Customer segmentation, optimization, etc.</t>
  </si>
  <si>
    <t>End user self-service development of custom analytic applications</t>
  </si>
  <si>
    <t>User development environment</t>
  </si>
  <si>
    <t>Business performance management</t>
  </si>
  <si>
    <t>Balanced scorecard, KPIs, etc.</t>
  </si>
  <si>
    <t>Automated DW synchronization</t>
  </si>
  <si>
    <t>DW refresh rate</t>
  </si>
  <si>
    <t>Capabilities/features included in the proposed solution that can reduce the need for planned or current software costs</t>
  </si>
  <si>
    <t>Imprmt</t>
  </si>
  <si>
    <t>% of BI users impacted (travel regularly and are likely to benefit from the proposed solution)</t>
  </si>
  <si>
    <t>Finding desired data/information</t>
  </si>
  <si>
    <t>Creating recurring BI-related reports/documents</t>
  </si>
  <si>
    <t>R&amp;D / prod development apps</t>
  </si>
  <si>
    <t>Customer service analysis</t>
  </si>
  <si>
    <t>Competitive intelligence analysis</t>
  </si>
  <si>
    <t>Risk mgmt analysis</t>
  </si>
  <si>
    <t>Compliance mgmt analysis</t>
  </si>
  <si>
    <t>Order entry data</t>
  </si>
  <si>
    <t>Manufacturing data</t>
  </si>
  <si>
    <t>Logistics, warehousing, distribution data</t>
  </si>
  <si>
    <t>Purchasing data</t>
  </si>
  <si>
    <t>Support / services data</t>
  </si>
  <si>
    <t>Financial data</t>
  </si>
  <si>
    <t>General ledger data</t>
  </si>
  <si>
    <t>Accounts payable data</t>
  </si>
  <si>
    <t>Accounts receivable data</t>
  </si>
  <si>
    <t>Treasury and cash mgmt data</t>
  </si>
  <si>
    <t>Project accounting data</t>
  </si>
  <si>
    <t>Human resources data</t>
  </si>
  <si>
    <t>R&amp;D data</t>
  </si>
  <si>
    <t>IT data</t>
  </si>
  <si>
    <t>Max %ile imprmt</t>
  </si>
  <si>
    <t>Enabled by Init</t>
  </si>
  <si>
    <t>Simulated (To-Be)</t>
  </si>
  <si>
    <t>Average BI-related system (local/LAN/WAN) response delay (Seconds)</t>
  </si>
  <si>
    <t>High performance/reliability infrastructure</t>
  </si>
  <si>
    <t>% of BI Users</t>
  </si>
  <si>
    <t>Max Possible Improvement</t>
  </si>
  <si>
    <t>Improvement (Max * ImpCalc)</t>
  </si>
  <si>
    <t>See instructions below</t>
  </si>
  <si>
    <t xml:space="preserve">This worksheet estimates the business user benefits enabled by the selected initiatives.  </t>
  </si>
  <si>
    <t>© Copyright, 2008, Hall Consulting &amp; Research LLC and TDWI, All Rights Reserved.  hallcr.com and www.tdwi.org</t>
  </si>
  <si>
    <t>Portion of PC Users that are Data-entry or Structured-Task Workers (less likely to significantly benefit from BI)</t>
  </si>
  <si>
    <t>Portion of PC Users that are Power Users*</t>
  </si>
  <si>
    <t>Rework time due to lost work or data (BI-related)</t>
  </si>
  <si>
    <t>Work Minutes per month</t>
  </si>
  <si>
    <t>User Labor Costs</t>
  </si>
  <si>
    <t>Adjusted / Discounted*</t>
  </si>
  <si>
    <t>Estimated Improvement</t>
  </si>
  <si>
    <t>Portion of Revenue Potentially Impacted by the Initiatives</t>
  </si>
  <si>
    <t>Max Potential Imp</t>
  </si>
  <si>
    <t>Imprvmt</t>
  </si>
  <si>
    <t>Portion of PC Users that are Information Workers (but not Power Users)**</t>
  </si>
  <si>
    <t xml:space="preserve">*A POWER USER is an information producer who creates reports and analyses on behalf of others.  Power users are typically business analysts.
**An Information Worker (IW ) or Knowledge Worker is an information consumer who examines data/information created by others on a regular basis. Executives and managers are typically casual users. </t>
  </si>
  <si>
    <t>Information Worker</t>
  </si>
  <si>
    <t>A 3-year life-expectancy is standard for tactical IT projects.  5 years is recommended for major BI initiatives.</t>
  </si>
  <si>
    <t>Default value is based on industry average.  This margin rate is used to calculate the business value of incremental revenue enabled by the initiatives selected.</t>
  </si>
  <si>
    <t>Maturity (to-be; as-is is off to the right)</t>
  </si>
  <si>
    <t>Value Col (As-Is Maturity)</t>
  </si>
  <si>
    <t>Max Imp</t>
  </si>
  <si>
    <t>What is the PREDOMINANT ARCHITECTURE of your DW environment?</t>
  </si>
  <si>
    <t>Multiplier</t>
  </si>
  <si>
    <t>Class and Additional Fee Cost (per trainee per Hr)</t>
  </si>
  <si>
    <t>Class and Additional Fee Cost (per trainee)</t>
  </si>
  <si>
    <t>Training time (labor cost) (per trainee)</t>
  </si>
  <si>
    <t>Scalar (based on economies of scope/scale)</t>
  </si>
  <si>
    <t>Power</t>
  </si>
  <si>
    <t>Add</t>
  </si>
  <si>
    <t>Sample Value</t>
  </si>
  <si>
    <t>Imp</t>
  </si>
  <si>
    <t>Training Cost scalar</t>
  </si>
  <si>
    <t>Total Cost Summary (Incl Labor)</t>
  </si>
  <si>
    <t>MS SQL, Oracle, IBM DB2, etc.</t>
  </si>
  <si>
    <t>MS Visual Studio, Oracle, IBM, etc.</t>
  </si>
  <si>
    <t>Cost per license</t>
  </si>
  <si>
    <t>Quantity of licenses (e.g. total # of new processors)</t>
  </si>
  <si>
    <t>Quantity of licenses (e.g. total # of new servers)</t>
  </si>
  <si>
    <t>Database Management Server (DBMS) Licensing</t>
  </si>
  <si>
    <t>Application Server Licensing</t>
  </si>
  <si>
    <t>Other Server Licenses: tools/utilities</t>
  </si>
  <si>
    <t>Product(s)</t>
  </si>
  <si>
    <t>Labor Cost Summary</t>
  </si>
  <si>
    <t>% Increase in BI FTEs</t>
  </si>
  <si>
    <t>Added BI FTEs</t>
  </si>
  <si>
    <t>FTEs</t>
  </si>
  <si>
    <t>TCO per BI User</t>
  </si>
  <si>
    <t>Current (as-is) BI labor</t>
  </si>
  <si>
    <t>Simulated BI labor (to maintain current BI capabilities)</t>
  </si>
  <si>
    <t>Added BI labor (to maintain new capabilities)</t>
  </si>
  <si>
    <t>Total Simulated (to-be) labor</t>
  </si>
  <si>
    <t>Labor Savings (to maintain current BI capabilities)</t>
  </si>
  <si>
    <t>TCO ($000)</t>
  </si>
  <si>
    <t>Net Change</t>
  </si>
  <si>
    <t>% of As-Is</t>
  </si>
  <si>
    <t>This is an annual on-going "benefit"</t>
  </si>
  <si>
    <t>This is an annual on-going "cost"</t>
  </si>
  <si>
    <t>IT Labor (to support current BI capabilities)</t>
  </si>
  <si>
    <t>Total IT Labor Change (labor TCO costs and savings/benefits)</t>
  </si>
  <si>
    <t>Costs - HW and SW</t>
  </si>
  <si>
    <t>Key Cost Drivers (Selected Initiatives that impact costs)</t>
  </si>
  <si>
    <t>Key Initiatives Driving Costs</t>
  </si>
  <si>
    <t>% of Max Potential Cost</t>
  </si>
  <si>
    <t>For Reference Only -- for advanced users</t>
  </si>
  <si>
    <t>Maximum "Total storage scalar"</t>
  </si>
  <si>
    <t>Max "Storage scalar (DW=100%)"</t>
  </si>
  <si>
    <t>DataFlux, Firstlogic, Group 1 Software, Similarity Systems, Trillium Software</t>
  </si>
  <si>
    <t>MS SharePoint, IBM</t>
  </si>
  <si>
    <t>MS Excel</t>
  </si>
  <si>
    <t>To-Be DW Raw Storage (GB)</t>
  </si>
  <si>
    <t>New DW Raw Storage (GB)</t>
  </si>
  <si>
    <t>Added Raw Data Storage Capacity (GB)</t>
  </si>
  <si>
    <t>Total New Storage Capacity (GB)</t>
  </si>
  <si>
    <t>Cost per GB (incl. rack, cabling, power supplies, backup, etc.)</t>
  </si>
  <si>
    <t>"Storage Capacity" scalar</t>
  </si>
  <si>
    <t>Added storage</t>
  </si>
  <si>
    <t>"Total storage scalar" (+1)</t>
  </si>
  <si>
    <t>Current DW Raw Storage (GB) - from "Source System Integration/Inclusion" on "Initiatives" worksheet</t>
  </si>
  <si>
    <t>BI Users per Server</t>
  </si>
  <si>
    <t>Production PPUs</t>
  </si>
  <si>
    <t>Maximum "PPU Scalar"</t>
  </si>
  <si>
    <t>PPU multiplier (account for additional development, test, and redundancy servers)</t>
  </si>
  <si>
    <t>"PPU Multiplier"</t>
  </si>
  <si>
    <t>SAS/SPSS</t>
  </si>
  <si>
    <t>Total storage multiplier (indexing, temp/aggregate tables, metadata, distributed replication, redundancy, development, testing, etc.)</t>
  </si>
  <si>
    <t>BI IT Labor Costs</t>
  </si>
  <si>
    <t>"BI Staff" (total IT staff FTEs conducting BI/DW-related activities)</t>
  </si>
  <si>
    <t>Source: Based on 2008 TDWI Salary, Roles, and Responsibilities Report</t>
  </si>
  <si>
    <t>BI IT Staff Labor Costs</t>
  </si>
  <si>
    <t>Source of user salary data: based on HCR analysis of U.S. Department of Labor, Bureau of Labor Statistics data; The World Bank, World Development Indicators Database; and Organisation for Economic Co-operation and Development.  Salary data is scaled based on industry, geography, and organization size.</t>
  </si>
  <si>
    <t>Source of salary data: based on 2008 TDWI Salary, Roles, and Responsibilities Repor. Salary data is scaled based on industry, geography, and organization size.</t>
  </si>
  <si>
    <t>Number of PC Users is typically approximately the same as the number of PCs.  "Organization" refers only to the portion of the enterprise/organization that is in scope (the focus of the study).  "Organization" could be a business unit or division of an enterprise.</t>
  </si>
  <si>
    <t>Role</t>
  </si>
  <si>
    <t>BI Director</t>
  </si>
  <si>
    <t>Business Sponsor</t>
  </si>
  <si>
    <t>Lead Information Architect</t>
  </si>
  <si>
    <t>BI Program Manager</t>
  </si>
  <si>
    <t xml:space="preserve">Technical Architect/Systems Analyst </t>
  </si>
  <si>
    <t>BI Project Manager</t>
  </si>
  <si>
    <t>Data Analyst/Data Modeler</t>
  </si>
  <si>
    <t>Business Requirements Analyst</t>
  </si>
  <si>
    <t>Data Acquisition (ETL) Architect/Developer</t>
  </si>
  <si>
    <t>Data Warehouse Administrator</t>
  </si>
  <si>
    <t>Decision Support (BI) Architect/Developer</t>
  </si>
  <si>
    <t>2007 Salary ($)</t>
  </si>
  <si>
    <t>2006 Salary ($)</t>
  </si>
  <si>
    <t>Change (%)</t>
  </si>
  <si>
    <t>Receiving Bonus (%)</t>
  </si>
  <si>
    <t>Avg Bonus ($)</t>
  </si>
  <si>
    <t>Total Cash Compensation ($)</t>
  </si>
  <si>
    <t>%</t>
  </si>
  <si>
    <t>Program/Project Manager</t>
  </si>
  <si>
    <t>Category</t>
  </si>
  <si>
    <t>Business/Data Analyst</t>
  </si>
  <si>
    <t>Database/DW Administrator (DBA)</t>
  </si>
  <si>
    <t>Architect/Engineer/Developer</t>
  </si>
  <si>
    <t>BI Management / Sponsor</t>
  </si>
  <si>
    <t>Burdened Hourly Rate</t>
  </si>
  <si>
    <t>Operating system / utility / tool</t>
  </si>
  <si>
    <t>Relative Import-ance ** (0-10)</t>
  </si>
  <si>
    <t>Define user requirements</t>
  </si>
  <si>
    <t>Analyze source systems</t>
  </si>
  <si>
    <t>Model/revise target model</t>
  </si>
  <si>
    <t>Develop extract, transform, load, and validation routines</t>
  </si>
  <si>
    <t>Create/revise reports</t>
  </si>
  <si>
    <t>Test</t>
  </si>
  <si>
    <t>Deploy and train users</t>
  </si>
  <si>
    <t>Current
(As-Is)</t>
  </si>
  <si>
    <t>The table/chart below provides a summary of the 4 categories of non-financial KPIs.  There are 4 to 10 specific KPIs in each category.  The percentiles shown are how the organization compares to others in the industry.  0% represents worst performance in the industry (laggard); 50% is average performance; 100% is best in the industry (world class performance).  The "Improvement" indicates how much the organization is expected to improve KPI performance due to the solution.  Additional details can be found in the "KPIs" worksheet.</t>
  </si>
  <si>
    <t>The tables/charts below provide additional details regarding each of the four quantified benefit types.</t>
  </si>
  <si>
    <t xml:space="preserve">The table/chart below provide additional cost details.
</t>
  </si>
  <si>
    <t>Shown below are the costs and benefits by year, the net benefits (benefits-costs), and the cumulative cash flow.  This is used to calculate payback period, IRR, and NPV.</t>
  </si>
  <si>
    <t>Below are the initial design/development/deployment and added annual on-going costs required to fully deploy, adopt and support the initiative.  Additional details can be found below and on the "Cost" worksheet.</t>
  </si>
  <si>
    <t>Initiative Investment Level</t>
  </si>
  <si>
    <t>The table/graph below show estimated Maturity Levels.  You will be able to refine these on the "Maturity" worksheet. Default levels are estimated based on capabilities/initiatives selected above.</t>
  </si>
  <si>
    <t>The table below summarizes the extent of the organization's adoption of BI capabilities.  The simulated (to-be) adoption is based on the scope/scale of selected initiatives enabling increased capability adoption.  All costs in this model are based on scope/scale of initiatives selected.  All benefits in this model are based on improvements to capability adoption - adoption of more BI capabilities and best practices lead to improved business performance.  Details are contained in the "Initiatives" worksheet.</t>
  </si>
  <si>
    <t>These tables and graphs summarize the costs and benefits and calculates ROI, NPV, IRR, and payback period.  The results are shown average per PC and the total for the organization.</t>
  </si>
  <si>
    <t>Below are the benefits enabled by the initiative.  The detailed calculations are below and on the green benefit worksheets.</t>
  </si>
  <si>
    <t>Business Intelligence ROI Tool Results Report</t>
  </si>
  <si>
    <t>BI Maturity Levels</t>
  </si>
  <si>
    <t>Collects information about: organization size, location, and industry; end user types; and labor costs.  The user enters summary-level BI capability adoption levels and initiatives to improve adoption of capabilities.  This information is used to estimate default values for all costs and benefits throughout the rest of the model.  It displays a summary of costs, benefits, and maturity levels of the scenario modeled.</t>
  </si>
  <si>
    <t>Detailed assessment of current (as-is) BI capability adoption levels.  The user also enters desired to-be capability levels (selection of initiatives).  All costs and benefit estimates are based on the scope/scale of the initiatives selected here.</t>
  </si>
  <si>
    <t>Costs - Labor</t>
  </si>
  <si>
    <t>Costs - HwSw</t>
  </si>
  <si>
    <t>Estimates all hardware and software costs (including one-time and annual on-going costs) needed to support the selected initiatives.</t>
  </si>
  <si>
    <t>Estimates all labor costs (direct and indirect) needed to implement, fully adopt, maintain, and support the solution.  Includes: IT labor, user labor, one-time and annual on-going costs.</t>
  </si>
  <si>
    <t>Assesses BI-related IT labor FTEs (full-time equivalents) and TCO (Total Cost of Ownership).  Estimates how/how much the selected solution will reduce IT labor FTEs/TCO.  Lists user-selected initiatives that enable the improvements (benefits).</t>
  </si>
  <si>
    <t>Estimates user time/labor savings enabled by the solution.  First estimates the amount of time users spend conducting common business activities then estimates how much the solution is expected to increase the efficiency of conducting key activities.  The time savings is discounted using a "Productivity Conversion Factor", then converted into $ value.  Lists user-selected initiatives that enable the improvements (benefits).</t>
  </si>
  <si>
    <t>Estimates how and how much the solution is expected to increase revenue.  The benefit is the profit on the incremental revenue.  Lists user-selected initiatives that enable the improvements (benefits).</t>
  </si>
  <si>
    <t>Estimates non-labor direct IT and business benefits enabled by the solution.  Lists user-selected initiatives that enable the improvements (benefits).</t>
  </si>
  <si>
    <t>Assessment of how the solution may impact a variety of business KPIs.  In this model, these KPI changes are not converted into financial benefits.  Lists user-selected initiatives that enable the improvements (benefits).</t>
  </si>
  <si>
    <t>Results Report</t>
  </si>
  <si>
    <t>TDWI BI Maturity Assessment</t>
  </si>
  <si>
    <t>Assesses "as-is" and "to-be" maturity levels.  "To-be" maturity levels are based on scope/scale of the initiatives selected. Lists key user-selected initiatives enbling the improvement to the "to-be" levels.</t>
  </si>
  <si>
    <t>BI Capability Adoption and Initiative Investment Levels</t>
  </si>
  <si>
    <t>The chart below shows the organization's current (as-is) and simulated (to-be) maturity levels.  The improvements are simulated based on scope/scale of selected initiatives.  This assessment is based on TDWIs BI Maturity Model.  Improvements to maturity levels typically result in higher business performance.</t>
  </si>
  <si>
    <t>Model Methodology</t>
  </si>
  <si>
    <t>About TDWI's BI Maturity Model</t>
  </si>
  <si>
    <t>TDWI’s BI Maturity Model consists of five stages: Infant, Child, Teenager, Adult, and Sage. There are also two major obstacles: the Gulf, which occurs between the Infant and Child stages, and the Chasm, which occurs between the Teenager and Adult stages. As organizations progress through the stages, they reap greater business value from their BI investments and achieve greater consistency in the way they define shared terms and metrics. The key elements of TDWI’s BI Maturity Model are illustrated below.</t>
  </si>
  <si>
    <t>The model contains eight categories that represent dimensions of TDWI’s BI Maturity Model. The eight categories are:
1. Scope. To what extent does the BI/DW program support all parts of the organization and all potential users?
2. Sponsorship. To what degree are BI/DW sponsors engaged and committed to the program?
3. Funding. How successful is the BI/DW team in securing funding to meet business requirements?
4. Value. How effectively does the BI/DW solution meet business needs and expectations?
5. Architecture. How advanced is the BI/DW architecture, and to what degree do groups adhere to architectural standards?
6. Data. To what degree does the data provided by the BI/DW environment meet business requirements?
7. Development. How effective is the BI/DW team’s approach to managing projects and developing solutions?
8. Delivery. How aligned are reporting/analysis capabilities with user requirements and what is the extent of usage?
The chart below provides a quick synopsis of the levels of maturity for each dimension in the model. The value statements in some categories, such as delivery and value, are additive, not exclusive, as an organization moves from stage to stage.</t>
  </si>
  <si>
    <t>Terms of Use / End-User License Agreement (EULA)</t>
  </si>
  <si>
    <t>• Comprehensive BI capability/maturity assessment
• Supports most types of enterprise-scale BI initiatives.  Includes sample cost and benefit data for common BI initiatives. 
     o Enhance/deploy a variety of types of BI applications
     o Incorporate (or integrate with) various new source systems
     o Build/enhance most aspects of the data warehouse platform
     o Build/enhance most aspects of the BI platform
• Comprehensive assessment of BI initiative costs and benefits
     o Costs:  hardware; software; IT labor, training, and services; and user labor and training
     o Benefits:  IT labor TCO savings, user productivity benefits, revenue growth, and non-financial key performance indicators
• Comprehensive financial analysis. Calculates project cash flow, cost-benefit analysis, ROI, NPV, IRR, and payback period 
• Supports rapid (30 minute) or detailed (5+ day) assessments. This model was designed to provide either a rapid assessment (by just entering/selecting basic organizational profile, maturity, and desired initiative information) or a very detailed (5+ day) assessment by modifying hundreds of detailed inputs.
• Protected, yet customizable:  Essentially all values can be modified.  Many custom cost and benefit items can be added.  Formulas and other areas of the model that should not be modified are protected (locked) to maintain integrity.  HCR can provide additional fee-based customization, if desired.  
• Based on industry-standard calculations and industry-leading methodologies.  It is as transparent as possible so the user is able to understand how the costs and benefits are calculated.  
• Provides default values.  Default values (labor costs, user type mix, financial information, etc.) are provided based on your organization’s industry, geography, organization size and initiative type to enable more rapid assessments.  Data/estimate sources are listed.  You may overwrite any of the pre-populated defaults.  Sample cost and benefit data is also provided throughout the model based on profile data and initiatives selected.
• Benefits linked to enabling initiatives.  The model lists key user-selected initiatives that enable each benefit type.
• User-friendly.  The workbook contains instructions, descriptions, and references.  Results are updated real-time and are displayed graphically throughout the model.  Some versions include macros to restore default values.  Although the model is user-friendly, we recommend users have at least a moderately-advanced understanding of business value concepts to develop a credible business case.
• See Terms of Use. 
NOTE:  Sample cost and benefit data should not be used for making investment decisions.  Sample data is not meant to represent average/typical project results and is not based on research.  It should only be used as a starting place for assessing the business value of your initiatives(s).  Initiative costs and benefits will differ substantially from one organization to another.</t>
  </si>
  <si>
    <t>1. Read the "Terms of Use" and "Disclaimer".
2. Before making any changes to the workbook, save the workbook under a different name.  This will preserve the original default values and formulas so you may return to them at a later time.  Clicking the blue "Restore Defaults" icons will return inputs to their original values (only for versions that contain “Restore Defaults” macros).
3. Navigate the workbook using the worksheet tabs at the bottom.  Start with the "Profile" tab.  This worksheet contains the most important cost and benefit drivers.  You will also see a summary view of the costs and benefits of the scenario modeled.  Enter/edit data in the "input" (light yellow) cells with blue text and double outline.  Edit (overwrite) the default values to customize results for your particular organization/initiative.
4. Review the “ROI” worksheet to pre-view the costs and benefits. 
5. Select initiatives (“Initiatives” worksheet) to be simulated.  Complete the Maturity Assessment (“Maturity” worksheet).
6. Review the detailed default metrics and calculations in the "Costs" (red tab) and Benefit (green tabs) worksheets.  Although not required, we recommend completing the “Costs” worksheet first to more clearly define the initiative.  
7. The "Financial Analysis" report (or any other worksheet) can be printed or saved as PDF/XPS.  Portions of the model may be incorporated (e.g. “Paste Special As Picture”) into a more comprehensive business case-type report.  
8. Additional instructions are provided in the model
9. If fee-based consultative guidance and/or customizations are desired, contact HCR.</t>
  </si>
  <si>
    <t>Results should be considered estimates only.  It is intended to help guide customers in better understanding approximate costs and benefits of various scenarios.  Due to limitations of simulation tools, actual results may differ significantly.  Deployment/investment decisions should not be based on the results of this tool alone -- it is not intended to be a substitute for professional advice.  
This information is provided to you as a tool “as is” with the understanding that there are no representations or warranties of any kind either express or implied.  TDWI, HCR, and suppliers/vendors disclaim all warranties including, but not limited to, implied warranties of merchantability or fitness for a particular purpose.  TDWI, HCR, and suppliers do not warrant or make any representations regarding the use, validity, accuracy or reliability of the tool or the results of the use of the tool.  In no event shall TDWI, HCR or suppliers be liable for any damages, including those arising as a result of TDWI, HCR or supplier negligence, whether those damages are direct, consequential, incidental, or special, flowing from your use of or inability to use the tool, or information provided herewith, or results of the tool's use, even if TDWI, HCR, or suppliers has been advised of the possibility of such damages.</t>
  </si>
  <si>
    <t>TDWI/HCR does not provide free support for this model.  However, we do welcome any comments, suggestions, and feedback.
HCR can provide fee-based services, including telephonic support, workbook customizations, and comprehensive consulting engagements to assist with business case development and validation.</t>
  </si>
  <si>
    <t>The chart below graphically presents the components of the model.</t>
  </si>
  <si>
    <t>By using the software/document, you accept these terms.  If you do not accept them, do not use the software.
1. This is a free “Preview”:  You may use, copy, redistribute, display, print, and reproduce this software/document.
2. You may NOT sell, rent, lease, or lend this software/document or portions/derivations of it.
3. You may NOT create derivative works from or "reverse-engineer" this software/document.
4. You may only modify portions of the software/document designated as "Input" cells (light yellow cells with double-outline and blue text).
5. You may NOT attempt to modify any “Protected”/”Locked” portions of this software/document. 
6. You must maintain all copyright and other notices contained in this software/document.
7. You may incorporate only static (e.g. values, graphics) portions of this software/document within other documents (e.g. a business case report) as long as the dynamic (e.g. equations, macros) functionality of the workbook is not also incorporated or duplicated.</t>
  </si>
  <si>
    <t>This model assesses the costs and benefits of enhancing (investing in) the organization's business intelligence (BI) capabilities.  The model assesses the organizations BI maturity levels and capabilities.  The model is adapted from TDWIs BI Maturity model and research from a variety of industry analysts and subject matter experts.  
The user selects the extent to which the organization expects to invest into implementing a variety of BI initiatives.
The model simulates "To-Be" capability adoption based on initiatives selected by the model user.  The model estimates costs required to implement the new capabilities/solutions, including hardware, software, IT labor, and user labor. It then simulates benefits (user productivity, IT labor, cost savings, and revenue growth) enabled by the solutions selected. The model also simulates improvements to KPIs (Key Performance Indicators) enabled by the solutions selected.  The formulas to calculate default costs and benefits are based on a variety of “rules of thumb”, research, customer experiences, and input from subject matter experts.  The model lists the user-selected initiatives that enable each benefit.
The model also assesses the organization’s current (as-is) and simulated (to-be) maturity levels, based on TDWI’s BI Maturity Model.  Research has shown that there is a strong correlation between maturity/capability levels and business performance:  business performance tends to improve as the organization invests into advancing maturity levels.
The results (including cash flow, ROI, NPV, and payback period) are included in the "ROI" worksheet. 
The model provides a robust structure to assist the organization in assessing the costs and benefits of investing in BI initiatives.  However, this tool cannot accurately/credibly estimate costs/benefits without significant user review, validation, and adjustment of many data inputs.  The detailed inputs need to be customized to each particular organization and set of initiatives.  Results will differ significantly from one organization to another.</t>
  </si>
  <si>
    <t>Version 0.9 (Preview)</t>
  </si>
  <si>
    <t>This BI Business Value workbook helps organizations assess/estimate the costs and benefits (ROI) of business intelligence initiatives. 
This Excel tool is an advanced/comprehensive business value model (Business Intelligence ROI calculator) to support the development of business cases for enterprise-scale business intelligence projects.  It provides a robust structure to help organizations assess the business value (costs, benefits, and ROI) of BI initiatives.  It also helps to assess the organization’s current (as-is) and expected (to-be) maturity levels using TDWIs BI Maturity Model.
This Results Report summarize the results of the tool.</t>
  </si>
  <si>
    <r>
      <rPr>
        <b/>
        <sz val="10"/>
        <rFont val="Arial"/>
        <family val="2"/>
      </rPr>
      <t xml:space="preserve">This BI Business Value workbook helps organizations assess/estimate the costs and benefits (ROI) of business intelligence initiatives. </t>
    </r>
    <r>
      <rPr>
        <sz val="10"/>
        <rFont val="Arial"/>
        <family val="2"/>
      </rPr>
      <t xml:space="preserve">
This Excel tool is an advanced/comprehensive business value model (Business Intelligence ROI calculator) to support planning and the development of business cases for enterprise-scale business intelligence projects.  It provides a robust structure to help organizations assess the business value (costs, benefits, and ROI) of BI initiatives.  It also helps to assess the organization’s current (as-is) and expected (to-be) maturity levels using TDWIs BI Maturity Model.
This workbook can be used as a standard corporate business case template for BI initiatives.  It can also be used by consultants and technology vendors to articulate the business value of their BI products and solutions.
This tool was developed by Hall Consulting &amp; Research LLC (hallcr.com) and TDWI (The Data Warehouse Institute) www.tdwi.org.</t>
    </r>
  </si>
  <si>
    <t>Business Intelligence ROI Calculator</t>
  </si>
</sst>
</file>

<file path=xl/styles.xml><?xml version="1.0" encoding="utf-8"?>
<styleSheet xmlns="http://schemas.openxmlformats.org/spreadsheetml/2006/main">
  <numFmts count="14">
    <numFmt numFmtId="6" formatCode="&quot;$&quot;#,##0_);[Red]\(&quot;$&quot;#,##0\)"/>
    <numFmt numFmtId="42" formatCode="_(&quot;$&quot;* #,##0_);_(&quot;$&quot;* \(#,##0\);_(&quot;$&quot;* &quot;-&quot;_);_(@_)"/>
    <numFmt numFmtId="41" formatCode="_(* #,##0_);_(* \(#,##0\);_(* &quot;-&quot;_);_(@_)"/>
    <numFmt numFmtId="44" formatCode="_(&quot;$&quot;* #,##0.00_);_(&quot;$&quot;* \(#,##0.00\);_(&quot;$&quot;* &quot;-&quot;??_);_(@_)"/>
    <numFmt numFmtId="164" formatCode="_(* #,##0_);_(* \(#,##0\);_(* &quot;-&quot;??_);_(@_)"/>
    <numFmt numFmtId="165" formatCode="_(&quot;$&quot;* #,##0_);_(&quot;$&quot;* \(#,##0\);_(&quot;$&quot;* &quot;-&quot;??_);_(@_)"/>
    <numFmt numFmtId="166" formatCode="0.0%"/>
    <numFmt numFmtId="167" formatCode="_(* #,##0.0_);_(* \(#,##0.0\);_(* &quot;-&quot;_);_(@_)"/>
    <numFmt numFmtId="168" formatCode="0.0"/>
    <numFmt numFmtId="169" formatCode="[$-F400]h:mm:ss\ AM/PM"/>
    <numFmt numFmtId="170" formatCode="_(&quot;$&quot;* #,##0.0_);_(&quot;$&quot;* \(#,##0.0\);_(&quot;$&quot;* &quot;-&quot;??_);_(@_)"/>
    <numFmt numFmtId="171" formatCode="0&quot; GB&quot;"/>
    <numFmt numFmtId="172" formatCode="_(&quot;$&quot;* #,##0.0_);_(&quot;$&quot;* \(#,##0.0\);_(&quot;$&quot;* &quot;-&quot;_);_(@_)"/>
    <numFmt numFmtId="173" formatCode="_(&quot;$&quot;* #,##0.00_);_(&quot;$&quot;* \(#,##0.00\);_(&quot;$&quot;* &quot;-&quot;_);_(@_)"/>
  </numFmts>
  <fonts count="79">
    <font>
      <sz val="10"/>
      <name val="Arial"/>
    </font>
    <font>
      <sz val="11"/>
      <color theme="1"/>
      <name val="Calibri"/>
      <family val="2"/>
      <scheme val="minor"/>
    </font>
    <font>
      <sz val="10"/>
      <name val="Arial"/>
      <family val="2"/>
    </font>
    <font>
      <sz val="11"/>
      <color indexed="8"/>
      <name val="Calibri"/>
      <family val="2"/>
    </font>
    <font>
      <sz val="10"/>
      <name val="Arial"/>
      <family val="2"/>
    </font>
    <font>
      <b/>
      <sz val="18"/>
      <name val="Arial Black"/>
      <family val="2"/>
    </font>
    <font>
      <b/>
      <sz val="10"/>
      <name val="Arial"/>
      <family val="2"/>
    </font>
    <font>
      <u/>
      <sz val="10"/>
      <color indexed="12"/>
      <name val="Arial"/>
      <family val="2"/>
    </font>
    <font>
      <i/>
      <sz val="8"/>
      <color indexed="23"/>
      <name val="Calibri"/>
      <family val="2"/>
    </font>
    <font>
      <b/>
      <sz val="12"/>
      <color indexed="18"/>
      <name val="Arial"/>
      <family val="2"/>
    </font>
    <font>
      <i/>
      <sz val="10"/>
      <name val="Calibri"/>
      <family val="2"/>
    </font>
    <font>
      <b/>
      <sz val="10"/>
      <color indexed="10"/>
      <name val="Arial"/>
      <family val="2"/>
    </font>
    <font>
      <sz val="10"/>
      <color indexed="8"/>
      <name val="Arial"/>
      <family val="2"/>
    </font>
    <font>
      <sz val="11"/>
      <color indexed="8"/>
      <name val="Arial"/>
      <family val="2"/>
    </font>
    <font>
      <b/>
      <sz val="10"/>
      <color indexed="8"/>
      <name val="Arial"/>
      <family val="2"/>
    </font>
    <font>
      <sz val="8"/>
      <name val="Arial"/>
      <family val="2"/>
    </font>
    <font>
      <b/>
      <sz val="9"/>
      <name val="Arial"/>
      <family val="2"/>
    </font>
    <font>
      <sz val="9"/>
      <name val="Arial"/>
      <family val="2"/>
    </font>
    <font>
      <u/>
      <sz val="10"/>
      <name val="Arial"/>
      <family val="2"/>
    </font>
    <font>
      <b/>
      <sz val="18"/>
      <name val="Arial"/>
      <family val="2"/>
    </font>
    <font>
      <b/>
      <sz val="11"/>
      <color indexed="18"/>
      <name val="Arial"/>
      <family val="2"/>
    </font>
    <font>
      <i/>
      <sz val="9"/>
      <color rgb="FF7F7F7F"/>
      <name val="Calibri"/>
      <family val="2"/>
      <scheme val="minor"/>
    </font>
    <font>
      <b/>
      <sz val="14"/>
      <color rgb="FF000066"/>
      <name val="Arial Black"/>
      <family val="2"/>
    </font>
    <font>
      <b/>
      <sz val="12"/>
      <color rgb="FF000099"/>
      <name val="Arial Rounded MT Bold"/>
      <family val="2"/>
    </font>
    <font>
      <b/>
      <sz val="11"/>
      <color rgb="FF0033CC"/>
      <name val="Arial Rounded MT Bold"/>
      <family val="2"/>
    </font>
    <font>
      <sz val="10"/>
      <color rgb="FFFF0000"/>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1"/>
      <color rgb="FFFA7D00"/>
      <name val="Calibri"/>
      <family val="2"/>
      <scheme val="minor"/>
    </font>
    <font>
      <b/>
      <sz val="11"/>
      <color theme="0"/>
      <name val="Calibri"/>
      <family val="2"/>
      <scheme val="minor"/>
    </font>
    <font>
      <sz val="10"/>
      <color rgb="FF000000"/>
      <name val="Arial"/>
      <family val="2"/>
    </font>
    <font>
      <sz val="11"/>
      <color indexed="16"/>
      <name val="Calibri"/>
      <family val="2"/>
    </font>
    <font>
      <b/>
      <sz val="11"/>
      <color indexed="9"/>
      <name val="Calibri"/>
      <family val="2"/>
    </font>
    <font>
      <sz val="11"/>
      <color indexed="17"/>
      <name val="Calibri"/>
      <family val="2"/>
    </font>
    <font>
      <sz val="11"/>
      <color indexed="53"/>
      <name val="Calibri"/>
      <family val="2"/>
    </font>
    <font>
      <sz val="11"/>
      <color indexed="60"/>
      <name val="Calibri"/>
      <family val="2"/>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0"/>
      <name val="Arial"/>
      <family val="2"/>
    </font>
    <font>
      <i/>
      <sz val="8"/>
      <color rgb="FF7F7F7F"/>
      <name val="Calibri"/>
      <family val="2"/>
      <scheme val="minor"/>
    </font>
    <font>
      <sz val="10"/>
      <color indexed="12"/>
      <name val="Arial"/>
      <family val="2"/>
    </font>
    <font>
      <i/>
      <sz val="10"/>
      <name val="Calibri"/>
      <family val="2"/>
      <scheme val="minor"/>
    </font>
    <font>
      <b/>
      <u/>
      <sz val="10"/>
      <name val="Arial"/>
      <family val="2"/>
    </font>
    <font>
      <b/>
      <sz val="8"/>
      <name val="Arial"/>
      <family val="2"/>
    </font>
    <font>
      <sz val="7"/>
      <color rgb="FF000099"/>
      <name val="Franklin Gothic Book"/>
      <family val="2"/>
    </font>
    <font>
      <sz val="10"/>
      <color rgb="FFFFFFFF"/>
      <name val="Arial"/>
      <family val="2"/>
    </font>
    <font>
      <u/>
      <sz val="8"/>
      <color indexed="12"/>
      <name val="Arial"/>
      <family val="2"/>
    </font>
    <font>
      <b/>
      <sz val="14"/>
      <color rgb="FF000066"/>
      <name val="Arial"/>
      <family val="2"/>
    </font>
    <font>
      <b/>
      <sz val="26"/>
      <color theme="3"/>
      <name val="Arial Black"/>
      <family val="2"/>
    </font>
    <font>
      <i/>
      <sz val="8"/>
      <name val="Calibri"/>
      <family val="2"/>
      <scheme val="minor"/>
    </font>
    <font>
      <sz val="10"/>
      <color rgb="FF0000FF"/>
      <name val="Franklin Gothic Book"/>
      <family val="2"/>
    </font>
    <font>
      <b/>
      <sz val="14"/>
      <color rgb="FF0000FF"/>
      <name val="Franklin Gothic Book"/>
      <family val="2"/>
    </font>
    <font>
      <sz val="10"/>
      <color rgb="FF0000FF"/>
      <name val="Arial"/>
      <family val="2"/>
    </font>
    <font>
      <b/>
      <sz val="22"/>
      <color indexed="62"/>
      <name val="Arial"/>
      <family val="2"/>
    </font>
    <font>
      <b/>
      <sz val="10"/>
      <color indexed="12"/>
      <name val="Arial"/>
      <family val="2"/>
    </font>
    <font>
      <sz val="10"/>
      <color indexed="10"/>
      <name val="Arial"/>
      <family val="2"/>
    </font>
    <font>
      <b/>
      <sz val="14"/>
      <color indexed="12"/>
      <name val="Arial"/>
      <family val="2"/>
    </font>
    <font>
      <b/>
      <sz val="14"/>
      <name val="Arial"/>
      <family val="2"/>
    </font>
    <font>
      <sz val="11"/>
      <color theme="0"/>
      <name val="Calibri"/>
      <family val="2"/>
      <scheme val="minor"/>
    </font>
    <font>
      <sz val="6"/>
      <color rgb="FF0000FF"/>
      <name val="Arial"/>
      <family val="2"/>
    </font>
    <font>
      <sz val="11"/>
      <color rgb="FF000000"/>
      <name val="Calibri"/>
      <family val="2"/>
    </font>
    <font>
      <sz val="10"/>
      <color rgb="FF7030A0"/>
      <name val="Arial"/>
      <family val="2"/>
    </font>
    <font>
      <sz val="8"/>
      <color rgb="FF0000FF"/>
      <name val="Franklin Gothic Book"/>
      <family val="2"/>
    </font>
    <font>
      <sz val="11"/>
      <name val="Courier New"/>
      <family val="3"/>
    </font>
    <font>
      <b/>
      <sz val="8"/>
      <color indexed="12"/>
      <name val="Arial"/>
      <family val="2"/>
    </font>
    <font>
      <b/>
      <sz val="10"/>
      <color rgb="FF0000FF"/>
      <name val="Arial"/>
      <family val="2"/>
    </font>
    <font>
      <b/>
      <sz val="10"/>
      <color rgb="FFC00000"/>
      <name val="Arial"/>
      <family val="2"/>
    </font>
    <font>
      <sz val="10"/>
      <color rgb="FFC00000"/>
      <name val="Arial"/>
      <family val="2"/>
    </font>
    <font>
      <sz val="8"/>
      <color rgb="FFFF0000"/>
      <name val="Arial"/>
      <family val="2"/>
    </font>
    <font>
      <b/>
      <sz val="10"/>
      <color rgb="FFFF0000"/>
      <name val="Arial"/>
      <family val="2"/>
    </font>
    <font>
      <b/>
      <sz val="12"/>
      <color rgb="FFFF0000"/>
      <name val="Arial Rounded MT Bold"/>
      <family val="2"/>
    </font>
    <font>
      <sz val="7"/>
      <name val="Arial"/>
      <family val="2"/>
    </font>
    <font>
      <sz val="6"/>
      <name val="Arial"/>
      <family val="2"/>
    </font>
    <font>
      <b/>
      <sz val="14"/>
      <color rgb="FFFF0000"/>
      <name val="Arial Black"/>
      <family val="2"/>
    </font>
    <font>
      <sz val="10"/>
      <name val="Calibri"/>
      <family val="2"/>
    </font>
    <font>
      <sz val="11"/>
      <name val="Arial"/>
      <family val="2"/>
    </font>
  </fonts>
  <fills count="64">
    <fill>
      <patternFill patternType="none"/>
    </fill>
    <fill>
      <patternFill patternType="gray125"/>
    </fill>
    <fill>
      <patternFill patternType="solid">
        <fgColor indexed="9"/>
        <bgColor indexed="64"/>
      </patternFill>
    </fill>
    <fill>
      <patternFill patternType="solid">
        <fgColor rgb="FFF0F7FE"/>
        <bgColor indexed="64"/>
      </patternFill>
    </fill>
    <fill>
      <patternFill patternType="solid">
        <fgColor rgb="FFD0DDEC"/>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249977111117893"/>
        <bgColor auto="1"/>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theme="4" tint="0.79998168889431442"/>
        <bgColor indexed="64"/>
      </patternFill>
    </fill>
    <fill>
      <patternFill patternType="solid">
        <fgColor indexed="55"/>
        <bgColor indexed="55"/>
      </patternFill>
    </fill>
    <fill>
      <patternFill patternType="solid">
        <fgColor indexed="42"/>
        <bgColor indexed="42"/>
      </patternFill>
    </fill>
    <fill>
      <patternFill patternType="solid">
        <fgColor indexed="45"/>
        <bgColor indexed="45"/>
      </patternFill>
    </fill>
    <fill>
      <patternFill patternType="solid">
        <fgColor indexed="43"/>
        <bgColor indexed="43"/>
      </patternFill>
    </fill>
    <fill>
      <patternFill patternType="solid">
        <fgColor rgb="FFFFCC99"/>
      </patternFill>
    </fill>
    <fill>
      <patternFill patternType="solid">
        <fgColor rgb="FFF2F2F2"/>
      </patternFill>
    </fill>
    <fill>
      <patternFill patternType="solid">
        <fgColor rgb="FFDDDDDD"/>
        <bgColor indexed="64"/>
      </patternFill>
    </fill>
    <fill>
      <patternFill patternType="solid">
        <fgColor rgb="FFFFFFCC"/>
      </patternFill>
    </fill>
    <fill>
      <patternFill patternType="solid">
        <fgColor rgb="FFFFFFCC"/>
        <bgColor indexed="64"/>
      </patternFill>
    </fill>
    <fill>
      <patternFill patternType="solid">
        <fgColor rgb="FF00B050"/>
        <bgColor indexed="64"/>
      </patternFill>
    </fill>
    <fill>
      <patternFill patternType="solid">
        <fgColor rgb="FFF3F7FF"/>
        <bgColor indexed="64"/>
      </patternFill>
    </fill>
    <fill>
      <gradientFill degree="90">
        <stop position="0">
          <color theme="4" tint="0.59999389629810485"/>
        </stop>
        <stop position="0.5">
          <color theme="4" tint="0.80001220740379042"/>
        </stop>
        <stop position="1">
          <color theme="4" tint="0.59999389629810485"/>
        </stop>
      </gradientFill>
    </fill>
    <fill>
      <patternFill patternType="solid">
        <fgColor theme="2"/>
        <bgColor indexed="64"/>
      </patternFill>
    </fill>
    <fill>
      <patternFill patternType="solid">
        <fgColor theme="0" tint="-0.14999847407452621"/>
        <bgColor auto="1"/>
      </patternFill>
    </fill>
    <fill>
      <patternFill patternType="solid">
        <fgColor rgb="FFF1F4F9"/>
        <bgColor indexed="64"/>
      </patternFill>
    </fill>
    <fill>
      <patternFill patternType="solid">
        <fgColor rgb="FFF6F0D6"/>
        <bgColor indexed="64"/>
      </patternFill>
    </fill>
    <fill>
      <patternFill patternType="solid">
        <fgColor theme="4" tint="0.59996337778862885"/>
        <bgColor indexed="64"/>
      </patternFill>
    </fill>
    <fill>
      <patternFill patternType="solid">
        <fgColor rgb="FFF7F1D5"/>
        <bgColor indexed="64"/>
      </patternFill>
    </fill>
    <fill>
      <patternFill patternType="solid">
        <fgColor rgb="FF92D050"/>
        <bgColor indexed="64"/>
      </patternFill>
    </fill>
    <fill>
      <patternFill patternType="solid">
        <fgColor theme="3" tint="0.59999389629810485"/>
        <bgColor indexed="64"/>
      </patternFill>
    </fill>
    <fill>
      <patternFill patternType="solid">
        <fgColor rgb="FFE4EAF4"/>
        <bgColor indexed="64"/>
      </patternFill>
    </fill>
    <fill>
      <patternFill patternType="solid">
        <fgColor rgb="FFD4E4F8"/>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s>
  <borders count="72">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hair">
        <color theme="4"/>
      </left>
      <right style="hair">
        <color theme="4"/>
      </right>
      <top style="hair">
        <color theme="4"/>
      </top>
      <bottom style="hair">
        <color theme="4"/>
      </bottom>
      <diagonal/>
    </border>
    <border>
      <left style="hair">
        <color theme="4" tint="-0.24994659260841701"/>
      </left>
      <right style="hair">
        <color theme="4" tint="-0.24994659260841701"/>
      </right>
      <top style="hair">
        <color theme="4" tint="-0.24994659260841701"/>
      </top>
      <bottom style="hair">
        <color theme="4" tint="-0.2499465926084170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ashed">
        <color theme="0" tint="-0.34998626667073579"/>
      </left>
      <right style="dashed">
        <color theme="0" tint="-0.34998626667073579"/>
      </right>
      <top style="dashed">
        <color theme="0" tint="-0.34998626667073579"/>
      </top>
      <bottom style="dashed">
        <color theme="0" tint="-0.34998626667073579"/>
      </bottom>
      <diagonal/>
    </border>
    <border>
      <left style="thin">
        <color rgb="FFB2B2B2"/>
      </left>
      <right style="thin">
        <color rgb="FFB2B2B2"/>
      </right>
      <top style="double">
        <color theme="4"/>
      </top>
      <bottom style="thin">
        <color rgb="FFB2B2B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4"/>
      </left>
      <right style="thin">
        <color theme="4"/>
      </right>
      <top style="thin">
        <color theme="4"/>
      </top>
      <bottom style="thin">
        <color theme="4"/>
      </bottom>
      <diagonal/>
    </border>
    <border>
      <left style="hair">
        <color theme="4"/>
      </left>
      <right style="hair">
        <color theme="4"/>
      </right>
      <top style="double">
        <color theme="4"/>
      </top>
      <bottom style="hair">
        <color theme="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theme="0" tint="-0.499984740745262"/>
      </top>
      <bottom style="thin">
        <color theme="0" tint="-0.499984740745262"/>
      </bottom>
      <diagonal/>
    </border>
    <border>
      <left style="dashed">
        <color theme="0" tint="-0.34998626667073579"/>
      </left>
      <right/>
      <top style="dashed">
        <color theme="0" tint="-0.34998626667073579"/>
      </top>
      <bottom/>
      <diagonal/>
    </border>
    <border>
      <left/>
      <right/>
      <top style="dashed">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double">
        <color theme="1" tint="0.34998626667073579"/>
      </top>
      <bottom style="thin">
        <color theme="0" tint="-0.24994659260841701"/>
      </bottom>
      <diagonal/>
    </border>
    <border>
      <left style="double">
        <color theme="4" tint="0.59996337778862885"/>
      </left>
      <right style="double">
        <color theme="4" tint="0.59996337778862885"/>
      </right>
      <top style="double">
        <color theme="4" tint="0.59996337778862885"/>
      </top>
      <bottom style="double">
        <color theme="4" tint="0.59996337778862885"/>
      </bottom>
      <diagonal/>
    </border>
    <border>
      <left style="thin">
        <color theme="4" tint="0.59996337778862885"/>
      </left>
      <right style="thin">
        <color theme="4" tint="0.59996337778862885"/>
      </right>
      <top style="thin">
        <color theme="4" tint="0.59996337778862885"/>
      </top>
      <bottom style="thin">
        <color theme="4" tint="0.59996337778862885"/>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499984740745262"/>
      </top>
      <bottom style="thin">
        <color theme="0" tint="-0.24994659260841701"/>
      </bottom>
      <diagonal/>
    </border>
    <border>
      <left/>
      <right style="thin">
        <color theme="0" tint="-0.24994659260841701"/>
      </right>
      <top style="thin">
        <color theme="0" tint="-0.499984740745262"/>
      </top>
      <bottom style="thin">
        <color theme="0" tint="-0.24994659260841701"/>
      </bottom>
      <diagonal/>
    </border>
    <border>
      <left style="thin">
        <color theme="0" tint="-0.34998626667073579"/>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499984740745262"/>
      </left>
      <right/>
      <top style="thin">
        <color theme="0" tint="-0.499984740745262"/>
      </top>
      <bottom style="thin">
        <color indexed="64"/>
      </bottom>
      <diagonal/>
    </border>
    <border>
      <left/>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theme="0" tint="-0.34998626667073579"/>
      </left>
      <right/>
      <top style="thin">
        <color theme="0" tint="-0.34998626667073579"/>
      </top>
      <bottom style="thin">
        <color theme="0" tint="-0.34998626667073579"/>
      </bottom>
      <diagonal/>
    </border>
    <border>
      <left/>
      <right style="double">
        <color theme="4" tint="0.59996337778862885"/>
      </right>
      <top style="thin">
        <color theme="0" tint="-0.34998626667073579"/>
      </top>
      <bottom style="thin">
        <color theme="0" tint="-0.34998626667073579"/>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top/>
      <bottom style="thin">
        <color theme="0" tint="-0.499984740745262"/>
      </bottom>
      <diagonal/>
    </border>
    <border>
      <left/>
      <right style="thin">
        <color theme="0" tint="-0.24994659260841701"/>
      </right>
      <top style="thin">
        <color theme="0" tint="-0.34998626667073579"/>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24994659260841701"/>
      </left>
      <right style="thin">
        <color theme="0" tint="-0.24994659260841701"/>
      </right>
      <top style="thin">
        <color theme="0" tint="-0.499984740745262"/>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499984740745262"/>
      </left>
      <right style="thin">
        <color theme="0" tint="-0.499984740745262"/>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double">
        <color theme="1" tint="0.34998626667073579"/>
      </top>
      <bottom style="thin">
        <color theme="0" tint="-0.24994659260841701"/>
      </bottom>
      <diagonal/>
    </border>
  </borders>
  <cellStyleXfs count="67">
    <xf numFmtId="0" fontId="0" fillId="0" borderId="0"/>
    <xf numFmtId="41" fontId="4" fillId="0" borderId="0" applyFont="0" applyFill="0" applyBorder="0" applyAlignment="0" applyProtection="0"/>
    <xf numFmtId="42" fontId="4" fillId="0" borderId="0" applyFont="0" applyFill="0" applyBorder="0" applyAlignment="0" applyProtection="0"/>
    <xf numFmtId="9" fontId="2" fillId="27" borderId="37" applyNumberFormat="0">
      <alignment vertical="center" wrapText="1"/>
      <protection hidden="1"/>
    </xf>
    <xf numFmtId="0" fontId="21" fillId="0" borderId="0" applyNumberFormat="0" applyFill="0" applyBorder="0" applyAlignment="0" applyProtection="0"/>
    <xf numFmtId="0" fontId="5" fillId="0" borderId="1" applyNumberFormat="0" applyFill="0" applyBorder="0" applyAlignment="0" applyProtection="0"/>
    <xf numFmtId="0" fontId="22" fillId="0" borderId="2" applyNumberFormat="0" applyFill="0" applyBorder="0" applyAlignment="0" applyProtection="0"/>
    <xf numFmtId="0" fontId="23" fillId="0" borderId="3" applyNumberFormat="0" applyFill="0" applyBorder="0" applyAlignment="0" applyProtection="0"/>
    <xf numFmtId="0" fontId="24" fillId="0" borderId="0" applyNumberFormat="0" applyFill="0" applyBorder="0" applyAlignment="0" applyProtection="0"/>
    <xf numFmtId="0" fontId="7" fillId="0" borderId="0" applyNumberFormat="0" applyFill="0" applyBorder="0" applyAlignment="0" applyProtection="0">
      <alignment vertical="top"/>
      <protection locked="0"/>
    </xf>
    <xf numFmtId="0" fontId="53" fillId="30" borderId="39" applyNumberFormat="0">
      <alignment vertical="center"/>
      <protection locked="0" hidden="1"/>
    </xf>
    <xf numFmtId="9" fontId="3" fillId="0" borderId="0" applyFont="0" applyFill="0" applyBorder="0" applyAlignment="0" applyProtection="0"/>
    <xf numFmtId="0" fontId="2" fillId="34" borderId="36" applyNumberFormat="0" applyFont="0">
      <alignment horizontal="left" vertical="center" wrapText="1"/>
      <protection hidden="1"/>
    </xf>
    <xf numFmtId="0" fontId="6" fillId="4" borderId="6" applyNumberFormat="0" applyProtection="0">
      <alignment horizontal="center" wrapText="1"/>
    </xf>
    <xf numFmtId="0" fontId="6" fillId="21" borderId="15" applyNumberFormat="0" applyAlignment="0" applyProtection="0"/>
    <xf numFmtId="0" fontId="26" fillId="8" borderId="0" applyNumberFormat="0" applyBorder="0" applyAlignment="0" applyProtection="0"/>
    <xf numFmtId="0" fontId="27" fillId="9" borderId="0" applyNumberFormat="0" applyBorder="0" applyAlignment="0" applyProtection="0"/>
    <xf numFmtId="0" fontId="28" fillId="10" borderId="0" applyNumberFormat="0" applyBorder="0" applyAlignment="0" applyProtection="0"/>
    <xf numFmtId="0" fontId="29" fillId="0" borderId="7" applyNumberFormat="0" applyFill="0" applyAlignment="0" applyProtection="0"/>
    <xf numFmtId="0" fontId="30" fillId="11" borderId="8" applyNumberFormat="0" applyAlignment="0" applyProtection="0"/>
    <xf numFmtId="0" fontId="6" fillId="29" borderId="16" applyNumberFormat="0">
      <alignment horizontal="center" wrapText="1"/>
      <protection hidden="1"/>
    </xf>
    <xf numFmtId="0" fontId="32" fillId="15" borderId="0" applyNumberFormat="0" applyBorder="0" applyAlignment="0" applyProtection="0"/>
    <xf numFmtId="0" fontId="33" fillId="13" borderId="9" applyNumberFormat="0" applyAlignment="0" applyProtection="0"/>
    <xf numFmtId="0" fontId="34" fillId="14" borderId="0" applyNumberFormat="0" applyBorder="0" applyAlignment="0" applyProtection="0"/>
    <xf numFmtId="0" fontId="35" fillId="0" borderId="10" applyNumberFormat="0" applyFill="0" applyAlignment="0" applyProtection="0"/>
    <xf numFmtId="0" fontId="36" fillId="16" borderId="0" applyNumberFormat="0" applyBorder="0" applyAlignment="0" applyProtection="0"/>
    <xf numFmtId="41" fontId="37" fillId="0" borderId="0" applyFont="0" applyFill="0" applyBorder="0" applyAlignment="0" applyProtection="0"/>
    <xf numFmtId="42" fontId="37" fillId="0" borderId="0" applyFont="0" applyFill="0" applyBorder="0" applyAlignment="0" applyProtection="0"/>
    <xf numFmtId="0" fontId="38" fillId="17" borderId="11" applyNumberFormat="0" applyAlignment="0" applyProtection="0"/>
    <xf numFmtId="0" fontId="39" fillId="18" borderId="12" applyNumberFormat="0" applyAlignment="0" applyProtection="0"/>
    <xf numFmtId="0" fontId="40" fillId="18" borderId="11" applyNumberFormat="0" applyAlignment="0" applyProtection="0"/>
    <xf numFmtId="0" fontId="41" fillId="20" borderId="13" applyNumberFormat="0" applyFont="0" applyAlignment="0" applyProtection="0"/>
    <xf numFmtId="9" fontId="6" fillId="33" borderId="38" applyNumberFormat="0">
      <alignment vertical="center" wrapText="1"/>
      <protection hidden="1"/>
    </xf>
    <xf numFmtId="0" fontId="6" fillId="24" borderId="19" applyNumberFormat="0" applyProtection="0">
      <alignment horizontal="center" wrapText="1"/>
    </xf>
    <xf numFmtId="0" fontId="2" fillId="0" borderId="20" applyNumberFormat="0" applyFont="0" applyFill="0" applyAlignment="0" applyProtection="0"/>
    <xf numFmtId="0" fontId="43" fillId="0" borderId="4" applyNumberFormat="0" applyFill="0" applyBorder="0" applyAlignment="0" applyProtection="0"/>
    <xf numFmtId="0" fontId="6" fillId="24" borderId="19" applyNumberFormat="0" applyProtection="0">
      <alignment horizontal="center" wrapText="1"/>
    </xf>
    <xf numFmtId="0" fontId="2" fillId="0" borderId="20" applyNumberFormat="0" applyFont="0" applyFill="0" applyAlignment="0" applyProtection="0"/>
    <xf numFmtId="0" fontId="47" fillId="28" borderId="40" applyNumberFormat="0">
      <alignment vertical="center" wrapText="1"/>
      <protection locked="0"/>
    </xf>
    <xf numFmtId="0" fontId="6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61" fillId="38" borderId="0" applyNumberFormat="0" applyBorder="0" applyAlignment="0" applyProtection="0"/>
    <xf numFmtId="0" fontId="6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61" fillId="42" borderId="0" applyNumberFormat="0" applyBorder="0" applyAlignment="0" applyProtection="0"/>
    <xf numFmtId="0" fontId="61"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61" fillId="46" borderId="0" applyNumberFormat="0" applyBorder="0" applyAlignment="0" applyProtection="0"/>
    <xf numFmtId="0" fontId="61" fillId="47"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61" fillId="50" borderId="0" applyNumberFormat="0" applyBorder="0" applyAlignment="0" applyProtection="0"/>
    <xf numFmtId="0" fontId="61" fillId="51" borderId="0" applyNumberFormat="0" applyBorder="0" applyAlignment="0" applyProtection="0"/>
    <xf numFmtId="0" fontId="1" fillId="52" borderId="0" applyNumberFormat="0" applyBorder="0" applyAlignment="0" applyProtection="0"/>
    <xf numFmtId="0" fontId="1" fillId="53" borderId="0" applyNumberFormat="0" applyBorder="0" applyAlignment="0" applyProtection="0"/>
    <xf numFmtId="0" fontId="61" fillId="54" borderId="0" applyNumberFormat="0" applyBorder="0" applyAlignment="0" applyProtection="0"/>
    <xf numFmtId="0" fontId="61" fillId="55"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61" fillId="58" borderId="0" applyNumberFormat="0" applyBorder="0" applyAlignment="0" applyProtection="0"/>
    <xf numFmtId="0" fontId="53" fillId="30" borderId="39" applyNumberFormat="0">
      <alignment vertical="center"/>
      <protection locked="0" hidden="1"/>
    </xf>
    <xf numFmtId="0" fontId="47" fillId="28" borderId="40" applyNumberFormat="0">
      <alignment vertical="center" wrapText="1"/>
      <protection locked="0"/>
    </xf>
    <xf numFmtId="41" fontId="2" fillId="0" borderId="0" applyFont="0" applyFill="0" applyBorder="0" applyAlignment="0" applyProtection="0"/>
    <xf numFmtId="0" fontId="15" fillId="0" borderId="37" applyNumberFormat="0" applyAlignment="0">
      <alignment vertical="center" wrapText="1"/>
      <protection hidden="1"/>
    </xf>
  </cellStyleXfs>
  <cellXfs count="590">
    <xf numFmtId="0" fontId="0" fillId="0" borderId="0" xfId="0"/>
    <xf numFmtId="0" fontId="22" fillId="0" borderId="0" xfId="6" applyBorder="1"/>
    <xf numFmtId="0" fontId="5" fillId="0" borderId="0" xfId="5" applyBorder="1"/>
    <xf numFmtId="0" fontId="11" fillId="0" borderId="0" xfId="0" applyFont="1" applyAlignment="1">
      <alignment wrapText="1"/>
    </xf>
    <xf numFmtId="0" fontId="21" fillId="0" borderId="0" xfId="4"/>
    <xf numFmtId="165" fontId="13" fillId="0" borderId="0" xfId="0" applyNumberFormat="1" applyFont="1"/>
    <xf numFmtId="0" fontId="23" fillId="0" borderId="0" xfId="7" applyBorder="1"/>
    <xf numFmtId="0" fontId="22" fillId="0" borderId="0" xfId="6" applyBorder="1" applyAlignment="1">
      <alignment horizontal="left"/>
    </xf>
    <xf numFmtId="0" fontId="13" fillId="0" borderId="0" xfId="0" applyFont="1" applyAlignment="1"/>
    <xf numFmtId="0" fontId="24" fillId="0" borderId="0" xfId="8"/>
    <xf numFmtId="0" fontId="4" fillId="34" borderId="36" xfId="12" applyFont="1">
      <alignment horizontal="left" vertical="center" wrapText="1"/>
      <protection hidden="1"/>
    </xf>
    <xf numFmtId="0" fontId="5" fillId="0" borderId="0" xfId="0" applyFont="1" applyBorder="1"/>
    <xf numFmtId="0" fontId="0" fillId="0" borderId="0" xfId="0"/>
    <xf numFmtId="0" fontId="19" fillId="0" borderId="0" xfId="0" applyFont="1"/>
    <xf numFmtId="0" fontId="20" fillId="0" borderId="0" xfId="0" applyFont="1"/>
    <xf numFmtId="0" fontId="18" fillId="0" borderId="0" xfId="0" applyFont="1"/>
    <xf numFmtId="0" fontId="17" fillId="0" borderId="0" xfId="0" applyFont="1" applyBorder="1" applyAlignment="1">
      <alignment horizontal="left"/>
    </xf>
    <xf numFmtId="0" fontId="0" fillId="0" borderId="0" xfId="0" applyFill="1"/>
    <xf numFmtId="0" fontId="13" fillId="0" borderId="0" xfId="0" applyFont="1"/>
    <xf numFmtId="0" fontId="6" fillId="0" borderId="0" xfId="0" applyFont="1"/>
    <xf numFmtId="0" fontId="4" fillId="34" borderId="36" xfId="12" applyNumberFormat="1" applyFont="1">
      <alignment horizontal="left" vertical="center" wrapText="1"/>
      <protection hidden="1"/>
    </xf>
    <xf numFmtId="0" fontId="23" fillId="2" borderId="0" xfId="7" applyFill="1" applyBorder="1"/>
    <xf numFmtId="0" fontId="0" fillId="0" borderId="0" xfId="0" applyAlignment="1">
      <alignment horizontal="center"/>
    </xf>
    <xf numFmtId="0" fontId="53" fillId="30" borderId="39" xfId="10" applyAlignment="1">
      <alignment vertical="center" wrapText="1"/>
      <protection locked="0" hidden="1"/>
    </xf>
    <xf numFmtId="0" fontId="17" fillId="34" borderId="36" xfId="12" applyFont="1" applyAlignment="1">
      <alignment horizontal="left"/>
      <protection hidden="1"/>
    </xf>
    <xf numFmtId="0" fontId="16" fillId="34" borderId="36" xfId="12" applyFont="1" applyAlignment="1">
      <alignment horizontal="left"/>
      <protection hidden="1"/>
    </xf>
    <xf numFmtId="0" fontId="0" fillId="34" borderId="36" xfId="12" applyNumberFormat="1" applyFont="1" applyAlignment="1">
      <alignment vertical="center" wrapText="1"/>
      <protection hidden="1"/>
    </xf>
    <xf numFmtId="0" fontId="6" fillId="34" borderId="36" xfId="12" applyNumberFormat="1" applyFont="1" applyAlignment="1">
      <alignment vertical="center" wrapText="1"/>
      <protection hidden="1"/>
    </xf>
    <xf numFmtId="0" fontId="0" fillId="0" borderId="0" xfId="0"/>
    <xf numFmtId="0" fontId="0" fillId="0" borderId="0" xfId="0" applyAlignment="1"/>
    <xf numFmtId="0" fontId="2" fillId="0" borderId="0" xfId="0" applyFont="1"/>
    <xf numFmtId="0" fontId="2" fillId="0" borderId="0" xfId="0" applyFont="1"/>
    <xf numFmtId="0" fontId="2" fillId="6" borderId="0" xfId="0" applyFont="1" applyFill="1"/>
    <xf numFmtId="0" fontId="0" fillId="0" borderId="0" xfId="0"/>
    <xf numFmtId="0" fontId="0" fillId="0" borderId="0" xfId="0" applyAlignment="1">
      <alignment vertical="center"/>
    </xf>
    <xf numFmtId="0" fontId="15" fillId="0" borderId="0" xfId="0" applyFont="1"/>
    <xf numFmtId="0" fontId="2" fillId="0" borderId="0" xfId="0" applyFont="1" applyProtection="1">
      <protection locked="0"/>
    </xf>
    <xf numFmtId="0" fontId="53" fillId="30" borderId="39" xfId="10" applyNumberFormat="1">
      <alignment vertical="center"/>
      <protection locked="0" hidden="1"/>
    </xf>
    <xf numFmtId="166" fontId="2" fillId="27" borderId="37" xfId="3" applyNumberFormat="1" applyProtection="1">
      <alignment vertical="center" wrapText="1"/>
      <protection locked="0"/>
    </xf>
    <xf numFmtId="0" fontId="4" fillId="0" borderId="0" xfId="0" applyFont="1"/>
    <xf numFmtId="0" fontId="2" fillId="27" borderId="37" xfId="3" applyNumberFormat="1">
      <alignment vertical="center" wrapText="1"/>
      <protection hidden="1"/>
    </xf>
    <xf numFmtId="9" fontId="2" fillId="27" borderId="37" xfId="3">
      <alignment vertical="center" wrapText="1"/>
      <protection hidden="1"/>
    </xf>
    <xf numFmtId="168" fontId="2" fillId="27" borderId="37" xfId="3" applyNumberFormat="1">
      <alignment vertical="center" wrapText="1"/>
      <protection hidden="1"/>
    </xf>
    <xf numFmtId="9" fontId="2" fillId="27" borderId="37" xfId="3" applyNumberFormat="1">
      <alignment vertical="center" wrapText="1"/>
      <protection hidden="1"/>
    </xf>
    <xf numFmtId="41" fontId="2" fillId="27" borderId="37" xfId="3" applyNumberFormat="1" applyProtection="1">
      <alignment vertical="center" wrapText="1"/>
      <protection locked="0"/>
    </xf>
    <xf numFmtId="168" fontId="2" fillId="19" borderId="37" xfId="3" applyNumberFormat="1" applyFill="1">
      <alignment vertical="center" wrapText="1"/>
      <protection hidden="1"/>
    </xf>
    <xf numFmtId="168" fontId="53" fillId="30" borderId="39" xfId="10" applyNumberFormat="1">
      <alignment vertical="center"/>
      <protection locked="0" hidden="1"/>
    </xf>
    <xf numFmtId="0" fontId="2" fillId="34" borderId="36" xfId="12" applyNumberFormat="1" applyFont="1">
      <alignment horizontal="left" vertical="center" wrapText="1"/>
      <protection hidden="1"/>
    </xf>
    <xf numFmtId="165" fontId="53" fillId="30" borderId="39" xfId="10" applyNumberFormat="1">
      <alignment vertical="center"/>
      <protection locked="0" hidden="1"/>
    </xf>
    <xf numFmtId="165" fontId="6" fillId="33" borderId="38" xfId="32" applyNumberFormat="1">
      <alignment vertical="center" wrapText="1"/>
      <protection hidden="1"/>
    </xf>
    <xf numFmtId="42" fontId="6" fillId="33" borderId="38" xfId="32" applyNumberFormat="1">
      <alignment vertical="center" wrapText="1"/>
      <protection hidden="1"/>
    </xf>
    <xf numFmtId="41" fontId="6" fillId="33" borderId="38" xfId="32" applyNumberFormat="1">
      <alignment vertical="center" wrapText="1"/>
      <protection hidden="1"/>
    </xf>
    <xf numFmtId="0" fontId="6" fillId="33" borderId="38" xfId="32" applyNumberFormat="1">
      <alignment vertical="center" wrapText="1"/>
      <protection hidden="1"/>
    </xf>
    <xf numFmtId="0" fontId="31" fillId="0" borderId="0" xfId="0" applyFont="1" applyAlignment="1">
      <alignment horizontal="left" readingOrder="1"/>
    </xf>
    <xf numFmtId="0" fontId="0" fillId="0" borderId="0" xfId="0"/>
    <xf numFmtId="9" fontId="6" fillId="33" borderId="38" xfId="32" applyNumberFormat="1">
      <alignment vertical="center" wrapText="1"/>
      <protection hidden="1"/>
    </xf>
    <xf numFmtId="168" fontId="6" fillId="33" borderId="38" xfId="32" applyNumberFormat="1">
      <alignment vertical="center" wrapText="1"/>
      <protection hidden="1"/>
    </xf>
    <xf numFmtId="9" fontId="6" fillId="33" borderId="38" xfId="32">
      <alignment vertical="center" wrapText="1"/>
      <protection hidden="1"/>
    </xf>
    <xf numFmtId="0" fontId="2" fillId="34" borderId="36" xfId="12" applyFont="1" applyAlignment="1">
      <alignment wrapText="1"/>
      <protection hidden="1"/>
    </xf>
    <xf numFmtId="168" fontId="0" fillId="0" borderId="0" xfId="0" applyNumberFormat="1"/>
    <xf numFmtId="0" fontId="12" fillId="34" borderId="36" xfId="12" applyNumberFormat="1" applyFont="1">
      <alignment horizontal="left" vertical="center" wrapText="1"/>
      <protection hidden="1"/>
    </xf>
    <xf numFmtId="167" fontId="2" fillId="27" borderId="37" xfId="3" applyNumberFormat="1">
      <alignment vertical="center" wrapText="1"/>
      <protection hidden="1"/>
    </xf>
    <xf numFmtId="0" fontId="0" fillId="0" borderId="0" xfId="0"/>
    <xf numFmtId="42" fontId="2" fillId="23" borderId="14" xfId="2" applyFont="1" applyFill="1" applyBorder="1" applyAlignment="1">
      <alignment vertical="center" wrapText="1"/>
    </xf>
    <xf numFmtId="0" fontId="2" fillId="7" borderId="0" xfId="0" quotePrefix="1" applyFont="1" applyFill="1" applyAlignment="1">
      <alignment wrapText="1"/>
    </xf>
    <xf numFmtId="167" fontId="53" fillId="30" borderId="39" xfId="10" applyNumberFormat="1">
      <alignment vertical="center"/>
      <protection locked="0" hidden="1"/>
    </xf>
    <xf numFmtId="0" fontId="22" fillId="2" borderId="0" xfId="6" applyFill="1" applyBorder="1"/>
    <xf numFmtId="0" fontId="0" fillId="0" borderId="0" xfId="0"/>
    <xf numFmtId="0" fontId="42" fillId="0" borderId="0" xfId="4" applyFont="1"/>
    <xf numFmtId="0" fontId="42" fillId="0" borderId="0" xfId="4" applyFont="1" applyAlignment="1">
      <alignment horizontal="center"/>
    </xf>
    <xf numFmtId="0" fontId="2" fillId="0" borderId="0" xfId="0" applyFont="1" applyAlignment="1"/>
    <xf numFmtId="0" fontId="25" fillId="0" borderId="0" xfId="0" applyFont="1" applyAlignment="1"/>
    <xf numFmtId="9" fontId="0" fillId="0" borderId="0" xfId="0" applyNumberFormat="1" applyFont="1" applyAlignment="1">
      <alignment vertical="center" wrapText="1"/>
    </xf>
    <xf numFmtId="0" fontId="0" fillId="0" borderId="0" xfId="0" applyBorder="1"/>
    <xf numFmtId="0" fontId="2" fillId="0" borderId="0" xfId="0" applyFont="1"/>
    <xf numFmtId="0" fontId="2" fillId="0" borderId="0" xfId="0" applyFont="1" applyFill="1" applyBorder="1"/>
    <xf numFmtId="165" fontId="0" fillId="0" borderId="0" xfId="0" applyNumberFormat="1"/>
    <xf numFmtId="0" fontId="0" fillId="0" borderId="0" xfId="0" applyProtection="1">
      <protection locked="0"/>
    </xf>
    <xf numFmtId="0" fontId="14" fillId="34" borderId="36" xfId="12" applyNumberFormat="1" applyFont="1">
      <alignment horizontal="left" vertical="center" wrapText="1"/>
      <protection hidden="1"/>
    </xf>
    <xf numFmtId="0" fontId="15" fillId="27" borderId="37" xfId="3" applyNumberFormat="1" applyFont="1">
      <alignment vertical="center" wrapText="1"/>
      <protection hidden="1"/>
    </xf>
    <xf numFmtId="0" fontId="42" fillId="0" borderId="0" xfId="4" applyFont="1" applyBorder="1" applyAlignment="1">
      <alignment vertical="top" wrapText="1"/>
    </xf>
    <xf numFmtId="0" fontId="2" fillId="34" borderId="36" xfId="12" applyFont="1">
      <alignment horizontal="left" vertical="center" wrapText="1"/>
      <protection hidden="1"/>
    </xf>
    <xf numFmtId="0" fontId="0" fillId="0" borderId="0" xfId="0"/>
    <xf numFmtId="44" fontId="2" fillId="27" borderId="37" xfId="3" applyNumberFormat="1">
      <alignment vertical="center" wrapText="1"/>
      <protection hidden="1"/>
    </xf>
    <xf numFmtId="167" fontId="2" fillId="27" borderId="37" xfId="3" applyNumberFormat="1" applyProtection="1">
      <alignment vertical="center" wrapText="1"/>
      <protection locked="0"/>
    </xf>
    <xf numFmtId="42" fontId="12" fillId="27" borderId="37" xfId="3" applyNumberFormat="1" applyFont="1">
      <alignment vertical="center" wrapText="1"/>
      <protection hidden="1"/>
    </xf>
    <xf numFmtId="0" fontId="6" fillId="34" borderId="36" xfId="12" applyNumberFormat="1" applyFont="1" applyAlignment="1">
      <alignment horizontal="left" vertical="center" wrapText="1"/>
      <protection hidden="1"/>
    </xf>
    <xf numFmtId="0" fontId="0" fillId="0" borderId="0" xfId="0" applyFont="1"/>
    <xf numFmtId="0" fontId="22" fillId="0" borderId="0" xfId="6" applyBorder="1" applyAlignment="1"/>
    <xf numFmtId="0" fontId="44" fillId="0" borderId="0" xfId="4" applyFont="1" applyAlignment="1">
      <alignment wrapText="1"/>
    </xf>
    <xf numFmtId="164" fontId="2" fillId="27" borderId="37" xfId="3" applyNumberFormat="1">
      <alignment vertical="center" wrapText="1"/>
      <protection hidden="1"/>
    </xf>
    <xf numFmtId="0" fontId="0" fillId="0" borderId="0" xfId="0" applyFill="1" applyBorder="1"/>
    <xf numFmtId="0" fontId="0" fillId="0" borderId="0" xfId="0"/>
    <xf numFmtId="41" fontId="0" fillId="3" borderId="5" xfId="0" applyNumberFormat="1" applyFont="1" applyFill="1" applyBorder="1" applyAlignment="1">
      <alignment vertical="center" wrapText="1"/>
    </xf>
    <xf numFmtId="0" fontId="0" fillId="3" borderId="5" xfId="0" applyFont="1" applyFill="1" applyBorder="1" applyAlignment="1">
      <alignment vertical="center" wrapText="1"/>
    </xf>
    <xf numFmtId="0" fontId="22" fillId="0" borderId="0" xfId="6" applyFill="1" applyBorder="1"/>
    <xf numFmtId="44" fontId="0" fillId="0" borderId="0" xfId="0" applyNumberFormat="1"/>
    <xf numFmtId="0" fontId="6" fillId="34" borderId="36" xfId="12" applyFont="1" applyAlignment="1">
      <alignment horizontal="left" vertical="center" wrapText="1"/>
      <protection hidden="1"/>
    </xf>
    <xf numFmtId="165" fontId="2" fillId="27" borderId="37" xfId="3" applyNumberFormat="1">
      <alignment vertical="center" wrapText="1"/>
      <protection hidden="1"/>
    </xf>
    <xf numFmtId="165" fontId="44" fillId="0" borderId="0" xfId="4" applyNumberFormat="1" applyFont="1" applyAlignment="1">
      <alignment wrapText="1"/>
    </xf>
    <xf numFmtId="0" fontId="6" fillId="29" borderId="16" xfId="20">
      <alignment horizontal="center" wrapText="1"/>
      <protection hidden="1"/>
    </xf>
    <xf numFmtId="1" fontId="2" fillId="27" borderId="37" xfId="3" applyNumberFormat="1">
      <alignment vertical="center" wrapText="1"/>
      <protection hidden="1"/>
    </xf>
    <xf numFmtId="42" fontId="2" fillId="27" borderId="37" xfId="3" applyNumberFormat="1">
      <alignment vertical="center" wrapText="1"/>
      <protection hidden="1"/>
    </xf>
    <xf numFmtId="0" fontId="0" fillId="0" borderId="0" xfId="0"/>
    <xf numFmtId="166" fontId="6" fillId="33" borderId="38" xfId="32" applyNumberFormat="1">
      <alignment vertical="center" wrapText="1"/>
      <protection hidden="1"/>
    </xf>
    <xf numFmtId="166" fontId="2" fillId="27" borderId="37" xfId="3" applyNumberFormat="1">
      <alignment vertical="center" wrapText="1"/>
      <protection hidden="1"/>
    </xf>
    <xf numFmtId="10" fontId="2" fillId="27" borderId="37" xfId="3" applyNumberFormat="1">
      <alignment vertical="center" wrapText="1"/>
      <protection hidden="1"/>
    </xf>
    <xf numFmtId="0" fontId="25" fillId="34" borderId="36" xfId="12" applyFont="1">
      <alignment horizontal="left" vertical="center" wrapText="1"/>
      <protection hidden="1"/>
    </xf>
    <xf numFmtId="0" fontId="6" fillId="29" borderId="16" xfId="20" applyNumberFormat="1">
      <alignment horizontal="center" wrapText="1"/>
      <protection hidden="1"/>
    </xf>
    <xf numFmtId="0" fontId="2" fillId="34" borderId="36" xfId="12" applyNumberFormat="1">
      <alignment horizontal="left" vertical="center" wrapText="1"/>
      <protection hidden="1"/>
    </xf>
    <xf numFmtId="0" fontId="2" fillId="0" borderId="34" xfId="0" applyFont="1" applyBorder="1" applyAlignment="1"/>
    <xf numFmtId="0" fontId="0" fillId="0" borderId="35" xfId="0" applyBorder="1" applyAlignment="1"/>
    <xf numFmtId="165" fontId="15" fillId="27" borderId="37" xfId="3" applyNumberFormat="1" applyFont="1">
      <alignment vertical="center" wrapText="1"/>
      <protection hidden="1"/>
    </xf>
    <xf numFmtId="0" fontId="46" fillId="29" borderId="16" xfId="20" applyFont="1">
      <alignment horizontal="center" wrapText="1"/>
      <protection hidden="1"/>
    </xf>
    <xf numFmtId="0" fontId="46" fillId="29" borderId="16" xfId="20" applyFont="1">
      <alignment horizontal="center" wrapText="1"/>
      <protection hidden="1"/>
    </xf>
    <xf numFmtId="0" fontId="15" fillId="34" borderId="36" xfId="12" applyFont="1">
      <alignment horizontal="left" vertical="center" wrapText="1"/>
      <protection hidden="1"/>
    </xf>
    <xf numFmtId="42" fontId="17" fillId="27" borderId="37" xfId="3" applyNumberFormat="1" applyFont="1">
      <alignment vertical="center" wrapText="1"/>
      <protection hidden="1"/>
    </xf>
    <xf numFmtId="0" fontId="46" fillId="34" borderId="36" xfId="12" applyFont="1" applyAlignment="1">
      <alignment horizontal="right" vertical="center" wrapText="1"/>
      <protection hidden="1"/>
    </xf>
    <xf numFmtId="165" fontId="46" fillId="33" borderId="38" xfId="32" applyNumberFormat="1" applyFont="1">
      <alignment vertical="center" wrapText="1"/>
      <protection hidden="1"/>
    </xf>
    <xf numFmtId="0" fontId="0" fillId="0" borderId="26" xfId="0" applyBorder="1"/>
    <xf numFmtId="0" fontId="2" fillId="34" borderId="36" xfId="12" applyFont="1" applyBorder="1">
      <alignment horizontal="left" vertical="center" wrapText="1"/>
      <protection hidden="1"/>
    </xf>
    <xf numFmtId="0" fontId="45" fillId="0" borderId="0" xfId="0" applyFont="1" applyBorder="1"/>
    <xf numFmtId="0" fontId="0" fillId="34" borderId="36" xfId="12" applyFont="1" applyBorder="1">
      <alignment horizontal="left" vertical="center" wrapText="1"/>
      <protection hidden="1"/>
    </xf>
    <xf numFmtId="165" fontId="2" fillId="27" borderId="37" xfId="3" applyNumberFormat="1" applyBorder="1">
      <alignment vertical="center" wrapText="1"/>
      <protection hidden="1"/>
    </xf>
    <xf numFmtId="0" fontId="6" fillId="34" borderId="36" xfId="12" applyFont="1" applyBorder="1" applyAlignment="1">
      <alignment horizontal="right" vertical="center" wrapText="1"/>
      <protection hidden="1"/>
    </xf>
    <xf numFmtId="165" fontId="6" fillId="33" borderId="38" xfId="32" applyNumberFormat="1" applyBorder="1">
      <alignment vertical="center" wrapText="1"/>
      <protection hidden="1"/>
    </xf>
    <xf numFmtId="42" fontId="0" fillId="0" borderId="0" xfId="0" applyNumberFormat="1" applyFont="1" applyBorder="1" applyAlignment="1">
      <alignment vertical="center" wrapText="1"/>
    </xf>
    <xf numFmtId="42" fontId="6" fillId="33" borderId="38" xfId="32" applyNumberFormat="1" applyBorder="1">
      <alignment vertical="center" wrapText="1"/>
      <protection hidden="1"/>
    </xf>
    <xf numFmtId="0" fontId="2" fillId="27" borderId="37" xfId="3" applyNumberFormat="1" applyBorder="1">
      <alignment vertical="center" wrapText="1"/>
      <protection hidden="1"/>
    </xf>
    <xf numFmtId="0" fontId="0" fillId="6" borderId="0" xfId="0" applyFill="1" applyBorder="1"/>
    <xf numFmtId="0" fontId="2" fillId="6" borderId="0" xfId="0" applyFont="1" applyFill="1" applyBorder="1" applyAlignment="1"/>
    <xf numFmtId="42" fontId="0" fillId="0" borderId="0" xfId="0" applyNumberFormat="1" applyFont="1" applyBorder="1"/>
    <xf numFmtId="0" fontId="0" fillId="26" borderId="0" xfId="0" applyFill="1" applyBorder="1"/>
    <xf numFmtId="0" fontId="0" fillId="6" borderId="0" xfId="0" applyFont="1" applyFill="1" applyBorder="1" applyAlignment="1"/>
    <xf numFmtId="0" fontId="4" fillId="34" borderId="36" xfId="12" applyNumberFormat="1" applyFont="1" applyBorder="1" applyAlignment="1">
      <protection hidden="1"/>
    </xf>
    <xf numFmtId="0" fontId="6" fillId="34" borderId="36" xfId="12" applyFont="1" applyBorder="1" applyAlignment="1">
      <alignment horizontal="left" vertical="center" wrapText="1"/>
      <protection hidden="1"/>
    </xf>
    <xf numFmtId="0" fontId="2" fillId="0" borderId="0" xfId="0" applyFont="1" applyBorder="1" applyAlignment="1"/>
    <xf numFmtId="0" fontId="47" fillId="28" borderId="40" xfId="38">
      <alignment vertical="center" wrapText="1"/>
      <protection locked="0"/>
    </xf>
    <xf numFmtId="0" fontId="48" fillId="0" borderId="0" xfId="0" applyFont="1" applyAlignment="1">
      <alignment horizontal="center"/>
    </xf>
    <xf numFmtId="0" fontId="6" fillId="29" borderId="16" xfId="20" applyFont="1" applyBorder="1">
      <alignment horizontal="center" wrapText="1"/>
      <protection hidden="1"/>
    </xf>
    <xf numFmtId="0" fontId="2" fillId="27" borderId="37" xfId="3" applyNumberFormat="1" applyFont="1" applyBorder="1">
      <alignment vertical="center" wrapText="1"/>
      <protection hidden="1"/>
    </xf>
    <xf numFmtId="0" fontId="7" fillId="0" borderId="0" xfId="9" applyFont="1" applyAlignment="1" applyProtection="1"/>
    <xf numFmtId="169" fontId="2" fillId="0" borderId="0" xfId="0" applyNumberFormat="1" applyFont="1"/>
    <xf numFmtId="0" fontId="7" fillId="12" borderId="37" xfId="9" applyNumberFormat="1" applyFill="1" applyBorder="1" applyAlignment="1" applyProtection="1">
      <alignment vertical="center" wrapText="1"/>
    </xf>
    <xf numFmtId="0" fontId="7" fillId="5" borderId="37" xfId="9" applyNumberFormat="1" applyFill="1" applyBorder="1" applyAlignment="1" applyProtection="1">
      <alignment vertical="center" wrapText="1"/>
    </xf>
    <xf numFmtId="0" fontId="7" fillId="22" borderId="37" xfId="9" applyNumberFormat="1" applyFill="1" applyBorder="1" applyAlignment="1" applyProtection="1">
      <alignment vertical="center" wrapText="1"/>
    </xf>
    <xf numFmtId="0" fontId="7" fillId="31" borderId="37" xfId="9" applyNumberFormat="1" applyFill="1" applyBorder="1" applyAlignment="1" applyProtection="1">
      <alignment vertical="center" wrapText="1"/>
    </xf>
    <xf numFmtId="0" fontId="9" fillId="0" borderId="22" xfId="0" applyFont="1" applyFill="1" applyBorder="1"/>
    <xf numFmtId="0" fontId="0" fillId="0" borderId="24" xfId="0" applyFill="1" applyBorder="1"/>
    <xf numFmtId="0" fontId="0" fillId="0" borderId="22" xfId="0" applyFill="1" applyBorder="1"/>
    <xf numFmtId="0" fontId="0" fillId="0" borderId="23" xfId="0" applyFill="1" applyBorder="1"/>
    <xf numFmtId="0" fontId="0" fillId="0" borderId="25" xfId="0" applyFill="1" applyBorder="1"/>
    <xf numFmtId="0" fontId="0" fillId="0" borderId="26" xfId="0" applyFill="1" applyBorder="1"/>
    <xf numFmtId="0" fontId="15" fillId="0" borderId="0" xfId="0" applyFont="1" applyFill="1" applyBorder="1"/>
    <xf numFmtId="0" fontId="0" fillId="0" borderId="27" xfId="0" applyFill="1" applyBorder="1"/>
    <xf numFmtId="0" fontId="0" fillId="0" borderId="29" xfId="0" applyFill="1" applyBorder="1"/>
    <xf numFmtId="165" fontId="0" fillId="0" borderId="0" xfId="0" applyNumberFormat="1" applyFill="1" applyBorder="1"/>
    <xf numFmtId="0" fontId="9" fillId="0" borderId="25" xfId="0" applyFont="1" applyFill="1" applyBorder="1" applyAlignment="1">
      <alignment horizontal="left"/>
    </xf>
    <xf numFmtId="0" fontId="10" fillId="0" borderId="0" xfId="4" applyFont="1" applyFill="1" applyBorder="1" applyAlignment="1">
      <alignment horizontal="left" vertical="top" wrapText="1"/>
    </xf>
    <xf numFmtId="0" fontId="23" fillId="0" borderId="25" xfId="7" applyFill="1" applyBorder="1"/>
    <xf numFmtId="0" fontId="4" fillId="0" borderId="0" xfId="0" applyFont="1" applyFill="1" applyBorder="1"/>
    <xf numFmtId="0" fontId="24" fillId="0" borderId="0" xfId="8" applyFill="1" applyBorder="1"/>
    <xf numFmtId="0" fontId="2" fillId="0" borderId="26" xfId="0" applyFont="1" applyFill="1" applyBorder="1"/>
    <xf numFmtId="0" fontId="0" fillId="0" borderId="28" xfId="0" applyFill="1" applyBorder="1"/>
    <xf numFmtId="0" fontId="45" fillId="0" borderId="0" xfId="0" applyFont="1" applyFill="1" applyBorder="1"/>
    <xf numFmtId="0" fontId="23" fillId="0" borderId="0" xfId="7" applyFill="1" applyBorder="1"/>
    <xf numFmtId="42" fontId="0" fillId="0" borderId="0" xfId="0" applyNumberFormat="1" applyFont="1" applyFill="1" applyBorder="1" applyAlignment="1">
      <alignment vertical="center" wrapText="1"/>
    </xf>
    <xf numFmtId="0" fontId="13" fillId="0" borderId="0" xfId="0" applyFont="1" applyFill="1" applyBorder="1"/>
    <xf numFmtId="0" fontId="0" fillId="0" borderId="0" xfId="0" applyFont="1" applyFill="1" applyBorder="1"/>
    <xf numFmtId="165" fontId="13" fillId="0" borderId="0" xfId="0" applyNumberFormat="1" applyFont="1" applyFill="1" applyBorder="1"/>
    <xf numFmtId="0" fontId="2" fillId="0" borderId="22" xfId="0" applyFont="1" applyFill="1" applyBorder="1"/>
    <xf numFmtId="0" fontId="2" fillId="0" borderId="23" xfId="0" applyFont="1" applyFill="1" applyBorder="1"/>
    <xf numFmtId="0" fontId="2" fillId="0" borderId="24" xfId="0" applyFont="1" applyFill="1" applyBorder="1"/>
    <xf numFmtId="0" fontId="2" fillId="0" borderId="25" xfId="0" applyFont="1" applyFill="1" applyBorder="1"/>
    <xf numFmtId="0" fontId="50" fillId="0" borderId="25" xfId="6" applyFont="1" applyFill="1" applyBorder="1"/>
    <xf numFmtId="0" fontId="15" fillId="0" borderId="25" xfId="0" applyFont="1" applyFill="1" applyBorder="1"/>
    <xf numFmtId="0" fontId="7" fillId="0" borderId="0" xfId="9" applyFill="1" applyBorder="1" applyAlignment="1" applyProtection="1"/>
    <xf numFmtId="0" fontId="2" fillId="0" borderId="27" xfId="0" applyFont="1" applyFill="1" applyBorder="1"/>
    <xf numFmtId="0" fontId="2" fillId="0" borderId="28" xfId="0" applyFont="1" applyFill="1" applyBorder="1"/>
    <xf numFmtId="0" fontId="2" fillId="0" borderId="29" xfId="0" applyFont="1" applyFill="1" applyBorder="1"/>
    <xf numFmtId="0" fontId="7" fillId="32" borderId="37" xfId="9" applyNumberFormat="1" applyFill="1" applyBorder="1" applyAlignment="1" applyProtection="1">
      <alignment vertical="center" wrapText="1"/>
    </xf>
    <xf numFmtId="167" fontId="6" fillId="33" borderId="38" xfId="32" applyNumberFormat="1">
      <alignment vertical="center" wrapText="1"/>
      <protection hidden="1"/>
    </xf>
    <xf numFmtId="0" fontId="6" fillId="34" borderId="36" xfId="12" applyNumberFormat="1" applyFont="1" applyProtection="1">
      <alignment horizontal="left" vertical="center" wrapText="1"/>
      <protection locked="0"/>
    </xf>
    <xf numFmtId="0" fontId="6" fillId="29" borderId="16" xfId="20">
      <alignment horizontal="center" wrapText="1"/>
      <protection hidden="1"/>
    </xf>
    <xf numFmtId="42" fontId="53" fillId="30" borderId="39" xfId="10" applyNumberFormat="1">
      <alignment vertical="center"/>
      <protection locked="0" hidden="1"/>
    </xf>
    <xf numFmtId="166" fontId="53" fillId="30" borderId="39" xfId="10" applyNumberFormat="1">
      <alignment vertical="center"/>
      <protection locked="0" hidden="1"/>
    </xf>
    <xf numFmtId="9" fontId="53" fillId="30" borderId="39" xfId="10" applyNumberFormat="1">
      <alignment vertical="center"/>
      <protection locked="0" hidden="1"/>
    </xf>
    <xf numFmtId="41" fontId="53" fillId="30" borderId="39" xfId="10" applyNumberFormat="1">
      <alignment vertical="center"/>
      <protection locked="0" hidden="1"/>
    </xf>
    <xf numFmtId="0" fontId="0" fillId="0" borderId="0" xfId="0" applyAlignment="1">
      <alignment wrapText="1"/>
    </xf>
    <xf numFmtId="0" fontId="8" fillId="0" borderId="0" xfId="4" applyFont="1" applyFill="1" applyBorder="1" applyAlignment="1">
      <alignment vertical="top" wrapText="1"/>
    </xf>
    <xf numFmtId="0" fontId="42" fillId="0" borderId="0" xfId="4" applyFont="1" applyBorder="1" applyAlignment="1">
      <alignment horizontal="left" vertical="top" wrapText="1"/>
    </xf>
    <xf numFmtId="0" fontId="52" fillId="0" borderId="0" xfId="4" applyFont="1" applyFill="1" applyBorder="1" applyAlignment="1">
      <alignment horizontal="left" vertical="top" wrapText="1"/>
    </xf>
    <xf numFmtId="0" fontId="52" fillId="0" borderId="0" xfId="4" applyFont="1" applyFill="1" applyBorder="1" applyAlignment="1">
      <alignment vertical="top" wrapText="1"/>
    </xf>
    <xf numFmtId="0" fontId="6" fillId="0" borderId="0" xfId="0" applyFont="1" applyFill="1" applyBorder="1" applyAlignment="1">
      <alignment wrapText="1"/>
    </xf>
    <xf numFmtId="0" fontId="6" fillId="29" borderId="16" xfId="20" applyFont="1">
      <alignment horizontal="center" wrapText="1"/>
      <protection hidden="1"/>
    </xf>
    <xf numFmtId="41" fontId="53" fillId="30" borderId="39" xfId="10" applyNumberFormat="1">
      <alignment vertical="center"/>
      <protection locked="0" hidden="1"/>
    </xf>
    <xf numFmtId="42" fontId="6" fillId="33" borderId="38" xfId="32" applyNumberFormat="1">
      <alignment vertical="center" wrapText="1"/>
      <protection hidden="1"/>
    </xf>
    <xf numFmtId="42" fontId="2" fillId="27" borderId="37" xfId="3" applyNumberFormat="1">
      <alignment vertical="center" wrapText="1"/>
      <protection hidden="1"/>
    </xf>
    <xf numFmtId="41" fontId="2" fillId="27" borderId="37" xfId="3" applyNumberFormat="1">
      <alignment vertical="center" wrapText="1"/>
      <protection hidden="1"/>
    </xf>
    <xf numFmtId="42" fontId="2" fillId="27" borderId="37" xfId="3" applyNumberFormat="1">
      <alignment vertical="center" wrapText="1"/>
      <protection hidden="1"/>
    </xf>
    <xf numFmtId="42" fontId="6" fillId="33" borderId="38" xfId="32" applyNumberFormat="1">
      <alignment vertical="center" wrapText="1"/>
      <protection hidden="1"/>
    </xf>
    <xf numFmtId="49" fontId="53" fillId="30" borderId="39" xfId="10" applyNumberFormat="1">
      <alignment vertical="center"/>
      <protection locked="0" hidden="1"/>
    </xf>
    <xf numFmtId="0" fontId="6" fillId="29" borderId="16" xfId="20">
      <alignment horizontal="center" wrapText="1"/>
      <protection hidden="1"/>
    </xf>
    <xf numFmtId="41" fontId="53" fillId="30" borderId="39" xfId="10" applyNumberFormat="1">
      <alignment vertical="center"/>
      <protection locked="0" hidden="1"/>
    </xf>
    <xf numFmtId="9" fontId="53" fillId="30" borderId="39" xfId="10" applyNumberFormat="1">
      <alignment vertical="center"/>
      <protection locked="0" hidden="1"/>
    </xf>
    <xf numFmtId="0" fontId="6" fillId="29" borderId="16" xfId="20">
      <alignment horizontal="center" wrapText="1"/>
      <protection hidden="1"/>
    </xf>
    <xf numFmtId="42" fontId="53" fillId="30" borderId="39" xfId="10" applyNumberFormat="1">
      <alignment vertical="center"/>
      <protection locked="0" hidden="1"/>
    </xf>
    <xf numFmtId="42" fontId="2" fillId="27" borderId="37" xfId="3" applyNumberFormat="1">
      <alignment vertical="center" wrapText="1"/>
      <protection hidden="1"/>
    </xf>
    <xf numFmtId="42" fontId="6" fillId="33" borderId="38" xfId="32" applyNumberFormat="1">
      <alignment vertical="center" wrapText="1"/>
      <protection hidden="1"/>
    </xf>
    <xf numFmtId="0" fontId="6" fillId="34" borderId="36" xfId="12" applyFont="1">
      <alignment horizontal="left" vertical="center" wrapText="1"/>
      <protection hidden="1"/>
    </xf>
    <xf numFmtId="0" fontId="47" fillId="28" borderId="40" xfId="38" applyNumberFormat="1">
      <alignment vertical="center" wrapText="1"/>
      <protection locked="0"/>
    </xf>
    <xf numFmtId="0" fontId="0" fillId="34" borderId="36" xfId="12" applyFont="1">
      <alignment horizontal="left" vertical="center" wrapText="1"/>
      <protection hidden="1"/>
    </xf>
    <xf numFmtId="0" fontId="6" fillId="34" borderId="36" xfId="12" applyNumberFormat="1" applyFont="1">
      <alignment horizontal="left" vertical="center" wrapText="1"/>
      <protection hidden="1"/>
    </xf>
    <xf numFmtId="0" fontId="6" fillId="29" borderId="16" xfId="20">
      <alignment horizontal="center" wrapText="1"/>
      <protection hidden="1"/>
    </xf>
    <xf numFmtId="9" fontId="53" fillId="30" borderId="39" xfId="10" applyNumberFormat="1">
      <alignment vertical="center"/>
      <protection locked="0" hidden="1"/>
    </xf>
    <xf numFmtId="42" fontId="53" fillId="30" borderId="39" xfId="10" applyNumberFormat="1">
      <alignment vertical="center"/>
      <protection locked="0" hidden="1"/>
    </xf>
    <xf numFmtId="42" fontId="2" fillId="27" borderId="37" xfId="3" applyNumberFormat="1">
      <alignment vertical="center" wrapText="1"/>
      <protection hidden="1"/>
    </xf>
    <xf numFmtId="42" fontId="6" fillId="33" borderId="38" xfId="32" applyNumberFormat="1">
      <alignment vertical="center" wrapText="1"/>
      <protection hidden="1"/>
    </xf>
    <xf numFmtId="0" fontId="47" fillId="28" borderId="40" xfId="38" applyNumberFormat="1">
      <alignment vertical="center" wrapText="1"/>
      <protection locked="0"/>
    </xf>
    <xf numFmtId="0" fontId="17" fillId="0" borderId="0" xfId="0" applyFont="1"/>
    <xf numFmtId="41" fontId="2" fillId="27" borderId="37" xfId="1" applyFont="1" applyFill="1" applyBorder="1" applyAlignment="1" applyProtection="1">
      <alignment vertical="center" wrapText="1"/>
      <protection hidden="1"/>
    </xf>
    <xf numFmtId="0" fontId="2" fillId="34" borderId="36" xfId="12" applyFont="1" applyAlignment="1">
      <alignment vertical="center" wrapText="1"/>
      <protection hidden="1"/>
    </xf>
    <xf numFmtId="0" fontId="2" fillId="0" borderId="0" xfId="0" applyFont="1" applyBorder="1"/>
    <xf numFmtId="0" fontId="2" fillId="34" borderId="36" xfId="12" applyFont="1" applyAlignment="1">
      <protection hidden="1"/>
    </xf>
    <xf numFmtId="41" fontId="6" fillId="33" borderId="38" xfId="1" applyFont="1" applyFill="1" applyBorder="1" applyAlignment="1" applyProtection="1">
      <alignment vertical="center" wrapText="1"/>
      <protection hidden="1"/>
    </xf>
    <xf numFmtId="42" fontId="6" fillId="33" borderId="38" xfId="2" applyFont="1" applyFill="1" applyBorder="1" applyAlignment="1" applyProtection="1">
      <alignment vertical="center" wrapText="1"/>
      <protection hidden="1"/>
    </xf>
    <xf numFmtId="0" fontId="6" fillId="29" borderId="16" xfId="20" applyNumberFormat="1" applyAlignment="1">
      <alignment horizontal="center" textRotation="90" wrapText="1"/>
      <protection hidden="1"/>
    </xf>
    <xf numFmtId="0" fontId="56" fillId="0" borderId="0" xfId="0" applyFont="1" applyFill="1"/>
    <xf numFmtId="0" fontId="6" fillId="0" borderId="0" xfId="0" applyFont="1" applyFill="1"/>
    <xf numFmtId="0" fontId="2" fillId="0" borderId="0" xfId="0" applyFont="1" applyAlignment="1">
      <alignment horizontal="center" vertical="center" wrapText="1"/>
    </xf>
    <xf numFmtId="0" fontId="2" fillId="0" borderId="0" xfId="0" applyFont="1" applyAlignment="1">
      <alignment vertical="top" wrapText="1"/>
    </xf>
    <xf numFmtId="0" fontId="2" fillId="27" borderId="37" xfId="3" applyNumberFormat="1" applyAlignment="1">
      <alignment vertical="center"/>
      <protection hidden="1"/>
    </xf>
    <xf numFmtId="9" fontId="53" fillId="30" borderId="40" xfId="10" applyNumberFormat="1" applyBorder="1" applyAlignment="1">
      <alignment vertical="center" wrapText="1"/>
      <protection locked="0" hidden="1"/>
    </xf>
    <xf numFmtId="168" fontId="53" fillId="30" borderId="40" xfId="10" applyNumberFormat="1" applyBorder="1" applyAlignment="1">
      <alignment vertical="center" wrapText="1"/>
      <protection locked="0" hidden="1"/>
    </xf>
    <xf numFmtId="0" fontId="2" fillId="0" borderId="0" xfId="0" applyFont="1" applyFill="1" applyBorder="1" applyAlignment="1">
      <alignment horizontal="left" vertical="top"/>
    </xf>
    <xf numFmtId="1" fontId="2" fillId="0" borderId="0" xfId="0" applyNumberFormat="1" applyFont="1" applyAlignment="1">
      <alignment horizontal="center" vertical="center" wrapText="1"/>
    </xf>
    <xf numFmtId="168" fontId="2" fillId="0" borderId="0" xfId="0" applyNumberFormat="1" applyFont="1" applyFill="1" applyAlignment="1">
      <alignment horizontal="center" vertical="center" wrapText="1"/>
    </xf>
    <xf numFmtId="1" fontId="58" fillId="0" borderId="0" xfId="0" applyNumberFormat="1" applyFont="1" applyAlignment="1">
      <alignment horizontal="center" vertical="center" wrapText="1"/>
    </xf>
    <xf numFmtId="1" fontId="53" fillId="30" borderId="40" xfId="10" applyNumberFormat="1" applyBorder="1" applyAlignment="1">
      <alignment vertical="center" wrapText="1"/>
      <protection locked="0" hidden="1"/>
    </xf>
    <xf numFmtId="168" fontId="2" fillId="0" borderId="0" xfId="0" applyNumberFormat="1" applyFont="1" applyAlignment="1">
      <alignment horizontal="center" vertical="center" wrapText="1"/>
    </xf>
    <xf numFmtId="0" fontId="0" fillId="0" borderId="0" xfId="0" applyFill="1" applyAlignment="1"/>
    <xf numFmtId="0" fontId="0" fillId="34" borderId="36" xfId="12" applyNumberFormat="1" applyFont="1">
      <alignment horizontal="left" vertical="center" wrapText="1"/>
      <protection hidden="1"/>
    </xf>
    <xf numFmtId="0" fontId="57" fillId="0" borderId="0" xfId="0" applyFont="1" applyFill="1" applyBorder="1" applyAlignment="1">
      <alignment vertical="top"/>
    </xf>
    <xf numFmtId="0" fontId="59" fillId="0" borderId="0" xfId="0" applyFont="1" applyFill="1" applyAlignment="1"/>
    <xf numFmtId="0" fontId="0" fillId="0" borderId="0" xfId="0" applyFill="1" applyBorder="1" applyAlignment="1">
      <alignment wrapText="1"/>
    </xf>
    <xf numFmtId="0" fontId="15" fillId="0" borderId="0" xfId="0" applyFont="1" applyAlignment="1">
      <alignment horizontal="center" vertical="center" wrapText="1"/>
    </xf>
    <xf numFmtId="168" fontId="15" fillId="0" borderId="0" xfId="0" applyNumberFormat="1" applyFont="1" applyAlignment="1">
      <alignment horizontal="center" vertical="center" wrapText="1"/>
    </xf>
    <xf numFmtId="170" fontId="2" fillId="27" borderId="37" xfId="3" applyNumberFormat="1">
      <alignment vertical="center" wrapText="1"/>
      <protection hidden="1"/>
    </xf>
    <xf numFmtId="165" fontId="43" fillId="0" borderId="0" xfId="0" applyNumberFormat="1" applyFont="1" applyBorder="1" applyAlignment="1">
      <alignment horizontal="center" vertical="center" wrapText="1"/>
    </xf>
    <xf numFmtId="0" fontId="6" fillId="29" borderId="16" xfId="20">
      <alignment horizontal="center" wrapText="1"/>
      <protection hidden="1"/>
    </xf>
    <xf numFmtId="42" fontId="6" fillId="33" borderId="38" xfId="32" applyNumberFormat="1">
      <alignment vertical="center" wrapText="1"/>
      <protection hidden="1"/>
    </xf>
    <xf numFmtId="0" fontId="24" fillId="0" borderId="25" xfId="8" applyFill="1" applyBorder="1"/>
    <xf numFmtId="0" fontId="6" fillId="29" borderId="16" xfId="20" applyNumberFormat="1" applyAlignment="1">
      <alignment horizontal="center" textRotation="45" wrapText="1"/>
      <protection hidden="1"/>
    </xf>
    <xf numFmtId="9" fontId="53" fillId="30" borderId="39" xfId="11" applyFont="1" applyFill="1" applyBorder="1" applyAlignment="1" applyProtection="1">
      <alignment vertical="center"/>
      <protection locked="0" hidden="1"/>
    </xf>
    <xf numFmtId="0" fontId="5" fillId="0" borderId="0" xfId="5" applyFill="1" applyBorder="1"/>
    <xf numFmtId="42" fontId="2" fillId="27" borderId="37" xfId="2" applyFont="1" applyFill="1" applyBorder="1" applyAlignment="1" applyProtection="1">
      <alignment vertical="center" wrapText="1"/>
      <protection hidden="1"/>
    </xf>
    <xf numFmtId="42" fontId="53" fillId="30" borderId="39" xfId="2" applyFont="1" applyFill="1" applyBorder="1" applyAlignment="1" applyProtection="1">
      <alignment vertical="center"/>
      <protection locked="0" hidden="1"/>
    </xf>
    <xf numFmtId="0" fontId="6" fillId="29" borderId="16" xfId="20">
      <alignment horizontal="center" wrapText="1"/>
      <protection hidden="1"/>
    </xf>
    <xf numFmtId="0" fontId="15" fillId="0" borderId="0" xfId="0" applyFont="1" applyAlignment="1">
      <alignment vertical="center" wrapText="1"/>
    </xf>
    <xf numFmtId="168" fontId="54" fillId="30" borderId="39" xfId="10" applyNumberFormat="1" applyFont="1" applyAlignment="1">
      <alignment horizontal="center" vertical="center"/>
      <protection locked="0" hidden="1"/>
    </xf>
    <xf numFmtId="168" fontId="60" fillId="27" borderId="37" xfId="3" applyNumberFormat="1" applyFont="1" applyAlignment="1">
      <alignment horizontal="center" vertical="center" wrapText="1"/>
      <protection hidden="1"/>
    </xf>
    <xf numFmtId="168" fontId="6" fillId="33" borderId="38" xfId="32" applyNumberFormat="1" applyAlignment="1">
      <alignment horizontal="center" vertical="center" wrapText="1"/>
      <protection hidden="1"/>
    </xf>
    <xf numFmtId="0" fontId="15" fillId="27" borderId="37" xfId="3" quotePrefix="1" applyNumberFormat="1" applyFont="1">
      <alignment vertical="center" wrapText="1"/>
      <protection hidden="1"/>
    </xf>
    <xf numFmtId="171" fontId="53" fillId="30" borderId="39" xfId="10" applyNumberFormat="1">
      <alignment vertical="center"/>
      <protection locked="0" hidden="1"/>
    </xf>
    <xf numFmtId="171" fontId="6" fillId="33" borderId="38" xfId="32" applyNumberFormat="1">
      <alignment vertical="center" wrapText="1"/>
      <protection hidden="1"/>
    </xf>
    <xf numFmtId="0" fontId="2" fillId="0" borderId="0" xfId="0" applyFont="1"/>
    <xf numFmtId="0" fontId="0" fillId="0" borderId="0" xfId="0"/>
    <xf numFmtId="0" fontId="45" fillId="0" borderId="0" xfId="0" applyFont="1"/>
    <xf numFmtId="0" fontId="18" fillId="0" borderId="4" xfId="0" applyFont="1" applyBorder="1"/>
    <xf numFmtId="0" fontId="63" fillId="0" borderId="4" xfId="0" applyFont="1" applyBorder="1"/>
    <xf numFmtId="0" fontId="0" fillId="0" borderId="4" xfId="0" applyBorder="1"/>
    <xf numFmtId="9" fontId="0" fillId="0" borderId="4" xfId="11" applyFont="1" applyBorder="1"/>
    <xf numFmtId="0" fontId="53" fillId="30" borderId="39" xfId="1" applyNumberFormat="1" applyFont="1" applyFill="1" applyBorder="1" applyAlignment="1" applyProtection="1">
      <alignment horizontal="center" vertical="center"/>
      <protection locked="0" hidden="1"/>
    </xf>
    <xf numFmtId="0" fontId="6" fillId="33" borderId="38" xfId="1" applyNumberFormat="1" applyFont="1" applyFill="1" applyBorder="1" applyAlignment="1" applyProtection="1">
      <alignment horizontal="center" vertical="center" wrapText="1"/>
      <protection hidden="1"/>
    </xf>
    <xf numFmtId="9" fontId="55" fillId="27" borderId="37" xfId="3" applyFont="1" applyAlignment="1">
      <alignment vertical="center"/>
      <protection hidden="1"/>
    </xf>
    <xf numFmtId="0" fontId="64" fillId="27" borderId="37" xfId="3" applyNumberFormat="1" applyFont="1" applyAlignment="1">
      <alignment vertical="center"/>
      <protection hidden="1"/>
    </xf>
    <xf numFmtId="9" fontId="53" fillId="30" borderId="39" xfId="10" applyNumberFormat="1">
      <alignment vertical="center"/>
      <protection locked="0" hidden="1"/>
    </xf>
    <xf numFmtId="0" fontId="6" fillId="29" borderId="16" xfId="20">
      <alignment horizontal="center" wrapText="1"/>
      <protection hidden="1"/>
    </xf>
    <xf numFmtId="42" fontId="53" fillId="30" borderId="39" xfId="10" applyNumberFormat="1">
      <alignment vertical="center"/>
      <protection locked="0" hidden="1"/>
    </xf>
    <xf numFmtId="9" fontId="53" fillId="30" borderId="39" xfId="10" applyNumberFormat="1">
      <alignment vertical="center"/>
      <protection locked="0" hidden="1"/>
    </xf>
    <xf numFmtId="0" fontId="15" fillId="0" borderId="0" xfId="0" applyFont="1" applyAlignment="1">
      <alignment vertical="center" wrapText="1"/>
    </xf>
    <xf numFmtId="41" fontId="53" fillId="30" borderId="39" xfId="10" applyNumberFormat="1">
      <alignment vertical="center"/>
      <protection locked="0" hidden="1"/>
    </xf>
    <xf numFmtId="0" fontId="6" fillId="29" borderId="16" xfId="20">
      <alignment horizontal="center" wrapText="1"/>
      <protection hidden="1"/>
    </xf>
    <xf numFmtId="9" fontId="53" fillId="30" borderId="39" xfId="10" applyNumberFormat="1">
      <alignment vertical="center"/>
      <protection locked="0" hidden="1"/>
    </xf>
    <xf numFmtId="0" fontId="47" fillId="28" borderId="40" xfId="38" applyNumberFormat="1">
      <alignment vertical="center" wrapText="1"/>
      <protection locked="0"/>
    </xf>
    <xf numFmtId="0" fontId="6" fillId="34" borderId="36" xfId="12" applyNumberFormat="1" applyFont="1">
      <alignment horizontal="left" vertical="center" wrapText="1"/>
      <protection hidden="1"/>
    </xf>
    <xf numFmtId="9" fontId="0" fillId="0" borderId="0" xfId="0" applyNumberFormat="1"/>
    <xf numFmtId="0" fontId="0" fillId="0" borderId="0" xfId="0"/>
    <xf numFmtId="0" fontId="2" fillId="34" borderId="36" xfId="12" applyNumberFormat="1" applyFont="1" applyAlignment="1">
      <alignment vertical="center" wrapText="1"/>
      <protection hidden="1"/>
    </xf>
    <xf numFmtId="9" fontId="2" fillId="27" borderId="37" xfId="11" applyFont="1" applyFill="1" applyBorder="1" applyAlignment="1" applyProtection="1">
      <alignment vertical="center" wrapText="1"/>
      <protection hidden="1"/>
    </xf>
    <xf numFmtId="9" fontId="6" fillId="33" borderId="38" xfId="11" applyFont="1" applyFill="1" applyBorder="1" applyAlignment="1" applyProtection="1">
      <alignment vertical="center" wrapText="1"/>
      <protection hidden="1"/>
    </xf>
    <xf numFmtId="0" fontId="6" fillId="6" borderId="48" xfId="20" applyFill="1" applyBorder="1" applyAlignment="1">
      <alignment wrapText="1"/>
      <protection hidden="1"/>
    </xf>
    <xf numFmtId="0" fontId="6" fillId="6" borderId="49" xfId="20" applyFill="1" applyBorder="1" applyAlignment="1">
      <alignment wrapText="1"/>
      <protection hidden="1"/>
    </xf>
    <xf numFmtId="0" fontId="6" fillId="6" borderId="47" xfId="20" applyFill="1" applyBorder="1" applyAlignment="1">
      <protection hidden="1"/>
    </xf>
    <xf numFmtId="0" fontId="0" fillId="0" borderId="0" xfId="0"/>
    <xf numFmtId="0" fontId="47" fillId="28" borderId="40" xfId="38" applyNumberFormat="1">
      <alignment vertical="center" wrapText="1"/>
      <protection locked="0"/>
    </xf>
    <xf numFmtId="166" fontId="2" fillId="27" borderId="37" xfId="11" applyNumberFormat="1" applyFont="1" applyFill="1" applyBorder="1" applyAlignment="1" applyProtection="1">
      <alignment vertical="center" wrapText="1"/>
      <protection locked="0"/>
    </xf>
    <xf numFmtId="172" fontId="12" fillId="27" borderId="37" xfId="3" applyNumberFormat="1" applyFont="1">
      <alignment vertical="center" wrapText="1"/>
      <protection hidden="1"/>
    </xf>
    <xf numFmtId="172" fontId="2" fillId="27" borderId="37" xfId="3" applyNumberFormat="1" applyProtection="1">
      <alignment vertical="center" wrapText="1"/>
      <protection locked="0"/>
    </xf>
    <xf numFmtId="172" fontId="6" fillId="33" borderId="38" xfId="32" applyNumberFormat="1">
      <alignment vertical="center" wrapText="1"/>
      <protection hidden="1"/>
    </xf>
    <xf numFmtId="0" fontId="24" fillId="0" borderId="0" xfId="8" applyFill="1" applyBorder="1" applyAlignment="1">
      <alignment vertical="top" wrapText="1"/>
    </xf>
    <xf numFmtId="0" fontId="6" fillId="29" borderId="16" xfId="20">
      <alignment horizontal="center" wrapText="1"/>
      <protection hidden="1"/>
    </xf>
    <xf numFmtId="42" fontId="53" fillId="30" borderId="39" xfId="10" applyNumberFormat="1">
      <alignment vertical="center"/>
      <protection locked="0" hidden="1"/>
    </xf>
    <xf numFmtId="9" fontId="53" fillId="30" borderId="39" xfId="10" applyNumberFormat="1">
      <alignment vertical="center"/>
      <protection locked="0" hidden="1"/>
    </xf>
    <xf numFmtId="0" fontId="15" fillId="0" borderId="0" xfId="0" applyFont="1" applyAlignment="1">
      <alignment vertical="center" wrapText="1"/>
    </xf>
    <xf numFmtId="0" fontId="0" fillId="0" borderId="0" xfId="0"/>
    <xf numFmtId="42" fontId="2" fillId="27" borderId="37" xfId="3" applyNumberFormat="1">
      <alignment vertical="center" wrapText="1"/>
      <protection hidden="1"/>
    </xf>
    <xf numFmtId="0" fontId="6" fillId="34" borderId="36" xfId="12" applyNumberFormat="1" applyFont="1">
      <alignment horizontal="left" vertical="center" wrapText="1"/>
      <protection hidden="1"/>
    </xf>
    <xf numFmtId="0" fontId="6" fillId="29" borderId="16" xfId="20">
      <alignment horizontal="center" wrapText="1"/>
      <protection hidden="1"/>
    </xf>
    <xf numFmtId="41" fontId="53" fillId="30" borderId="39" xfId="10" applyNumberFormat="1">
      <alignment vertical="center"/>
      <protection locked="0" hidden="1"/>
    </xf>
    <xf numFmtId="0" fontId="0" fillId="0" borderId="0" xfId="0"/>
    <xf numFmtId="42" fontId="6" fillId="33" borderId="38" xfId="32" applyNumberFormat="1">
      <alignment vertical="center" wrapText="1"/>
      <protection hidden="1"/>
    </xf>
    <xf numFmtId="0" fontId="2" fillId="34" borderId="36" xfId="12" applyNumberFormat="1" applyFont="1" applyAlignment="1">
      <alignment horizontal="left" vertical="center" wrapText="1"/>
      <protection hidden="1"/>
    </xf>
    <xf numFmtId="0" fontId="47" fillId="28" borderId="40" xfId="64" applyNumberFormat="1">
      <alignment vertical="center" wrapText="1"/>
      <protection locked="0"/>
    </xf>
    <xf numFmtId="0" fontId="53" fillId="30" borderId="39" xfId="63" applyNumberFormat="1">
      <alignment vertical="center"/>
      <protection locked="0" hidden="1"/>
    </xf>
    <xf numFmtId="42" fontId="53" fillId="30" borderId="39" xfId="63" applyNumberFormat="1">
      <alignment vertical="center"/>
      <protection locked="0" hidden="1"/>
    </xf>
    <xf numFmtId="1" fontId="13" fillId="0" borderId="0" xfId="0" applyNumberFormat="1" applyFont="1"/>
    <xf numFmtId="165" fontId="53" fillId="30" borderId="39" xfId="63" applyNumberFormat="1">
      <alignment vertical="center"/>
      <protection locked="0" hidden="1"/>
    </xf>
    <xf numFmtId="0" fontId="13" fillId="2" borderId="0" xfId="0" applyFont="1" applyFill="1"/>
    <xf numFmtId="44" fontId="13" fillId="2" borderId="0" xfId="0" applyNumberFormat="1" applyFont="1" applyFill="1"/>
    <xf numFmtId="9" fontId="53" fillId="30" borderId="39" xfId="63" applyNumberFormat="1">
      <alignment vertical="center"/>
      <protection locked="0" hidden="1"/>
    </xf>
    <xf numFmtId="0" fontId="6" fillId="59" borderId="16" xfId="20" applyNumberFormat="1" applyFill="1" applyAlignment="1">
      <alignment horizontal="center" textRotation="45" wrapText="1"/>
      <protection hidden="1"/>
    </xf>
    <xf numFmtId="9" fontId="0" fillId="0" borderId="0" xfId="11" applyFont="1"/>
    <xf numFmtId="9" fontId="13" fillId="0" borderId="0" xfId="11" applyFont="1"/>
    <xf numFmtId="0" fontId="65" fillId="30" borderId="39" xfId="10" applyNumberFormat="1" applyFont="1">
      <alignment vertical="center"/>
      <protection locked="0" hidden="1"/>
    </xf>
    <xf numFmtId="0" fontId="15" fillId="0" borderId="0" xfId="0" applyFont="1" applyAlignment="1">
      <alignment wrapText="1"/>
    </xf>
    <xf numFmtId="0" fontId="66" fillId="0" borderId="0" xfId="0" applyFont="1" applyAlignment="1"/>
    <xf numFmtId="0" fontId="23" fillId="0" borderId="0" xfId="7" applyBorder="1" applyAlignment="1">
      <alignment horizontal="left"/>
    </xf>
    <xf numFmtId="0" fontId="17" fillId="0" borderId="0" xfId="0" applyFont="1" applyAlignment="1"/>
    <xf numFmtId="0" fontId="15" fillId="0" borderId="0" xfId="0" applyFont="1" applyAlignment="1"/>
    <xf numFmtId="0" fontId="53" fillId="30" borderId="39" xfId="10" applyAlignment="1">
      <alignment horizontal="center" vertical="center"/>
      <protection locked="0" hidden="1"/>
    </xf>
    <xf numFmtId="0" fontId="6" fillId="33" borderId="38" xfId="32" applyNumberFormat="1" applyAlignment="1">
      <alignment horizontal="center" vertical="center" wrapText="1"/>
      <protection hidden="1"/>
    </xf>
    <xf numFmtId="0" fontId="15" fillId="0" borderId="54" xfId="0" applyFont="1" applyBorder="1" applyAlignment="1">
      <alignment vertical="center" wrapText="1"/>
    </xf>
    <xf numFmtId="0" fontId="15" fillId="0" borderId="54" xfId="0" applyFont="1" applyBorder="1" applyAlignment="1">
      <alignment vertical="center"/>
    </xf>
    <xf numFmtId="1" fontId="6" fillId="33" borderId="38" xfId="32" applyNumberFormat="1">
      <alignment vertical="center" wrapText="1"/>
      <protection hidden="1"/>
    </xf>
    <xf numFmtId="0" fontId="6" fillId="29" borderId="16" xfId="20">
      <alignment horizontal="center" wrapText="1"/>
      <protection hidden="1"/>
    </xf>
    <xf numFmtId="0" fontId="0" fillId="0" borderId="0" xfId="0"/>
    <xf numFmtId="0" fontId="47" fillId="28" borderId="40" xfId="38" applyNumberFormat="1">
      <alignment vertical="center" wrapText="1"/>
      <protection locked="0"/>
    </xf>
    <xf numFmtId="0" fontId="55" fillId="27" borderId="37" xfId="3" applyNumberFormat="1" applyFont="1" applyAlignment="1">
      <alignment vertical="center"/>
      <protection hidden="1"/>
    </xf>
    <xf numFmtId="167" fontId="2" fillId="27" borderId="37" xfId="1" applyNumberFormat="1" applyFont="1" applyFill="1" applyBorder="1" applyAlignment="1" applyProtection="1">
      <alignment vertical="center" wrapText="1"/>
      <protection hidden="1"/>
    </xf>
    <xf numFmtId="167" fontId="6" fillId="33" borderId="38" xfId="1" applyNumberFormat="1" applyFont="1" applyFill="1" applyBorder="1" applyAlignment="1" applyProtection="1">
      <alignment vertical="center" wrapText="1"/>
      <protection hidden="1"/>
    </xf>
    <xf numFmtId="0" fontId="6" fillId="29" borderId="16" xfId="20">
      <alignment horizontal="center" wrapText="1"/>
      <protection hidden="1"/>
    </xf>
    <xf numFmtId="9" fontId="53" fillId="30" borderId="39" xfId="10" applyNumberFormat="1">
      <alignment vertical="center"/>
      <protection locked="0" hidden="1"/>
    </xf>
    <xf numFmtId="0" fontId="0" fillId="0" borderId="0" xfId="0"/>
    <xf numFmtId="0" fontId="47" fillId="28" borderId="40" xfId="38" applyNumberFormat="1">
      <alignment vertical="center" wrapText="1"/>
      <protection locked="0"/>
    </xf>
    <xf numFmtId="0" fontId="0" fillId="34" borderId="36" xfId="12" applyFont="1">
      <alignment horizontal="left" vertical="center" wrapText="1"/>
      <protection hidden="1"/>
    </xf>
    <xf numFmtId="42" fontId="2" fillId="27" borderId="37" xfId="3" applyNumberFormat="1">
      <alignment vertical="center" wrapText="1"/>
      <protection hidden="1"/>
    </xf>
    <xf numFmtId="42" fontId="6" fillId="33" borderId="38" xfId="32" applyNumberFormat="1">
      <alignment vertical="center" wrapText="1"/>
      <protection hidden="1"/>
    </xf>
    <xf numFmtId="0" fontId="6" fillId="34" borderId="36" xfId="12" applyNumberFormat="1" applyFont="1">
      <alignment horizontal="left" vertical="center" wrapText="1"/>
      <protection hidden="1"/>
    </xf>
    <xf numFmtId="0" fontId="6" fillId="29" borderId="16" xfId="20" applyBorder="1">
      <alignment horizontal="center" wrapText="1"/>
      <protection hidden="1"/>
    </xf>
    <xf numFmtId="0" fontId="6" fillId="29" borderId="16" xfId="20">
      <alignment horizontal="center" wrapText="1"/>
      <protection hidden="1"/>
    </xf>
    <xf numFmtId="41" fontId="53" fillId="30" borderId="39" xfId="10" applyNumberFormat="1">
      <alignment vertical="center"/>
      <protection locked="0" hidden="1"/>
    </xf>
    <xf numFmtId="0" fontId="0" fillId="0" borderId="0" xfId="0"/>
    <xf numFmtId="0" fontId="6" fillId="29" borderId="16" xfId="20" applyNumberFormat="1">
      <alignment horizontal="center" wrapText="1"/>
      <protection hidden="1"/>
    </xf>
    <xf numFmtId="0" fontId="47" fillId="28" borderId="40" xfId="38" applyNumberFormat="1">
      <alignment vertical="center" wrapText="1"/>
      <protection locked="0"/>
    </xf>
    <xf numFmtId="0" fontId="4" fillId="34" borderId="36" xfId="12" applyNumberFormat="1" applyFont="1" applyBorder="1" applyAlignment="1">
      <alignment wrapText="1"/>
      <protection hidden="1"/>
    </xf>
    <xf numFmtId="0" fontId="6" fillId="29" borderId="33" xfId="20" applyBorder="1" applyAlignment="1">
      <alignment wrapText="1"/>
      <protection hidden="1"/>
    </xf>
    <xf numFmtId="0" fontId="6" fillId="29" borderId="18" xfId="20" applyBorder="1" applyAlignment="1">
      <alignment wrapText="1"/>
      <protection hidden="1"/>
    </xf>
    <xf numFmtId="0" fontId="6" fillId="29" borderId="17" xfId="20" applyBorder="1" applyAlignment="1">
      <alignment wrapText="1"/>
      <protection hidden="1"/>
    </xf>
    <xf numFmtId="0" fontId="57" fillId="0" borderId="0" xfId="0" applyFont="1" applyFill="1" applyBorder="1" applyAlignment="1">
      <alignment horizontal="left" vertical="top" wrapText="1"/>
    </xf>
    <xf numFmtId="0" fontId="15" fillId="27" borderId="37" xfId="3" applyNumberFormat="1" applyFont="1" applyAlignment="1">
      <alignment vertical="center" wrapText="1"/>
      <protection hidden="1"/>
    </xf>
    <xf numFmtId="0" fontId="67" fillId="0" borderId="0" xfId="0" applyFont="1" applyFill="1" applyBorder="1" applyAlignment="1">
      <alignment horizontal="left" vertical="top"/>
    </xf>
    <xf numFmtId="0" fontId="67" fillId="0" borderId="0" xfId="0" applyFont="1" applyFill="1" applyBorder="1" applyAlignment="1">
      <alignment horizontal="left" vertical="top" wrapText="1"/>
    </xf>
    <xf numFmtId="0" fontId="23" fillId="0" borderId="0" xfId="7" applyBorder="1" applyAlignment="1"/>
    <xf numFmtId="0" fontId="6" fillId="29" borderId="16" xfId="20" applyAlignment="1">
      <alignment horizontal="center" textRotation="90" wrapText="1"/>
      <protection hidden="1"/>
    </xf>
    <xf numFmtId="0" fontId="6" fillId="0" borderId="0" xfId="0" applyFont="1" applyBorder="1" applyAlignment="1">
      <alignment horizontal="center" textRotation="90" wrapText="1"/>
    </xf>
    <xf numFmtId="0" fontId="6" fillId="34" borderId="36" xfId="12" applyFont="1" applyAlignment="1">
      <alignment horizontal="right" vertical="center" wrapText="1"/>
      <protection hidden="1"/>
    </xf>
    <xf numFmtId="2" fontId="53" fillId="30" borderId="40" xfId="10" applyNumberFormat="1" applyBorder="1" applyAlignment="1">
      <alignment vertical="center" wrapText="1"/>
      <protection locked="0" hidden="1"/>
    </xf>
    <xf numFmtId="0" fontId="6" fillId="29" borderId="0" xfId="20" applyBorder="1" applyAlignment="1">
      <alignment wrapText="1"/>
      <protection hidden="1"/>
    </xf>
    <xf numFmtId="0" fontId="68" fillId="29" borderId="16" xfId="20" applyFont="1">
      <alignment horizontal="center" wrapText="1"/>
      <protection hidden="1"/>
    </xf>
    <xf numFmtId="0" fontId="69" fillId="29" borderId="16" xfId="20" applyFont="1">
      <alignment horizontal="center" wrapText="1"/>
      <protection hidden="1"/>
    </xf>
    <xf numFmtId="0" fontId="6" fillId="29" borderId="16" xfId="20" applyAlignment="1">
      <alignment horizontal="center"/>
      <protection hidden="1"/>
    </xf>
    <xf numFmtId="0" fontId="70" fillId="0" borderId="0" xfId="0" applyFont="1"/>
    <xf numFmtId="0" fontId="12" fillId="0" borderId="0" xfId="0" applyFont="1"/>
    <xf numFmtId="1" fontId="55" fillId="27" borderId="37" xfId="3" applyNumberFormat="1" applyFont="1" applyAlignment="1">
      <alignment vertical="center"/>
      <protection hidden="1"/>
    </xf>
    <xf numFmtId="0" fontId="70" fillId="27" borderId="37" xfId="3" applyNumberFormat="1" applyFont="1" applyAlignment="1">
      <alignment wrapText="1"/>
      <protection hidden="1"/>
    </xf>
    <xf numFmtId="0" fontId="55" fillId="27" borderId="37" xfId="65" applyNumberFormat="1" applyFont="1" applyFill="1" applyBorder="1" applyAlignment="1" applyProtection="1">
      <alignment vertical="center"/>
      <protection hidden="1"/>
    </xf>
    <xf numFmtId="167" fontId="2" fillId="27" borderId="37" xfId="65" applyNumberFormat="1" applyFont="1" applyFill="1" applyBorder="1" applyAlignment="1" applyProtection="1">
      <alignment vertical="center"/>
      <protection hidden="1"/>
    </xf>
    <xf numFmtId="0" fontId="2" fillId="27" borderId="37" xfId="65" applyNumberFormat="1" applyFont="1" applyFill="1" applyBorder="1" applyAlignment="1" applyProtection="1">
      <alignment vertical="center" wrapText="1"/>
      <protection hidden="1"/>
    </xf>
    <xf numFmtId="0" fontId="2" fillId="34" borderId="36" xfId="12" applyNumberFormat="1" applyFont="1" applyBorder="1" applyAlignment="1">
      <alignment wrapText="1"/>
      <protection hidden="1"/>
    </xf>
    <xf numFmtId="0" fontId="6" fillId="34" borderId="36" xfId="12" applyNumberFormat="1" applyFont="1" applyAlignment="1">
      <alignment horizontal="right" vertical="center" wrapText="1"/>
      <protection hidden="1"/>
    </xf>
    <xf numFmtId="0" fontId="25" fillId="0" borderId="0" xfId="0" applyFont="1"/>
    <xf numFmtId="0" fontId="71" fillId="0" borderId="0" xfId="0" applyFont="1"/>
    <xf numFmtId="9" fontId="13" fillId="0" borderId="0" xfId="11" applyFont="1" applyFill="1" applyBorder="1"/>
    <xf numFmtId="9" fontId="0" fillId="0" borderId="0" xfId="11" applyFont="1" applyFill="1" applyBorder="1"/>
    <xf numFmtId="9" fontId="53" fillId="30" borderId="39" xfId="10" applyNumberFormat="1">
      <alignment vertical="center"/>
      <protection locked="0" hidden="1"/>
    </xf>
    <xf numFmtId="0" fontId="0" fillId="0" borderId="0" xfId="0"/>
    <xf numFmtId="0" fontId="53" fillId="30" borderId="39" xfId="10">
      <alignment vertical="center"/>
      <protection locked="0" hidden="1"/>
    </xf>
    <xf numFmtId="0" fontId="6" fillId="59" borderId="16" xfId="20" applyFill="1" applyAlignment="1">
      <alignment horizontal="center" textRotation="90" wrapText="1"/>
      <protection hidden="1"/>
    </xf>
    <xf numFmtId="0" fontId="2" fillId="27" borderId="37" xfId="3" applyNumberFormat="1" applyAlignment="1">
      <alignment horizontal="center" vertical="center" wrapText="1"/>
      <protection hidden="1"/>
    </xf>
    <xf numFmtId="0" fontId="6" fillId="29" borderId="17" xfId="20" applyBorder="1" applyAlignment="1">
      <protection hidden="1"/>
    </xf>
    <xf numFmtId="1" fontId="55" fillId="60" borderId="37" xfId="3" applyNumberFormat="1" applyFont="1" applyFill="1" applyAlignment="1">
      <alignment vertical="center"/>
      <protection hidden="1"/>
    </xf>
    <xf numFmtId="1" fontId="2" fillId="27" borderId="37" xfId="65" applyNumberFormat="1" applyFont="1" applyFill="1" applyBorder="1" applyAlignment="1" applyProtection="1">
      <alignment horizontal="center" textRotation="90"/>
      <protection hidden="1"/>
    </xf>
    <xf numFmtId="0" fontId="73" fillId="0" borderId="0" xfId="7" applyFont="1" applyBorder="1"/>
    <xf numFmtId="1" fontId="55" fillId="61" borderId="37" xfId="3" applyNumberFormat="1" applyFont="1" applyFill="1" applyAlignment="1">
      <alignment vertical="center"/>
      <protection hidden="1"/>
    </xf>
    <xf numFmtId="49" fontId="15" fillId="27" borderId="37" xfId="3" applyNumberFormat="1" applyFont="1">
      <alignment vertical="center" wrapText="1"/>
      <protection hidden="1"/>
    </xf>
    <xf numFmtId="0" fontId="72" fillId="34" borderId="36" xfId="12" applyFont="1">
      <alignment horizontal="left" vertical="center" wrapText="1"/>
      <protection hidden="1"/>
    </xf>
    <xf numFmtId="0" fontId="49" fillId="0" borderId="0" xfId="9" applyFont="1" applyFill="1" applyAlignment="1" applyProtection="1"/>
    <xf numFmtId="166" fontId="53" fillId="30" borderId="39" xfId="10" applyNumberFormat="1">
      <alignment vertical="center"/>
      <protection locked="0" hidden="1"/>
    </xf>
    <xf numFmtId="9" fontId="53" fillId="30" borderId="39" xfId="10" applyNumberFormat="1">
      <alignment vertical="center"/>
      <protection locked="0" hidden="1"/>
    </xf>
    <xf numFmtId="0" fontId="0" fillId="0" borderId="0" xfId="0"/>
    <xf numFmtId="0" fontId="6" fillId="29" borderId="16" xfId="20" applyNumberFormat="1">
      <alignment horizontal="center" wrapText="1"/>
      <protection hidden="1"/>
    </xf>
    <xf numFmtId="0" fontId="6" fillId="29" borderId="16" xfId="20" applyBorder="1">
      <alignment horizontal="center" wrapText="1"/>
      <protection hidden="1"/>
    </xf>
    <xf numFmtId="0" fontId="49" fillId="0" borderId="0" xfId="9" applyFont="1" applyAlignment="1" applyProtection="1"/>
    <xf numFmtId="9" fontId="2" fillId="34" borderId="36" xfId="12" applyNumberFormat="1" applyFont="1">
      <alignment horizontal="left" vertical="center" wrapText="1"/>
      <protection hidden="1"/>
    </xf>
    <xf numFmtId="0" fontId="74" fillId="27" borderId="37" xfId="3" applyNumberFormat="1" applyFont="1">
      <alignment vertical="center" wrapText="1"/>
      <protection hidden="1"/>
    </xf>
    <xf numFmtId="0" fontId="6" fillId="29" borderId="16" xfId="20">
      <alignment horizontal="center" wrapText="1"/>
      <protection hidden="1"/>
    </xf>
    <xf numFmtId="42" fontId="53" fillId="30" borderId="39" xfId="10" applyNumberFormat="1">
      <alignment vertical="center"/>
      <protection locked="0" hidden="1"/>
    </xf>
    <xf numFmtId="0" fontId="6" fillId="29" borderId="16" xfId="20" applyBorder="1">
      <alignment horizontal="center" wrapText="1"/>
      <protection hidden="1"/>
    </xf>
    <xf numFmtId="0" fontId="0" fillId="0" borderId="0" xfId="0"/>
    <xf numFmtId="0" fontId="0" fillId="34" borderId="50" xfId="12" applyFont="1" applyBorder="1" applyAlignment="1">
      <alignment vertical="center" wrapText="1"/>
      <protection hidden="1"/>
    </xf>
    <xf numFmtId="0" fontId="6" fillId="34" borderId="50" xfId="12" applyNumberFormat="1" applyFont="1" applyBorder="1" applyAlignment="1">
      <alignment vertical="center" wrapText="1"/>
      <protection hidden="1"/>
    </xf>
    <xf numFmtId="0" fontId="31" fillId="0" borderId="0" xfId="0" applyFont="1"/>
    <xf numFmtId="0" fontId="7" fillId="0" borderId="0" xfId="9" applyAlignment="1" applyProtection="1">
      <alignment horizontal="left" vertical="center"/>
    </xf>
    <xf numFmtId="166" fontId="53" fillId="30" borderId="40" xfId="10" applyNumberFormat="1" applyBorder="1" applyAlignment="1">
      <alignment vertical="center" wrapText="1"/>
      <protection locked="0" hidden="1"/>
    </xf>
    <xf numFmtId="173" fontId="6" fillId="33" borderId="38" xfId="32" applyNumberFormat="1">
      <alignment vertical="center" wrapText="1"/>
      <protection hidden="1"/>
    </xf>
    <xf numFmtId="0" fontId="0" fillId="59" borderId="0" xfId="0" applyFill="1" applyAlignment="1"/>
    <xf numFmtId="0" fontId="0" fillId="59" borderId="0" xfId="0" applyFill="1"/>
    <xf numFmtId="0" fontId="6" fillId="59" borderId="16" xfId="20" applyFill="1">
      <alignment horizontal="center" wrapText="1"/>
      <protection hidden="1"/>
    </xf>
    <xf numFmtId="10" fontId="6" fillId="33" borderId="38" xfId="11" applyNumberFormat="1" applyFont="1" applyFill="1" applyBorder="1" applyAlignment="1" applyProtection="1">
      <alignment vertical="center" wrapText="1"/>
      <protection hidden="1"/>
    </xf>
    <xf numFmtId="0" fontId="15" fillId="0" borderId="0" xfId="0" applyFont="1" applyBorder="1"/>
    <xf numFmtId="0" fontId="17" fillId="34" borderId="36" xfId="12" applyFont="1" applyBorder="1">
      <alignment horizontal="left" vertical="center" wrapText="1"/>
      <protection hidden="1"/>
    </xf>
    <xf numFmtId="167" fontId="53" fillId="30" borderId="39" xfId="10" applyNumberFormat="1" applyBorder="1">
      <alignment vertical="center"/>
      <protection locked="0" hidden="1"/>
    </xf>
    <xf numFmtId="41" fontId="53" fillId="30" borderId="39" xfId="10" applyNumberFormat="1" applyBorder="1">
      <alignment vertical="center"/>
      <protection locked="0" hidden="1"/>
    </xf>
    <xf numFmtId="9" fontId="2" fillId="27" borderId="37" xfId="3" applyBorder="1">
      <alignment vertical="center" wrapText="1"/>
      <protection hidden="1"/>
    </xf>
    <xf numFmtId="41" fontId="0" fillId="0" borderId="0" xfId="0" applyNumberFormat="1" applyBorder="1"/>
    <xf numFmtId="0" fontId="0" fillId="0" borderId="23" xfId="0" applyBorder="1"/>
    <xf numFmtId="0" fontId="0" fillId="0" borderId="24" xfId="0" applyBorder="1"/>
    <xf numFmtId="0" fontId="0" fillId="0" borderId="28" xfId="0" applyBorder="1"/>
    <xf numFmtId="0" fontId="0" fillId="0" borderId="29" xfId="0" applyBorder="1"/>
    <xf numFmtId="168" fontId="2" fillId="27" borderId="37" xfId="3" applyNumberFormat="1" applyBorder="1">
      <alignment vertical="center" wrapText="1"/>
      <protection hidden="1"/>
    </xf>
    <xf numFmtId="0" fontId="6" fillId="34" borderId="36" xfId="12" applyFont="1" applyBorder="1">
      <alignment horizontal="left" vertical="center" wrapText="1"/>
      <protection hidden="1"/>
    </xf>
    <xf numFmtId="168" fontId="6" fillId="33" borderId="38" xfId="32" applyNumberFormat="1" applyBorder="1">
      <alignment vertical="center" wrapText="1"/>
      <protection hidden="1"/>
    </xf>
    <xf numFmtId="0" fontId="0" fillId="0" borderId="25" xfId="0" applyBorder="1"/>
    <xf numFmtId="0" fontId="0" fillId="0" borderId="27" xfId="0" applyBorder="1"/>
    <xf numFmtId="0" fontId="44" fillId="0" borderId="23" xfId="4" applyFont="1" applyFill="1" applyBorder="1" applyAlignment="1">
      <alignment horizontal="left" vertical="center" wrapText="1"/>
    </xf>
    <xf numFmtId="0" fontId="6" fillId="29" borderId="16" xfId="20">
      <alignment horizontal="center" wrapText="1"/>
      <protection hidden="1"/>
    </xf>
    <xf numFmtId="42" fontId="53" fillId="30" borderId="39" xfId="10" applyNumberFormat="1">
      <alignment vertical="center"/>
      <protection locked="0" hidden="1"/>
    </xf>
    <xf numFmtId="9" fontId="53" fillId="30" borderId="39" xfId="10" applyNumberFormat="1">
      <alignment vertical="center"/>
      <protection locked="0" hidden="1"/>
    </xf>
    <xf numFmtId="41" fontId="53" fillId="30" borderId="39" xfId="10" applyNumberFormat="1">
      <alignment vertical="center"/>
      <protection locked="0" hidden="1"/>
    </xf>
    <xf numFmtId="0" fontId="2" fillId="0" borderId="0" xfId="0" applyFont="1" applyAlignment="1">
      <alignment vertical="center" wrapText="1"/>
    </xf>
    <xf numFmtId="0" fontId="0" fillId="0" borderId="0" xfId="0"/>
    <xf numFmtId="0" fontId="6" fillId="29" borderId="16" xfId="20" applyBorder="1">
      <alignment horizontal="center" wrapText="1"/>
      <protection hidden="1"/>
    </xf>
    <xf numFmtId="0" fontId="2" fillId="34" borderId="36" xfId="12" applyFont="1" applyAlignment="1">
      <alignment horizontal="left" vertical="top" wrapText="1"/>
      <protection hidden="1"/>
    </xf>
    <xf numFmtId="167" fontId="13" fillId="0" borderId="0" xfId="0" applyNumberFormat="1" applyFont="1"/>
    <xf numFmtId="9" fontId="15" fillId="0" borderId="37" xfId="66" applyNumberFormat="1" applyAlignment="1">
      <protection hidden="1"/>
    </xf>
    <xf numFmtId="0" fontId="6" fillId="34" borderId="36" xfId="12" applyNumberFormat="1" applyFont="1" applyAlignment="1">
      <alignment horizontal="left" vertical="center"/>
      <protection hidden="1"/>
    </xf>
    <xf numFmtId="0" fontId="6" fillId="59" borderId="16" xfId="20" applyNumberFormat="1" applyFill="1" applyAlignment="1">
      <alignment horizontal="center" textRotation="45"/>
      <protection hidden="1"/>
    </xf>
    <xf numFmtId="42" fontId="2" fillId="27" borderId="59" xfId="2" applyFont="1" applyFill="1" applyBorder="1" applyAlignment="1" applyProtection="1">
      <alignment vertical="center" wrapText="1"/>
      <protection hidden="1"/>
    </xf>
    <xf numFmtId="168" fontId="53" fillId="30" borderId="39" xfId="63" applyNumberFormat="1">
      <alignment vertical="center"/>
      <protection locked="0" hidden="1"/>
    </xf>
    <xf numFmtId="1" fontId="53" fillId="30" borderId="39" xfId="63" applyNumberFormat="1">
      <alignment vertical="center"/>
      <protection locked="0" hidden="1"/>
    </xf>
    <xf numFmtId="42" fontId="47" fillId="28" borderId="40" xfId="38" applyNumberFormat="1">
      <alignment vertical="center" wrapText="1"/>
      <protection locked="0"/>
    </xf>
    <xf numFmtId="0" fontId="2" fillId="34" borderId="36" xfId="12" applyFont="1" applyAlignment="1">
      <alignment horizontal="left" vertical="center" wrapText="1" indent="1"/>
      <protection hidden="1"/>
    </xf>
    <xf numFmtId="0" fontId="2" fillId="34" borderId="36" xfId="12" applyFont="1" applyAlignment="1">
      <alignment horizontal="left" vertical="center" wrapText="1"/>
      <protection hidden="1"/>
    </xf>
    <xf numFmtId="41" fontId="53" fillId="30" borderId="39" xfId="1" applyFont="1" applyFill="1" applyBorder="1" applyAlignment="1" applyProtection="1">
      <alignment vertical="center"/>
      <protection locked="0" hidden="1"/>
    </xf>
    <xf numFmtId="41" fontId="0" fillId="0" borderId="0" xfId="1" applyFont="1"/>
    <xf numFmtId="0" fontId="6" fillId="29" borderId="18" xfId="20" applyBorder="1" applyAlignment="1">
      <alignment horizontal="center" wrapText="1"/>
      <protection hidden="1"/>
    </xf>
    <xf numFmtId="0" fontId="0" fillId="0" borderId="0" xfId="0"/>
    <xf numFmtId="1" fontId="2" fillId="61" borderId="37" xfId="65" applyNumberFormat="1" applyFont="1" applyFill="1" applyBorder="1" applyAlignment="1" applyProtection="1">
      <alignment horizontal="center" textRotation="90"/>
      <protection hidden="1"/>
    </xf>
    <xf numFmtId="1" fontId="2" fillId="62" borderId="37" xfId="65" applyNumberFormat="1" applyFont="1" applyFill="1" applyBorder="1" applyAlignment="1" applyProtection="1">
      <alignment horizontal="center" textRotation="90"/>
      <protection hidden="1"/>
    </xf>
    <xf numFmtId="1" fontId="2" fillId="63" borderId="37" xfId="65" applyNumberFormat="1" applyFont="1" applyFill="1" applyBorder="1" applyAlignment="1" applyProtection="1">
      <alignment horizontal="center" textRotation="90"/>
      <protection hidden="1"/>
    </xf>
    <xf numFmtId="1" fontId="6" fillId="62" borderId="37" xfId="65" applyNumberFormat="1" applyFont="1" applyFill="1" applyBorder="1" applyAlignment="1" applyProtection="1">
      <alignment horizontal="center" textRotation="90"/>
      <protection hidden="1"/>
    </xf>
    <xf numFmtId="42" fontId="75" fillId="0" borderId="37" xfId="66" applyNumberFormat="1" applyFont="1" applyAlignment="1">
      <alignment vertical="center" wrapText="1"/>
      <protection hidden="1"/>
    </xf>
    <xf numFmtId="0" fontId="76" fillId="0" borderId="0" xfId="6" applyFont="1" applyBorder="1"/>
    <xf numFmtId="0" fontId="2" fillId="59" borderId="36" xfId="12" applyFont="1" applyFill="1" applyAlignment="1">
      <protection hidden="1"/>
    </xf>
    <xf numFmtId="1" fontId="53" fillId="30" borderId="39" xfId="10" applyNumberFormat="1">
      <alignment vertical="center"/>
      <protection locked="0" hidden="1"/>
    </xf>
    <xf numFmtId="3" fontId="2" fillId="27" borderId="37" xfId="3" applyNumberFormat="1">
      <alignment vertical="center" wrapText="1"/>
      <protection hidden="1"/>
    </xf>
    <xf numFmtId="0" fontId="6" fillId="29" borderId="61" xfId="20" applyBorder="1">
      <alignment horizontal="center" wrapText="1"/>
      <protection hidden="1"/>
    </xf>
    <xf numFmtId="0" fontId="45" fillId="27" borderId="0" xfId="3" applyNumberFormat="1" applyFont="1" applyBorder="1">
      <alignment vertical="center" wrapText="1"/>
      <protection hidden="1"/>
    </xf>
    <xf numFmtId="173" fontId="53" fillId="30" borderId="39" xfId="10" applyNumberFormat="1">
      <alignment vertical="center"/>
      <protection locked="0" hidden="1"/>
    </xf>
    <xf numFmtId="44" fontId="53" fillId="30" borderId="39" xfId="63" applyNumberFormat="1">
      <alignment vertical="center"/>
      <protection locked="0" hidden="1"/>
    </xf>
    <xf numFmtId="0" fontId="77" fillId="0" borderId="0" xfId="0" applyFont="1"/>
    <xf numFmtId="0" fontId="6" fillId="29" borderId="16" xfId="20" applyNumberFormat="1" applyAlignment="1">
      <alignment horizontal="center" wrapText="1"/>
      <protection hidden="1"/>
    </xf>
    <xf numFmtId="0" fontId="0" fillId="0" borderId="0" xfId="0"/>
    <xf numFmtId="0" fontId="6" fillId="29" borderId="16" xfId="20" applyAlignment="1">
      <alignment horizontal="center" wrapText="1"/>
      <protection hidden="1"/>
    </xf>
    <xf numFmtId="166" fontId="2" fillId="27" borderId="37" xfId="3" applyNumberFormat="1" applyBorder="1">
      <alignment vertical="center" wrapText="1"/>
      <protection hidden="1"/>
    </xf>
    <xf numFmtId="0" fontId="6" fillId="34" borderId="36" xfId="12" applyNumberFormat="1" applyFont="1" applyBorder="1">
      <alignment horizontal="left" vertical="center" wrapText="1"/>
      <protection hidden="1"/>
    </xf>
    <xf numFmtId="166" fontId="6" fillId="33" borderId="38" xfId="32" applyNumberFormat="1" applyBorder="1">
      <alignment vertical="center" wrapText="1"/>
      <protection hidden="1"/>
    </xf>
    <xf numFmtId="0" fontId="78" fillId="0" borderId="0" xfId="0" applyFont="1" applyFill="1" applyBorder="1" applyAlignment="1">
      <alignment vertical="center" wrapText="1"/>
    </xf>
    <xf numFmtId="0" fontId="78" fillId="0" borderId="0" xfId="0" applyFont="1" applyFill="1" applyBorder="1" applyAlignment="1">
      <alignment vertical="center"/>
    </xf>
    <xf numFmtId="0" fontId="0" fillId="0" borderId="0" xfId="0"/>
    <xf numFmtId="0" fontId="6" fillId="29" borderId="16" xfId="20" applyNumberFormat="1">
      <alignment horizontal="center" wrapText="1"/>
      <protection hidden="1"/>
    </xf>
    <xf numFmtId="0" fontId="6" fillId="29" borderId="16" xfId="20" applyBorder="1">
      <alignment horizontal="center" wrapText="1"/>
      <protection hidden="1"/>
    </xf>
    <xf numFmtId="42" fontId="2" fillId="27" borderId="37" xfId="3" applyNumberFormat="1" applyBorder="1">
      <alignment vertical="center" wrapText="1"/>
      <protection hidden="1"/>
    </xf>
    <xf numFmtId="0" fontId="0" fillId="0" borderId="62" xfId="0" applyFill="1" applyBorder="1"/>
    <xf numFmtId="0" fontId="0" fillId="0" borderId="21" xfId="0" applyFill="1" applyBorder="1"/>
    <xf numFmtId="0" fontId="0" fillId="0" borderId="65" xfId="0" applyFill="1" applyBorder="1"/>
    <xf numFmtId="42" fontId="0" fillId="0" borderId="65" xfId="0" applyNumberFormat="1" applyFont="1" applyFill="1" applyBorder="1" applyAlignment="1">
      <alignment vertical="center" wrapText="1"/>
    </xf>
    <xf numFmtId="0" fontId="0" fillId="0" borderId="66" xfId="0" applyFill="1" applyBorder="1"/>
    <xf numFmtId="0" fontId="0" fillId="0" borderId="67" xfId="0" applyFill="1" applyBorder="1"/>
    <xf numFmtId="0" fontId="45" fillId="0" borderId="67" xfId="0" applyFont="1" applyFill="1" applyBorder="1"/>
    <xf numFmtId="0" fontId="0" fillId="0" borderId="68" xfId="0" applyFill="1" applyBorder="1"/>
    <xf numFmtId="0" fontId="0" fillId="0" borderId="62" xfId="0" applyBorder="1"/>
    <xf numFmtId="0" fontId="0" fillId="0" borderId="21" xfId="0" applyBorder="1"/>
    <xf numFmtId="0" fontId="78" fillId="0" borderId="65" xfId="0" applyFont="1" applyFill="1" applyBorder="1" applyAlignment="1">
      <alignment vertical="center"/>
    </xf>
    <xf numFmtId="0" fontId="0" fillId="0" borderId="65" xfId="0" applyBorder="1"/>
    <xf numFmtId="0" fontId="2" fillId="34" borderId="36" xfId="12" applyNumberFormat="1" applyFont="1" applyBorder="1">
      <alignment horizontal="left" vertical="center" wrapText="1"/>
      <protection hidden="1"/>
    </xf>
    <xf numFmtId="0" fontId="2" fillId="27" borderId="37" xfId="3" applyNumberFormat="1" applyBorder="1" applyAlignment="1">
      <alignment horizontal="center" vertical="center" wrapText="1"/>
      <protection hidden="1"/>
    </xf>
    <xf numFmtId="9" fontId="6" fillId="33" borderId="38" xfId="32" applyBorder="1">
      <alignment vertical="center" wrapText="1"/>
      <protection hidden="1"/>
    </xf>
    <xf numFmtId="0" fontId="0" fillId="0" borderId="0" xfId="0" applyNumberFormat="1" applyBorder="1" applyAlignment="1">
      <alignment horizontal="center"/>
    </xf>
    <xf numFmtId="0" fontId="0" fillId="0" borderId="0" xfId="0" applyBorder="1" applyAlignment="1">
      <alignment horizontal="center"/>
    </xf>
    <xf numFmtId="0" fontId="0" fillId="0" borderId="66" xfId="0" applyBorder="1"/>
    <xf numFmtId="0" fontId="0" fillId="0" borderId="67" xfId="0" applyBorder="1"/>
    <xf numFmtId="0" fontId="45" fillId="0" borderId="67" xfId="0" applyFont="1" applyBorder="1"/>
    <xf numFmtId="0" fontId="0" fillId="0" borderId="68" xfId="0" applyBorder="1"/>
    <xf numFmtId="0" fontId="23" fillId="0" borderId="21" xfId="7" applyFill="1" applyBorder="1"/>
    <xf numFmtId="0" fontId="2" fillId="0" borderId="67" xfId="0" applyFont="1" applyFill="1" applyBorder="1" applyAlignment="1"/>
    <xf numFmtId="42" fontId="0" fillId="0" borderId="67" xfId="0" applyNumberFormat="1" applyFont="1" applyFill="1" applyBorder="1"/>
    <xf numFmtId="42" fontId="0" fillId="0" borderId="67" xfId="0" applyNumberFormat="1" applyFont="1" applyFill="1" applyBorder="1" applyAlignment="1">
      <alignment vertical="center" wrapText="1"/>
    </xf>
    <xf numFmtId="42" fontId="0" fillId="0" borderId="68" xfId="0" applyNumberFormat="1" applyFont="1" applyFill="1" applyBorder="1" applyAlignment="1">
      <alignment vertical="center" wrapText="1"/>
    </xf>
    <xf numFmtId="0" fontId="6" fillId="29" borderId="69" xfId="20" applyBorder="1">
      <alignment horizontal="center" wrapText="1"/>
      <protection hidden="1"/>
    </xf>
    <xf numFmtId="165" fontId="2" fillId="27" borderId="70" xfId="3" applyNumberFormat="1" applyBorder="1">
      <alignment vertical="center" wrapText="1"/>
      <protection hidden="1"/>
    </xf>
    <xf numFmtId="165" fontId="6" fillId="33" borderId="71" xfId="32" applyNumberFormat="1" applyBorder="1">
      <alignment vertical="center" wrapText="1"/>
      <protection hidden="1"/>
    </xf>
    <xf numFmtId="0" fontId="23" fillId="0" borderId="62" xfId="7" applyFill="1" applyBorder="1"/>
    <xf numFmtId="165" fontId="0" fillId="0" borderId="67" xfId="0" applyNumberFormat="1" applyFill="1" applyBorder="1"/>
    <xf numFmtId="0" fontId="51" fillId="12" borderId="31" xfId="5" applyFont="1" applyFill="1" applyBorder="1" applyAlignment="1">
      <alignment horizontal="center"/>
    </xf>
    <xf numFmtId="0" fontId="51" fillId="12" borderId="32" xfId="5" applyFont="1" applyFill="1" applyBorder="1" applyAlignment="1">
      <alignment horizontal="center"/>
    </xf>
    <xf numFmtId="0" fontId="51" fillId="12" borderId="30" xfId="5" applyFont="1" applyFill="1" applyBorder="1" applyAlignment="1">
      <alignment horizontal="center"/>
    </xf>
    <xf numFmtId="0" fontId="7" fillId="0" borderId="0" xfId="9" applyFill="1" applyBorder="1" applyAlignment="1" applyProtection="1"/>
    <xf numFmtId="0" fontId="2" fillId="0" borderId="0" xfId="0" applyFont="1" applyFill="1" applyBorder="1" applyAlignment="1">
      <alignment vertical="center" wrapText="1"/>
    </xf>
    <xf numFmtId="0" fontId="44" fillId="0" borderId="23" xfId="4" applyFont="1" applyFill="1" applyBorder="1" applyAlignment="1">
      <alignment horizontal="left" vertical="center" wrapText="1"/>
    </xf>
    <xf numFmtId="0" fontId="2" fillId="0" borderId="0" xfId="0" applyFont="1" applyAlignment="1">
      <alignment vertical="center" wrapText="1"/>
    </xf>
    <xf numFmtId="0" fontId="46" fillId="29" borderId="17" xfId="20" applyFont="1" applyBorder="1" applyAlignment="1">
      <alignment horizontal="center" vertical="center" wrapText="1"/>
      <protection hidden="1"/>
    </xf>
    <xf numFmtId="0" fontId="46" fillId="29" borderId="33" xfId="20" applyFont="1" applyBorder="1" applyAlignment="1">
      <alignment horizontal="center" vertical="center" wrapText="1"/>
      <protection hidden="1"/>
    </xf>
    <xf numFmtId="0" fontId="46" fillId="29" borderId="18" xfId="20" applyFont="1" applyBorder="1" applyAlignment="1">
      <alignment horizontal="center" vertical="center" wrapText="1"/>
      <protection hidden="1"/>
    </xf>
    <xf numFmtId="166" fontId="53" fillId="30" borderId="39" xfId="10" applyNumberFormat="1">
      <alignment vertical="center"/>
      <protection locked="0" hidden="1"/>
    </xf>
    <xf numFmtId="0" fontId="42" fillId="0" borderId="28" xfId="4" applyFont="1" applyFill="1" applyBorder="1" applyAlignment="1">
      <alignment horizontal="left" vertical="top" wrapText="1"/>
    </xf>
    <xf numFmtId="0" fontId="42" fillId="25" borderId="28" xfId="4" applyFont="1" applyFill="1" applyBorder="1" applyAlignment="1">
      <alignment horizontal="left" vertical="top" wrapText="1"/>
    </xf>
    <xf numFmtId="0" fontId="44" fillId="0" borderId="23" xfId="4" applyFont="1" applyFill="1" applyBorder="1" applyAlignment="1">
      <alignment horizontal="left" wrapText="1"/>
    </xf>
    <xf numFmtId="0" fontId="44" fillId="25" borderId="23" xfId="4" applyFont="1" applyFill="1" applyBorder="1" applyAlignment="1">
      <alignment horizontal="left" wrapText="1"/>
    </xf>
    <xf numFmtId="0" fontId="21" fillId="0" borderId="0" xfId="4" applyFill="1" applyBorder="1" applyAlignment="1">
      <alignment horizontal="left" vertical="top" wrapText="1"/>
    </xf>
    <xf numFmtId="0" fontId="21" fillId="25" borderId="0" xfId="4" applyFill="1" applyBorder="1" applyAlignment="1">
      <alignment horizontal="left" vertical="top" wrapText="1"/>
    </xf>
    <xf numFmtId="0" fontId="6" fillId="29" borderId="16" xfId="20">
      <alignment horizontal="center" wrapText="1"/>
      <protection hidden="1"/>
    </xf>
    <xf numFmtId="42" fontId="53" fillId="30" borderId="39" xfId="10" applyNumberFormat="1">
      <alignment vertical="center"/>
      <protection locked="0" hidden="1"/>
    </xf>
    <xf numFmtId="9" fontId="53" fillId="30" borderId="39" xfId="10" applyNumberFormat="1">
      <alignment vertical="center"/>
      <protection locked="0" hidden="1"/>
    </xf>
    <xf numFmtId="41" fontId="53" fillId="30" borderId="39" xfId="10" applyNumberFormat="1">
      <alignment vertical="center"/>
      <protection locked="0" hidden="1"/>
    </xf>
    <xf numFmtId="0" fontId="21" fillId="0" borderId="0" xfId="4" applyFill="1" applyBorder="1" applyAlignment="1">
      <alignment vertical="top" wrapText="1"/>
    </xf>
    <xf numFmtId="0" fontId="21" fillId="25" borderId="0" xfId="4" applyFill="1" applyBorder="1" applyAlignment="1">
      <alignment vertical="top" wrapText="1"/>
    </xf>
    <xf numFmtId="1" fontId="17" fillId="27" borderId="45" xfId="3" applyNumberFormat="1" applyFont="1" applyBorder="1" applyAlignment="1">
      <alignment horizontal="center" vertical="center" wrapText="1"/>
      <protection hidden="1"/>
    </xf>
    <xf numFmtId="1" fontId="17" fillId="27" borderId="46" xfId="3" applyNumberFormat="1" applyFont="1" applyBorder="1" applyAlignment="1">
      <alignment horizontal="center" vertical="center" wrapText="1"/>
      <protection hidden="1"/>
    </xf>
    <xf numFmtId="1" fontId="17" fillId="27" borderId="42" xfId="3" applyNumberFormat="1" applyFont="1" applyBorder="1" applyAlignment="1">
      <alignment horizontal="center" vertical="center" wrapText="1"/>
      <protection hidden="1"/>
    </xf>
    <xf numFmtId="9" fontId="17" fillId="27" borderId="45" xfId="3" applyFont="1" applyBorder="1" applyAlignment="1">
      <alignment horizontal="center" vertical="center" wrapText="1"/>
      <protection hidden="1"/>
    </xf>
    <xf numFmtId="9" fontId="17" fillId="27" borderId="46" xfId="3" applyFont="1" applyBorder="1" applyAlignment="1">
      <alignment horizontal="center" vertical="center" wrapText="1"/>
      <protection hidden="1"/>
    </xf>
    <xf numFmtId="9" fontId="17" fillId="27" borderId="42" xfId="3" applyFont="1" applyBorder="1" applyAlignment="1">
      <alignment horizontal="center" vertical="center" wrapText="1"/>
      <protection hidden="1"/>
    </xf>
    <xf numFmtId="0" fontId="46" fillId="29" borderId="17" xfId="20" applyFont="1" applyBorder="1">
      <alignment horizontal="center" wrapText="1"/>
      <protection hidden="1"/>
    </xf>
    <xf numFmtId="0" fontId="46" fillId="29" borderId="18" xfId="20" applyFont="1" applyBorder="1">
      <alignment horizontal="center" wrapText="1"/>
      <protection hidden="1"/>
    </xf>
    <xf numFmtId="42" fontId="17" fillId="27" borderId="43" xfId="3" applyNumberFormat="1" applyFont="1" applyBorder="1">
      <alignment vertical="center" wrapText="1"/>
      <protection hidden="1"/>
    </xf>
    <xf numFmtId="42" fontId="17" fillId="27" borderId="44" xfId="3" applyNumberFormat="1" applyFont="1" applyBorder="1">
      <alignment vertical="center" wrapText="1"/>
      <protection hidden="1"/>
    </xf>
    <xf numFmtId="42" fontId="17" fillId="27" borderId="41" xfId="3" applyNumberFormat="1" applyFont="1" applyBorder="1">
      <alignment vertical="center" wrapText="1"/>
      <protection hidden="1"/>
    </xf>
    <xf numFmtId="42" fontId="17" fillId="27" borderId="42" xfId="3" applyNumberFormat="1" applyFont="1" applyBorder="1">
      <alignment vertical="center" wrapText="1"/>
      <protection hidden="1"/>
    </xf>
    <xf numFmtId="0" fontId="21" fillId="0" borderId="28" xfId="4" applyFill="1" applyBorder="1"/>
    <xf numFmtId="0" fontId="21" fillId="25" borderId="28" xfId="4" applyFill="1" applyBorder="1"/>
    <xf numFmtId="0" fontId="0" fillId="0" borderId="0" xfId="0"/>
    <xf numFmtId="0" fontId="6" fillId="29" borderId="16" xfId="20" applyNumberFormat="1">
      <alignment horizontal="center" wrapText="1"/>
      <protection hidden="1"/>
    </xf>
    <xf numFmtId="0" fontId="6" fillId="29" borderId="52" xfId="20" applyBorder="1" applyAlignment="1">
      <alignment horizontal="center" wrapText="1"/>
      <protection hidden="1"/>
    </xf>
    <xf numFmtId="0" fontId="6" fillId="29" borderId="53" xfId="20" applyBorder="1" applyAlignment="1">
      <alignment horizontal="center" wrapText="1"/>
      <protection hidden="1"/>
    </xf>
    <xf numFmtId="0" fontId="6" fillId="29" borderId="16" xfId="20" applyBorder="1">
      <alignment horizontal="center" wrapText="1"/>
      <protection hidden="1"/>
    </xf>
    <xf numFmtId="6" fontId="6" fillId="29" borderId="16" xfId="20" applyNumberFormat="1">
      <alignment horizontal="center" wrapText="1"/>
      <protection hidden="1"/>
    </xf>
    <xf numFmtId="0" fontId="6" fillId="34" borderId="50" xfId="12" applyFont="1" applyBorder="1" applyAlignment="1">
      <alignment vertical="center" wrapText="1"/>
      <protection hidden="1"/>
    </xf>
    <xf numFmtId="0" fontId="6" fillId="34" borderId="55" xfId="12" applyFont="1" applyBorder="1" applyAlignment="1">
      <alignment vertical="center" wrapText="1"/>
      <protection hidden="1"/>
    </xf>
    <xf numFmtId="0" fontId="6" fillId="34" borderId="51" xfId="12" applyFont="1" applyBorder="1" applyAlignment="1">
      <alignment vertical="center" wrapText="1"/>
      <protection hidden="1"/>
    </xf>
    <xf numFmtId="0" fontId="42" fillId="0" borderId="0" xfId="4" applyFont="1" applyBorder="1" applyAlignment="1">
      <alignment horizontal="left" vertical="top" wrapText="1"/>
    </xf>
    <xf numFmtId="9" fontId="17" fillId="27" borderId="37" xfId="3" applyNumberFormat="1" applyFont="1">
      <alignment vertical="center" wrapText="1"/>
      <protection hidden="1"/>
    </xf>
    <xf numFmtId="0" fontId="17" fillId="27" borderId="37" xfId="3" applyNumberFormat="1" applyFont="1">
      <alignment vertical="center" wrapText="1"/>
      <protection hidden="1"/>
    </xf>
    <xf numFmtId="9" fontId="17" fillId="27" borderId="58" xfId="3" applyNumberFormat="1" applyFont="1" applyBorder="1" applyAlignment="1">
      <alignment horizontal="left" vertical="center" wrapText="1"/>
      <protection hidden="1"/>
    </xf>
    <xf numFmtId="9" fontId="17" fillId="27" borderId="59" xfId="3" applyNumberFormat="1" applyFont="1" applyBorder="1" applyAlignment="1">
      <alignment horizontal="left" vertical="center" wrapText="1"/>
      <protection hidden="1"/>
    </xf>
    <xf numFmtId="9" fontId="17" fillId="27" borderId="60" xfId="3" applyNumberFormat="1" applyFont="1" applyBorder="1" applyAlignment="1">
      <alignment horizontal="left" vertical="center" wrapText="1"/>
      <protection hidden="1"/>
    </xf>
    <xf numFmtId="0" fontId="2" fillId="34" borderId="36" xfId="12" applyNumberFormat="1" applyFont="1">
      <alignment horizontal="left" vertical="center" wrapText="1"/>
      <protection hidden="1"/>
    </xf>
    <xf numFmtId="0" fontId="6" fillId="59" borderId="16" xfId="20" applyFill="1" applyAlignment="1">
      <alignment horizontal="center" textRotation="90" wrapText="1"/>
      <protection hidden="1"/>
    </xf>
    <xf numFmtId="0" fontId="6" fillId="29" borderId="16" xfId="20" applyAlignment="1">
      <alignment horizontal="center" textRotation="90" wrapText="1"/>
      <protection hidden="1"/>
    </xf>
    <xf numFmtId="0" fontId="24" fillId="0" borderId="0" xfId="8" applyFill="1" applyBorder="1" applyAlignment="1">
      <alignment horizontal="left" vertical="top" wrapText="1"/>
    </xf>
    <xf numFmtId="0" fontId="24" fillId="0" borderId="0" xfId="8" applyFill="1" applyBorder="1" applyAlignment="1">
      <alignment horizontal="left" vertical="center" wrapText="1"/>
    </xf>
    <xf numFmtId="0" fontId="0" fillId="34" borderId="36" xfId="12" applyFont="1">
      <alignment horizontal="left" vertical="center" wrapText="1"/>
      <protection hidden="1"/>
    </xf>
    <xf numFmtId="0" fontId="78" fillId="0" borderId="63" xfId="0" applyFont="1" applyFill="1" applyBorder="1" applyAlignment="1">
      <alignment vertical="center" wrapText="1"/>
    </xf>
    <xf numFmtId="0" fontId="78" fillId="0" borderId="63" xfId="0" applyFont="1" applyFill="1" applyBorder="1" applyAlignment="1">
      <alignment vertical="center"/>
    </xf>
    <xf numFmtId="0" fontId="78" fillId="0" borderId="64" xfId="0" applyFont="1" applyFill="1" applyBorder="1" applyAlignment="1">
      <alignment vertical="center"/>
    </xf>
    <xf numFmtId="9" fontId="2" fillId="27" borderId="37" xfId="3" applyBorder="1" applyAlignment="1">
      <alignment horizontal="center" vertical="center" wrapText="1"/>
      <protection hidden="1"/>
    </xf>
    <xf numFmtId="1" fontId="2" fillId="27" borderId="37" xfId="3" applyNumberFormat="1" applyBorder="1" applyAlignment="1">
      <alignment horizontal="center" vertical="center" wrapText="1"/>
      <protection hidden="1"/>
    </xf>
    <xf numFmtId="42" fontId="2" fillId="27" borderId="37" xfId="3" applyNumberFormat="1" applyBorder="1">
      <alignment vertical="center" wrapText="1"/>
      <protection hidden="1"/>
    </xf>
    <xf numFmtId="0" fontId="78" fillId="0" borderId="63" xfId="0" applyFont="1" applyBorder="1" applyAlignment="1">
      <alignment vertical="center" wrapText="1"/>
    </xf>
    <xf numFmtId="0" fontId="78" fillId="0" borderId="64" xfId="0" applyFont="1" applyBorder="1" applyAlignment="1">
      <alignment vertical="center" wrapText="1"/>
    </xf>
    <xf numFmtId="0" fontId="78" fillId="0" borderId="0" xfId="0" applyFont="1" applyAlignment="1">
      <alignment vertical="center" wrapText="1"/>
    </xf>
    <xf numFmtId="0" fontId="78" fillId="0" borderId="0" xfId="0" applyFont="1" applyAlignment="1">
      <alignment vertical="center"/>
    </xf>
    <xf numFmtId="0" fontId="6" fillId="29" borderId="17" xfId="20" applyBorder="1" applyAlignment="1">
      <alignment horizontal="center" vertical="center" wrapText="1"/>
      <protection hidden="1"/>
    </xf>
    <xf numFmtId="0" fontId="6" fillId="29" borderId="33" xfId="20" applyBorder="1" applyAlignment="1">
      <alignment horizontal="center" vertical="center" wrapText="1"/>
      <protection hidden="1"/>
    </xf>
    <xf numFmtId="0" fontId="6" fillId="29" borderId="18" xfId="20" applyBorder="1" applyAlignment="1">
      <alignment horizontal="center" vertical="center" wrapText="1"/>
      <protection hidden="1"/>
    </xf>
    <xf numFmtId="0" fontId="6" fillId="29" borderId="56" xfId="20" applyBorder="1" applyAlignment="1">
      <alignment horizontal="center" wrapText="1"/>
      <protection hidden="1"/>
    </xf>
    <xf numFmtId="0" fontId="6" fillId="29" borderId="57" xfId="20" applyBorder="1" applyAlignment="1">
      <alignment horizontal="center" wrapText="1"/>
      <protection hidden="1"/>
    </xf>
    <xf numFmtId="0" fontId="21" fillId="0" borderId="21" xfId="4" applyFont="1" applyFill="1" applyBorder="1" applyAlignment="1">
      <alignment horizontal="center"/>
    </xf>
    <xf numFmtId="0" fontId="21" fillId="0" borderId="0" xfId="4" applyFont="1" applyFill="1" applyBorder="1" applyAlignment="1">
      <alignment horizontal="center"/>
    </xf>
  </cellXfs>
  <cellStyles count="67">
    <cellStyle name="20% - Accent1" xfId="40" builtinId="30" hidden="1"/>
    <cellStyle name="20% - Accent2" xfId="44" builtinId="34" hidden="1"/>
    <cellStyle name="20% - Accent3" xfId="48" builtinId="38" hidden="1"/>
    <cellStyle name="20% - Accent4" xfId="52" builtinId="42" hidden="1"/>
    <cellStyle name="20% - Accent5" xfId="56" builtinId="46" hidden="1"/>
    <cellStyle name="20% - Accent6" xfId="60" builtinId="50" hidden="1"/>
    <cellStyle name="40% - Accent1" xfId="41" builtinId="31" hidden="1"/>
    <cellStyle name="40% - Accent2" xfId="45" builtinId="35" hidden="1"/>
    <cellStyle name="40% - Accent3" xfId="49" builtinId="39" hidden="1"/>
    <cellStyle name="40% - Accent4" xfId="53" builtinId="43" hidden="1"/>
    <cellStyle name="40% - Accent5" xfId="57" builtinId="47" hidden="1"/>
    <cellStyle name="40% - Accent6" xfId="61" builtinId="51" hidden="1"/>
    <cellStyle name="60% - Accent1" xfId="42" builtinId="32" hidden="1"/>
    <cellStyle name="60% - Accent2" xfId="46" builtinId="36" hidden="1"/>
    <cellStyle name="60% - Accent3" xfId="50" builtinId="40" hidden="1"/>
    <cellStyle name="60% - Accent4" xfId="54" builtinId="44" hidden="1"/>
    <cellStyle name="60% - Accent5" xfId="58" builtinId="48" hidden="1"/>
    <cellStyle name="60% - Accent6" xfId="62" builtinId="52" hidden="1"/>
    <cellStyle name="Accent1" xfId="39" builtinId="29" hidden="1"/>
    <cellStyle name="Accent2" xfId="43" builtinId="33" hidden="1"/>
    <cellStyle name="Accent3" xfId="47" builtinId="37" hidden="1"/>
    <cellStyle name="Accent4" xfId="51" builtinId="41" hidden="1"/>
    <cellStyle name="Accent5" xfId="55" builtinId="45" hidden="1"/>
    <cellStyle name="Accent6" xfId="59" builtinId="49" hidden="1"/>
    <cellStyle name="Bad" xfId="16" builtinId="27" hidden="1"/>
    <cellStyle name="Bad" xfId="21" builtinId="27" hidden="1" customBuiltin="1"/>
    <cellStyle name="Calculation" xfId="30" builtinId="22" hidden="1"/>
    <cellStyle name="Check Cell" xfId="19" builtinId="23" hidden="1"/>
    <cellStyle name="Check Cell" xfId="22" builtinId="23" hidden="1" customBuiltin="1"/>
    <cellStyle name="Col Title" xfId="20"/>
    <cellStyle name="Col Total" xfId="32"/>
    <cellStyle name="Comma" xfId="1" builtinId="3" customBuiltin="1"/>
    <cellStyle name="Comma [0]" xfId="26" builtinId="6" hidden="1"/>
    <cellStyle name="Comma 2" xfId="65"/>
    <cellStyle name="Comments" xfId="38"/>
    <cellStyle name="Comments 2" xfId="64"/>
    <cellStyle name="Currency" xfId="2" builtinId="4" customBuiltin="1"/>
    <cellStyle name="Currency [0]" xfId="27" builtinId="7" hidden="1"/>
    <cellStyle name="Data" xfId="3"/>
    <cellStyle name="Data Small" xfId="66"/>
    <cellStyle name="Explanatory Text" xfId="4" builtinId="53" customBuiltin="1"/>
    <cellStyle name="Good" xfId="15" builtinId="26" hidden="1"/>
    <cellStyle name="Good" xfId="23" builtinId="26" hidden="1" customBuiltin="1"/>
    <cellStyle name="Heading 1" xfId="5" builtinId="16" customBuiltin="1"/>
    <cellStyle name="Heading 2" xfId="6" builtinId="17" customBuiltin="1"/>
    <cellStyle name="Heading 3" xfId="7" builtinId="18" customBuiltin="1"/>
    <cellStyle name="Heading 4" xfId="8" builtinId="19" customBuiltin="1"/>
    <cellStyle name="Hyperlink" xfId="9" builtinId="8"/>
    <cellStyle name="Input" xfId="28" builtinId="20" hidden="1"/>
    <cellStyle name="Input Cell" xfId="10"/>
    <cellStyle name="Input Cell 2" xfId="63"/>
    <cellStyle name="Linked Cell" xfId="18" builtinId="24" hidden="1"/>
    <cellStyle name="Linked Cell" xfId="24" builtinId="24" hidden="1" customBuiltin="1"/>
    <cellStyle name="Neutral" xfId="17" builtinId="28" hidden="1"/>
    <cellStyle name="Neutral" xfId="25" builtinId="28" hidden="1" customBuiltin="1"/>
    <cellStyle name="Normal" xfId="0" builtinId="0" customBuiltin="1"/>
    <cellStyle name="Note" xfId="31" builtinId="10" hidden="1"/>
    <cellStyle name="Output" xfId="29" builtinId="21" hidden="1"/>
    <cellStyle name="Percent" xfId="11" builtinId="5"/>
    <cellStyle name="Reference Field" xfId="35"/>
    <cellStyle name="Row Title" xfId="12"/>
    <cellStyle name="Title" xfId="13" builtinId="15" hidden="1" customBuiltin="1"/>
    <cellStyle name="Title" xfId="33" builtinId="15" hidden="1"/>
    <cellStyle name="Title" xfId="36" builtinId="15" hidden="1"/>
    <cellStyle name="Total" xfId="14" builtinId="25" hidden="1" customBuiltin="1"/>
    <cellStyle name="Total" xfId="34" builtinId="25" hidden="1"/>
    <cellStyle name="Total" xfId="37" builtinId="25" hidden="1"/>
  </cellStyles>
  <dxfs count="3">
    <dxf>
      <fill>
        <patternFill>
          <bgColor theme="9" tint="0.59996337778862885"/>
        </patternFill>
      </fill>
    </dxf>
    <dxf>
      <fill>
        <patternFill>
          <bgColor theme="6" tint="0.59996337778862885"/>
        </patternFill>
      </fill>
    </dxf>
    <dxf>
      <fill>
        <patternFill>
          <bgColor theme="6" tint="0.59996337778862885"/>
        </patternFill>
      </fill>
    </dxf>
  </dxfs>
  <tableStyles count="0" defaultTableStyle="TableStyleMedium9" defaultPivotStyle="PivotStyleLight16"/>
  <colors>
    <mruColors>
      <color rgb="FF0000FF"/>
      <color rgb="FFE4EAF4"/>
      <color rgb="FFD4E4F8"/>
      <color rgb="FFECF1FA"/>
      <color rgb="FFEFF3FB"/>
      <color rgb="FFEAEFFA"/>
      <color rgb="FFE4EAF8"/>
      <color rgb="FFD4EAF8"/>
      <color rgb="FFE1E8F3"/>
      <color rgb="FFEAEFF6"/>
    </mruColors>
  </colors>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theme/theme1.xml" Type="http://schemas.openxmlformats.org/officeDocument/2006/relationships/theme"/>
<Relationship Id="rId16" Target="styles.xml" Type="http://schemas.openxmlformats.org/officeDocument/2006/relationships/styles"/>
<Relationship Id="rId17" Target="sharedStrings.xml" Type="http://schemas.openxmlformats.org/officeDocument/2006/relationships/sharedStrings"/>
<Relationship Id="rId18" Target="calcChain.xml" Type="http://schemas.openxmlformats.org/officeDocument/2006/relationships/calcChain"/>
<Relationship Id="rId19" Target="../customXml/item1.xml" Type="http://schemas.openxmlformats.org/officeDocument/2006/relationships/customXml"/>
<Relationship Id="rId2" Target="worksheets/sheet2.xml" Type="http://schemas.openxmlformats.org/officeDocument/2006/relationships/worksheet"/>
<Relationship Id="rId20" Target="../customXml/item2.xml" Type="http://schemas.openxmlformats.org/officeDocument/2006/relationships/customXml"/>
<Relationship Id="rId21" Target="../customXml/item3.xml" Type="http://schemas.openxmlformats.org/officeDocument/2006/relationships/customXml"/>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charts/_rels/chart19.xml.rels><?xml version="1.0" encoding="UTF-8" standalone="no"?>
<Relationships xmlns="http://schemas.openxmlformats.org/package/2006/relationships">
<Relationship Id="rId1" Target="../drawings/drawing14.xml" Type="http://schemas.openxmlformats.org/officeDocument/2006/relationships/chartUserShapes"/>
</Relationships>

</file>

<file path=xl/charts/_rels/chart31.xml.rels><?xml version="1.0" encoding="UTF-8" standalone="no"?>
<Relationships xmlns="http://schemas.openxmlformats.org/package/2006/relationships">
<Relationship Id="rId1" Target="../drawings/drawing16.xml" Type="http://schemas.openxmlformats.org/officeDocument/2006/relationships/chartUserShapes"/>
</Relationships>

</file>

<file path=xl/charts/_rels/chart33.xml.rels><?xml version="1.0" encoding="UTF-8" standalone="no"?>
<Relationships xmlns="http://schemas.openxmlformats.org/package/2006/relationships">
<Relationship Id="rId1" Target="../drawings/drawing17.xml" Type="http://schemas.openxmlformats.org/officeDocument/2006/relationships/chartUserShapes"/>
</Relationships>

</file>

<file path=xl/charts/_rels/chart4.xml.rels><?xml version="1.0" encoding="UTF-8" standalone="no"?>
<Relationships xmlns="http://schemas.openxmlformats.org/package/2006/relationships">
<Relationship Id="rId1" Target="../drawings/drawing3.xml" Type="http://schemas.openxmlformats.org/officeDocument/2006/relationships/chartUserShapes"/>
</Relationships>

</file>

<file path=xl/charts/_rels/chart9.xml.rels><?xml version="1.0" encoding="UTF-8" standalone="no"?>
<Relationships xmlns="http://schemas.openxmlformats.org/package/2006/relationships">
<Relationship Id="rId1" Target="../drawings/drawing6.xml" Type="http://schemas.openxmlformats.org/officeDocument/2006/relationships/chartUserShapes"/>
</Relationships>

</file>

<file path=xl/charts/chart1.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sz="1400"/>
            </a:pPr>
            <a:r>
              <a:rPr lang="en-US" sz="1400"/>
              <a:t>Total Costs Vs Benefits (per BI User)</a:t>
            </a:r>
          </a:p>
        </c:rich>
      </c:tx>
    </c:title>
    <c:plotArea>
      <c:layout>
        <c:manualLayout>
          <c:layoutTarget val="inner"/>
          <c:xMode val="edge"/>
          <c:yMode val="edge"/>
          <c:x val="0.32767633476195768"/>
          <c:y val="0.20364216155223933"/>
          <c:w val="0.60467258048440164"/>
          <c:h val="0.64180517921090063"/>
        </c:manualLayout>
      </c:layout>
      <c:barChart>
        <c:barDir val="col"/>
        <c:grouping val="stacked"/>
        <c:ser>
          <c:idx val="0"/>
          <c:order val="0"/>
          <c:spPr>
            <a:solidFill>
              <a:schemeClr val="accent2">
                <a:lumMod val="75000"/>
              </a:schemeClr>
            </a:solidFill>
          </c:spPr>
          <c:dPt>
            <c:idx val="1"/>
            <c:spPr>
              <a:solidFill>
                <a:schemeClr val="accent3">
                  <a:lumMod val="75000"/>
                </a:schemeClr>
              </a:solidFill>
            </c:spPr>
          </c:dPt>
          <c:dLbls>
            <c:numFmt formatCode="_(\$* #,##0_);_(\$* \(#,##0\);_(\$* &quot;-&quot;??_);_(@_)" sourceLinked="0"/>
            <c:showVal val="1"/>
          </c:dLbls>
          <c:cat>
            <c:strRef>
              <c:f>ROI!$D$7:$D$8</c:f>
              <c:strCache>
                <c:ptCount val="2"/>
                <c:pt idx="0">
                  <c:v>Costs (5-Yr)</c:v>
                </c:pt>
                <c:pt idx="1">
                  <c:v>Benefits (5-Yr)</c:v>
                </c:pt>
              </c:strCache>
            </c:strRef>
          </c:cat>
          <c:val>
            <c:numRef>
              <c:f>ROI!$E$7:$E$8</c:f>
              <c:numCache>
                <c:formatCode>_("$"* #,##0_);_("$"* \(#,##0\);_("$"* "-"_);_(@_)</c:formatCode>
                <c:ptCount val="2"/>
                <c:pt idx="0">
                  <c:v>1936.5755577319103</c:v>
                </c:pt>
                <c:pt idx="1">
                  <c:v>6863.1351718720234</c:v>
                </c:pt>
              </c:numCache>
            </c:numRef>
          </c:val>
        </c:ser>
        <c:dLbls>
          <c:showVal val="1"/>
        </c:dLbls>
        <c:overlap val="100"/>
        <c:axId val="69147264"/>
        <c:axId val="69185920"/>
      </c:barChart>
      <c:catAx>
        <c:axId val="69147264"/>
        <c:scaling>
          <c:orientation val="minMax"/>
        </c:scaling>
        <c:axPos val="b"/>
        <c:numFmt formatCode="General" sourceLinked="0"/>
        <c:tickLblPos val="nextTo"/>
        <c:txPr>
          <a:bodyPr rot="0" vert="horz"/>
          <a:lstStyle/>
          <a:p>
            <a:pPr>
              <a:defRPr/>
            </a:pPr>
            <a:endParaRPr lang="en-US"/>
          </a:p>
        </c:txPr>
        <c:crossAx val="69185920"/>
        <c:crosses val="autoZero"/>
        <c:auto val="1"/>
        <c:lblAlgn val="ctr"/>
        <c:lblOffset val="100"/>
        <c:tickLblSkip val="1"/>
        <c:tickMarkSkip val="1"/>
        <c:noMultiLvlLbl val="1"/>
      </c:catAx>
      <c:valAx>
        <c:axId val="69185920"/>
        <c:scaling>
          <c:orientation val="minMax"/>
        </c:scaling>
        <c:axPos val="l"/>
        <c:majorGridlines/>
        <c:title>
          <c:tx>
            <c:rich>
              <a:bodyPr/>
              <a:lstStyle/>
              <a:p>
                <a:pPr>
                  <a:defRPr/>
                </a:pPr>
                <a:r>
                  <a:rPr lang="en-US"/>
                  <a:t>Costs &amp; Benefits ($ per BI User)</a:t>
                </a:r>
              </a:p>
            </c:rich>
          </c:tx>
          <c:layout>
            <c:manualLayout>
              <c:xMode val="edge"/>
              <c:yMode val="edge"/>
              <c:x val="4.1728845029742459E-2"/>
              <c:y val="0.17520282067745824"/>
            </c:manualLayout>
          </c:layout>
        </c:title>
        <c:numFmt formatCode="&quot;$&quot;#,##0" sourceLinked="0"/>
        <c:tickLblPos val="nextTo"/>
        <c:txPr>
          <a:bodyPr rot="0" vert="horz"/>
          <a:lstStyle/>
          <a:p>
            <a:pPr>
              <a:defRPr/>
            </a:pPr>
            <a:endParaRPr lang="en-US"/>
          </a:p>
        </c:txPr>
        <c:crossAx val="69147264"/>
        <c:crossesAt val="1"/>
        <c:crossBetween val="between"/>
      </c:valAx>
    </c:plotArea>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1144" l="0.70000000000000062" r="0.70000000000000062" t="0.75000000000001144" header="0.30000000000000032" footer="0.30000000000000032"/>
    <c:pageSetup paperSize="0" orientation="landscape" horizontalDpi="0" verticalDpi="0" copies="0"/>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sz="1400"/>
            </a:pPr>
            <a:r>
              <a:rPr lang="en-US" sz="1400"/>
              <a:t>IT Implementation Labor</a:t>
            </a:r>
          </a:p>
        </c:rich>
      </c:tx>
    </c:title>
    <c:plotArea>
      <c:layout/>
      <c:barChart>
        <c:barDir val="col"/>
        <c:grouping val="stacked"/>
        <c:ser>
          <c:idx val="0"/>
          <c:order val="0"/>
          <c:tx>
            <c:strRef>
              <c:f>'Costs - Labor'!$C$38</c:f>
              <c:strCache>
                <c:ptCount val="1"/>
                <c:pt idx="0">
                  <c:v>Project Management</c:v>
                </c:pt>
              </c:strCache>
            </c:strRef>
          </c:tx>
          <c:dLbls>
            <c:dLblPos val="ctr"/>
            <c:showVal val="1"/>
          </c:dLbls>
          <c:cat>
            <c:strRef>
              <c:f>'Costs - Labor'!$D$37:$G$37</c:f>
              <c:strCache>
                <c:ptCount val="4"/>
                <c:pt idx="0">
                  <c:v>BI Applications</c:v>
                </c:pt>
                <c:pt idx="1">
                  <c:v>Source System Inclusion / Integration</c:v>
                </c:pt>
                <c:pt idx="2">
                  <c:v>Enhance DW Platform</c:v>
                </c:pt>
                <c:pt idx="3">
                  <c:v>Enhance BI Platform</c:v>
                </c:pt>
              </c:strCache>
            </c:strRef>
          </c:cat>
          <c:val>
            <c:numRef>
              <c:f>'Costs - Labor'!$D$38:$G$38</c:f>
              <c:numCache>
                <c:formatCode>0.0</c:formatCode>
                <c:ptCount val="4"/>
                <c:pt idx="0">
                  <c:v>22.389448703999996</c:v>
                </c:pt>
                <c:pt idx="1">
                  <c:v>12.635787264000001</c:v>
                </c:pt>
                <c:pt idx="2">
                  <c:v>3.734219872500002</c:v>
                </c:pt>
                <c:pt idx="3">
                  <c:v>20.603312639999999</c:v>
                </c:pt>
              </c:numCache>
            </c:numRef>
          </c:val>
        </c:ser>
        <c:ser>
          <c:idx val="1"/>
          <c:order val="1"/>
          <c:tx>
            <c:strRef>
              <c:f>'Costs - Labor'!$C$39</c:f>
              <c:strCache>
                <c:ptCount val="1"/>
                <c:pt idx="0">
                  <c:v>Planning, Evaluation, Needs Analysis, System Modeling</c:v>
                </c:pt>
              </c:strCache>
            </c:strRef>
          </c:tx>
          <c:dLbls>
            <c:dLblPos val="ctr"/>
            <c:showVal val="1"/>
          </c:dLbls>
          <c:cat>
            <c:strRef>
              <c:f>'Costs - Labor'!$D$37:$G$37</c:f>
              <c:strCache>
                <c:ptCount val="4"/>
                <c:pt idx="0">
                  <c:v>BI Applications</c:v>
                </c:pt>
                <c:pt idx="1">
                  <c:v>Source System Inclusion / Integration</c:v>
                </c:pt>
                <c:pt idx="2">
                  <c:v>Enhance DW Platform</c:v>
                </c:pt>
                <c:pt idx="3">
                  <c:v>Enhance BI Platform</c:v>
                </c:pt>
              </c:strCache>
            </c:strRef>
          </c:cat>
          <c:val>
            <c:numRef>
              <c:f>'Costs - Labor'!$D$39:$G$39</c:f>
              <c:numCache>
                <c:formatCode>0.0</c:formatCode>
                <c:ptCount val="4"/>
                <c:pt idx="0">
                  <c:v>14.926299135999999</c:v>
                </c:pt>
                <c:pt idx="1">
                  <c:v>8.4238581759999995</c:v>
                </c:pt>
                <c:pt idx="2">
                  <c:v>2.4894799150000013</c:v>
                </c:pt>
                <c:pt idx="3">
                  <c:v>13.73554176</c:v>
                </c:pt>
              </c:numCache>
            </c:numRef>
          </c:val>
        </c:ser>
        <c:ser>
          <c:idx val="2"/>
          <c:order val="2"/>
          <c:tx>
            <c:strRef>
              <c:f>'Costs - Labor'!$C$40</c:f>
              <c:strCache>
                <c:ptCount val="1"/>
                <c:pt idx="0">
                  <c:v>Engineering, Development, Configuration, Tuning</c:v>
                </c:pt>
              </c:strCache>
            </c:strRef>
          </c:tx>
          <c:dLbls>
            <c:dLblPos val="ctr"/>
            <c:showVal val="1"/>
          </c:dLbls>
          <c:cat>
            <c:strRef>
              <c:f>'Costs - Labor'!$D$37:$G$37</c:f>
              <c:strCache>
                <c:ptCount val="4"/>
                <c:pt idx="0">
                  <c:v>BI Applications</c:v>
                </c:pt>
                <c:pt idx="1">
                  <c:v>Source System Inclusion / Integration</c:v>
                </c:pt>
                <c:pt idx="2">
                  <c:v>Enhance DW Platform</c:v>
                </c:pt>
                <c:pt idx="3">
                  <c:v>Enhance BI Platform</c:v>
                </c:pt>
              </c:strCache>
            </c:strRef>
          </c:cat>
          <c:val>
            <c:numRef>
              <c:f>'Costs - Labor'!$D$40:$G$40</c:f>
              <c:numCache>
                <c:formatCode>0.0</c:formatCode>
                <c:ptCount val="4"/>
                <c:pt idx="0">
                  <c:v>22.389448703999996</c:v>
                </c:pt>
                <c:pt idx="1">
                  <c:v>12.635787264000001</c:v>
                </c:pt>
                <c:pt idx="2">
                  <c:v>3.734219872500002</c:v>
                </c:pt>
                <c:pt idx="3">
                  <c:v>20.603312639999999</c:v>
                </c:pt>
              </c:numCache>
            </c:numRef>
          </c:val>
        </c:ser>
        <c:ser>
          <c:idx val="3"/>
          <c:order val="3"/>
          <c:tx>
            <c:strRef>
              <c:f>'Costs - Labor'!$C$41</c:f>
              <c:strCache>
                <c:ptCount val="1"/>
                <c:pt idx="0">
                  <c:v>Testing (lab / pilot)</c:v>
                </c:pt>
              </c:strCache>
            </c:strRef>
          </c:tx>
          <c:dLbls>
            <c:dLblPos val="ctr"/>
            <c:showVal val="1"/>
          </c:dLbls>
          <c:cat>
            <c:strRef>
              <c:f>'Costs - Labor'!$D$37:$G$37</c:f>
              <c:strCache>
                <c:ptCount val="4"/>
                <c:pt idx="0">
                  <c:v>BI Applications</c:v>
                </c:pt>
                <c:pt idx="1">
                  <c:v>Source System Inclusion / Integration</c:v>
                </c:pt>
                <c:pt idx="2">
                  <c:v>Enhance DW Platform</c:v>
                </c:pt>
                <c:pt idx="3">
                  <c:v>Enhance BI Platform</c:v>
                </c:pt>
              </c:strCache>
            </c:strRef>
          </c:cat>
          <c:val>
            <c:numRef>
              <c:f>'Costs - Labor'!$D$41:$G$41</c:f>
              <c:numCache>
                <c:formatCode>0.0</c:formatCode>
                <c:ptCount val="4"/>
                <c:pt idx="0">
                  <c:v>14.926299135999999</c:v>
                </c:pt>
                <c:pt idx="1">
                  <c:v>8.4238581759999995</c:v>
                </c:pt>
                <c:pt idx="2">
                  <c:v>2.4894799150000013</c:v>
                </c:pt>
                <c:pt idx="3">
                  <c:v>13.73554176</c:v>
                </c:pt>
              </c:numCache>
            </c:numRef>
          </c:val>
        </c:ser>
        <c:ser>
          <c:idx val="4"/>
          <c:order val="4"/>
          <c:tx>
            <c:strRef>
              <c:f>'Costs - Labor'!$C$42</c:f>
              <c:strCache>
                <c:ptCount val="1"/>
                <c:pt idx="0">
                  <c:v>Documentation, Report Development</c:v>
                </c:pt>
              </c:strCache>
            </c:strRef>
          </c:tx>
          <c:dLbls>
            <c:dLblPos val="ctr"/>
            <c:showVal val="1"/>
          </c:dLbls>
          <c:cat>
            <c:strRef>
              <c:f>'Costs - Labor'!$D$37:$G$37</c:f>
              <c:strCache>
                <c:ptCount val="4"/>
                <c:pt idx="0">
                  <c:v>BI Applications</c:v>
                </c:pt>
                <c:pt idx="1">
                  <c:v>Source System Inclusion / Integration</c:v>
                </c:pt>
                <c:pt idx="2">
                  <c:v>Enhance DW Platform</c:v>
                </c:pt>
                <c:pt idx="3">
                  <c:v>Enhance BI Platform</c:v>
                </c:pt>
              </c:strCache>
            </c:strRef>
          </c:cat>
          <c:val>
            <c:numRef>
              <c:f>'Costs - Labor'!$D$42:$G$42</c:f>
              <c:numCache>
                <c:formatCode>0.0</c:formatCode>
                <c:ptCount val="4"/>
                <c:pt idx="0">
                  <c:v>7.4631495679999995</c:v>
                </c:pt>
                <c:pt idx="1">
                  <c:v>4.2119290879999998</c:v>
                </c:pt>
                <c:pt idx="2">
                  <c:v>1.2447399575000007</c:v>
                </c:pt>
                <c:pt idx="3">
                  <c:v>6.8677708800000001</c:v>
                </c:pt>
              </c:numCache>
            </c:numRef>
          </c:val>
        </c:ser>
        <c:ser>
          <c:idx val="5"/>
          <c:order val="5"/>
          <c:tx>
            <c:strRef>
              <c:f>'Costs - Labor'!$C$43</c:f>
              <c:strCache>
                <c:ptCount val="1"/>
                <c:pt idx="0">
                  <c:v>Deploy</c:v>
                </c:pt>
              </c:strCache>
            </c:strRef>
          </c:tx>
          <c:dLbls>
            <c:dLblPos val="ctr"/>
            <c:showVal val="1"/>
          </c:dLbls>
          <c:cat>
            <c:strRef>
              <c:f>'Costs - Labor'!$D$37:$G$37</c:f>
              <c:strCache>
                <c:ptCount val="4"/>
                <c:pt idx="0">
                  <c:v>BI Applications</c:v>
                </c:pt>
                <c:pt idx="1">
                  <c:v>Source System Inclusion / Integration</c:v>
                </c:pt>
                <c:pt idx="2">
                  <c:v>Enhance DW Platform</c:v>
                </c:pt>
                <c:pt idx="3">
                  <c:v>Enhance BI Platform</c:v>
                </c:pt>
              </c:strCache>
            </c:strRef>
          </c:cat>
          <c:val>
            <c:numRef>
              <c:f>'Costs - Labor'!$D$43:$G$43</c:f>
              <c:numCache>
                <c:formatCode>0.0</c:formatCode>
                <c:ptCount val="4"/>
                <c:pt idx="0">
                  <c:v>10.448409395199999</c:v>
                </c:pt>
                <c:pt idx="1">
                  <c:v>5.8967007232000004</c:v>
                </c:pt>
                <c:pt idx="2">
                  <c:v>1.7426359405000011</c:v>
                </c:pt>
                <c:pt idx="3">
                  <c:v>9.6148792320000016</c:v>
                </c:pt>
              </c:numCache>
            </c:numRef>
          </c:val>
        </c:ser>
        <c:ser>
          <c:idx val="6"/>
          <c:order val="6"/>
          <c:tx>
            <c:strRef>
              <c:f>'Costs - Labor'!$C$44</c:f>
              <c:strCache>
                <c:ptCount val="1"/>
                <c:pt idx="0">
                  <c:v>Change management</c:v>
                </c:pt>
              </c:strCache>
            </c:strRef>
          </c:tx>
          <c:dLbls>
            <c:dLblPos val="ctr"/>
            <c:showVal val="1"/>
          </c:dLbls>
          <c:cat>
            <c:strRef>
              <c:f>'Costs - Labor'!$D$37:$G$37</c:f>
              <c:strCache>
                <c:ptCount val="4"/>
                <c:pt idx="0">
                  <c:v>BI Applications</c:v>
                </c:pt>
                <c:pt idx="1">
                  <c:v>Source System Inclusion / Integration</c:v>
                </c:pt>
                <c:pt idx="2">
                  <c:v>Enhance DW Platform</c:v>
                </c:pt>
                <c:pt idx="3">
                  <c:v>Enhance BI Platform</c:v>
                </c:pt>
              </c:strCache>
            </c:strRef>
          </c:cat>
          <c:val>
            <c:numRef>
              <c:f>'Costs - Labor'!$D$44:$G$44</c:f>
              <c:numCache>
                <c:formatCode>0.0</c:formatCode>
                <c:ptCount val="4"/>
                <c:pt idx="0">
                  <c:v>10.448409395199999</c:v>
                </c:pt>
                <c:pt idx="1">
                  <c:v>5.8967007232000004</c:v>
                </c:pt>
                <c:pt idx="2">
                  <c:v>1.7426359405000011</c:v>
                </c:pt>
                <c:pt idx="3">
                  <c:v>9.6148792320000016</c:v>
                </c:pt>
              </c:numCache>
            </c:numRef>
          </c:val>
        </c:ser>
        <c:ser>
          <c:idx val="7"/>
          <c:order val="7"/>
          <c:tx>
            <c:strRef>
              <c:f>'Costs - Labor'!$C$45</c:f>
              <c:strCache>
                <c:ptCount val="1"/>
                <c:pt idx="0">
                  <c:v>User Support</c:v>
                </c:pt>
              </c:strCache>
            </c:strRef>
          </c:tx>
          <c:dLbls>
            <c:dLblPos val="ctr"/>
            <c:showVal val="1"/>
          </c:dLbls>
          <c:cat>
            <c:strRef>
              <c:f>'Costs - Labor'!$D$37:$G$37</c:f>
              <c:strCache>
                <c:ptCount val="4"/>
                <c:pt idx="0">
                  <c:v>BI Applications</c:v>
                </c:pt>
                <c:pt idx="1">
                  <c:v>Source System Inclusion / Integration</c:v>
                </c:pt>
                <c:pt idx="2">
                  <c:v>Enhance DW Platform</c:v>
                </c:pt>
                <c:pt idx="3">
                  <c:v>Enhance BI Platform</c:v>
                </c:pt>
              </c:strCache>
            </c:strRef>
          </c:cat>
          <c:val>
            <c:numRef>
              <c:f>'Costs - Labor'!$D$45:$G$45</c:f>
              <c:numCache>
                <c:formatCode>0.0</c:formatCode>
                <c:ptCount val="4"/>
                <c:pt idx="0">
                  <c:v>8.9557794815999987</c:v>
                </c:pt>
                <c:pt idx="1">
                  <c:v>5.0543149056000001</c:v>
                </c:pt>
                <c:pt idx="2">
                  <c:v>1.4936879490000008</c:v>
                </c:pt>
                <c:pt idx="3">
                  <c:v>8.2413250559999991</c:v>
                </c:pt>
              </c:numCache>
            </c:numRef>
          </c:val>
        </c:ser>
        <c:ser>
          <c:idx val="8"/>
          <c:order val="8"/>
          <c:tx>
            <c:strRef>
              <c:f>'Costs - Labor'!$C$46</c:f>
              <c:strCache>
                <c:ptCount val="1"/>
                <c:pt idx="0">
                  <c:v>Other Internal Labor</c:v>
                </c:pt>
              </c:strCache>
            </c:strRef>
          </c:tx>
          <c:dLbls>
            <c:dLblPos val="ctr"/>
            <c:showVal val="1"/>
          </c:dLbls>
          <c:cat>
            <c:strRef>
              <c:f>'Costs - Labor'!$D$37:$G$37</c:f>
              <c:strCache>
                <c:ptCount val="4"/>
                <c:pt idx="0">
                  <c:v>BI Applications</c:v>
                </c:pt>
                <c:pt idx="1">
                  <c:v>Source System Inclusion / Integration</c:v>
                </c:pt>
                <c:pt idx="2">
                  <c:v>Enhance DW Platform</c:v>
                </c:pt>
                <c:pt idx="3">
                  <c:v>Enhance BI Platform</c:v>
                </c:pt>
              </c:strCache>
            </c:strRef>
          </c:cat>
          <c:val>
            <c:numRef>
              <c:f>'Costs - Labor'!$D$46:$G$46</c:f>
              <c:numCache>
                <c:formatCode>0.0</c:formatCode>
                <c:ptCount val="4"/>
                <c:pt idx="0">
                  <c:v>7.4631495679999995</c:v>
                </c:pt>
                <c:pt idx="1">
                  <c:v>4.2119290879999998</c:v>
                </c:pt>
                <c:pt idx="2">
                  <c:v>1.2447399575000007</c:v>
                </c:pt>
                <c:pt idx="3">
                  <c:v>6.8677708800000001</c:v>
                </c:pt>
              </c:numCache>
            </c:numRef>
          </c:val>
        </c:ser>
        <c:ser>
          <c:idx val="9"/>
          <c:order val="9"/>
          <c:tx>
            <c:strRef>
              <c:f>'Costs - Labor'!$C$47</c:f>
              <c:strCache>
                <c:ptCount val="1"/>
                <c:pt idx="0">
                  <c:v>External Consultants/Services</c:v>
                </c:pt>
              </c:strCache>
            </c:strRef>
          </c:tx>
          <c:dLbls>
            <c:dLblPos val="ctr"/>
            <c:showVal val="1"/>
          </c:dLbls>
          <c:cat>
            <c:strRef>
              <c:f>'Costs - Labor'!$D$37:$G$37</c:f>
              <c:strCache>
                <c:ptCount val="4"/>
                <c:pt idx="0">
                  <c:v>BI Applications</c:v>
                </c:pt>
                <c:pt idx="1">
                  <c:v>Source System Inclusion / Integration</c:v>
                </c:pt>
                <c:pt idx="2">
                  <c:v>Enhance DW Platform</c:v>
                </c:pt>
                <c:pt idx="3">
                  <c:v>Enhance BI Platform</c:v>
                </c:pt>
              </c:strCache>
            </c:strRef>
          </c:cat>
          <c:val>
            <c:numRef>
              <c:f>'Costs - Labor'!$D$47:$G$47</c:f>
              <c:numCache>
                <c:formatCode>0.0</c:formatCode>
                <c:ptCount val="4"/>
                <c:pt idx="0">
                  <c:v>29.852598271999998</c:v>
                </c:pt>
                <c:pt idx="1">
                  <c:v>16.847716351999999</c:v>
                </c:pt>
                <c:pt idx="2">
                  <c:v>4.9789598300000026</c:v>
                </c:pt>
                <c:pt idx="3">
                  <c:v>27.471083520000001</c:v>
                </c:pt>
              </c:numCache>
            </c:numRef>
          </c:val>
        </c:ser>
        <c:dLbls>
          <c:showVal val="1"/>
        </c:dLbls>
        <c:gapWidth val="55"/>
        <c:overlap val="100"/>
        <c:axId val="73448448"/>
        <c:axId val="73478912"/>
      </c:barChart>
      <c:catAx>
        <c:axId val="73448448"/>
        <c:scaling>
          <c:orientation val="minMax"/>
        </c:scaling>
        <c:axPos val="b"/>
        <c:majorTickMark val="none"/>
        <c:tickLblPos val="nextTo"/>
        <c:txPr>
          <a:bodyPr/>
          <a:lstStyle/>
          <a:p>
            <a:pPr>
              <a:defRPr sz="900"/>
            </a:pPr>
            <a:endParaRPr lang="en-US"/>
          </a:p>
        </c:txPr>
        <c:crossAx val="73478912"/>
        <c:crosses val="autoZero"/>
        <c:auto val="1"/>
        <c:lblAlgn val="ctr"/>
        <c:lblOffset val="100"/>
      </c:catAx>
      <c:valAx>
        <c:axId val="73478912"/>
        <c:scaling>
          <c:orientation val="minMax"/>
        </c:scaling>
        <c:axPos val="l"/>
        <c:majorGridlines/>
        <c:title>
          <c:tx>
            <c:rich>
              <a:bodyPr rot="-5400000" vert="horz"/>
              <a:lstStyle/>
              <a:p>
                <a:pPr>
                  <a:defRPr sz="1000"/>
                </a:pPr>
                <a:r>
                  <a:rPr lang="en-US" sz="1000"/>
                  <a:t>Person-Weeks</a:t>
                </a:r>
              </a:p>
            </c:rich>
          </c:tx>
        </c:title>
        <c:numFmt formatCode="0" sourceLinked="0"/>
        <c:majorTickMark val="none"/>
        <c:tickLblPos val="nextTo"/>
        <c:txPr>
          <a:bodyPr/>
          <a:lstStyle/>
          <a:p>
            <a:pPr>
              <a:defRPr sz="1000"/>
            </a:pPr>
            <a:endParaRPr lang="en-US"/>
          </a:p>
        </c:txPr>
        <c:crossAx val="73448448"/>
        <c:crosses val="autoZero"/>
        <c:crossBetween val="between"/>
      </c:valAx>
    </c:plotArea>
    <c:legend>
      <c:legendPos val="r"/>
      <c:layout>
        <c:manualLayout>
          <c:xMode val="edge"/>
          <c:yMode val="edge"/>
          <c:x val="0.65946001373484264"/>
          <c:y val="0.10372992125984259"/>
          <c:w val="0.3278757090847535"/>
          <c:h val="0.86290209973753251"/>
        </c:manualLayout>
      </c:layout>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sz="800">
          <a:solidFill>
            <a:schemeClr val="dk1"/>
          </a:solidFill>
          <a:latin typeface="+mn-lt"/>
          <a:ea typeface="+mn-ea"/>
          <a:cs typeface="+mn-cs"/>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HW &amp; SW Costs per User </a:t>
            </a:r>
            <a:r>
              <a:rPr lang="en-US" sz="1200"/>
              <a:t>(Initial Costs Only)</a:t>
            </a:r>
            <a:endParaRPr lang="en-US"/>
          </a:p>
        </c:rich>
      </c:tx>
    </c:title>
    <c:plotArea>
      <c:layout>
        <c:manualLayout>
          <c:layoutTarget val="inner"/>
          <c:xMode val="edge"/>
          <c:yMode val="edge"/>
          <c:x val="0.11112729658792651"/>
          <c:y val="0.21790357784224432"/>
          <c:w val="0.85392957130359315"/>
          <c:h val="0.38462964497858831"/>
        </c:manualLayout>
      </c:layout>
      <c:barChart>
        <c:barDir val="col"/>
        <c:grouping val="stacked"/>
        <c:ser>
          <c:idx val="0"/>
          <c:order val="0"/>
          <c:tx>
            <c:strRef>
              <c:f>'Costs - HWSW'!$C$88</c:f>
              <c:strCache>
                <c:ptCount val="1"/>
                <c:pt idx="0">
                  <c:v>Storage Hardware</c:v>
                </c:pt>
              </c:strCache>
            </c:strRef>
          </c:tx>
          <c:cat>
            <c:strRef>
              <c:f>'Costs - HWSW'!$D$4:$L$4</c:f>
              <c:strCache>
                <c:ptCount val="9"/>
                <c:pt idx="0">
                  <c:v>DW Database</c:v>
                </c:pt>
                <c:pt idx="1">
                  <c:v>Integration / ETL</c:v>
                </c:pt>
                <c:pt idx="2">
                  <c:v>Development</c:v>
                </c:pt>
                <c:pt idx="3">
                  <c:v>Reporting / Query / OLAP</c:v>
                </c:pt>
                <c:pt idx="4">
                  <c:v>Portal / Collab / Workflow</c:v>
                </c:pt>
                <c:pt idx="5">
                  <c:v>Perf Mgmt / Scorecarding</c:v>
                </c:pt>
                <c:pt idx="6">
                  <c:v>Other IT Tools</c:v>
                </c:pt>
                <c:pt idx="7">
                  <c:v>Casual User Tools</c:v>
                </c:pt>
                <c:pt idx="8">
                  <c:v>Power User Tools</c:v>
                </c:pt>
              </c:strCache>
            </c:strRef>
          </c:cat>
          <c:val>
            <c:numRef>
              <c:f>'Costs - HWSW'!$D$88:$L$88</c:f>
              <c:numCache>
                <c:formatCode>_("$"* #,##0_);_("$"* \(#,##0\);_("$"* "-"_);_(@_)</c:formatCode>
                <c:ptCount val="9"/>
                <c:pt idx="0">
                  <c:v>12.260995103390149</c:v>
                </c:pt>
                <c:pt idx="1">
                  <c:v>0.49228433295189039</c:v>
                </c:pt>
                <c:pt idx="2">
                  <c:v>0.32334550345210161</c:v>
                </c:pt>
                <c:pt idx="3">
                  <c:v>2.549122805726844</c:v>
                </c:pt>
                <c:pt idx="4">
                  <c:v>3.9257457637329178</c:v>
                </c:pt>
                <c:pt idx="5">
                  <c:v>0.48708943024650342</c:v>
                </c:pt>
                <c:pt idx="6">
                  <c:v>0.17017104689765111</c:v>
                </c:pt>
                <c:pt idx="7">
                  <c:v>0</c:v>
                </c:pt>
                <c:pt idx="8">
                  <c:v>0</c:v>
                </c:pt>
              </c:numCache>
            </c:numRef>
          </c:val>
        </c:ser>
        <c:ser>
          <c:idx val="1"/>
          <c:order val="1"/>
          <c:tx>
            <c:strRef>
              <c:f>'Costs - HWSW'!$C$89</c:f>
              <c:strCache>
                <c:ptCount val="1"/>
                <c:pt idx="0">
                  <c:v>Server Hardware</c:v>
                </c:pt>
              </c:strCache>
            </c:strRef>
          </c:tx>
          <c:cat>
            <c:strRef>
              <c:f>'Costs - HWSW'!$D$4:$L$4</c:f>
              <c:strCache>
                <c:ptCount val="9"/>
                <c:pt idx="0">
                  <c:v>DW Database</c:v>
                </c:pt>
                <c:pt idx="1">
                  <c:v>Integration / ETL</c:v>
                </c:pt>
                <c:pt idx="2">
                  <c:v>Development</c:v>
                </c:pt>
                <c:pt idx="3">
                  <c:v>Reporting / Query / OLAP</c:v>
                </c:pt>
                <c:pt idx="4">
                  <c:v>Portal / Collab / Workflow</c:v>
                </c:pt>
                <c:pt idx="5">
                  <c:v>Perf Mgmt / Scorecarding</c:v>
                </c:pt>
                <c:pt idx="6">
                  <c:v>Other IT Tools</c:v>
                </c:pt>
                <c:pt idx="7">
                  <c:v>Casual User Tools</c:v>
                </c:pt>
                <c:pt idx="8">
                  <c:v>Power User Tools</c:v>
                </c:pt>
              </c:strCache>
            </c:strRef>
          </c:cat>
          <c:val>
            <c:numRef>
              <c:f>'Costs - HWSW'!$D$89:$L$89</c:f>
              <c:numCache>
                <c:formatCode>_("$"* #,##0_);_("$"* \(#,##0\);_("$"* "-"_);_(@_)</c:formatCode>
                <c:ptCount val="9"/>
                <c:pt idx="0">
                  <c:v>24.659030559728276</c:v>
                </c:pt>
                <c:pt idx="1">
                  <c:v>8.428230553411673</c:v>
                </c:pt>
                <c:pt idx="2">
                  <c:v>3.7669651719646522</c:v>
                </c:pt>
                <c:pt idx="3">
                  <c:v>13.814967522816398</c:v>
                </c:pt>
                <c:pt idx="4">
                  <c:v>6.2361032946341384</c:v>
                </c:pt>
                <c:pt idx="5">
                  <c:v>4.4277162673685959</c:v>
                </c:pt>
                <c:pt idx="6">
                  <c:v>1.9716564008088973</c:v>
                </c:pt>
                <c:pt idx="7">
                  <c:v>0</c:v>
                </c:pt>
                <c:pt idx="8">
                  <c:v>0</c:v>
                </c:pt>
              </c:numCache>
            </c:numRef>
          </c:val>
        </c:ser>
        <c:ser>
          <c:idx val="2"/>
          <c:order val="2"/>
          <c:tx>
            <c:strRef>
              <c:f>'Costs - HWSW'!$C$90</c:f>
              <c:strCache>
                <c:ptCount val="1"/>
                <c:pt idx="0">
                  <c:v>Server Software</c:v>
                </c:pt>
              </c:strCache>
            </c:strRef>
          </c:tx>
          <c:cat>
            <c:strRef>
              <c:f>'Costs - HWSW'!$D$4:$L$4</c:f>
              <c:strCache>
                <c:ptCount val="9"/>
                <c:pt idx="0">
                  <c:v>DW Database</c:v>
                </c:pt>
                <c:pt idx="1">
                  <c:v>Integration / ETL</c:v>
                </c:pt>
                <c:pt idx="2">
                  <c:v>Development</c:v>
                </c:pt>
                <c:pt idx="3">
                  <c:v>Reporting / Query / OLAP</c:v>
                </c:pt>
                <c:pt idx="4">
                  <c:v>Portal / Collab / Workflow</c:v>
                </c:pt>
                <c:pt idx="5">
                  <c:v>Perf Mgmt / Scorecarding</c:v>
                </c:pt>
                <c:pt idx="6">
                  <c:v>Other IT Tools</c:v>
                </c:pt>
                <c:pt idx="7">
                  <c:v>Casual User Tools</c:v>
                </c:pt>
                <c:pt idx="8">
                  <c:v>Power User Tools</c:v>
                </c:pt>
              </c:strCache>
            </c:strRef>
          </c:cat>
          <c:val>
            <c:numRef>
              <c:f>'Costs - HWSW'!$D$90:$L$90</c:f>
              <c:numCache>
                <c:formatCode>_("$"* #,##0_);_("$"* \(#,##0\);_("$"* "-"_);_(@_)</c:formatCode>
                <c:ptCount val="9"/>
                <c:pt idx="0">
                  <c:v>36.25</c:v>
                </c:pt>
                <c:pt idx="1">
                  <c:v>36</c:v>
                </c:pt>
                <c:pt idx="2">
                  <c:v>20.5</c:v>
                </c:pt>
                <c:pt idx="3">
                  <c:v>51.5</c:v>
                </c:pt>
                <c:pt idx="4">
                  <c:v>25.75</c:v>
                </c:pt>
                <c:pt idx="5">
                  <c:v>10.5</c:v>
                </c:pt>
                <c:pt idx="6">
                  <c:v>11.5</c:v>
                </c:pt>
                <c:pt idx="7">
                  <c:v>0</c:v>
                </c:pt>
                <c:pt idx="8">
                  <c:v>0</c:v>
                </c:pt>
              </c:numCache>
            </c:numRef>
          </c:val>
        </c:ser>
        <c:ser>
          <c:idx val="3"/>
          <c:order val="3"/>
          <c:tx>
            <c:strRef>
              <c:f>'Costs - HWSW'!$C$91</c:f>
              <c:strCache>
                <c:ptCount val="1"/>
                <c:pt idx="0">
                  <c:v>Client Software</c:v>
                </c:pt>
              </c:strCache>
            </c:strRef>
          </c:tx>
          <c:cat>
            <c:strRef>
              <c:f>'Costs - HWSW'!$D$4:$L$4</c:f>
              <c:strCache>
                <c:ptCount val="9"/>
                <c:pt idx="0">
                  <c:v>DW Database</c:v>
                </c:pt>
                <c:pt idx="1">
                  <c:v>Integration / ETL</c:v>
                </c:pt>
                <c:pt idx="2">
                  <c:v>Development</c:v>
                </c:pt>
                <c:pt idx="3">
                  <c:v>Reporting / Query / OLAP</c:v>
                </c:pt>
                <c:pt idx="4">
                  <c:v>Portal / Collab / Workflow</c:v>
                </c:pt>
                <c:pt idx="5">
                  <c:v>Perf Mgmt / Scorecarding</c:v>
                </c:pt>
                <c:pt idx="6">
                  <c:v>Other IT Tools</c:v>
                </c:pt>
                <c:pt idx="7">
                  <c:v>Casual User Tools</c:v>
                </c:pt>
                <c:pt idx="8">
                  <c:v>Power User Tools</c:v>
                </c:pt>
              </c:strCache>
            </c:strRef>
          </c:cat>
          <c:val>
            <c:numRef>
              <c:f>'Costs - HWSW'!$D$91:$L$91</c:f>
              <c:numCache>
                <c:formatCode>_("$"* #,##0_);_("$"* \(#,##0\);_("$"* "-"_);_(@_)</c:formatCode>
                <c:ptCount val="9"/>
                <c:pt idx="0">
                  <c:v>0</c:v>
                </c:pt>
                <c:pt idx="1">
                  <c:v>0</c:v>
                </c:pt>
                <c:pt idx="2">
                  <c:v>0</c:v>
                </c:pt>
                <c:pt idx="3">
                  <c:v>9.6424798189525749</c:v>
                </c:pt>
                <c:pt idx="4">
                  <c:v>31.793423697767242</c:v>
                </c:pt>
                <c:pt idx="5">
                  <c:v>0</c:v>
                </c:pt>
                <c:pt idx="6">
                  <c:v>0</c:v>
                </c:pt>
                <c:pt idx="7">
                  <c:v>69.977164548861396</c:v>
                </c:pt>
                <c:pt idx="8">
                  <c:v>106.59538634417007</c:v>
                </c:pt>
              </c:numCache>
            </c:numRef>
          </c:val>
        </c:ser>
        <c:overlap val="100"/>
        <c:axId val="73614848"/>
        <c:axId val="73616384"/>
      </c:barChart>
      <c:catAx>
        <c:axId val="73614848"/>
        <c:scaling>
          <c:orientation val="minMax"/>
        </c:scaling>
        <c:axPos val="b"/>
        <c:tickLblPos val="nextTo"/>
        <c:crossAx val="73616384"/>
        <c:crosses val="autoZero"/>
        <c:auto val="1"/>
        <c:lblAlgn val="ctr"/>
        <c:lblOffset val="100"/>
      </c:catAx>
      <c:valAx>
        <c:axId val="73616384"/>
        <c:scaling>
          <c:orientation val="minMax"/>
        </c:scaling>
        <c:axPos val="l"/>
        <c:majorGridlines/>
        <c:numFmt formatCode="_(&quot;$&quot;* #,##0_);_(&quot;$&quot;* \(#,##0\);_(&quot;$&quot;* &quot;-&quot;_);_(@_)" sourceLinked="1"/>
        <c:tickLblPos val="nextTo"/>
        <c:crossAx val="73614848"/>
        <c:crosses val="autoZero"/>
        <c:crossBetween val="between"/>
      </c:valAx>
    </c:plotArea>
    <c:legend>
      <c:legendPos val="r"/>
      <c:layout>
        <c:manualLayout>
          <c:xMode val="edge"/>
          <c:yMode val="edge"/>
          <c:x val="9.5612423447069758E-2"/>
          <c:y val="0.10643569553805776"/>
          <c:w val="0.84883202099737531"/>
          <c:h val="9.2391766818621351E-2"/>
        </c:manualLayout>
      </c:layout>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0289" l="0.70000000000000062" r="0.70000000000000062" t="0.75000000000000289"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Implementation Costs (Per BI User)</a:t>
            </a:r>
          </a:p>
        </c:rich>
      </c:tx>
      <c:layout>
        <c:manualLayout>
          <c:xMode val="edge"/>
          <c:yMode val="edge"/>
          <c:x val="0.20612244897959184"/>
          <c:y val="3.3613445378151259E-2"/>
        </c:manualLayout>
      </c:layout>
    </c:title>
    <c:plotArea>
      <c:layout>
        <c:manualLayout>
          <c:layoutTarget val="inner"/>
          <c:xMode val="edge"/>
          <c:yMode val="edge"/>
          <c:x val="0.23110060070912589"/>
          <c:y val="0.153295668549908"/>
          <c:w val="0.23467912664763058"/>
          <c:h val="0.72799116212169201"/>
        </c:manualLayout>
      </c:layout>
      <c:barChart>
        <c:barDir val="col"/>
        <c:grouping val="stacked"/>
        <c:ser>
          <c:idx val="0"/>
          <c:order val="0"/>
          <c:tx>
            <c:strRef>
              <c:f>'Costs - HWSW'!$C$147</c:f>
              <c:strCache>
                <c:ptCount val="1"/>
                <c:pt idx="0">
                  <c:v>Storage Hardware</c:v>
                </c:pt>
              </c:strCache>
            </c:strRef>
          </c:tx>
          <c:dLbls>
            <c:showVal val="1"/>
          </c:dLbls>
          <c:cat>
            <c:strRef>
              <c:f>'Costs - HWSW'!$G$146</c:f>
              <c:strCache>
                <c:ptCount val="1"/>
                <c:pt idx="0">
                  <c:v>5-Year Total</c:v>
                </c:pt>
              </c:strCache>
            </c:strRef>
          </c:cat>
          <c:val>
            <c:numRef>
              <c:f>'Costs - HWSW'!$G$147</c:f>
              <c:numCache>
                <c:formatCode>_("$"* #,##0_);_("$"* \(#,##0\);_("$"* "-"??_);_(@_)</c:formatCode>
                <c:ptCount val="1"/>
                <c:pt idx="0">
                  <c:v>28.292255580957274</c:v>
                </c:pt>
              </c:numCache>
            </c:numRef>
          </c:val>
        </c:ser>
        <c:ser>
          <c:idx val="1"/>
          <c:order val="1"/>
          <c:tx>
            <c:strRef>
              <c:f>'Costs - HWSW'!$C$148</c:f>
              <c:strCache>
                <c:ptCount val="1"/>
                <c:pt idx="0">
                  <c:v>Server Hardware</c:v>
                </c:pt>
              </c:strCache>
            </c:strRef>
          </c:tx>
          <c:dLbls>
            <c:showVal val="1"/>
          </c:dLbls>
          <c:cat>
            <c:strRef>
              <c:f>'Costs - HWSW'!$G$146</c:f>
              <c:strCache>
                <c:ptCount val="1"/>
                <c:pt idx="0">
                  <c:v>5-Year Total</c:v>
                </c:pt>
              </c:strCache>
            </c:strRef>
          </c:cat>
          <c:val>
            <c:numRef>
              <c:f>'Costs - HWSW'!$G$148</c:f>
              <c:numCache>
                <c:formatCode>_("$"* #,##0_);_("$"* \(#,##0\);_("$"* "-"??_);_(@_)</c:formatCode>
                <c:ptCount val="1"/>
                <c:pt idx="0">
                  <c:v>88.626537679025674</c:v>
                </c:pt>
              </c:numCache>
            </c:numRef>
          </c:val>
        </c:ser>
        <c:ser>
          <c:idx val="2"/>
          <c:order val="2"/>
          <c:tx>
            <c:strRef>
              <c:f>'Costs - HWSW'!$C$149</c:f>
              <c:strCache>
                <c:ptCount val="1"/>
                <c:pt idx="0">
                  <c:v>Server Software</c:v>
                </c:pt>
              </c:strCache>
            </c:strRef>
          </c:tx>
          <c:dLbls>
            <c:showVal val="1"/>
          </c:dLbls>
          <c:cat>
            <c:strRef>
              <c:f>'Costs - HWSW'!$G$146</c:f>
              <c:strCache>
                <c:ptCount val="1"/>
                <c:pt idx="0">
                  <c:v>5-Year Total</c:v>
                </c:pt>
              </c:strCache>
            </c:strRef>
          </c:cat>
          <c:val>
            <c:numRef>
              <c:f>'Costs - HWSW'!$G$149</c:f>
              <c:numCache>
                <c:formatCode>_("$"* #,##0_);_("$"* \(#,##0\);_("$"* "-"??_);_(@_)</c:formatCode>
                <c:ptCount val="1"/>
                <c:pt idx="0">
                  <c:v>384</c:v>
                </c:pt>
              </c:numCache>
            </c:numRef>
          </c:val>
        </c:ser>
        <c:ser>
          <c:idx val="3"/>
          <c:order val="3"/>
          <c:tx>
            <c:strRef>
              <c:f>'Costs - HWSW'!$C$150</c:f>
              <c:strCache>
                <c:ptCount val="1"/>
                <c:pt idx="0">
                  <c:v>Client Software</c:v>
                </c:pt>
              </c:strCache>
            </c:strRef>
          </c:tx>
          <c:dLbls>
            <c:showVal val="1"/>
          </c:dLbls>
          <c:cat>
            <c:strRef>
              <c:f>'Costs - HWSW'!$G$146</c:f>
              <c:strCache>
                <c:ptCount val="1"/>
                <c:pt idx="0">
                  <c:v>5-Year Total</c:v>
                </c:pt>
              </c:strCache>
            </c:strRef>
          </c:cat>
          <c:val>
            <c:numRef>
              <c:f>'Costs - HWSW'!$G$150</c:f>
              <c:numCache>
                <c:formatCode>_("$"* #,##0_);_("$"* \(#,##0\);_("$"* "-"??_);_(@_)</c:formatCode>
                <c:ptCount val="1"/>
                <c:pt idx="0">
                  <c:v>436.01690881950253</c:v>
                </c:pt>
              </c:numCache>
            </c:numRef>
          </c:val>
        </c:ser>
        <c:ser>
          <c:idx val="4"/>
          <c:order val="4"/>
          <c:tx>
            <c:strRef>
              <c:f>'Costs - HWSW'!$C$151</c:f>
              <c:strCache>
                <c:ptCount val="1"/>
                <c:pt idx="0">
                  <c:v>BI Applications IT Labor</c:v>
                </c:pt>
              </c:strCache>
            </c:strRef>
          </c:tx>
          <c:dLbls>
            <c:showVal val="1"/>
          </c:dLbls>
          <c:cat>
            <c:strRef>
              <c:f>'Costs - HWSW'!$G$146</c:f>
              <c:strCache>
                <c:ptCount val="1"/>
                <c:pt idx="0">
                  <c:v>5-Year Total</c:v>
                </c:pt>
              </c:strCache>
            </c:strRef>
          </c:cat>
          <c:val>
            <c:numRef>
              <c:f>'Costs - HWSW'!$G$151</c:f>
              <c:numCache>
                <c:formatCode>_("$"* #,##0_);_("$"* \(#,##0\);_("$"* "-"??_);_(@_)</c:formatCode>
                <c:ptCount val="1"/>
                <c:pt idx="0">
                  <c:v>229.76009974971933</c:v>
                </c:pt>
              </c:numCache>
            </c:numRef>
          </c:val>
        </c:ser>
        <c:ser>
          <c:idx val="5"/>
          <c:order val="5"/>
          <c:tx>
            <c:strRef>
              <c:f>'Costs - HWSW'!$C$152</c:f>
              <c:strCache>
                <c:ptCount val="1"/>
                <c:pt idx="0">
                  <c:v>Source System Inclusion / Integration IT Labor</c:v>
                </c:pt>
              </c:strCache>
            </c:strRef>
          </c:tx>
          <c:dLbls>
            <c:showVal val="1"/>
          </c:dLbls>
          <c:cat>
            <c:strRef>
              <c:f>'Costs - HWSW'!$G$146</c:f>
              <c:strCache>
                <c:ptCount val="1"/>
                <c:pt idx="0">
                  <c:v>5-Year Total</c:v>
                </c:pt>
              </c:strCache>
            </c:strRef>
          </c:cat>
          <c:val>
            <c:numRef>
              <c:f>'Costs - HWSW'!$G$152</c:f>
              <c:numCache>
                <c:formatCode>_("$"* #,##0_);_("$"* \(#,##0\);_("$"* "-"??_);_(@_)</c:formatCode>
                <c:ptCount val="1"/>
                <c:pt idx="0">
                  <c:v>103.73456820932621</c:v>
                </c:pt>
              </c:numCache>
            </c:numRef>
          </c:val>
        </c:ser>
        <c:ser>
          <c:idx val="6"/>
          <c:order val="6"/>
          <c:tx>
            <c:strRef>
              <c:f>'Costs - HWSW'!$C$153</c:f>
              <c:strCache>
                <c:ptCount val="1"/>
                <c:pt idx="0">
                  <c:v>Enhance DW Platform IT Labor</c:v>
                </c:pt>
              </c:strCache>
            </c:strRef>
          </c:tx>
          <c:dLbls>
            <c:showVal val="1"/>
          </c:dLbls>
          <c:cat>
            <c:strRef>
              <c:f>'Costs - HWSW'!$G$146</c:f>
              <c:strCache>
                <c:ptCount val="1"/>
                <c:pt idx="0">
                  <c:v>5-Year Total</c:v>
                </c:pt>
              </c:strCache>
            </c:strRef>
          </c:cat>
          <c:val>
            <c:numRef>
              <c:f>'Costs - HWSW'!$G$153</c:f>
              <c:numCache>
                <c:formatCode>_("$"* #,##0_);_("$"* \(#,##0\);_("$"* "-"??_);_(@_)</c:formatCode>
                <c:ptCount val="1"/>
                <c:pt idx="0">
                  <c:v>32.846137548444005</c:v>
                </c:pt>
              </c:numCache>
            </c:numRef>
          </c:val>
        </c:ser>
        <c:ser>
          <c:idx val="7"/>
          <c:order val="7"/>
          <c:tx>
            <c:strRef>
              <c:f>'Costs - HWSW'!$C$154</c:f>
              <c:strCache>
                <c:ptCount val="1"/>
                <c:pt idx="0">
                  <c:v>Enhance BI Platform IT Labor</c:v>
                </c:pt>
              </c:strCache>
            </c:strRef>
          </c:tx>
          <c:dLbls>
            <c:showVal val="1"/>
          </c:dLbls>
          <c:cat>
            <c:strRef>
              <c:f>'Costs - HWSW'!$G$146</c:f>
              <c:strCache>
                <c:ptCount val="1"/>
                <c:pt idx="0">
                  <c:v>5-Year Total</c:v>
                </c:pt>
              </c:strCache>
            </c:strRef>
          </c:cat>
          <c:val>
            <c:numRef>
              <c:f>'Costs - HWSW'!$G$154</c:f>
              <c:numCache>
                <c:formatCode>_("$"* #,##0_);_("$"* \(#,##0\);_("$"* "-"??_);_(@_)</c:formatCode>
                <c:ptCount val="1"/>
                <c:pt idx="0">
                  <c:v>193.30816474898677</c:v>
                </c:pt>
              </c:numCache>
            </c:numRef>
          </c:val>
        </c:ser>
        <c:ser>
          <c:idx val="8"/>
          <c:order val="8"/>
          <c:tx>
            <c:strRef>
              <c:f>'Costs - HWSW'!$C$155</c:f>
              <c:strCache>
                <c:ptCount val="1"/>
                <c:pt idx="0">
                  <c:v>IT Training</c:v>
                </c:pt>
              </c:strCache>
            </c:strRef>
          </c:tx>
          <c:dLbls>
            <c:showVal val="1"/>
          </c:dLbls>
          <c:cat>
            <c:strRef>
              <c:f>'Costs - HWSW'!$G$146</c:f>
              <c:strCache>
                <c:ptCount val="1"/>
                <c:pt idx="0">
                  <c:v>5-Year Total</c:v>
                </c:pt>
              </c:strCache>
            </c:strRef>
          </c:cat>
          <c:val>
            <c:numRef>
              <c:f>'Costs - HWSW'!$G$155</c:f>
              <c:numCache>
                <c:formatCode>_("$"* #,##0_);_("$"* \(#,##0\);_("$"* "-"??_);_(@_)</c:formatCode>
                <c:ptCount val="1"/>
                <c:pt idx="0">
                  <c:v>22.798278299566697</c:v>
                </c:pt>
              </c:numCache>
            </c:numRef>
          </c:val>
        </c:ser>
        <c:ser>
          <c:idx val="9"/>
          <c:order val="9"/>
          <c:tx>
            <c:strRef>
              <c:f>'Costs - HWSW'!$C$156</c:f>
              <c:strCache>
                <c:ptCount val="1"/>
                <c:pt idx="0">
                  <c:v>End-User Training</c:v>
                </c:pt>
              </c:strCache>
            </c:strRef>
          </c:tx>
          <c:dLbls>
            <c:showVal val="1"/>
          </c:dLbls>
          <c:cat>
            <c:strRef>
              <c:f>'Costs - HWSW'!$G$146</c:f>
              <c:strCache>
                <c:ptCount val="1"/>
                <c:pt idx="0">
                  <c:v>5-Year Total</c:v>
                </c:pt>
              </c:strCache>
            </c:strRef>
          </c:cat>
          <c:val>
            <c:numRef>
              <c:f>'Costs - HWSW'!$G$156</c:f>
              <c:numCache>
                <c:formatCode>_("$"* #,##0_);_("$"* \(#,##0\);_("$"* "-"??_);_(@_)</c:formatCode>
                <c:ptCount val="1"/>
                <c:pt idx="0">
                  <c:v>392.33451508460257</c:v>
                </c:pt>
              </c:numCache>
            </c:numRef>
          </c:val>
        </c:ser>
        <c:ser>
          <c:idx val="10"/>
          <c:order val="10"/>
          <c:tx>
            <c:strRef>
              <c:f>'Costs - HWSW'!$C$157</c:f>
              <c:strCache>
                <c:ptCount val="1"/>
                <c:pt idx="0">
                  <c:v>End-User Labor</c:v>
                </c:pt>
              </c:strCache>
            </c:strRef>
          </c:tx>
          <c:dLbls>
            <c:showVal val="1"/>
          </c:dLbls>
          <c:cat>
            <c:strRef>
              <c:f>'Costs - HWSW'!$G$146</c:f>
              <c:strCache>
                <c:ptCount val="1"/>
                <c:pt idx="0">
                  <c:v>5-Year Total</c:v>
                </c:pt>
              </c:strCache>
            </c:strRef>
          </c:cat>
          <c:val>
            <c:numRef>
              <c:f>'Costs - HWSW'!$G$157</c:f>
              <c:numCache>
                <c:formatCode>_("$"* #,##0_);_("$"* \(#,##0\);_("$"* "-"??_);_(@_)</c:formatCode>
                <c:ptCount val="1"/>
                <c:pt idx="0">
                  <c:v>24.858092011779199</c:v>
                </c:pt>
              </c:numCache>
            </c:numRef>
          </c:val>
        </c:ser>
        <c:dLbls>
          <c:showVal val="1"/>
        </c:dLbls>
        <c:overlap val="100"/>
        <c:axId val="79113216"/>
        <c:axId val="79135488"/>
      </c:barChart>
      <c:catAx>
        <c:axId val="79113216"/>
        <c:scaling>
          <c:orientation val="minMax"/>
        </c:scaling>
        <c:axPos val="b"/>
        <c:numFmt formatCode="General" sourceLinked="1"/>
        <c:tickLblPos val="nextTo"/>
        <c:crossAx val="79135488"/>
        <c:crosses val="autoZero"/>
        <c:auto val="1"/>
        <c:lblAlgn val="ctr"/>
        <c:lblOffset val="100"/>
      </c:catAx>
      <c:valAx>
        <c:axId val="79135488"/>
        <c:scaling>
          <c:orientation val="minMax"/>
        </c:scaling>
        <c:axPos val="l"/>
        <c:majorGridlines/>
        <c:title>
          <c:tx>
            <c:rich>
              <a:bodyPr rot="-5400000" vert="horz"/>
              <a:lstStyle/>
              <a:p>
                <a:pPr>
                  <a:defRPr sz="1100"/>
                </a:pPr>
                <a:r>
                  <a:rPr lang="en-US" sz="1100"/>
                  <a:t>Cost per BI User</a:t>
                </a:r>
              </a:p>
            </c:rich>
          </c:tx>
        </c:title>
        <c:numFmt formatCode="_(&quot;$&quot;* #,##0_);_(&quot;$&quot;* \(#,##0\);_(&quot;$&quot;* &quot;-&quot;??_);_(@_)" sourceLinked="1"/>
        <c:tickLblPos val="nextTo"/>
        <c:crossAx val="79113216"/>
        <c:crosses val="autoZero"/>
        <c:crossBetween val="between"/>
      </c:valAx>
    </c:plotArea>
    <c:legend>
      <c:legendPos val="r"/>
      <c:layout>
        <c:manualLayout>
          <c:xMode val="edge"/>
          <c:yMode val="edge"/>
          <c:x val="0.5084636728101295"/>
          <c:y val="0.11182257815496018"/>
          <c:w val="0.46586807418303555"/>
          <c:h val="0.82745635922644356"/>
        </c:manualLayout>
      </c:layout>
      <c:txPr>
        <a:bodyPr/>
        <a:lstStyle/>
        <a:p>
          <a:pPr>
            <a:defRPr sz="1050"/>
          </a:pPr>
          <a:endParaRPr lang="en-US"/>
        </a:p>
      </c:txPr>
    </c:legend>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1288" l="0.70000000000000062" r="0.70000000000000062" t="0.7500000000000128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n-US"/>
  <c:style val="27"/>
  <c:chart>
    <c:title>
      <c:tx>
        <c:rich>
          <a:bodyPr/>
          <a:lstStyle/>
          <a:p>
            <a:pPr>
              <a:defRPr sz="1400"/>
            </a:pPr>
            <a:r>
              <a:rPr lang="en-US" sz="1400"/>
              <a:t>BI IT Labor TCO (to support current capabilities)</a:t>
            </a:r>
          </a:p>
        </c:rich>
      </c:tx>
      <c:layout>
        <c:manualLayout>
          <c:xMode val="edge"/>
          <c:yMode val="edge"/>
          <c:x val="0.20612244897959184"/>
          <c:y val="3.3613445378151259E-2"/>
        </c:manualLayout>
      </c:layout>
    </c:title>
    <c:plotArea>
      <c:layout>
        <c:manualLayout>
          <c:layoutTarget val="inner"/>
          <c:xMode val="edge"/>
          <c:yMode val="edge"/>
          <c:x val="0.23110060070912589"/>
          <c:y val="0.15329566854990795"/>
          <c:w val="0.39292088789306751"/>
          <c:h val="0.72799116212169179"/>
        </c:manualLayout>
      </c:layout>
      <c:barChart>
        <c:barDir val="col"/>
        <c:grouping val="stacked"/>
        <c:ser>
          <c:idx val="0"/>
          <c:order val="0"/>
          <c:tx>
            <c:strRef>
              <c:f>'IT Labor'!$C$26</c:f>
              <c:strCache>
                <c:ptCount val="1"/>
                <c:pt idx="0">
                  <c:v>Report creation</c:v>
                </c:pt>
              </c:strCache>
            </c:strRef>
          </c:tx>
          <c:dLbls>
            <c:dLblPos val="ctr"/>
            <c:showVal val="1"/>
          </c:dLbls>
          <c:cat>
            <c:strRef>
              <c:f>'IT Labor'!$E$25:$F$25</c:f>
              <c:strCache>
                <c:ptCount val="2"/>
                <c:pt idx="0">
                  <c:v>As-Is TCO</c:v>
                </c:pt>
                <c:pt idx="1">
                  <c:v>To-Be TCO</c:v>
                </c:pt>
              </c:strCache>
            </c:strRef>
          </c:cat>
          <c:val>
            <c:numRef>
              <c:f>'IT Labor'!$E$26:$F$26</c:f>
              <c:numCache>
                <c:formatCode>_("$"* #,##0.0_);_("$"* \(#,##0.0\);_("$"* "-"_);_(@_)</c:formatCode>
                <c:ptCount val="2"/>
                <c:pt idx="0">
                  <c:v>55.038472774060658</c:v>
                </c:pt>
                <c:pt idx="1">
                  <c:v>41.453816634706996</c:v>
                </c:pt>
              </c:numCache>
            </c:numRef>
          </c:val>
        </c:ser>
        <c:ser>
          <c:idx val="2"/>
          <c:order val="1"/>
          <c:tx>
            <c:strRef>
              <c:f>'IT Labor'!$C$27</c:f>
              <c:strCache>
                <c:ptCount val="1"/>
                <c:pt idx="0">
                  <c:v>Database administration</c:v>
                </c:pt>
              </c:strCache>
            </c:strRef>
          </c:tx>
          <c:dLbls>
            <c:showVal val="1"/>
          </c:dLbls>
          <c:cat>
            <c:strRef>
              <c:f>'IT Labor'!$E$25:$F$25</c:f>
              <c:strCache>
                <c:ptCount val="2"/>
                <c:pt idx="0">
                  <c:v>As-Is TCO</c:v>
                </c:pt>
                <c:pt idx="1">
                  <c:v>To-Be TCO</c:v>
                </c:pt>
              </c:strCache>
            </c:strRef>
          </c:cat>
          <c:val>
            <c:numRef>
              <c:f>'IT Labor'!$E$27:$F$27</c:f>
              <c:numCache>
                <c:formatCode>_("$"* #,##0.0_);_("$"* \(#,##0.0\);_("$"* "-"_);_(@_)</c:formatCode>
                <c:ptCount val="2"/>
                <c:pt idx="0">
                  <c:v>57.29476999753588</c:v>
                </c:pt>
                <c:pt idx="1">
                  <c:v>54.50421274552599</c:v>
                </c:pt>
              </c:numCache>
            </c:numRef>
          </c:val>
        </c:ser>
        <c:ser>
          <c:idx val="4"/>
          <c:order val="2"/>
          <c:tx>
            <c:strRef>
              <c:f>'IT Labor'!$C$28</c:f>
              <c:strCache>
                <c:ptCount val="1"/>
                <c:pt idx="0">
                  <c:v>Data management</c:v>
                </c:pt>
              </c:strCache>
            </c:strRef>
          </c:tx>
          <c:dLbls>
            <c:showVal val="1"/>
          </c:dLbls>
          <c:cat>
            <c:strRef>
              <c:f>'IT Labor'!$E$25:$F$25</c:f>
              <c:strCache>
                <c:ptCount val="2"/>
                <c:pt idx="0">
                  <c:v>As-Is TCO</c:v>
                </c:pt>
                <c:pt idx="1">
                  <c:v>To-Be TCO</c:v>
                </c:pt>
              </c:strCache>
            </c:strRef>
          </c:cat>
          <c:val>
            <c:numRef>
              <c:f>'IT Labor'!$E$28:$F$28</c:f>
              <c:numCache>
                <c:formatCode>_("$"* #,##0.0_);_("$"* \(#,##0.0\);_("$"* "-"_);_(@_)</c:formatCode>
                <c:ptCount val="2"/>
                <c:pt idx="0">
                  <c:v>55.038472774060658</c:v>
                </c:pt>
                <c:pt idx="1">
                  <c:v>52.961428943648819</c:v>
                </c:pt>
              </c:numCache>
            </c:numRef>
          </c:val>
        </c:ser>
        <c:ser>
          <c:idx val="5"/>
          <c:order val="3"/>
          <c:tx>
            <c:strRef>
              <c:f>'IT Labor'!$C$29</c:f>
              <c:strCache>
                <c:ptCount val="1"/>
                <c:pt idx="0">
                  <c:v>Integration</c:v>
                </c:pt>
              </c:strCache>
            </c:strRef>
          </c:tx>
          <c:dLbls>
            <c:showVal val="1"/>
          </c:dLbls>
          <c:cat>
            <c:strRef>
              <c:f>'IT Labor'!$E$25:$F$25</c:f>
              <c:strCache>
                <c:ptCount val="2"/>
                <c:pt idx="0">
                  <c:v>As-Is TCO</c:v>
                </c:pt>
                <c:pt idx="1">
                  <c:v>To-Be TCO</c:v>
                </c:pt>
              </c:strCache>
            </c:strRef>
          </c:cat>
          <c:val>
            <c:numRef>
              <c:f>'IT Labor'!$E$29:$F$29</c:f>
              <c:numCache>
                <c:formatCode>_("$"* #,##0.0_);_("$"* \(#,##0.0\);_("$"* "-"_);_(@_)</c:formatCode>
                <c:ptCount val="2"/>
                <c:pt idx="0">
                  <c:v>45.329400167998763</c:v>
                </c:pt>
                <c:pt idx="1">
                  <c:v>42.81679165988578</c:v>
                </c:pt>
              </c:numCache>
            </c:numRef>
          </c:val>
        </c:ser>
        <c:ser>
          <c:idx val="6"/>
          <c:order val="4"/>
          <c:tx>
            <c:strRef>
              <c:f>'IT Labor'!$C$30</c:f>
              <c:strCache>
                <c:ptCount val="1"/>
                <c:pt idx="0">
                  <c:v>Application development</c:v>
                </c:pt>
              </c:strCache>
            </c:strRef>
          </c:tx>
          <c:dLbls>
            <c:showVal val="1"/>
          </c:dLbls>
          <c:cat>
            <c:strRef>
              <c:f>'IT Labor'!$E$25:$F$25</c:f>
              <c:strCache>
                <c:ptCount val="2"/>
                <c:pt idx="0">
                  <c:v>As-Is TCO</c:v>
                </c:pt>
                <c:pt idx="1">
                  <c:v>To-Be TCO</c:v>
                </c:pt>
              </c:strCache>
            </c:strRef>
          </c:cat>
          <c:val>
            <c:numRef>
              <c:f>'IT Labor'!$E$30:$F$30</c:f>
              <c:numCache>
                <c:formatCode>_("$"* #,##0.0_);_("$"* \(#,##0.0\);_("$"* "-"_);_(@_)</c:formatCode>
                <c:ptCount val="2"/>
                <c:pt idx="0">
                  <c:v>45.329400167998763</c:v>
                </c:pt>
                <c:pt idx="1">
                  <c:v>39.442866462271184</c:v>
                </c:pt>
              </c:numCache>
            </c:numRef>
          </c:val>
        </c:ser>
        <c:ser>
          <c:idx val="7"/>
          <c:order val="5"/>
          <c:tx>
            <c:strRef>
              <c:f>'IT Labor'!$C$31</c:f>
              <c:strCache>
                <c:ptCount val="1"/>
                <c:pt idx="0">
                  <c:v>Administration</c:v>
                </c:pt>
              </c:strCache>
            </c:strRef>
          </c:tx>
          <c:dLbls>
            <c:showVal val="1"/>
          </c:dLbls>
          <c:cat>
            <c:strRef>
              <c:f>'IT Labor'!$E$25:$F$25</c:f>
              <c:strCache>
                <c:ptCount val="2"/>
                <c:pt idx="0">
                  <c:v>As-Is TCO</c:v>
                </c:pt>
                <c:pt idx="1">
                  <c:v>To-Be TCO</c:v>
                </c:pt>
              </c:strCache>
            </c:strRef>
          </c:cat>
          <c:val>
            <c:numRef>
              <c:f>'IT Labor'!$E$31:$F$31</c:f>
              <c:numCache>
                <c:formatCode>_("$"* #,##0.0_);_("$"* \(#,##0.0\);_("$"* "-"_);_(@_)</c:formatCode>
                <c:ptCount val="2"/>
                <c:pt idx="0">
                  <c:v>22.91790799901435</c:v>
                </c:pt>
                <c:pt idx="1">
                  <c:v>21.897796380674389</c:v>
                </c:pt>
              </c:numCache>
            </c:numRef>
          </c:val>
        </c:ser>
        <c:ser>
          <c:idx val="9"/>
          <c:order val="6"/>
          <c:tx>
            <c:strRef>
              <c:f>'IT Labor'!$C$32</c:f>
              <c:strCache>
                <c:ptCount val="1"/>
                <c:pt idx="0">
                  <c:v>Other</c:v>
                </c:pt>
              </c:strCache>
            </c:strRef>
          </c:tx>
          <c:dLbls>
            <c:showVal val="1"/>
          </c:dLbls>
          <c:cat>
            <c:strRef>
              <c:f>'IT Labor'!$E$25:$F$25</c:f>
              <c:strCache>
                <c:ptCount val="2"/>
                <c:pt idx="0">
                  <c:v>As-Is TCO</c:v>
                </c:pt>
                <c:pt idx="1">
                  <c:v>To-Be TCO</c:v>
                </c:pt>
              </c:strCache>
            </c:strRef>
          </c:cat>
          <c:val>
            <c:numRef>
              <c:f>'IT Labor'!$E$32:$F$32</c:f>
              <c:numCache>
                <c:formatCode>_("$"* #,##0.0_);_("$"* \(#,##0.0\);_("$"* "-"_);_(@_)</c:formatCode>
                <c:ptCount val="2"/>
                <c:pt idx="0">
                  <c:v>5.7294769997535617</c:v>
                </c:pt>
                <c:pt idx="1">
                  <c:v>5.7294769997535617</c:v>
                </c:pt>
              </c:numCache>
            </c:numRef>
          </c:val>
        </c:ser>
        <c:dLbls>
          <c:showVal val="1"/>
        </c:dLbls>
        <c:overlap val="100"/>
        <c:axId val="79221504"/>
        <c:axId val="79223040"/>
      </c:barChart>
      <c:catAx>
        <c:axId val="79221504"/>
        <c:scaling>
          <c:orientation val="minMax"/>
        </c:scaling>
        <c:axPos val="b"/>
        <c:numFmt formatCode="General" sourceLinked="1"/>
        <c:tickLblPos val="nextTo"/>
        <c:crossAx val="79223040"/>
        <c:crosses val="autoZero"/>
        <c:auto val="1"/>
        <c:lblAlgn val="ctr"/>
        <c:lblOffset val="100"/>
      </c:catAx>
      <c:valAx>
        <c:axId val="79223040"/>
        <c:scaling>
          <c:orientation val="minMax"/>
        </c:scaling>
        <c:axPos val="l"/>
        <c:majorGridlines/>
        <c:title>
          <c:tx>
            <c:rich>
              <a:bodyPr rot="-5400000" vert="horz"/>
              <a:lstStyle/>
              <a:p>
                <a:pPr>
                  <a:defRPr/>
                </a:pPr>
                <a:r>
                  <a:rPr lang="en-US"/>
                  <a:t>TCO per PC per Year</a:t>
                </a:r>
              </a:p>
            </c:rich>
          </c:tx>
        </c:title>
        <c:numFmt formatCode="_(&quot;$&quot;* #,##0.0_);_(&quot;$&quot;* \(#,##0.0\);_(&quot;$&quot;* &quot;-&quot;_);_(@_)" sourceLinked="1"/>
        <c:tickLblPos val="nextTo"/>
        <c:crossAx val="79221504"/>
        <c:crosses val="autoZero"/>
        <c:crossBetween val="between"/>
      </c:valAx>
    </c:plotArea>
    <c:legend>
      <c:legendPos val="r"/>
      <c:layout>
        <c:manualLayout>
          <c:xMode val="edge"/>
          <c:yMode val="edge"/>
          <c:x val="0.63740140563465864"/>
          <c:y val="0.15483326005569159"/>
          <c:w val="0.34289508872104368"/>
          <c:h val="0.84516673994430858"/>
        </c:manualLayout>
      </c:layout>
    </c:legend>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sz="1000">
          <a:solidFill>
            <a:schemeClr val="dk1"/>
          </a:solidFill>
          <a:latin typeface="Arial" pitchFamily="34" charset="0"/>
          <a:ea typeface="+mn-ea"/>
          <a:cs typeface="Arial" pitchFamily="34" charset="0"/>
        </a:defRPr>
      </a:pPr>
      <a:endParaRPr lang="en-US"/>
    </a:p>
  </c:txPr>
  <c:printSettings>
    <c:headerFooter/>
    <c:pageMargins b="0.75000000000001266" l="0.70000000000000062" r="0.70000000000000062" t="0.75000000000001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n-US"/>
  <c:style val="27"/>
  <c:chart>
    <c:title>
      <c:tx>
        <c:rich>
          <a:bodyPr/>
          <a:lstStyle/>
          <a:p>
            <a:pPr>
              <a:defRPr sz="1400"/>
            </a:pPr>
            <a:r>
              <a:rPr lang="en-US" sz="1400"/>
              <a:t>BI IT Labor Comparison (to support current capabilities)</a:t>
            </a:r>
          </a:p>
        </c:rich>
      </c:tx>
      <c:layout>
        <c:manualLayout>
          <c:xMode val="edge"/>
          <c:yMode val="edge"/>
          <c:x val="0.16722150014430234"/>
          <c:y val="3.3613387159092421E-2"/>
        </c:manualLayout>
      </c:layout>
    </c:title>
    <c:plotArea>
      <c:layout>
        <c:manualLayout>
          <c:layoutTarget val="inner"/>
          <c:xMode val="edge"/>
          <c:yMode val="edge"/>
          <c:x val="0.1466669045972688"/>
          <c:y val="0.23859573390889591"/>
          <c:w val="0.74496290513260199"/>
          <c:h val="0.52391435842093348"/>
        </c:manualLayout>
      </c:layout>
      <c:barChart>
        <c:barDir val="col"/>
        <c:grouping val="clustered"/>
        <c:ser>
          <c:idx val="0"/>
          <c:order val="0"/>
          <c:tx>
            <c:strRef>
              <c:f>'IT Labor'!$E$25</c:f>
              <c:strCache>
                <c:ptCount val="1"/>
                <c:pt idx="0">
                  <c:v>As-Is TCO</c:v>
                </c:pt>
              </c:strCache>
            </c:strRef>
          </c:tx>
          <c:spPr>
            <a:solidFill>
              <a:schemeClr val="accent1">
                <a:lumMod val="60000"/>
                <a:lumOff val="40000"/>
              </a:schemeClr>
            </a:solidFill>
          </c:spPr>
          <c:dLbls>
            <c:dLblPos val="inBase"/>
            <c:showVal val="1"/>
          </c:dLbls>
          <c:cat>
            <c:strRef>
              <c:f>'IT Labor'!$C$26:$C$32</c:f>
              <c:strCache>
                <c:ptCount val="7"/>
                <c:pt idx="0">
                  <c:v>Report creation</c:v>
                </c:pt>
                <c:pt idx="1">
                  <c:v>Database administration</c:v>
                </c:pt>
                <c:pt idx="2">
                  <c:v>Data management</c:v>
                </c:pt>
                <c:pt idx="3">
                  <c:v>Integration</c:v>
                </c:pt>
                <c:pt idx="4">
                  <c:v>Application development</c:v>
                </c:pt>
                <c:pt idx="5">
                  <c:v>Administration</c:v>
                </c:pt>
                <c:pt idx="6">
                  <c:v>Other</c:v>
                </c:pt>
              </c:strCache>
            </c:strRef>
          </c:cat>
          <c:val>
            <c:numRef>
              <c:f>'IT Labor'!$E$26:$E$32</c:f>
              <c:numCache>
                <c:formatCode>_("$"* #,##0.0_);_("$"* \(#,##0.0\);_("$"* "-"_);_(@_)</c:formatCode>
                <c:ptCount val="7"/>
                <c:pt idx="0">
                  <c:v>55.038472774060658</c:v>
                </c:pt>
                <c:pt idx="1">
                  <c:v>57.29476999753588</c:v>
                </c:pt>
                <c:pt idx="2">
                  <c:v>55.038472774060658</c:v>
                </c:pt>
                <c:pt idx="3">
                  <c:v>45.329400167998763</c:v>
                </c:pt>
                <c:pt idx="4">
                  <c:v>45.329400167998763</c:v>
                </c:pt>
                <c:pt idx="5">
                  <c:v>22.91790799901435</c:v>
                </c:pt>
                <c:pt idx="6">
                  <c:v>5.7294769997535617</c:v>
                </c:pt>
              </c:numCache>
            </c:numRef>
          </c:val>
        </c:ser>
        <c:ser>
          <c:idx val="1"/>
          <c:order val="1"/>
          <c:tx>
            <c:strRef>
              <c:f>'IT Labor'!$F$25</c:f>
              <c:strCache>
                <c:ptCount val="1"/>
                <c:pt idx="0">
                  <c:v>To-Be TCO</c:v>
                </c:pt>
              </c:strCache>
            </c:strRef>
          </c:tx>
          <c:spPr>
            <a:solidFill>
              <a:schemeClr val="tx2">
                <a:lumMod val="60000"/>
                <a:lumOff val="40000"/>
              </a:schemeClr>
            </a:solidFill>
          </c:spPr>
          <c:dLbls>
            <c:dLblPos val="inBase"/>
            <c:showVal val="1"/>
          </c:dLbls>
          <c:cat>
            <c:strRef>
              <c:f>'IT Labor'!$C$26:$C$32</c:f>
              <c:strCache>
                <c:ptCount val="7"/>
                <c:pt idx="0">
                  <c:v>Report creation</c:v>
                </c:pt>
                <c:pt idx="1">
                  <c:v>Database administration</c:v>
                </c:pt>
                <c:pt idx="2">
                  <c:v>Data management</c:v>
                </c:pt>
                <c:pt idx="3">
                  <c:v>Integration</c:v>
                </c:pt>
                <c:pt idx="4">
                  <c:v>Application development</c:v>
                </c:pt>
                <c:pt idx="5">
                  <c:v>Administration</c:v>
                </c:pt>
                <c:pt idx="6">
                  <c:v>Other</c:v>
                </c:pt>
              </c:strCache>
            </c:strRef>
          </c:cat>
          <c:val>
            <c:numRef>
              <c:f>'IT Labor'!$F$26:$F$32</c:f>
              <c:numCache>
                <c:formatCode>_("$"* #,##0.0_);_("$"* \(#,##0.0\);_("$"* "-"_);_(@_)</c:formatCode>
                <c:ptCount val="7"/>
                <c:pt idx="0">
                  <c:v>41.453816634706996</c:v>
                </c:pt>
                <c:pt idx="1">
                  <c:v>54.50421274552599</c:v>
                </c:pt>
                <c:pt idx="2">
                  <c:v>52.961428943648819</c:v>
                </c:pt>
                <c:pt idx="3">
                  <c:v>42.81679165988578</c:v>
                </c:pt>
                <c:pt idx="4">
                  <c:v>39.442866462271184</c:v>
                </c:pt>
                <c:pt idx="5">
                  <c:v>21.897796380674389</c:v>
                </c:pt>
                <c:pt idx="6">
                  <c:v>5.7294769997535617</c:v>
                </c:pt>
              </c:numCache>
            </c:numRef>
          </c:val>
        </c:ser>
        <c:dLbls>
          <c:showVal val="1"/>
        </c:dLbls>
        <c:axId val="73383296"/>
        <c:axId val="73389184"/>
      </c:barChart>
      <c:lineChart>
        <c:grouping val="standard"/>
        <c:ser>
          <c:idx val="2"/>
          <c:order val="2"/>
          <c:tx>
            <c:strRef>
              <c:f>'IT Labor'!$I$25</c:f>
              <c:strCache>
                <c:ptCount val="1"/>
                <c:pt idx="0">
                  <c:v>As-Is FTEs</c:v>
                </c:pt>
              </c:strCache>
            </c:strRef>
          </c:tx>
          <c:spPr>
            <a:ln>
              <a:noFill/>
            </a:ln>
          </c:spPr>
          <c:marker>
            <c:symbol val="circle"/>
            <c:size val="13"/>
            <c:spPr>
              <a:solidFill>
                <a:srgbClr val="FF0000"/>
              </a:solidFill>
            </c:spPr>
          </c:marker>
          <c:dLbls>
            <c:dLblPos val="t"/>
            <c:showVal val="1"/>
          </c:dLbls>
          <c:cat>
            <c:strRef>
              <c:f>'IT Labor'!$C$26:$C$32</c:f>
              <c:strCache>
                <c:ptCount val="7"/>
                <c:pt idx="0">
                  <c:v>Report creation</c:v>
                </c:pt>
                <c:pt idx="1">
                  <c:v>Database administration</c:v>
                </c:pt>
                <c:pt idx="2">
                  <c:v>Data management</c:v>
                </c:pt>
                <c:pt idx="3">
                  <c:v>Integration</c:v>
                </c:pt>
                <c:pt idx="4">
                  <c:v>Application development</c:v>
                </c:pt>
                <c:pt idx="5">
                  <c:v>Administration</c:v>
                </c:pt>
                <c:pt idx="6">
                  <c:v>Other</c:v>
                </c:pt>
              </c:strCache>
            </c:strRef>
          </c:cat>
          <c:val>
            <c:numRef>
              <c:f>'IT Labor'!$I$26:$I$32</c:f>
              <c:numCache>
                <c:formatCode>_(* #,##0.0_);_(* \(#,##0.0\);_(* "-"_);_(@_)</c:formatCode>
                <c:ptCount val="7"/>
                <c:pt idx="0">
                  <c:v>1.8933493627922595</c:v>
                </c:pt>
                <c:pt idx="1">
                  <c:v>1.8933493627922595</c:v>
                </c:pt>
                <c:pt idx="2">
                  <c:v>1.8933493627922595</c:v>
                </c:pt>
                <c:pt idx="3">
                  <c:v>1.4200120220941945</c:v>
                </c:pt>
                <c:pt idx="4">
                  <c:v>1.4200120220941945</c:v>
                </c:pt>
                <c:pt idx="5">
                  <c:v>0.75733974511690383</c:v>
                </c:pt>
                <c:pt idx="6">
                  <c:v>0.18933493627922507</c:v>
                </c:pt>
              </c:numCache>
            </c:numRef>
          </c:val>
        </c:ser>
        <c:ser>
          <c:idx val="3"/>
          <c:order val="3"/>
          <c:tx>
            <c:strRef>
              <c:f>'IT Labor'!$J$25</c:f>
              <c:strCache>
                <c:ptCount val="1"/>
                <c:pt idx="0">
                  <c:v>To-Be FTEs</c:v>
                </c:pt>
              </c:strCache>
            </c:strRef>
          </c:tx>
          <c:spPr>
            <a:ln>
              <a:noFill/>
            </a:ln>
          </c:spPr>
          <c:marker>
            <c:symbol val="diamond"/>
            <c:size val="9"/>
            <c:spPr>
              <a:solidFill>
                <a:srgbClr val="92D050"/>
              </a:solidFill>
            </c:spPr>
          </c:marker>
          <c:dLbls>
            <c:dLblPos val="b"/>
            <c:showVal val="1"/>
          </c:dLbls>
          <c:cat>
            <c:strRef>
              <c:f>'IT Labor'!$C$26:$C$32</c:f>
              <c:strCache>
                <c:ptCount val="7"/>
                <c:pt idx="0">
                  <c:v>Report creation</c:v>
                </c:pt>
                <c:pt idx="1">
                  <c:v>Database administration</c:v>
                </c:pt>
                <c:pt idx="2">
                  <c:v>Data management</c:v>
                </c:pt>
                <c:pt idx="3">
                  <c:v>Integration</c:v>
                </c:pt>
                <c:pt idx="4">
                  <c:v>Application development</c:v>
                </c:pt>
                <c:pt idx="5">
                  <c:v>Administration</c:v>
                </c:pt>
                <c:pt idx="6">
                  <c:v>Other</c:v>
                </c:pt>
              </c:strCache>
            </c:strRef>
          </c:cat>
          <c:val>
            <c:numRef>
              <c:f>'IT Labor'!$J$26:$J$32</c:f>
              <c:numCache>
                <c:formatCode>_(* #,##0.0_);_(* \(#,##0.0\);_(* "-"_);_(@_)</c:formatCode>
                <c:ptCount val="7"/>
                <c:pt idx="0">
                  <c:v>1.4260307990889591</c:v>
                </c:pt>
                <c:pt idx="1">
                  <c:v>1.8011332705528549</c:v>
                </c:pt>
                <c:pt idx="2">
                  <c:v>1.8218980776349567</c:v>
                </c:pt>
                <c:pt idx="3">
                  <c:v>1.3413007601954443</c:v>
                </c:pt>
                <c:pt idx="4">
                  <c:v>1.2356074502353982</c:v>
                </c:pt>
                <c:pt idx="5">
                  <c:v>0.72362937883663059</c:v>
                </c:pt>
                <c:pt idx="6">
                  <c:v>0.18933493627922507</c:v>
                </c:pt>
              </c:numCache>
            </c:numRef>
          </c:val>
        </c:ser>
        <c:marker val="1"/>
        <c:axId val="79234176"/>
        <c:axId val="73391104"/>
      </c:lineChart>
      <c:catAx>
        <c:axId val="73383296"/>
        <c:scaling>
          <c:orientation val="minMax"/>
        </c:scaling>
        <c:axPos val="b"/>
        <c:numFmt formatCode="General" sourceLinked="1"/>
        <c:tickLblPos val="nextTo"/>
        <c:txPr>
          <a:bodyPr rot="-5400000" vert="horz"/>
          <a:lstStyle/>
          <a:p>
            <a:pPr>
              <a:defRPr sz="800"/>
            </a:pPr>
            <a:endParaRPr lang="en-US"/>
          </a:p>
        </c:txPr>
        <c:crossAx val="73389184"/>
        <c:crosses val="autoZero"/>
        <c:auto val="1"/>
        <c:lblAlgn val="ctr"/>
        <c:lblOffset val="100"/>
      </c:catAx>
      <c:valAx>
        <c:axId val="73389184"/>
        <c:scaling>
          <c:orientation val="minMax"/>
        </c:scaling>
        <c:axPos val="l"/>
        <c:majorGridlines/>
        <c:title>
          <c:tx>
            <c:rich>
              <a:bodyPr rot="-5400000" vert="horz"/>
              <a:lstStyle/>
              <a:p>
                <a:pPr>
                  <a:defRPr/>
                </a:pPr>
                <a:r>
                  <a:rPr lang="en-US"/>
                  <a:t>TCO per PC per Year</a:t>
                </a:r>
              </a:p>
            </c:rich>
          </c:tx>
        </c:title>
        <c:numFmt formatCode="_(&quot;$&quot;* #,##0.0_);_(&quot;$&quot;* \(#,##0.0\);_(&quot;$&quot;* &quot;-&quot;_);_(@_)" sourceLinked="1"/>
        <c:tickLblPos val="nextTo"/>
        <c:crossAx val="73383296"/>
        <c:crosses val="autoZero"/>
        <c:crossBetween val="between"/>
      </c:valAx>
      <c:valAx>
        <c:axId val="73391104"/>
        <c:scaling>
          <c:orientation val="minMax"/>
        </c:scaling>
        <c:axPos val="r"/>
        <c:title>
          <c:tx>
            <c:rich>
              <a:bodyPr rot="-5400000" vert="horz"/>
              <a:lstStyle/>
              <a:p>
                <a:pPr>
                  <a:defRPr/>
                </a:pPr>
                <a:r>
                  <a:rPr lang="en-US"/>
                  <a:t>FTEs (Full Time Equivalents)</a:t>
                </a:r>
              </a:p>
            </c:rich>
          </c:tx>
        </c:title>
        <c:numFmt formatCode="#,##0" sourceLinked="0"/>
        <c:tickLblPos val="nextTo"/>
        <c:crossAx val="79234176"/>
        <c:crosses val="max"/>
        <c:crossBetween val="between"/>
      </c:valAx>
      <c:catAx>
        <c:axId val="79234176"/>
        <c:scaling>
          <c:orientation val="minMax"/>
        </c:scaling>
        <c:delete val="1"/>
        <c:axPos val="b"/>
        <c:numFmt formatCode="General" sourceLinked="1"/>
        <c:tickLblPos val="nextTo"/>
        <c:crossAx val="73391104"/>
        <c:crosses val="autoZero"/>
        <c:auto val="1"/>
        <c:lblAlgn val="ctr"/>
        <c:lblOffset val="100"/>
      </c:catAx>
    </c:plotArea>
    <c:legend>
      <c:legendPos val="r"/>
      <c:layout>
        <c:manualLayout>
          <c:xMode val="edge"/>
          <c:yMode val="edge"/>
          <c:x val="8.5997635564677766E-2"/>
          <c:y val="0.12099231250915972"/>
          <c:w val="0.85735870268342185"/>
          <c:h val="9.2212318637835133E-2"/>
        </c:manualLayout>
      </c:layout>
      <c:txPr>
        <a:bodyPr/>
        <a:lstStyle/>
        <a:p>
          <a:pPr>
            <a:defRPr sz="1050" b="1"/>
          </a:pPr>
          <a:endParaRPr lang="en-US"/>
        </a:p>
      </c:txPr>
    </c:legend>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sz="800">
          <a:solidFill>
            <a:schemeClr val="dk1"/>
          </a:solidFill>
          <a:latin typeface="Arial" pitchFamily="34" charset="0"/>
          <a:ea typeface="+mn-ea"/>
          <a:cs typeface="Arial" pitchFamily="34" charset="0"/>
        </a:defRPr>
      </a:pPr>
      <a:endParaRPr lang="en-US"/>
    </a:p>
  </c:txPr>
  <c:printSettings>
    <c:headerFooter/>
    <c:pageMargins b="0.75000000000001288" l="0.70000000000000062" r="0.70000000000000062" t="0.7500000000000128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sz="1800"/>
            </a:pPr>
            <a:r>
              <a:rPr lang="en-US" sz="1800"/>
              <a:t>BI IT Labor FTEs</a:t>
            </a:r>
          </a:p>
        </c:rich>
      </c:tx>
    </c:title>
    <c:plotArea>
      <c:layout/>
      <c:barChart>
        <c:barDir val="col"/>
        <c:grouping val="clustered"/>
        <c:ser>
          <c:idx val="0"/>
          <c:order val="0"/>
          <c:tx>
            <c:strRef>
              <c:f>'IT Labor'!$E$60</c:f>
              <c:strCache>
                <c:ptCount val="1"/>
                <c:pt idx="0">
                  <c:v>FTEs</c:v>
                </c:pt>
              </c:strCache>
            </c:strRef>
          </c:tx>
          <c:dLbls>
            <c:dLblPos val="ctr"/>
            <c:showVal val="1"/>
          </c:dLbls>
          <c:cat>
            <c:strRef>
              <c:f>'IT Labor'!$C$61:$C$63</c:f>
              <c:strCache>
                <c:ptCount val="3"/>
                <c:pt idx="0">
                  <c:v>Current (as-is) BI labor</c:v>
                </c:pt>
                <c:pt idx="1">
                  <c:v>Simulated BI labor (to maintain current BI capabilities)</c:v>
                </c:pt>
                <c:pt idx="2">
                  <c:v>Total Simulated (to-be) labor</c:v>
                </c:pt>
              </c:strCache>
            </c:strRef>
          </c:cat>
          <c:val>
            <c:numRef>
              <c:f>'IT Labor'!$E$61:$E$63</c:f>
              <c:numCache>
                <c:formatCode>_(* #,##0.0_);_(* \(#,##0.0\);_(* "-"_);_(@_)</c:formatCode>
                <c:ptCount val="3"/>
                <c:pt idx="0">
                  <c:v>9.4667468139612971</c:v>
                </c:pt>
                <c:pt idx="1">
                  <c:v>8.538934672823471</c:v>
                </c:pt>
                <c:pt idx="2">
                  <c:v>10.423614012251839</c:v>
                </c:pt>
              </c:numCache>
            </c:numRef>
          </c:val>
        </c:ser>
        <c:dLbls>
          <c:showVal val="1"/>
        </c:dLbls>
        <c:axId val="79268480"/>
        <c:axId val="79282560"/>
      </c:barChart>
      <c:catAx>
        <c:axId val="79268480"/>
        <c:scaling>
          <c:orientation val="minMax"/>
        </c:scaling>
        <c:axPos val="b"/>
        <c:numFmt formatCode="General" sourceLinked="1"/>
        <c:tickLblPos val="nextTo"/>
        <c:crossAx val="79282560"/>
        <c:crosses val="autoZero"/>
        <c:auto val="1"/>
        <c:lblAlgn val="ctr"/>
        <c:lblOffset val="100"/>
      </c:catAx>
      <c:valAx>
        <c:axId val="79282560"/>
        <c:scaling>
          <c:orientation val="minMax"/>
        </c:scaling>
        <c:axPos val="l"/>
        <c:majorGridlines/>
        <c:title>
          <c:tx>
            <c:rich>
              <a:bodyPr rot="-5400000" vert="horz"/>
              <a:lstStyle/>
              <a:p>
                <a:pPr>
                  <a:defRPr/>
                </a:pPr>
                <a:r>
                  <a:rPr lang="en-US"/>
                  <a:t>BI IT Labor FTEs</a:t>
                </a:r>
              </a:p>
            </c:rich>
          </c:tx>
        </c:title>
        <c:numFmt formatCode="#,##0" sourceLinked="0"/>
        <c:tickLblPos val="nextTo"/>
        <c:crossAx val="79268480"/>
        <c:crosses val="autoZero"/>
        <c:crossBetween val="between"/>
      </c:valAx>
    </c:plotArea>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sz="1100">
          <a:solidFill>
            <a:schemeClr val="dk1"/>
          </a:solidFill>
          <a:latin typeface="+mn-lt"/>
          <a:ea typeface="+mn-ea"/>
          <a:cs typeface="+mn-cs"/>
        </a:defRPr>
      </a:pPr>
      <a:endParaRPr lang="en-US"/>
    </a:p>
  </c:txPr>
  <c:printSettings>
    <c:headerFooter/>
    <c:pageMargins b="0.750000000000001" l="0.70000000000000062" r="0.70000000000000062" t="0.750000000000001"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Direct Cost Savings</a:t>
            </a:r>
          </a:p>
        </c:rich>
      </c:tx>
      <c:layout>
        <c:manualLayout>
          <c:xMode val="edge"/>
          <c:yMode val="edge"/>
          <c:x val="0.22683179677917145"/>
          <c:y val="8.9327602165673106E-3"/>
        </c:manualLayout>
      </c:layout>
    </c:title>
    <c:plotArea>
      <c:layout>
        <c:manualLayout>
          <c:layoutTarget val="inner"/>
          <c:xMode val="edge"/>
          <c:yMode val="edge"/>
          <c:x val="0.24028176805768134"/>
          <c:y val="0.11150493869425659"/>
          <c:w val="0.30107624737862976"/>
          <c:h val="0.79648547554744054"/>
        </c:manualLayout>
      </c:layout>
      <c:barChart>
        <c:barDir val="col"/>
        <c:grouping val="stacked"/>
        <c:ser>
          <c:idx val="0"/>
          <c:order val="0"/>
          <c:tx>
            <c:strRef>
              <c:f>'Direct Savings'!$D$92</c:f>
              <c:strCache>
                <c:ptCount val="1"/>
                <c:pt idx="0">
                  <c:v>Software - Clients</c:v>
                </c:pt>
              </c:strCache>
            </c:strRef>
          </c:tx>
          <c:dLbls>
            <c:numFmt formatCode="_(\$* #,##0_);_(\$* \(#,##0\);_(\$* &quot;-&quot;??_);_(@_)" sourceLinked="0"/>
            <c:showVal val="1"/>
          </c:dLbls>
          <c:cat>
            <c:strRef>
              <c:f>'Direct Savings'!$J$91</c:f>
              <c:strCache>
                <c:ptCount val="1"/>
                <c:pt idx="0">
                  <c:v>5-Year Total</c:v>
                </c:pt>
              </c:strCache>
            </c:strRef>
          </c:cat>
          <c:val>
            <c:numRef>
              <c:f>'Direct Savings'!$J$92</c:f>
              <c:numCache>
                <c:formatCode>_("$"* #,##0_);_("$"* \(#,##0\);_("$"* "-"??_);_(@_)</c:formatCode>
                <c:ptCount val="1"/>
                <c:pt idx="0">
                  <c:v>225.48620916627442</c:v>
                </c:pt>
              </c:numCache>
            </c:numRef>
          </c:val>
        </c:ser>
        <c:ser>
          <c:idx val="1"/>
          <c:order val="1"/>
          <c:tx>
            <c:strRef>
              <c:f>'Direct Savings'!$D$93</c:f>
              <c:strCache>
                <c:ptCount val="1"/>
                <c:pt idx="0">
                  <c:v>Software - Servers</c:v>
                </c:pt>
              </c:strCache>
            </c:strRef>
          </c:tx>
          <c:dLbls>
            <c:showVal val="1"/>
          </c:dLbls>
          <c:cat>
            <c:strRef>
              <c:f>'Direct Savings'!$J$91</c:f>
              <c:strCache>
                <c:ptCount val="1"/>
                <c:pt idx="0">
                  <c:v>5-Year Total</c:v>
                </c:pt>
              </c:strCache>
            </c:strRef>
          </c:cat>
          <c:val>
            <c:numRef>
              <c:f>'Direct Savings'!$J$93</c:f>
              <c:numCache>
                <c:formatCode>_("$"* #,##0_);_("$"* \(#,##0\);_("$"* "-"??_);_(@_)</c:formatCode>
                <c:ptCount val="1"/>
                <c:pt idx="0">
                  <c:v>67.048671424673742</c:v>
                </c:pt>
              </c:numCache>
            </c:numRef>
          </c:val>
        </c:ser>
        <c:ser>
          <c:idx val="2"/>
          <c:order val="2"/>
          <c:tx>
            <c:strRef>
              <c:f>'Direct Savings'!$D$94</c:f>
              <c:strCache>
                <c:ptCount val="1"/>
                <c:pt idx="0">
                  <c:v>Hardware</c:v>
                </c:pt>
              </c:strCache>
            </c:strRef>
          </c:tx>
          <c:dLbls>
            <c:showVal val="1"/>
          </c:dLbls>
          <c:cat>
            <c:strRef>
              <c:f>'Direct Savings'!$J$91</c:f>
              <c:strCache>
                <c:ptCount val="1"/>
                <c:pt idx="0">
                  <c:v>5-Year Total</c:v>
                </c:pt>
              </c:strCache>
            </c:strRef>
          </c:cat>
          <c:val>
            <c:numRef>
              <c:f>'Direct Savings'!$J$94</c:f>
              <c:numCache>
                <c:formatCode>_("$"* #,##0_);_("$"* \(#,##0\);_("$"* "-"??_);_(@_)</c:formatCode>
                <c:ptCount val="1"/>
                <c:pt idx="0">
                  <c:v>1.9687303126968747</c:v>
                </c:pt>
              </c:numCache>
            </c:numRef>
          </c:val>
        </c:ser>
        <c:ser>
          <c:idx val="3"/>
          <c:order val="3"/>
          <c:tx>
            <c:strRef>
              <c:f>'Direct Savings'!$D$95</c:f>
              <c:strCache>
                <c:ptCount val="1"/>
                <c:pt idx="0">
                  <c:v>IT Services</c:v>
                </c:pt>
              </c:strCache>
            </c:strRef>
          </c:tx>
          <c:dLbls>
            <c:showVal val="1"/>
          </c:dLbls>
          <c:cat>
            <c:strRef>
              <c:f>'Direct Savings'!$J$91</c:f>
              <c:strCache>
                <c:ptCount val="1"/>
                <c:pt idx="0">
                  <c:v>5-Year Total</c:v>
                </c:pt>
              </c:strCache>
            </c:strRef>
          </c:cat>
          <c:val>
            <c:numRef>
              <c:f>'Direct Savings'!$J$95</c:f>
              <c:numCache>
                <c:formatCode>_("$"* #,##0_);_("$"* \(#,##0\);_("$"* "-"??_);_(@_)</c:formatCode>
                <c:ptCount val="1"/>
                <c:pt idx="0">
                  <c:v>45.341470262345652</c:v>
                </c:pt>
              </c:numCache>
            </c:numRef>
          </c:val>
        </c:ser>
        <c:ser>
          <c:idx val="4"/>
          <c:order val="4"/>
          <c:tx>
            <c:strRef>
              <c:f>'Direct Savings'!$D$96</c:f>
              <c:strCache>
                <c:ptCount val="1"/>
                <c:pt idx="0">
                  <c:v>Other IT Costs</c:v>
                </c:pt>
              </c:strCache>
            </c:strRef>
          </c:tx>
          <c:dLbls>
            <c:showVal val="1"/>
          </c:dLbls>
          <c:cat>
            <c:strRef>
              <c:f>'Direct Savings'!$J$91</c:f>
              <c:strCache>
                <c:ptCount val="1"/>
                <c:pt idx="0">
                  <c:v>5-Year Total</c:v>
                </c:pt>
              </c:strCache>
            </c:strRef>
          </c:cat>
          <c:val>
            <c:numRef>
              <c:f>'Direct Savings'!$J$96</c:f>
              <c:numCache>
                <c:formatCode>_("$"* #,##0_);_("$"* \(#,##0\);_("$"* "-"??_);_(@_)</c:formatCode>
                <c:ptCount val="1"/>
                <c:pt idx="0">
                  <c:v>2.0249595008099859</c:v>
                </c:pt>
              </c:numCache>
            </c:numRef>
          </c:val>
        </c:ser>
        <c:ser>
          <c:idx val="5"/>
          <c:order val="5"/>
          <c:tx>
            <c:strRef>
              <c:f>'Direct Savings'!$D$100</c:f>
              <c:strCache>
                <c:ptCount val="1"/>
                <c:pt idx="0">
                  <c:v>Travel Expenses</c:v>
                </c:pt>
              </c:strCache>
            </c:strRef>
          </c:tx>
          <c:dLbls>
            <c:showVal val="1"/>
          </c:dLbls>
          <c:cat>
            <c:strRef>
              <c:f>'Direct Savings'!$J$91</c:f>
              <c:strCache>
                <c:ptCount val="1"/>
                <c:pt idx="0">
                  <c:v>5-Year Total</c:v>
                </c:pt>
              </c:strCache>
            </c:strRef>
          </c:cat>
          <c:val>
            <c:numRef>
              <c:f>'Direct Savings'!$J$100</c:f>
              <c:numCache>
                <c:formatCode>_("$"* #,##0_);_("$"* \(#,##0\);_("$"* "-"??_);_(@_)</c:formatCode>
                <c:ptCount val="1"/>
                <c:pt idx="0">
                  <c:v>20.753356703638786</c:v>
                </c:pt>
              </c:numCache>
            </c:numRef>
          </c:val>
        </c:ser>
        <c:ser>
          <c:idx val="6"/>
          <c:order val="6"/>
          <c:tx>
            <c:strRef>
              <c:f>'Direct Savings'!$D$101</c:f>
              <c:strCache>
                <c:ptCount val="1"/>
                <c:pt idx="0">
                  <c:v>External Business Services</c:v>
                </c:pt>
              </c:strCache>
            </c:strRef>
          </c:tx>
          <c:dLbls>
            <c:showVal val="1"/>
          </c:dLbls>
          <c:cat>
            <c:strRef>
              <c:f>'Direct Savings'!$J$91</c:f>
              <c:strCache>
                <c:ptCount val="1"/>
                <c:pt idx="0">
                  <c:v>5-Year Total</c:v>
                </c:pt>
              </c:strCache>
            </c:strRef>
          </c:cat>
          <c:val>
            <c:numRef>
              <c:f>'Direct Savings'!$J$101</c:f>
              <c:numCache>
                <c:formatCode>_("$"* #,##0_);_("$"* \(#,##0\);_("$"* "-"??_);_(@_)</c:formatCode>
                <c:ptCount val="1"/>
                <c:pt idx="0">
                  <c:v>61.567901917997929</c:v>
                </c:pt>
              </c:numCache>
            </c:numRef>
          </c:val>
        </c:ser>
        <c:ser>
          <c:idx val="7"/>
          <c:order val="7"/>
          <c:tx>
            <c:strRef>
              <c:f>'Direct Savings'!$D$102</c:f>
              <c:strCache>
                <c:ptCount val="1"/>
                <c:pt idx="0">
                  <c:v>Operational Costs</c:v>
                </c:pt>
              </c:strCache>
            </c:strRef>
          </c:tx>
          <c:dLbls>
            <c:showVal val="1"/>
          </c:dLbls>
          <c:cat>
            <c:strRef>
              <c:f>'Direct Savings'!$J$91</c:f>
              <c:strCache>
                <c:ptCount val="1"/>
                <c:pt idx="0">
                  <c:v>5-Year Total</c:v>
                </c:pt>
              </c:strCache>
            </c:strRef>
          </c:cat>
          <c:val>
            <c:numRef>
              <c:f>'Direct Savings'!$J$102</c:f>
              <c:numCache>
                <c:formatCode>_("$"* #,##0_);_("$"* \(#,##0\);_("$"* "-"??_);_(@_)</c:formatCode>
                <c:ptCount val="1"/>
                <c:pt idx="0">
                  <c:v>138.70813630395685</c:v>
                </c:pt>
              </c:numCache>
            </c:numRef>
          </c:val>
        </c:ser>
        <c:dLbls>
          <c:showVal val="1"/>
        </c:dLbls>
        <c:overlap val="100"/>
        <c:axId val="79505664"/>
        <c:axId val="79519744"/>
      </c:barChart>
      <c:catAx>
        <c:axId val="79505664"/>
        <c:scaling>
          <c:orientation val="minMax"/>
        </c:scaling>
        <c:axPos val="b"/>
        <c:tickLblPos val="nextTo"/>
        <c:crossAx val="79519744"/>
        <c:crosses val="autoZero"/>
        <c:auto val="1"/>
        <c:lblAlgn val="ctr"/>
        <c:lblOffset val="100"/>
        <c:noMultiLvlLbl val="1"/>
      </c:catAx>
      <c:valAx>
        <c:axId val="79519744"/>
        <c:scaling>
          <c:orientation val="minMax"/>
        </c:scaling>
        <c:axPos val="l"/>
        <c:majorGridlines/>
        <c:title>
          <c:tx>
            <c:rich>
              <a:bodyPr/>
              <a:lstStyle/>
              <a:p>
                <a:pPr>
                  <a:defRPr/>
                </a:pPr>
                <a:r>
                  <a:rPr lang="en-US"/>
                  <a:t>Benefit ($ per BI User)</a:t>
                </a:r>
              </a:p>
            </c:rich>
          </c:tx>
          <c:layout>
            <c:manualLayout>
              <c:xMode val="edge"/>
              <c:yMode val="edge"/>
              <c:x val="3.0084177330941E-2"/>
              <c:y val="0.27820708852071424"/>
            </c:manualLayout>
          </c:layout>
        </c:title>
        <c:numFmt formatCode="_(&quot;$&quot;* #,##0_);_(&quot;$&quot;* \(#,##0\);_(&quot;$&quot;* &quot;-&quot;??_);_(@_)" sourceLinked="1"/>
        <c:tickLblPos val="nextTo"/>
        <c:txPr>
          <a:bodyPr rot="0" vert="horz"/>
          <a:lstStyle/>
          <a:p>
            <a:pPr>
              <a:defRPr/>
            </a:pPr>
            <a:endParaRPr lang="en-US"/>
          </a:p>
        </c:txPr>
        <c:crossAx val="79505664"/>
        <c:crossesAt val="1"/>
        <c:crossBetween val="between"/>
      </c:valAx>
    </c:plotArea>
    <c:legend>
      <c:legendPos val="r"/>
      <c:layout>
        <c:manualLayout>
          <c:xMode val="edge"/>
          <c:yMode val="edge"/>
          <c:x val="0.55935768079240866"/>
          <c:y val="0.1569111488182659"/>
          <c:w val="0.41225620278128217"/>
          <c:h val="0.73241406418400601"/>
        </c:manualLayout>
      </c:layout>
      <c:txPr>
        <a:bodyPr/>
        <a:lstStyle/>
        <a:p>
          <a:pPr>
            <a:defRPr sz="1100"/>
          </a:pPr>
          <a:endParaRPr lang="en-US"/>
        </a:p>
      </c:txPr>
    </c:legend>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alignWithMargins="0"/>
    <c:pageMargins b="0.75000000000001177" l="0.70000000000000062" r="0.70000000000000062" t="0.75000000000001177" header="0.30000000000000032" footer="0.30000000000000032"/>
    <c:pageSetup paperSize="0" orientation="portrait" horizontalDpi="0" verticalDpi="0" copies="0"/>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n-US"/>
  <c:style val="35"/>
  <c:chart>
    <c:title>
      <c:tx>
        <c:rich>
          <a:bodyPr/>
          <a:lstStyle/>
          <a:p>
            <a:pPr>
              <a:defRPr/>
            </a:pPr>
            <a:r>
              <a:rPr lang="en-US"/>
              <a:t>Business User Productivity Benefits (Discounted)</a:t>
            </a:r>
          </a:p>
        </c:rich>
      </c:tx>
      <c:layout>
        <c:manualLayout>
          <c:xMode val="edge"/>
          <c:yMode val="edge"/>
          <c:x val="0.13058554201165237"/>
          <c:y val="2.5742530215565551E-2"/>
        </c:manualLayout>
      </c:layout>
    </c:title>
    <c:plotArea>
      <c:layout>
        <c:manualLayout>
          <c:layoutTarget val="inner"/>
          <c:xMode val="edge"/>
          <c:yMode val="edge"/>
          <c:x val="0.3882758150605195"/>
          <c:y val="0.31287158964224709"/>
          <c:w val="0.5718423142891762"/>
          <c:h val="0.64158477876003517"/>
        </c:manualLayout>
      </c:layout>
      <c:barChart>
        <c:barDir val="bar"/>
        <c:grouping val="stacked"/>
        <c:ser>
          <c:idx val="0"/>
          <c:order val="0"/>
          <c:cat>
            <c:strRef>
              <c:f>Productivity!$B$50:$B$55</c:f>
              <c:strCache>
                <c:ptCount val="6"/>
                <c:pt idx="0">
                  <c:v>Information Access &amp; Analysis</c:v>
                </c:pt>
                <c:pt idx="1">
                  <c:v>Business Process Automation</c:v>
                </c:pt>
                <c:pt idx="2">
                  <c:v>Communication &amp; Collaboration</c:v>
                </c:pt>
                <c:pt idx="3">
                  <c:v>User Application Development</c:v>
                </c:pt>
                <c:pt idx="4">
                  <c:v>Performance Management </c:v>
                </c:pt>
                <c:pt idx="5">
                  <c:v>Performance, Reliability, and Security</c:v>
                </c:pt>
              </c:strCache>
            </c:strRef>
          </c:cat>
          <c:val>
            <c:numRef>
              <c:f>Productivity!$M$50:$M$55</c:f>
              <c:numCache>
                <c:formatCode>_("$"* #,##0_);_("$"* \(#,##0\);_("$"* "-"??_);_(@_)</c:formatCode>
                <c:ptCount val="6"/>
                <c:pt idx="0">
                  <c:v>509.01230521421888</c:v>
                </c:pt>
                <c:pt idx="1">
                  <c:v>89.92608662323255</c:v>
                </c:pt>
                <c:pt idx="2">
                  <c:v>54.612433136399822</c:v>
                </c:pt>
                <c:pt idx="3">
                  <c:v>18.81189475019632</c:v>
                </c:pt>
                <c:pt idx="4">
                  <c:v>33.928400976616878</c:v>
                </c:pt>
                <c:pt idx="5">
                  <c:v>5.7372731240762587</c:v>
                </c:pt>
              </c:numCache>
            </c:numRef>
          </c:val>
        </c:ser>
        <c:overlap val="100"/>
        <c:axId val="79681408"/>
        <c:axId val="79682944"/>
      </c:barChart>
      <c:catAx>
        <c:axId val="79681408"/>
        <c:scaling>
          <c:orientation val="maxMin"/>
        </c:scaling>
        <c:axPos val="l"/>
        <c:numFmt formatCode="General" sourceLinked="0"/>
        <c:tickLblPos val="nextTo"/>
        <c:txPr>
          <a:bodyPr rot="0" vert="horz"/>
          <a:lstStyle/>
          <a:p>
            <a:pPr>
              <a:defRPr/>
            </a:pPr>
            <a:endParaRPr lang="en-US"/>
          </a:p>
        </c:txPr>
        <c:crossAx val="79682944"/>
        <c:crosses val="autoZero"/>
        <c:auto val="1"/>
        <c:lblAlgn val="ctr"/>
        <c:lblOffset val="100"/>
        <c:tickLblSkip val="1"/>
        <c:tickMarkSkip val="1"/>
        <c:noMultiLvlLbl val="1"/>
      </c:catAx>
      <c:valAx>
        <c:axId val="79682944"/>
        <c:scaling>
          <c:orientation val="minMax"/>
        </c:scaling>
        <c:axPos val="t"/>
        <c:majorGridlines/>
        <c:title>
          <c:tx>
            <c:rich>
              <a:bodyPr/>
              <a:lstStyle/>
              <a:p>
                <a:pPr>
                  <a:defRPr/>
                </a:pPr>
                <a:r>
                  <a:rPr lang="en-US"/>
                  <a:t>Average Annual Value per User</a:t>
                </a:r>
              </a:p>
            </c:rich>
          </c:tx>
          <c:layout>
            <c:manualLayout>
              <c:xMode val="edge"/>
              <c:yMode val="edge"/>
              <c:x val="0.58197932053175749"/>
              <c:y val="0.16237639462445333"/>
            </c:manualLayout>
          </c:layout>
        </c:title>
        <c:numFmt formatCode="\$#,##0" sourceLinked="0"/>
        <c:tickLblPos val="nextTo"/>
        <c:txPr>
          <a:bodyPr rot="0" vert="horz"/>
          <a:lstStyle/>
          <a:p>
            <a:pPr>
              <a:defRPr/>
            </a:pPr>
            <a:endParaRPr lang="en-US"/>
          </a:p>
        </c:txPr>
        <c:crossAx val="79681408"/>
        <c:crossesAt val="1"/>
        <c:crossBetween val="between"/>
      </c:valAx>
    </c:plotArea>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alignWithMargins="0"/>
    <c:pageMargins b="0.75000000000000566" l="0.70000000000000062" r="0.70000000000000062" t="0.75000000000000566" header="0.30000000000000032" footer="0.30000000000000032"/>
    <c:pageSetup paperSize="0" orientation="portrait" horizontalDpi="0" verticalDpi="0" copies="0"/>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Revenue Growth (Profit on)</a:t>
            </a:r>
          </a:p>
        </c:rich>
      </c:tx>
      <c:layout>
        <c:manualLayout>
          <c:xMode val="edge"/>
          <c:yMode val="edge"/>
          <c:x val="0.19462949771865315"/>
          <c:y val="3.8609488330087774E-2"/>
        </c:manualLayout>
      </c:layout>
    </c:title>
    <c:plotArea>
      <c:layout>
        <c:manualLayout>
          <c:layoutTarget val="inner"/>
          <c:xMode val="edge"/>
          <c:yMode val="edge"/>
          <c:x val="0.23925708699902432"/>
          <c:y val="0.1733218570350771"/>
          <c:w val="0.3095342554321473"/>
          <c:h val="0.68443513109248444"/>
        </c:manualLayout>
      </c:layout>
      <c:barChart>
        <c:barDir val="col"/>
        <c:grouping val="stacked"/>
        <c:ser>
          <c:idx val="0"/>
          <c:order val="0"/>
          <c:tx>
            <c:strRef>
              <c:f>Revenue!$B$18</c:f>
              <c:strCache>
                <c:ptCount val="1"/>
                <c:pt idx="0">
                  <c:v>Improved Sales Effectiveness</c:v>
                </c:pt>
              </c:strCache>
            </c:strRef>
          </c:tx>
          <c:dLbls>
            <c:dLblPos val="ctr"/>
            <c:showVal val="1"/>
          </c:dLbls>
          <c:cat>
            <c:strRef>
              <c:f>Revenue!$F$17</c:f>
              <c:strCache>
                <c:ptCount val="1"/>
                <c:pt idx="0">
                  <c:v>Benefit 
($ per BI User)</c:v>
                </c:pt>
              </c:strCache>
            </c:strRef>
          </c:cat>
          <c:val>
            <c:numRef>
              <c:f>Revenue!$F$18</c:f>
              <c:numCache>
                <c:formatCode>_("$"* #,##0_);_("$"* \(#,##0\);_("$"* "-"_);_(@_)</c:formatCode>
                <c:ptCount val="1"/>
                <c:pt idx="0">
                  <c:v>130.3672531520954</c:v>
                </c:pt>
              </c:numCache>
            </c:numRef>
          </c:val>
        </c:ser>
        <c:ser>
          <c:idx val="1"/>
          <c:order val="1"/>
          <c:tx>
            <c:strRef>
              <c:f>Revenue!$B$19</c:f>
              <c:strCache>
                <c:ptCount val="1"/>
                <c:pt idx="0">
                  <c:v>Improved Marketing Effectiveness</c:v>
                </c:pt>
              </c:strCache>
            </c:strRef>
          </c:tx>
          <c:dLbls>
            <c:dLblPos val="ctr"/>
            <c:showVal val="1"/>
          </c:dLbls>
          <c:cat>
            <c:strRef>
              <c:f>Revenue!$F$17</c:f>
              <c:strCache>
                <c:ptCount val="1"/>
                <c:pt idx="0">
                  <c:v>Benefit 
($ per BI User)</c:v>
                </c:pt>
              </c:strCache>
            </c:strRef>
          </c:cat>
          <c:val>
            <c:numRef>
              <c:f>Revenue!$F$19</c:f>
              <c:numCache>
                <c:formatCode>_("$"* #,##0_);_("$"* \(#,##0\);_("$"* "-"_);_(@_)</c:formatCode>
                <c:ptCount val="1"/>
                <c:pt idx="0">
                  <c:v>65.1836265760477</c:v>
                </c:pt>
              </c:numCache>
            </c:numRef>
          </c:val>
        </c:ser>
        <c:ser>
          <c:idx val="2"/>
          <c:order val="2"/>
          <c:tx>
            <c:strRef>
              <c:f>Revenue!$B$20</c:f>
              <c:strCache>
                <c:ptCount val="1"/>
                <c:pt idx="0">
                  <c:v>Improved Customer Service</c:v>
                </c:pt>
              </c:strCache>
            </c:strRef>
          </c:tx>
          <c:dLbls>
            <c:dLblPos val="ctr"/>
            <c:showVal val="1"/>
          </c:dLbls>
          <c:cat>
            <c:strRef>
              <c:f>Revenue!$F$17</c:f>
              <c:strCache>
                <c:ptCount val="1"/>
                <c:pt idx="0">
                  <c:v>Benefit 
($ per BI User)</c:v>
                </c:pt>
              </c:strCache>
            </c:strRef>
          </c:cat>
          <c:val>
            <c:numRef>
              <c:f>Revenue!$F$20</c:f>
              <c:numCache>
                <c:formatCode>_("$"* #,##0_);_("$"* \(#,##0\);_("$"* "-"_);_(@_)</c:formatCode>
                <c:ptCount val="1"/>
                <c:pt idx="0">
                  <c:v>138.79336182210639</c:v>
                </c:pt>
              </c:numCache>
            </c:numRef>
          </c:val>
        </c:ser>
        <c:ser>
          <c:idx val="3"/>
          <c:order val="3"/>
          <c:tx>
            <c:strRef>
              <c:f>Revenue!$B$21</c:f>
              <c:strCache>
                <c:ptCount val="1"/>
                <c:pt idx="0">
                  <c:v>New/Expanded Channels or Geographies</c:v>
                </c:pt>
              </c:strCache>
            </c:strRef>
          </c:tx>
          <c:dLbls>
            <c:dLblPos val="ctr"/>
            <c:showVal val="1"/>
          </c:dLbls>
          <c:cat>
            <c:strRef>
              <c:f>Revenue!$F$17</c:f>
              <c:strCache>
                <c:ptCount val="1"/>
                <c:pt idx="0">
                  <c:v>Benefit 
($ per BI User)</c:v>
                </c:pt>
              </c:strCache>
            </c:strRef>
          </c:cat>
          <c:val>
            <c:numRef>
              <c:f>Revenue!$F$21</c:f>
              <c:numCache>
                <c:formatCode>_("$"* #,##0_);_("$"* \(#,##0\);_("$"* "-"_);_(@_)</c:formatCode>
                <c:ptCount val="1"/>
                <c:pt idx="0">
                  <c:v>62.798303815385623</c:v>
                </c:pt>
              </c:numCache>
            </c:numRef>
          </c:val>
        </c:ser>
        <c:ser>
          <c:idx val="4"/>
          <c:order val="4"/>
          <c:tx>
            <c:strRef>
              <c:f>Revenue!$B$22</c:f>
              <c:strCache>
                <c:ptCount val="1"/>
                <c:pt idx="0">
                  <c:v>New/Enhanced Products/Services</c:v>
                </c:pt>
              </c:strCache>
            </c:strRef>
          </c:tx>
          <c:dLbls>
            <c:showVal val="1"/>
          </c:dLbls>
          <c:cat>
            <c:strRef>
              <c:f>Revenue!$F$17</c:f>
              <c:strCache>
                <c:ptCount val="1"/>
                <c:pt idx="0">
                  <c:v>Benefit 
($ per BI User)</c:v>
                </c:pt>
              </c:strCache>
            </c:strRef>
          </c:cat>
          <c:val>
            <c:numRef>
              <c:f>Revenue!$F$22</c:f>
              <c:numCache>
                <c:formatCode>_("$"* #,##0_);_("$"* \(#,##0\);_("$"* "-"_);_(@_)</c:formatCode>
                <c:ptCount val="1"/>
                <c:pt idx="0">
                  <c:v>68.473192612108591</c:v>
                </c:pt>
              </c:numCache>
            </c:numRef>
          </c:val>
        </c:ser>
        <c:ser>
          <c:idx val="5"/>
          <c:order val="5"/>
          <c:tx>
            <c:strRef>
              <c:f>Revenue!$B$23</c:f>
              <c:strCache>
                <c:ptCount val="1"/>
                <c:pt idx="0">
                  <c:v>Improved Product Availability (fill rate, up-time)</c:v>
                </c:pt>
              </c:strCache>
            </c:strRef>
          </c:tx>
          <c:dLbls>
            <c:showVal val="1"/>
          </c:dLbls>
          <c:cat>
            <c:strRef>
              <c:f>Revenue!$F$17</c:f>
              <c:strCache>
                <c:ptCount val="1"/>
                <c:pt idx="0">
                  <c:v>Benefit 
($ per BI User)</c:v>
                </c:pt>
              </c:strCache>
            </c:strRef>
          </c:cat>
          <c:val>
            <c:numRef>
              <c:f>Revenue!$F$23</c:f>
              <c:numCache>
                <c:formatCode>_("$"* #,##0_);_("$"* \(#,##0\);_("$"* "-"_);_(@_)</c:formatCode>
                <c:ptCount val="1"/>
                <c:pt idx="0">
                  <c:v>54.531504399485556</c:v>
                </c:pt>
              </c:numCache>
            </c:numRef>
          </c:val>
        </c:ser>
        <c:ser>
          <c:idx val="6"/>
          <c:order val="6"/>
          <c:tx>
            <c:strRef>
              <c:f>Revenue!$B$24</c:f>
              <c:strCache>
                <c:ptCount val="1"/>
                <c:pt idx="0">
                  <c:v>Other</c:v>
                </c:pt>
              </c:strCache>
            </c:strRef>
          </c:tx>
          <c:dLbls>
            <c:showVal val="1"/>
          </c:dLbls>
          <c:cat>
            <c:strRef>
              <c:f>Revenue!$F$17</c:f>
              <c:strCache>
                <c:ptCount val="1"/>
                <c:pt idx="0">
                  <c:v>Benefit 
($ per BI User)</c:v>
                </c:pt>
              </c:strCache>
            </c:strRef>
          </c:cat>
          <c:val>
            <c:numRef>
              <c:f>Revenue!$F$24</c:f>
              <c:numCache>
                <c:formatCode>_("$"* #,##0_);_("$"* \(#,##0\);_("$"* "-"_);_(@_)</c:formatCode>
                <c:ptCount val="1"/>
                <c:pt idx="0">
                  <c:v>0</c:v>
                </c:pt>
              </c:numCache>
            </c:numRef>
          </c:val>
        </c:ser>
        <c:dLbls>
          <c:showVal val="1"/>
        </c:dLbls>
        <c:overlap val="100"/>
        <c:axId val="80189312"/>
        <c:axId val="80190848"/>
      </c:barChart>
      <c:catAx>
        <c:axId val="80189312"/>
        <c:scaling>
          <c:orientation val="minMax"/>
        </c:scaling>
        <c:delete val="1"/>
        <c:axPos val="b"/>
        <c:numFmt formatCode="General" sourceLinked="0"/>
        <c:tickLblPos val="nextTo"/>
        <c:crossAx val="80190848"/>
        <c:crosses val="autoZero"/>
        <c:auto val="1"/>
        <c:lblAlgn val="ctr"/>
        <c:lblOffset val="100"/>
        <c:tickLblSkip val="1"/>
        <c:tickMarkSkip val="1"/>
        <c:noMultiLvlLbl val="1"/>
      </c:catAx>
      <c:valAx>
        <c:axId val="80190848"/>
        <c:scaling>
          <c:orientation val="minMax"/>
        </c:scaling>
        <c:axPos val="l"/>
        <c:majorGridlines/>
        <c:title>
          <c:tx>
            <c:rich>
              <a:bodyPr/>
              <a:lstStyle/>
              <a:p>
                <a:pPr>
                  <a:defRPr sz="1200"/>
                </a:pPr>
                <a:r>
                  <a:rPr lang="en-US" sz="1200"/>
                  <a:t>Annual Benefit per BI User</a:t>
                </a:r>
              </a:p>
            </c:rich>
          </c:tx>
          <c:layout>
            <c:manualLayout>
              <c:xMode val="edge"/>
              <c:yMode val="edge"/>
              <c:x val="2.0676336510568261E-2"/>
              <c:y val="0.27236868670769165"/>
            </c:manualLayout>
          </c:layout>
        </c:title>
        <c:numFmt formatCode="&quot;$&quot;#,##0" sourceLinked="0"/>
        <c:tickLblPos val="nextTo"/>
        <c:txPr>
          <a:bodyPr rot="0" vert="horz"/>
          <a:lstStyle/>
          <a:p>
            <a:pPr>
              <a:defRPr/>
            </a:pPr>
            <a:endParaRPr lang="en-US"/>
          </a:p>
        </c:txPr>
        <c:crossAx val="80189312"/>
        <c:crossesAt val="1"/>
        <c:crossBetween val="between"/>
      </c:valAx>
    </c:plotArea>
    <c:legend>
      <c:legendPos val="t"/>
      <c:layout>
        <c:manualLayout>
          <c:xMode val="edge"/>
          <c:yMode val="edge"/>
          <c:x val="0.57930266611410464"/>
          <c:y val="0.16774650132296393"/>
          <c:w val="0.37859207072800138"/>
          <c:h val="0.72741113838502969"/>
        </c:manualLayout>
      </c:layout>
    </c:legend>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1177" l="0.70000000000000062" r="0.70000000000000062" t="0.75000000000001177" header="0.30000000000000032" footer="0.30000000000000032"/>
    <c:pageSetup paperSize="0" orientation="landscape" horizontalDpi="0" verticalDpi="0" copies="0"/>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n-US"/>
  <c:style val="27"/>
  <c:chart>
    <c:title>
      <c:tx>
        <c:rich>
          <a:bodyPr/>
          <a:lstStyle/>
          <a:p>
            <a:pPr>
              <a:defRPr/>
            </a:pPr>
            <a:r>
              <a:rPr lang="en-US"/>
              <a:t>KPI Performance</a:t>
            </a:r>
          </a:p>
        </c:rich>
      </c:tx>
    </c:title>
    <c:plotArea>
      <c:layout>
        <c:manualLayout>
          <c:layoutTarget val="inner"/>
          <c:xMode val="edge"/>
          <c:yMode val="edge"/>
          <c:x val="0.18247607426005266"/>
          <c:y val="0.16047070692739984"/>
          <c:w val="0.80136955953488165"/>
          <c:h val="0.62206521482112065"/>
        </c:manualLayout>
      </c:layout>
      <c:barChart>
        <c:barDir val="col"/>
        <c:grouping val="clustered"/>
        <c:ser>
          <c:idx val="0"/>
          <c:order val="0"/>
          <c:tx>
            <c:strRef>
              <c:f>KPIs!$D$34</c:f>
              <c:strCache>
                <c:ptCount val="1"/>
                <c:pt idx="0">
                  <c:v>Current (As-Is)</c:v>
                </c:pt>
              </c:strCache>
            </c:strRef>
          </c:tx>
          <c:dLbls>
            <c:dLblPos val="outEnd"/>
            <c:showVal val="1"/>
          </c:dLbls>
          <c:cat>
            <c:strRef>
              <c:f>KPIs!$C$35:$C$38</c:f>
              <c:strCache>
                <c:ptCount val="4"/>
                <c:pt idx="0">
                  <c:v>Business Management Effectiveness</c:v>
                </c:pt>
                <c:pt idx="1">
                  <c:v>Sales/Marketing Performance</c:v>
                </c:pt>
                <c:pt idx="2">
                  <c:v>Supply/Operations Performance</c:v>
                </c:pt>
                <c:pt idx="3">
                  <c:v>Financial Management Performance</c:v>
                </c:pt>
              </c:strCache>
            </c:strRef>
          </c:cat>
          <c:val>
            <c:numRef>
              <c:f>KPIs!$D$35:$D$38</c:f>
              <c:numCache>
                <c:formatCode>0%</c:formatCode>
                <c:ptCount val="4"/>
                <c:pt idx="0">
                  <c:v>0.40249999999999991</c:v>
                </c:pt>
                <c:pt idx="1">
                  <c:v>0.53</c:v>
                </c:pt>
                <c:pt idx="2">
                  <c:v>0.40249999999999991</c:v>
                </c:pt>
                <c:pt idx="3">
                  <c:v>0.49249999999999999</c:v>
                </c:pt>
              </c:numCache>
            </c:numRef>
          </c:val>
        </c:ser>
        <c:ser>
          <c:idx val="1"/>
          <c:order val="1"/>
          <c:tx>
            <c:strRef>
              <c:f>KPIs!$E$34</c:f>
              <c:strCache>
                <c:ptCount val="1"/>
                <c:pt idx="0">
                  <c:v>Simulated (To-Be)</c:v>
                </c:pt>
              </c:strCache>
            </c:strRef>
          </c:tx>
          <c:dLbls>
            <c:dLblPos val="outEnd"/>
            <c:showVal val="1"/>
          </c:dLbls>
          <c:cat>
            <c:strRef>
              <c:f>KPIs!$C$35:$C$38</c:f>
              <c:strCache>
                <c:ptCount val="4"/>
                <c:pt idx="0">
                  <c:v>Business Management Effectiveness</c:v>
                </c:pt>
                <c:pt idx="1">
                  <c:v>Sales/Marketing Performance</c:v>
                </c:pt>
                <c:pt idx="2">
                  <c:v>Supply/Operations Performance</c:v>
                </c:pt>
                <c:pt idx="3">
                  <c:v>Financial Management Performance</c:v>
                </c:pt>
              </c:strCache>
            </c:strRef>
          </c:cat>
          <c:val>
            <c:numRef>
              <c:f>KPIs!$E$35:$E$38</c:f>
              <c:numCache>
                <c:formatCode>0%</c:formatCode>
                <c:ptCount val="4"/>
                <c:pt idx="0">
                  <c:v>0.53986427831226302</c:v>
                </c:pt>
                <c:pt idx="1">
                  <c:v>0.56115889086699411</c:v>
                </c:pt>
                <c:pt idx="2">
                  <c:v>0.44377593524665715</c:v>
                </c:pt>
                <c:pt idx="3">
                  <c:v>0.60664307114608551</c:v>
                </c:pt>
              </c:numCache>
            </c:numRef>
          </c:val>
        </c:ser>
        <c:dLbls>
          <c:showVal val="1"/>
        </c:dLbls>
        <c:axId val="79543680"/>
        <c:axId val="79635584"/>
      </c:barChart>
      <c:catAx>
        <c:axId val="79543680"/>
        <c:scaling>
          <c:orientation val="minMax"/>
        </c:scaling>
        <c:axPos val="b"/>
        <c:majorTickMark val="none"/>
        <c:tickLblPos val="nextTo"/>
        <c:txPr>
          <a:bodyPr rot="0"/>
          <a:lstStyle/>
          <a:p>
            <a:pPr>
              <a:defRPr sz="900"/>
            </a:pPr>
            <a:endParaRPr lang="en-US"/>
          </a:p>
        </c:txPr>
        <c:crossAx val="79635584"/>
        <c:crosses val="autoZero"/>
        <c:auto val="1"/>
        <c:lblAlgn val="ctr"/>
        <c:lblOffset val="100"/>
      </c:catAx>
      <c:valAx>
        <c:axId val="79635584"/>
        <c:scaling>
          <c:orientation val="minMax"/>
          <c:max val="1"/>
        </c:scaling>
        <c:axPos val="l"/>
        <c:majorGridlines/>
        <c:title>
          <c:tx>
            <c:rich>
              <a:bodyPr rot="-5400000" vert="horz"/>
              <a:lstStyle/>
              <a:p>
                <a:pPr>
                  <a:defRPr/>
                </a:pPr>
                <a:r>
                  <a:rPr lang="en-US"/>
                  <a:t>Performance Percentile</a:t>
                </a:r>
              </a:p>
            </c:rich>
          </c:tx>
        </c:title>
        <c:numFmt formatCode="0%" sourceLinked="0"/>
        <c:majorTickMark val="none"/>
        <c:tickLblPos val="nextTo"/>
        <c:crossAx val="79543680"/>
        <c:crosses val="autoZero"/>
        <c:crossBetween val="between"/>
      </c:valAx>
    </c:plotArea>
    <c:legend>
      <c:legendPos val="r"/>
      <c:layout>
        <c:manualLayout>
          <c:xMode val="edge"/>
          <c:yMode val="edge"/>
          <c:x val="0.39224030743327687"/>
          <c:y val="0.16076895793431226"/>
          <c:w val="0.32766693852076517"/>
          <c:h val="0.13548729832194423"/>
        </c:manualLayout>
      </c:layout>
      <c:txPr>
        <a:bodyPr/>
        <a:lstStyle/>
        <a:p>
          <a:pPr>
            <a:defRPr b="1"/>
          </a:pPr>
          <a:endParaRPr lang="en-US"/>
        </a:p>
      </c:txPr>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Arial" pitchFamily="34" charset="0"/>
          <a:ea typeface="+mn-ea"/>
          <a:cs typeface="Arial" pitchFamily="34" charset="0"/>
        </a:defRPr>
      </a:pPr>
      <a:endParaRPr lang="en-US"/>
    </a:p>
  </c:txPr>
  <c:printSettings>
    <c:headerFooter/>
    <c:pageMargins b="0.75000000000000544" l="0.70000000000000062" r="0.70000000000000062" t="0.75000000000000544"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US"/>
  <c:style val="28"/>
  <c:chart>
    <c:title>
      <c:tx>
        <c:rich>
          <a:bodyPr/>
          <a:lstStyle/>
          <a:p>
            <a:pPr>
              <a:defRPr sz="1400"/>
            </a:pPr>
            <a:r>
              <a:rPr lang="en-US" sz="1400"/>
              <a:t>Cost Summary (per BI User)</a:t>
            </a:r>
          </a:p>
        </c:rich>
      </c:tx>
      <c:layout>
        <c:manualLayout>
          <c:xMode val="edge"/>
          <c:yMode val="edge"/>
          <c:x val="0.23851351351351352"/>
          <c:y val="1.5432098765432223E-2"/>
        </c:manualLayout>
      </c:layout>
      <c:overlay val="1"/>
    </c:title>
    <c:plotArea>
      <c:layout>
        <c:manualLayout>
          <c:layoutTarget val="inner"/>
          <c:xMode val="edge"/>
          <c:yMode val="edge"/>
          <c:x val="0.23139048630157191"/>
          <c:y val="0.21806722076407267"/>
          <c:w val="0.34021134613075321"/>
          <c:h val="0.63155839895013122"/>
        </c:manualLayout>
      </c:layout>
      <c:barChart>
        <c:barDir val="col"/>
        <c:grouping val="stacked"/>
        <c:ser>
          <c:idx val="0"/>
          <c:order val="0"/>
          <c:tx>
            <c:strRef>
              <c:f>ROI!$D$123</c:f>
              <c:strCache>
                <c:ptCount val="1"/>
                <c:pt idx="0">
                  <c:v>Hardware</c:v>
                </c:pt>
              </c:strCache>
            </c:strRef>
          </c:tx>
          <c:dLbls>
            <c:dLblPos val="ctr"/>
            <c:showVal val="1"/>
          </c:dLbls>
          <c:cat>
            <c:strRef>
              <c:f>ROI!$G$122</c:f>
              <c:strCache>
                <c:ptCount val="1"/>
                <c:pt idx="0">
                  <c:v>5-Year Total</c:v>
                </c:pt>
              </c:strCache>
            </c:strRef>
          </c:cat>
          <c:val>
            <c:numRef>
              <c:f>ROI!$G$123</c:f>
              <c:numCache>
                <c:formatCode>_("$"* #,##0_);_("$"* \(#,##0\);_("$"* "-"??_);_(@_)</c:formatCode>
                <c:ptCount val="1"/>
                <c:pt idx="0">
                  <c:v>116.91879325998295</c:v>
                </c:pt>
              </c:numCache>
            </c:numRef>
          </c:val>
        </c:ser>
        <c:ser>
          <c:idx val="1"/>
          <c:order val="1"/>
          <c:tx>
            <c:strRef>
              <c:f>ROI!$D$124</c:f>
              <c:strCache>
                <c:ptCount val="1"/>
                <c:pt idx="0">
                  <c:v>Software</c:v>
                </c:pt>
              </c:strCache>
            </c:strRef>
          </c:tx>
          <c:dLbls>
            <c:dLblPos val="ctr"/>
            <c:showVal val="1"/>
          </c:dLbls>
          <c:cat>
            <c:strRef>
              <c:f>ROI!$G$122</c:f>
              <c:strCache>
                <c:ptCount val="1"/>
                <c:pt idx="0">
                  <c:v>5-Year Total</c:v>
                </c:pt>
              </c:strCache>
            </c:strRef>
          </c:cat>
          <c:val>
            <c:numRef>
              <c:f>ROI!$G$124</c:f>
              <c:numCache>
                <c:formatCode>_("$"* #,##0_);_("$"* \(#,##0\);_("$"* "-"??_);_(@_)</c:formatCode>
                <c:ptCount val="1"/>
                <c:pt idx="0">
                  <c:v>820.01690881950253</c:v>
                </c:pt>
              </c:numCache>
            </c:numRef>
          </c:val>
        </c:ser>
        <c:ser>
          <c:idx val="2"/>
          <c:order val="2"/>
          <c:tx>
            <c:strRef>
              <c:f>ROI!$D$125</c:f>
              <c:strCache>
                <c:ptCount val="1"/>
                <c:pt idx="0">
                  <c:v>IT Labor/Services</c:v>
                </c:pt>
              </c:strCache>
            </c:strRef>
          </c:tx>
          <c:dLbls>
            <c:dLblPos val="ctr"/>
            <c:showVal val="1"/>
          </c:dLbls>
          <c:cat>
            <c:strRef>
              <c:f>ROI!$G$122</c:f>
              <c:strCache>
                <c:ptCount val="1"/>
                <c:pt idx="0">
                  <c:v>5-Year Total</c:v>
                </c:pt>
              </c:strCache>
            </c:strRef>
          </c:cat>
          <c:val>
            <c:numRef>
              <c:f>ROI!$G$125</c:f>
              <c:numCache>
                <c:formatCode>_("$"* #,##0_);_("$"* \(#,##0\);_("$"* "-"??_);_(@_)</c:formatCode>
                <c:ptCount val="1"/>
                <c:pt idx="0">
                  <c:v>559.64897025647633</c:v>
                </c:pt>
              </c:numCache>
            </c:numRef>
          </c:val>
        </c:ser>
        <c:ser>
          <c:idx val="3"/>
          <c:order val="3"/>
          <c:tx>
            <c:strRef>
              <c:f>ROI!$D$126</c:f>
              <c:strCache>
                <c:ptCount val="1"/>
                <c:pt idx="0">
                  <c:v>Training &amp; User Labor</c:v>
                </c:pt>
              </c:strCache>
            </c:strRef>
          </c:tx>
          <c:dLbls>
            <c:dLblPos val="ctr"/>
            <c:showVal val="1"/>
          </c:dLbls>
          <c:cat>
            <c:strRef>
              <c:f>ROI!$G$122</c:f>
              <c:strCache>
                <c:ptCount val="1"/>
                <c:pt idx="0">
                  <c:v>5-Year Total</c:v>
                </c:pt>
              </c:strCache>
            </c:strRef>
          </c:cat>
          <c:val>
            <c:numRef>
              <c:f>ROI!$G$126</c:f>
              <c:numCache>
                <c:formatCode>_("$"* #,##0_);_("$"* \(#,##0\);_("$"* "-"??_);_(@_)</c:formatCode>
                <c:ptCount val="1"/>
                <c:pt idx="0">
                  <c:v>439.99088539594845</c:v>
                </c:pt>
              </c:numCache>
            </c:numRef>
          </c:val>
        </c:ser>
        <c:dLbls>
          <c:showVal val="1"/>
        </c:dLbls>
        <c:overlap val="100"/>
        <c:axId val="69242880"/>
        <c:axId val="69244416"/>
      </c:barChart>
      <c:catAx>
        <c:axId val="69242880"/>
        <c:scaling>
          <c:orientation val="minMax"/>
        </c:scaling>
        <c:axPos val="b"/>
        <c:tickLblPos val="nextTo"/>
        <c:crossAx val="69244416"/>
        <c:crosses val="autoZero"/>
        <c:auto val="1"/>
        <c:lblAlgn val="ctr"/>
        <c:lblOffset val="100"/>
      </c:catAx>
      <c:valAx>
        <c:axId val="69244416"/>
        <c:scaling>
          <c:orientation val="minMax"/>
        </c:scaling>
        <c:axPos val="l"/>
        <c:majorGridlines/>
        <c:title>
          <c:tx>
            <c:rich>
              <a:bodyPr rot="-5400000" vert="horz"/>
              <a:lstStyle/>
              <a:p>
                <a:pPr>
                  <a:defRPr/>
                </a:pPr>
                <a:r>
                  <a:rPr lang="en-US"/>
                  <a:t>Costs ($ per BI User)</a:t>
                </a:r>
              </a:p>
            </c:rich>
          </c:tx>
        </c:title>
        <c:numFmt formatCode="_(&quot;$&quot;* #,##0_);_(&quot;$&quot;* \(#,##0\);_(&quot;$&quot;* &quot;-&quot;??_);_(@_)" sourceLinked="1"/>
        <c:tickLblPos val="nextTo"/>
        <c:crossAx val="69242880"/>
        <c:crosses val="autoZero"/>
        <c:crossBetween val="between"/>
      </c:valAx>
    </c:plotArea>
    <c:legend>
      <c:legendPos val="r"/>
      <c:layout>
        <c:manualLayout>
          <c:xMode val="edge"/>
          <c:yMode val="edge"/>
          <c:x val="0.57723023386121686"/>
          <c:y val="0.19753864100320792"/>
          <c:w val="0.40029785602642037"/>
          <c:h val="0.73522183221074378"/>
        </c:manualLayout>
      </c:layout>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0522" l="0.70000000000000062" r="0.70000000000000062" t="0.75000000000000522"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Total Costs Vs Benefits</a:t>
            </a:r>
          </a:p>
        </c:rich>
      </c:tx>
      <c:layout/>
    </c:title>
    <c:plotArea>
      <c:layout>
        <c:manualLayout>
          <c:layoutTarget val="inner"/>
          <c:xMode val="edge"/>
          <c:yMode val="edge"/>
          <c:x val="0.39518702143091738"/>
          <c:y val="0.2313048213371669"/>
          <c:w val="0.537162122253802"/>
          <c:h val="0.55881769965476302"/>
        </c:manualLayout>
      </c:layout>
      <c:barChart>
        <c:barDir val="col"/>
        <c:grouping val="stacked"/>
        <c:ser>
          <c:idx val="0"/>
          <c:order val="0"/>
          <c:spPr>
            <a:solidFill>
              <a:schemeClr val="accent2">
                <a:lumMod val="75000"/>
              </a:schemeClr>
            </a:solidFill>
          </c:spPr>
          <c:dPt>
            <c:idx val="1"/>
            <c:spPr>
              <a:solidFill>
                <a:schemeClr val="accent3">
                  <a:lumMod val="75000"/>
                </a:schemeClr>
              </a:solidFill>
            </c:spPr>
          </c:dPt>
          <c:dLbls>
            <c:numFmt formatCode="_(\$* #,##0_);_(\$* \(#,##0\);_(\$* &quot;-&quot;??_);_(@_)" sourceLinked="0"/>
            <c:showVal val="1"/>
          </c:dLbls>
          <c:cat>
            <c:strRef>
              <c:f>ROI!$D$7:$D$8</c:f>
              <c:strCache>
                <c:ptCount val="2"/>
                <c:pt idx="0">
                  <c:v>Costs (5-Yr)</c:v>
                </c:pt>
                <c:pt idx="1">
                  <c:v>Benefits (5-Yr)</c:v>
                </c:pt>
              </c:strCache>
            </c:strRef>
          </c:cat>
          <c:val>
            <c:numRef>
              <c:f>ROI!$E$7:$E$8</c:f>
              <c:numCache>
                <c:formatCode>_("$"* #,##0_);_("$"* \(#,##0\);_("$"* "-"_);_(@_)</c:formatCode>
                <c:ptCount val="2"/>
                <c:pt idx="0">
                  <c:v>1936.5755577319103</c:v>
                </c:pt>
                <c:pt idx="1">
                  <c:v>6863.1351718720234</c:v>
                </c:pt>
              </c:numCache>
            </c:numRef>
          </c:val>
        </c:ser>
        <c:dLbls>
          <c:showVal val="1"/>
        </c:dLbls>
        <c:overlap val="100"/>
        <c:axId val="79764096"/>
        <c:axId val="79778176"/>
      </c:barChart>
      <c:catAx>
        <c:axId val="79764096"/>
        <c:scaling>
          <c:orientation val="minMax"/>
        </c:scaling>
        <c:axPos val="b"/>
        <c:numFmt formatCode="General" sourceLinked="0"/>
        <c:tickLblPos val="nextTo"/>
        <c:txPr>
          <a:bodyPr rot="0" vert="horz"/>
          <a:lstStyle/>
          <a:p>
            <a:pPr>
              <a:defRPr/>
            </a:pPr>
            <a:endParaRPr lang="en-US"/>
          </a:p>
        </c:txPr>
        <c:crossAx val="79778176"/>
        <c:crosses val="autoZero"/>
        <c:auto val="1"/>
        <c:lblAlgn val="ctr"/>
        <c:lblOffset val="100"/>
        <c:tickLblSkip val="1"/>
        <c:tickMarkSkip val="1"/>
        <c:noMultiLvlLbl val="1"/>
      </c:catAx>
      <c:valAx>
        <c:axId val="79778176"/>
        <c:scaling>
          <c:orientation val="minMax"/>
        </c:scaling>
        <c:axPos val="l"/>
        <c:majorGridlines/>
        <c:title>
          <c:tx>
            <c:rich>
              <a:bodyPr/>
              <a:lstStyle/>
              <a:p>
                <a:pPr>
                  <a:defRPr/>
                </a:pPr>
                <a:r>
                  <a:rPr lang="en-US"/>
                  <a:t>Costs &amp; Benefits</a:t>
                </a:r>
              </a:p>
              <a:p>
                <a:pPr>
                  <a:defRPr/>
                </a:pPr>
                <a:r>
                  <a:rPr lang="en-US"/>
                  <a:t> ($/BI User)</a:t>
                </a:r>
              </a:p>
            </c:rich>
          </c:tx>
          <c:layout>
            <c:manualLayout>
              <c:xMode val="edge"/>
              <c:yMode val="edge"/>
              <c:x val="4.1728845029742459E-2"/>
              <c:y val="0.17520282067745824"/>
            </c:manualLayout>
          </c:layout>
        </c:title>
        <c:numFmt formatCode="&quot;$&quot;#,##0" sourceLinked="0"/>
        <c:tickLblPos val="nextTo"/>
        <c:txPr>
          <a:bodyPr rot="0" vert="horz"/>
          <a:lstStyle/>
          <a:p>
            <a:pPr>
              <a:defRPr/>
            </a:pPr>
            <a:endParaRPr lang="en-US"/>
          </a:p>
        </c:txPr>
        <c:crossAx val="79764096"/>
        <c:crossesAt val="1"/>
        <c:crossBetween val="between"/>
      </c:valAx>
    </c:plotArea>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sz="1100">
          <a:solidFill>
            <a:schemeClr val="dk1"/>
          </a:solidFill>
          <a:latin typeface="Arial" pitchFamily="34" charset="0"/>
          <a:ea typeface="+mn-ea"/>
          <a:cs typeface="Arial" pitchFamily="34" charset="0"/>
        </a:defRPr>
      </a:pPr>
      <a:endParaRPr lang="en-US"/>
    </a:p>
  </c:txPr>
  <c:printSettings>
    <c:headerFooter/>
    <c:pageMargins b="0.75000000000001121" l="0.70000000000000062" r="0.70000000000000062" t="0.75000000000001121" header="0.30000000000000032" footer="0.30000000000000032"/>
    <c:pageSetup paperSize="0" orientation="landscape" horizontalDpi="0" verticalDpi="0" copies="0"/>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n-US"/>
  <c:style val="28"/>
  <c:chart>
    <c:title>
      <c:tx>
        <c:rich>
          <a:bodyPr/>
          <a:lstStyle/>
          <a:p>
            <a:pPr>
              <a:defRPr sz="1400"/>
            </a:pPr>
            <a:r>
              <a:rPr lang="en-US" sz="1400"/>
              <a:t>Cumulative Cash Flow</a:t>
            </a:r>
          </a:p>
        </c:rich>
      </c:tx>
      <c:layout>
        <c:manualLayout>
          <c:xMode val="edge"/>
          <c:yMode val="edge"/>
          <c:x val="0.30035683039620614"/>
          <c:y val="2.7747862162391012E-2"/>
        </c:manualLayout>
      </c:layout>
    </c:title>
    <c:plotArea>
      <c:layout>
        <c:manualLayout>
          <c:layoutTarget val="inner"/>
          <c:xMode val="edge"/>
          <c:yMode val="edge"/>
          <c:x val="0.29593019622547606"/>
          <c:y val="0.178720106338639"/>
          <c:w val="0.63641857267842605"/>
          <c:h val="0.60195003402354053"/>
        </c:manualLayout>
      </c:layout>
      <c:barChart>
        <c:barDir val="col"/>
        <c:grouping val="stacked"/>
        <c:ser>
          <c:idx val="0"/>
          <c:order val="0"/>
          <c:tx>
            <c:strRef>
              <c:f>ROI!$D$171</c:f>
              <c:strCache>
                <c:ptCount val="1"/>
                <c:pt idx="0">
                  <c:v>Positive Cumulative Cash Flow</c:v>
                </c:pt>
              </c:strCache>
            </c:strRef>
          </c:tx>
          <c:spPr>
            <a:solidFill>
              <a:schemeClr val="accent3">
                <a:lumMod val="75000"/>
              </a:schemeClr>
            </a:solidFill>
          </c:spPr>
          <c:dLbls>
            <c:delete val="1"/>
          </c:dLbls>
          <c:cat>
            <c:numRef>
              <c:f>ROI!$E$170:$J$170</c:f>
              <c:numCache>
                <c:formatCode>General</c:formatCode>
                <c:ptCount val="6"/>
                <c:pt idx="0">
                  <c:v>0</c:v>
                </c:pt>
                <c:pt idx="1">
                  <c:v>1</c:v>
                </c:pt>
                <c:pt idx="2">
                  <c:v>2</c:v>
                </c:pt>
                <c:pt idx="3">
                  <c:v>3</c:v>
                </c:pt>
                <c:pt idx="4">
                  <c:v>4</c:v>
                </c:pt>
                <c:pt idx="5">
                  <c:v>5</c:v>
                </c:pt>
              </c:numCache>
            </c:numRef>
          </c:cat>
          <c:val>
            <c:numRef>
              <c:f>ROI!$E$171:$J$171</c:f>
              <c:numCache>
                <c:formatCode>_("$"* #,##0_);_("$"* \(#,##0\);_("$"* "-"_);_(@_)</c:formatCode>
                <c:ptCount val="6"/>
                <c:pt idx="0">
                  <c:v>0</c:v>
                </c:pt>
                <c:pt idx="1">
                  <c:v>61.041855073999386</c:v>
                </c:pt>
                <c:pt idx="2">
                  <c:v>1277.4212948405279</c:v>
                </c:pt>
                <c:pt idx="3">
                  <c:v>2493.8007346070563</c:v>
                </c:pt>
                <c:pt idx="4">
                  <c:v>3710.180174373585</c:v>
                </c:pt>
                <c:pt idx="5">
                  <c:v>4926.5596141401138</c:v>
                </c:pt>
              </c:numCache>
            </c:numRef>
          </c:val>
        </c:ser>
        <c:ser>
          <c:idx val="1"/>
          <c:order val="1"/>
          <c:tx>
            <c:strRef>
              <c:f>ROI!$D$172</c:f>
              <c:strCache>
                <c:ptCount val="1"/>
                <c:pt idx="0">
                  <c:v>Negative Cumulative Cash Flow</c:v>
                </c:pt>
              </c:strCache>
            </c:strRef>
          </c:tx>
          <c:spPr>
            <a:solidFill>
              <a:schemeClr val="accent2">
                <a:lumMod val="75000"/>
              </a:schemeClr>
            </a:solidFill>
          </c:spPr>
          <c:dLbls>
            <c:delete val="1"/>
          </c:dLbls>
          <c:cat>
            <c:numRef>
              <c:f>ROI!$E$170:$J$170</c:f>
              <c:numCache>
                <c:formatCode>General</c:formatCode>
                <c:ptCount val="6"/>
                <c:pt idx="0">
                  <c:v>0</c:v>
                </c:pt>
                <c:pt idx="1">
                  <c:v>1</c:v>
                </c:pt>
                <c:pt idx="2">
                  <c:v>2</c:v>
                </c:pt>
                <c:pt idx="3">
                  <c:v>3</c:v>
                </c:pt>
                <c:pt idx="4">
                  <c:v>4</c:v>
                </c:pt>
                <c:pt idx="5">
                  <c:v>5</c:v>
                </c:pt>
              </c:numCache>
            </c:numRef>
          </c:cat>
          <c:val>
            <c:numRef>
              <c:f>ROI!$E$172:$J$172</c:f>
              <c:numCache>
                <c:formatCode>_("$"* #,##0_);_("$"* \(#,##0\);_("$"* "-"_);_(@_)</c:formatCode>
                <c:ptCount val="6"/>
                <c:pt idx="0">
                  <c:v>-1155.3375846925292</c:v>
                </c:pt>
                <c:pt idx="1">
                  <c:v>0</c:v>
                </c:pt>
                <c:pt idx="2">
                  <c:v>0</c:v>
                </c:pt>
                <c:pt idx="3">
                  <c:v>0</c:v>
                </c:pt>
                <c:pt idx="4">
                  <c:v>0</c:v>
                </c:pt>
                <c:pt idx="5">
                  <c:v>0</c:v>
                </c:pt>
              </c:numCache>
            </c:numRef>
          </c:val>
        </c:ser>
        <c:dLbls>
          <c:showVal val="1"/>
        </c:dLbls>
        <c:overlap val="100"/>
        <c:axId val="79803136"/>
        <c:axId val="79805056"/>
      </c:barChart>
      <c:catAx>
        <c:axId val="79803136"/>
        <c:scaling>
          <c:orientation val="minMax"/>
        </c:scaling>
        <c:axPos val="b"/>
        <c:title>
          <c:tx>
            <c:rich>
              <a:bodyPr/>
              <a:lstStyle/>
              <a:p>
                <a:pPr>
                  <a:defRPr/>
                </a:pPr>
                <a:r>
                  <a:rPr lang="en-US"/>
                  <a:t>Year</a:t>
                </a:r>
              </a:p>
            </c:rich>
          </c:tx>
          <c:layout>
            <c:manualLayout>
              <c:xMode val="edge"/>
              <c:yMode val="edge"/>
              <c:x val="0.57509186351706065"/>
              <c:y val="0.90053763440860213"/>
            </c:manualLayout>
          </c:layout>
        </c:title>
        <c:numFmt formatCode="General" sourceLinked="0"/>
        <c:tickLblPos val="low"/>
        <c:txPr>
          <a:bodyPr rot="0" vert="horz"/>
          <a:lstStyle/>
          <a:p>
            <a:pPr>
              <a:defRPr/>
            </a:pPr>
            <a:endParaRPr lang="en-US"/>
          </a:p>
        </c:txPr>
        <c:crossAx val="79805056"/>
        <c:crosses val="autoZero"/>
        <c:auto val="1"/>
        <c:lblAlgn val="ctr"/>
        <c:lblOffset val="100"/>
        <c:tickLblSkip val="1"/>
        <c:tickMarkSkip val="1"/>
        <c:noMultiLvlLbl val="1"/>
      </c:catAx>
      <c:valAx>
        <c:axId val="79805056"/>
        <c:scaling>
          <c:orientation val="minMax"/>
        </c:scaling>
        <c:axPos val="l"/>
        <c:majorGridlines/>
        <c:title>
          <c:tx>
            <c:rich>
              <a:bodyPr/>
              <a:lstStyle/>
              <a:p>
                <a:pPr>
                  <a:defRPr/>
                </a:pPr>
                <a:r>
                  <a:rPr lang="en-US"/>
                  <a:t>Cumulative Cash Flow ($/PC)</a:t>
                </a:r>
              </a:p>
            </c:rich>
          </c:tx>
          <c:layout>
            <c:manualLayout>
              <c:xMode val="edge"/>
              <c:yMode val="edge"/>
              <c:x val="3.3792338457692792E-2"/>
              <c:y val="0.15758064516129394"/>
            </c:manualLayout>
          </c:layout>
        </c:title>
        <c:numFmt formatCode="&quot;$&quot;#,##0" sourceLinked="0"/>
        <c:tickLblPos val="nextTo"/>
        <c:txPr>
          <a:bodyPr rot="0" vert="horz"/>
          <a:lstStyle/>
          <a:p>
            <a:pPr>
              <a:defRPr/>
            </a:pPr>
            <a:endParaRPr lang="en-US"/>
          </a:p>
        </c:txPr>
        <c:crossAx val="79803136"/>
        <c:crossesAt val="1"/>
        <c:crossBetween val="between"/>
      </c:valAx>
    </c:plotArea>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1066" l="0.70000000000000062" r="0.70000000000000062" t="0.75000000000001066" header="0.30000000000000032" footer="0.30000000000000032"/>
    <c:pageSetup paperSize="0" orientation="landscape" horizontalDpi="0" verticalDpi="0" copies="0"/>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n-US"/>
  <c:style val="28"/>
  <c:chart>
    <c:title>
      <c:tx>
        <c:rich>
          <a:bodyPr/>
          <a:lstStyle/>
          <a:p>
            <a:pPr>
              <a:defRPr/>
            </a:pPr>
            <a:r>
              <a:rPr lang="en-US"/>
              <a:t>Initiative Cost Summary </a:t>
            </a:r>
            <a:br>
              <a:rPr lang="en-US"/>
            </a:br>
            <a:r>
              <a:rPr lang="en-US"/>
              <a:t>(per BI User)</a:t>
            </a:r>
          </a:p>
        </c:rich>
      </c:tx>
      <c:layout/>
      <c:overlay val="1"/>
    </c:title>
    <c:plotArea>
      <c:layout>
        <c:manualLayout>
          <c:layoutTarget val="inner"/>
          <c:xMode val="edge"/>
          <c:yMode val="edge"/>
          <c:x val="0.26056971391766443"/>
          <c:y val="0.21806722076407259"/>
          <c:w val="0.3110320515455206"/>
          <c:h val="0.63155839895013122"/>
        </c:manualLayout>
      </c:layout>
      <c:barChart>
        <c:barDir val="col"/>
        <c:grouping val="stacked"/>
        <c:ser>
          <c:idx val="0"/>
          <c:order val="0"/>
          <c:tx>
            <c:strRef>
              <c:f>ROI!$D$123</c:f>
              <c:strCache>
                <c:ptCount val="1"/>
                <c:pt idx="0">
                  <c:v>Hardware</c:v>
                </c:pt>
              </c:strCache>
            </c:strRef>
          </c:tx>
          <c:dLbls>
            <c:dLblPos val="ctr"/>
            <c:showVal val="1"/>
          </c:dLbls>
          <c:cat>
            <c:strRef>
              <c:f>ROI!$G$122</c:f>
              <c:strCache>
                <c:ptCount val="1"/>
                <c:pt idx="0">
                  <c:v>5-Year Total</c:v>
                </c:pt>
              </c:strCache>
            </c:strRef>
          </c:cat>
          <c:val>
            <c:numRef>
              <c:f>ROI!$G$123</c:f>
              <c:numCache>
                <c:formatCode>_("$"* #,##0_);_("$"* \(#,##0\);_("$"* "-"??_);_(@_)</c:formatCode>
                <c:ptCount val="1"/>
                <c:pt idx="0">
                  <c:v>116.91879325998295</c:v>
                </c:pt>
              </c:numCache>
            </c:numRef>
          </c:val>
        </c:ser>
        <c:ser>
          <c:idx val="1"/>
          <c:order val="1"/>
          <c:tx>
            <c:strRef>
              <c:f>ROI!$D$124</c:f>
              <c:strCache>
                <c:ptCount val="1"/>
                <c:pt idx="0">
                  <c:v>Software</c:v>
                </c:pt>
              </c:strCache>
            </c:strRef>
          </c:tx>
          <c:dLbls>
            <c:dLblPos val="ctr"/>
            <c:showVal val="1"/>
          </c:dLbls>
          <c:cat>
            <c:strRef>
              <c:f>ROI!$G$122</c:f>
              <c:strCache>
                <c:ptCount val="1"/>
                <c:pt idx="0">
                  <c:v>5-Year Total</c:v>
                </c:pt>
              </c:strCache>
            </c:strRef>
          </c:cat>
          <c:val>
            <c:numRef>
              <c:f>ROI!$G$124</c:f>
              <c:numCache>
                <c:formatCode>_("$"* #,##0_);_("$"* \(#,##0\);_("$"* "-"??_);_(@_)</c:formatCode>
                <c:ptCount val="1"/>
                <c:pt idx="0">
                  <c:v>820.01690881950253</c:v>
                </c:pt>
              </c:numCache>
            </c:numRef>
          </c:val>
        </c:ser>
        <c:ser>
          <c:idx val="2"/>
          <c:order val="2"/>
          <c:tx>
            <c:strRef>
              <c:f>ROI!$D$125</c:f>
              <c:strCache>
                <c:ptCount val="1"/>
                <c:pt idx="0">
                  <c:v>IT Labor/Services</c:v>
                </c:pt>
              </c:strCache>
            </c:strRef>
          </c:tx>
          <c:dLbls>
            <c:dLblPos val="ctr"/>
            <c:showVal val="1"/>
          </c:dLbls>
          <c:cat>
            <c:strRef>
              <c:f>ROI!$G$122</c:f>
              <c:strCache>
                <c:ptCount val="1"/>
                <c:pt idx="0">
                  <c:v>5-Year Total</c:v>
                </c:pt>
              </c:strCache>
            </c:strRef>
          </c:cat>
          <c:val>
            <c:numRef>
              <c:f>ROI!$G$125</c:f>
              <c:numCache>
                <c:formatCode>_("$"* #,##0_);_("$"* \(#,##0\);_("$"* "-"??_);_(@_)</c:formatCode>
                <c:ptCount val="1"/>
                <c:pt idx="0">
                  <c:v>559.64897025647633</c:v>
                </c:pt>
              </c:numCache>
            </c:numRef>
          </c:val>
        </c:ser>
        <c:ser>
          <c:idx val="3"/>
          <c:order val="3"/>
          <c:tx>
            <c:strRef>
              <c:f>ROI!$D$126</c:f>
              <c:strCache>
                <c:ptCount val="1"/>
                <c:pt idx="0">
                  <c:v>Training &amp; User Labor</c:v>
                </c:pt>
              </c:strCache>
            </c:strRef>
          </c:tx>
          <c:dLbls>
            <c:dLblPos val="ctr"/>
            <c:showVal val="1"/>
          </c:dLbls>
          <c:cat>
            <c:strRef>
              <c:f>ROI!$G$122</c:f>
              <c:strCache>
                <c:ptCount val="1"/>
                <c:pt idx="0">
                  <c:v>5-Year Total</c:v>
                </c:pt>
              </c:strCache>
            </c:strRef>
          </c:cat>
          <c:val>
            <c:numRef>
              <c:f>ROI!$G$126</c:f>
              <c:numCache>
                <c:formatCode>_("$"* #,##0_);_("$"* \(#,##0\);_("$"* "-"??_);_(@_)</c:formatCode>
                <c:ptCount val="1"/>
                <c:pt idx="0">
                  <c:v>439.99088539594845</c:v>
                </c:pt>
              </c:numCache>
            </c:numRef>
          </c:val>
        </c:ser>
        <c:dLbls>
          <c:showVal val="1"/>
        </c:dLbls>
        <c:overlap val="100"/>
        <c:axId val="80316672"/>
        <c:axId val="80330752"/>
      </c:barChart>
      <c:catAx>
        <c:axId val="80316672"/>
        <c:scaling>
          <c:orientation val="minMax"/>
        </c:scaling>
        <c:axPos val="b"/>
        <c:tickLblPos val="nextTo"/>
        <c:crossAx val="80330752"/>
        <c:crosses val="autoZero"/>
        <c:auto val="1"/>
        <c:lblAlgn val="ctr"/>
        <c:lblOffset val="100"/>
      </c:catAx>
      <c:valAx>
        <c:axId val="80330752"/>
        <c:scaling>
          <c:orientation val="minMax"/>
        </c:scaling>
        <c:axPos val="l"/>
        <c:majorGridlines/>
        <c:title>
          <c:tx>
            <c:rich>
              <a:bodyPr rot="-5400000" vert="horz"/>
              <a:lstStyle/>
              <a:p>
                <a:pPr>
                  <a:defRPr/>
                </a:pPr>
                <a:r>
                  <a:rPr lang="en-US"/>
                  <a:t>Costs ($ per BI User)</a:t>
                </a:r>
              </a:p>
            </c:rich>
          </c:tx>
          <c:layout/>
        </c:title>
        <c:numFmt formatCode="_(&quot;$&quot;* #,##0_);_(&quot;$&quot;* \(#,##0\);_(&quot;$&quot;* &quot;-&quot;??_);_(@_)" sourceLinked="1"/>
        <c:tickLblPos val="nextTo"/>
        <c:crossAx val="80316672"/>
        <c:crosses val="autoZero"/>
        <c:crossBetween val="between"/>
      </c:valAx>
    </c:plotArea>
    <c:legend>
      <c:legendPos val="r"/>
      <c:layout>
        <c:manualLayout>
          <c:xMode val="edge"/>
          <c:yMode val="edge"/>
          <c:x val="0.57723023386121686"/>
          <c:y val="0.19753864100320792"/>
          <c:w val="0.40029785602642054"/>
          <c:h val="0.73522183221074333"/>
        </c:manualLayout>
      </c:layout>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sz="1200">
          <a:solidFill>
            <a:schemeClr val="dk1"/>
          </a:solidFill>
          <a:latin typeface="+mn-lt"/>
          <a:ea typeface="+mn-ea"/>
          <a:cs typeface="+mn-cs"/>
        </a:defRPr>
      </a:pPr>
      <a:endParaRPr lang="en-US"/>
    </a:p>
  </c:txPr>
  <c:printSettings>
    <c:headerFooter/>
    <c:pageMargins b="0.750000000000005" l="0.70000000000000062" r="0.70000000000000062" t="0.750000000000005" header="0.30000000000000032" footer="0.30000000000000032"/>
    <c:pageSetup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n-US"/>
  <c:style val="29"/>
  <c:chart>
    <c:title>
      <c:tx>
        <c:rich>
          <a:bodyPr/>
          <a:lstStyle/>
          <a:p>
            <a:pPr>
              <a:defRPr/>
            </a:pPr>
            <a:r>
              <a:rPr lang="en-US"/>
              <a:t>Initiative Benefit Summary </a:t>
            </a:r>
            <a:br>
              <a:rPr lang="en-US"/>
            </a:br>
            <a:r>
              <a:rPr lang="en-US"/>
              <a:t>(per BI User)</a:t>
            </a:r>
          </a:p>
        </c:rich>
      </c:tx>
      <c:layout/>
      <c:overlay val="1"/>
    </c:title>
    <c:plotArea>
      <c:layout>
        <c:manualLayout>
          <c:layoutTarget val="inner"/>
          <c:xMode val="edge"/>
          <c:yMode val="edge"/>
          <c:x val="0.26808768170033798"/>
          <c:y val="0.21806722076407267"/>
          <c:w val="0.33613394655943241"/>
          <c:h val="0.63155839895013122"/>
        </c:manualLayout>
      </c:layout>
      <c:barChart>
        <c:barDir val="col"/>
        <c:grouping val="stacked"/>
        <c:ser>
          <c:idx val="0"/>
          <c:order val="0"/>
          <c:tx>
            <c:strRef>
              <c:f>ROI!$D$134</c:f>
              <c:strCache>
                <c:ptCount val="1"/>
                <c:pt idx="0">
                  <c:v>IT Labor/Services TCO Savings</c:v>
                </c:pt>
              </c:strCache>
            </c:strRef>
          </c:tx>
          <c:dLbls>
            <c:dLblPos val="ctr"/>
            <c:showVal val="1"/>
          </c:dLbls>
          <c:cat>
            <c:strRef>
              <c:f>ROI!$G$122</c:f>
              <c:strCache>
                <c:ptCount val="1"/>
                <c:pt idx="0">
                  <c:v>5-Year Total</c:v>
                </c:pt>
              </c:strCache>
            </c:strRef>
          </c:cat>
          <c:val>
            <c:numRef>
              <c:f>ROI!$G$134</c:f>
              <c:numCache>
                <c:formatCode>_("$"* #,##0_);_("$"* \(#,##0\);_("$"* "-"??_);_(@_)</c:formatCode>
                <c:ptCount val="1"/>
                <c:pt idx="0">
                  <c:v>139.35755526977957</c:v>
                </c:pt>
              </c:numCache>
            </c:numRef>
          </c:val>
        </c:ser>
        <c:ser>
          <c:idx val="1"/>
          <c:order val="1"/>
          <c:tx>
            <c:strRef>
              <c:f>ROI!$D$135</c:f>
              <c:strCache>
                <c:ptCount val="1"/>
                <c:pt idx="0">
                  <c:v>Other Direct Cost Savings</c:v>
                </c:pt>
              </c:strCache>
            </c:strRef>
          </c:tx>
          <c:dLbls>
            <c:dLblPos val="ctr"/>
            <c:showVal val="1"/>
          </c:dLbls>
          <c:cat>
            <c:strRef>
              <c:f>ROI!$G$122</c:f>
              <c:strCache>
                <c:ptCount val="1"/>
                <c:pt idx="0">
                  <c:v>5-Year Total</c:v>
                </c:pt>
              </c:strCache>
            </c:strRef>
          </c:cat>
          <c:val>
            <c:numRef>
              <c:f>ROI!$G$135</c:f>
              <c:numCache>
                <c:formatCode>_("$"* #,##0_);_("$"* \(#,##0\);_("$"* "-"??_);_(@_)</c:formatCode>
                <c:ptCount val="1"/>
                <c:pt idx="0">
                  <c:v>562.89943559239418</c:v>
                </c:pt>
              </c:numCache>
            </c:numRef>
          </c:val>
        </c:ser>
        <c:ser>
          <c:idx val="2"/>
          <c:order val="2"/>
          <c:tx>
            <c:strRef>
              <c:f>ROI!$D$136</c:f>
              <c:strCache>
                <c:ptCount val="1"/>
                <c:pt idx="0">
                  <c:v>User Productivity Benefits</c:v>
                </c:pt>
              </c:strCache>
            </c:strRef>
          </c:tx>
          <c:dLbls>
            <c:dLblPos val="ctr"/>
            <c:showVal val="1"/>
          </c:dLbls>
          <c:cat>
            <c:strRef>
              <c:f>ROI!$G$122</c:f>
              <c:strCache>
                <c:ptCount val="1"/>
                <c:pt idx="0">
                  <c:v>5-Year Total</c:v>
                </c:pt>
              </c:strCache>
            </c:strRef>
          </c:cat>
          <c:val>
            <c:numRef>
              <c:f>ROI!$G$136</c:f>
              <c:numCache>
                <c:formatCode>_("$"* #,##0_);_("$"* \(#,##0\);_("$"* "-"??_);_(@_)</c:formatCode>
                <c:ptCount val="1"/>
                <c:pt idx="0">
                  <c:v>3560.1419691237033</c:v>
                </c:pt>
              </c:numCache>
            </c:numRef>
          </c:val>
        </c:ser>
        <c:ser>
          <c:idx val="3"/>
          <c:order val="3"/>
          <c:tx>
            <c:strRef>
              <c:f>ROI!$D$137</c:f>
              <c:strCache>
                <c:ptCount val="1"/>
                <c:pt idx="0">
                  <c:v>Revenue Growth (Profit on)</c:v>
                </c:pt>
              </c:strCache>
            </c:strRef>
          </c:tx>
          <c:dLbls>
            <c:dLblPos val="ctr"/>
            <c:showVal val="1"/>
          </c:dLbls>
          <c:cat>
            <c:strRef>
              <c:f>ROI!$G$122</c:f>
              <c:strCache>
                <c:ptCount val="1"/>
                <c:pt idx="0">
                  <c:v>5-Year Total</c:v>
                </c:pt>
              </c:strCache>
            </c:strRef>
          </c:cat>
          <c:val>
            <c:numRef>
              <c:f>ROI!$G$137</c:f>
              <c:numCache>
                <c:formatCode>_("$"* #,##0_);_("$"* \(#,##0\);_("$"* "-"??_);_(@_)</c:formatCode>
                <c:ptCount val="1"/>
                <c:pt idx="0">
                  <c:v>2600.7362118861461</c:v>
                </c:pt>
              </c:numCache>
            </c:numRef>
          </c:val>
        </c:ser>
        <c:dLbls>
          <c:showVal val="1"/>
        </c:dLbls>
        <c:overlap val="100"/>
        <c:axId val="80445440"/>
        <c:axId val="80446976"/>
      </c:barChart>
      <c:catAx>
        <c:axId val="80445440"/>
        <c:scaling>
          <c:orientation val="minMax"/>
        </c:scaling>
        <c:axPos val="b"/>
        <c:tickLblPos val="nextTo"/>
        <c:crossAx val="80446976"/>
        <c:crosses val="autoZero"/>
        <c:auto val="1"/>
        <c:lblAlgn val="ctr"/>
        <c:lblOffset val="100"/>
      </c:catAx>
      <c:valAx>
        <c:axId val="80446976"/>
        <c:scaling>
          <c:orientation val="minMax"/>
        </c:scaling>
        <c:axPos val="l"/>
        <c:majorGridlines/>
        <c:title>
          <c:tx>
            <c:rich>
              <a:bodyPr rot="-5400000" vert="horz"/>
              <a:lstStyle/>
              <a:p>
                <a:pPr>
                  <a:defRPr/>
                </a:pPr>
                <a:r>
                  <a:rPr lang="en-US"/>
                  <a:t>Benefits ($ per BI User)</a:t>
                </a:r>
              </a:p>
            </c:rich>
          </c:tx>
          <c:layout/>
        </c:title>
        <c:numFmt formatCode="_(&quot;$&quot;* #,##0_);_(&quot;$&quot;* \(#,##0\);_(&quot;$&quot;* &quot;-&quot;??_);_(@_)" sourceLinked="1"/>
        <c:tickLblPos val="nextTo"/>
        <c:crossAx val="80445440"/>
        <c:crosses val="autoZero"/>
        <c:crossBetween val="between"/>
      </c:valAx>
    </c:plotArea>
    <c:legend>
      <c:legendPos val="r"/>
      <c:layout>
        <c:manualLayout>
          <c:xMode val="edge"/>
          <c:yMode val="edge"/>
          <c:x val="0.60985014487867961"/>
          <c:y val="0.19753864100320792"/>
          <c:w val="0.36767816866928765"/>
          <c:h val="0.73522183221074378"/>
        </c:manualLayout>
      </c:layout>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sz="1200">
          <a:solidFill>
            <a:schemeClr val="dk1"/>
          </a:solidFill>
          <a:latin typeface="+mn-lt"/>
          <a:ea typeface="+mn-ea"/>
          <a:cs typeface="+mn-cs"/>
        </a:defRPr>
      </a:pPr>
      <a:endParaRPr lang="en-US"/>
    </a:p>
  </c:txPr>
  <c:printSettings>
    <c:headerFooter/>
    <c:pageMargins b="0.75000000000000522" l="0.70000000000000062" r="0.70000000000000062" t="0.7500000000000052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n-US"/>
  <c:style val="27"/>
  <c:chart>
    <c:title>
      <c:tx>
        <c:rich>
          <a:bodyPr/>
          <a:lstStyle/>
          <a:p>
            <a:pPr>
              <a:defRPr sz="1200"/>
            </a:pPr>
            <a:r>
              <a:rPr lang="en-US" sz="1200"/>
              <a:t>BI IT Labor Comparison </a:t>
            </a:r>
            <a:r>
              <a:rPr lang="en-US" sz="1200" b="1" i="0" u="none" strike="noStrike" baseline="0"/>
              <a:t>(to support current capabilities)</a:t>
            </a:r>
            <a:endParaRPr lang="en-US" sz="1200"/>
          </a:p>
        </c:rich>
      </c:tx>
      <c:layout>
        <c:manualLayout>
          <c:xMode val="edge"/>
          <c:yMode val="edge"/>
          <c:x val="0.11422841109286587"/>
          <c:y val="3.0229392057700158E-2"/>
        </c:manualLayout>
      </c:layout>
    </c:title>
    <c:plotArea>
      <c:layout>
        <c:manualLayout>
          <c:layoutTarget val="inner"/>
          <c:xMode val="edge"/>
          <c:yMode val="edge"/>
          <c:x val="0.14666690459726892"/>
          <c:y val="0.23859573390889591"/>
          <c:w val="0.74496290513260177"/>
          <c:h val="0.44390670678360367"/>
        </c:manualLayout>
      </c:layout>
      <c:barChart>
        <c:barDir val="col"/>
        <c:grouping val="clustered"/>
        <c:ser>
          <c:idx val="0"/>
          <c:order val="0"/>
          <c:tx>
            <c:strRef>
              <c:f>'IT Labor'!$E$25</c:f>
              <c:strCache>
                <c:ptCount val="1"/>
                <c:pt idx="0">
                  <c:v>As-Is TCO</c:v>
                </c:pt>
              </c:strCache>
            </c:strRef>
          </c:tx>
          <c:spPr>
            <a:solidFill>
              <a:schemeClr val="accent1">
                <a:lumMod val="60000"/>
                <a:lumOff val="40000"/>
              </a:schemeClr>
            </a:solidFill>
          </c:spPr>
          <c:dLbls>
            <c:dLblPos val="inBase"/>
            <c:showVal val="1"/>
          </c:dLbls>
          <c:cat>
            <c:strRef>
              <c:f>'IT Labor'!$C$26:$C$32</c:f>
              <c:strCache>
                <c:ptCount val="7"/>
                <c:pt idx="0">
                  <c:v>Report creation</c:v>
                </c:pt>
                <c:pt idx="1">
                  <c:v>Database administration</c:v>
                </c:pt>
                <c:pt idx="2">
                  <c:v>Data management</c:v>
                </c:pt>
                <c:pt idx="3">
                  <c:v>Integration</c:v>
                </c:pt>
                <c:pt idx="4">
                  <c:v>Application development</c:v>
                </c:pt>
                <c:pt idx="5">
                  <c:v>Administration</c:v>
                </c:pt>
                <c:pt idx="6">
                  <c:v>Other</c:v>
                </c:pt>
              </c:strCache>
            </c:strRef>
          </c:cat>
          <c:val>
            <c:numRef>
              <c:f>'IT Labor'!$E$26:$E$32</c:f>
              <c:numCache>
                <c:formatCode>_("$"* #,##0.0_);_("$"* \(#,##0.0\);_("$"* "-"_);_(@_)</c:formatCode>
                <c:ptCount val="7"/>
                <c:pt idx="0">
                  <c:v>55.038472774060658</c:v>
                </c:pt>
                <c:pt idx="1">
                  <c:v>57.29476999753588</c:v>
                </c:pt>
                <c:pt idx="2">
                  <c:v>55.038472774060658</c:v>
                </c:pt>
                <c:pt idx="3">
                  <c:v>45.329400167998763</c:v>
                </c:pt>
                <c:pt idx="4">
                  <c:v>45.329400167998763</c:v>
                </c:pt>
                <c:pt idx="5">
                  <c:v>22.91790799901435</c:v>
                </c:pt>
                <c:pt idx="6">
                  <c:v>5.7294769997535617</c:v>
                </c:pt>
              </c:numCache>
            </c:numRef>
          </c:val>
        </c:ser>
        <c:ser>
          <c:idx val="1"/>
          <c:order val="1"/>
          <c:tx>
            <c:strRef>
              <c:f>'IT Labor'!$F$25</c:f>
              <c:strCache>
                <c:ptCount val="1"/>
                <c:pt idx="0">
                  <c:v>To-Be TCO</c:v>
                </c:pt>
              </c:strCache>
            </c:strRef>
          </c:tx>
          <c:spPr>
            <a:solidFill>
              <a:schemeClr val="tx2">
                <a:lumMod val="60000"/>
                <a:lumOff val="40000"/>
              </a:schemeClr>
            </a:solidFill>
          </c:spPr>
          <c:dLbls>
            <c:dLblPos val="inBase"/>
            <c:showVal val="1"/>
          </c:dLbls>
          <c:cat>
            <c:strRef>
              <c:f>'IT Labor'!$C$26:$C$32</c:f>
              <c:strCache>
                <c:ptCount val="7"/>
                <c:pt idx="0">
                  <c:v>Report creation</c:v>
                </c:pt>
                <c:pt idx="1">
                  <c:v>Database administration</c:v>
                </c:pt>
                <c:pt idx="2">
                  <c:v>Data management</c:v>
                </c:pt>
                <c:pt idx="3">
                  <c:v>Integration</c:v>
                </c:pt>
                <c:pt idx="4">
                  <c:v>Application development</c:v>
                </c:pt>
                <c:pt idx="5">
                  <c:v>Administration</c:v>
                </c:pt>
                <c:pt idx="6">
                  <c:v>Other</c:v>
                </c:pt>
              </c:strCache>
            </c:strRef>
          </c:cat>
          <c:val>
            <c:numRef>
              <c:f>'IT Labor'!$F$26:$F$32</c:f>
              <c:numCache>
                <c:formatCode>_("$"* #,##0.0_);_("$"* \(#,##0.0\);_("$"* "-"_);_(@_)</c:formatCode>
                <c:ptCount val="7"/>
                <c:pt idx="0">
                  <c:v>41.453816634706996</c:v>
                </c:pt>
                <c:pt idx="1">
                  <c:v>54.50421274552599</c:v>
                </c:pt>
                <c:pt idx="2">
                  <c:v>52.961428943648819</c:v>
                </c:pt>
                <c:pt idx="3">
                  <c:v>42.81679165988578</c:v>
                </c:pt>
                <c:pt idx="4">
                  <c:v>39.442866462271184</c:v>
                </c:pt>
                <c:pt idx="5">
                  <c:v>21.897796380674389</c:v>
                </c:pt>
                <c:pt idx="6">
                  <c:v>5.7294769997535617</c:v>
                </c:pt>
              </c:numCache>
            </c:numRef>
          </c:val>
        </c:ser>
        <c:dLbls>
          <c:showVal val="1"/>
        </c:dLbls>
        <c:axId val="80567296"/>
        <c:axId val="80585472"/>
      </c:barChart>
      <c:lineChart>
        <c:grouping val="standard"/>
        <c:ser>
          <c:idx val="2"/>
          <c:order val="2"/>
          <c:tx>
            <c:strRef>
              <c:f>'IT Labor'!$I$25</c:f>
              <c:strCache>
                <c:ptCount val="1"/>
                <c:pt idx="0">
                  <c:v>As-Is FTEs</c:v>
                </c:pt>
              </c:strCache>
            </c:strRef>
          </c:tx>
          <c:spPr>
            <a:ln>
              <a:noFill/>
            </a:ln>
          </c:spPr>
          <c:marker>
            <c:symbol val="circle"/>
            <c:size val="13"/>
            <c:spPr>
              <a:solidFill>
                <a:srgbClr val="FF0000"/>
              </a:solidFill>
            </c:spPr>
          </c:marker>
          <c:dLbls>
            <c:dLblPos val="t"/>
            <c:showVal val="1"/>
          </c:dLbls>
          <c:cat>
            <c:strRef>
              <c:f>'IT Labor'!$C$26:$C$32</c:f>
              <c:strCache>
                <c:ptCount val="7"/>
                <c:pt idx="0">
                  <c:v>Report creation</c:v>
                </c:pt>
                <c:pt idx="1">
                  <c:v>Database administration</c:v>
                </c:pt>
                <c:pt idx="2">
                  <c:v>Data management</c:v>
                </c:pt>
                <c:pt idx="3">
                  <c:v>Integration</c:v>
                </c:pt>
                <c:pt idx="4">
                  <c:v>Application development</c:v>
                </c:pt>
                <c:pt idx="5">
                  <c:v>Administration</c:v>
                </c:pt>
                <c:pt idx="6">
                  <c:v>Other</c:v>
                </c:pt>
              </c:strCache>
            </c:strRef>
          </c:cat>
          <c:val>
            <c:numRef>
              <c:f>'IT Labor'!$I$26:$I$32</c:f>
              <c:numCache>
                <c:formatCode>_(* #,##0.0_);_(* \(#,##0.0\);_(* "-"_);_(@_)</c:formatCode>
                <c:ptCount val="7"/>
                <c:pt idx="0">
                  <c:v>1.8933493627922595</c:v>
                </c:pt>
                <c:pt idx="1">
                  <c:v>1.8933493627922595</c:v>
                </c:pt>
                <c:pt idx="2">
                  <c:v>1.8933493627922595</c:v>
                </c:pt>
                <c:pt idx="3">
                  <c:v>1.4200120220941945</c:v>
                </c:pt>
                <c:pt idx="4">
                  <c:v>1.4200120220941945</c:v>
                </c:pt>
                <c:pt idx="5">
                  <c:v>0.75733974511690383</c:v>
                </c:pt>
                <c:pt idx="6">
                  <c:v>0.18933493627922507</c:v>
                </c:pt>
              </c:numCache>
            </c:numRef>
          </c:val>
        </c:ser>
        <c:ser>
          <c:idx val="3"/>
          <c:order val="3"/>
          <c:tx>
            <c:strRef>
              <c:f>'IT Labor'!$J$25</c:f>
              <c:strCache>
                <c:ptCount val="1"/>
                <c:pt idx="0">
                  <c:v>To-Be FTEs</c:v>
                </c:pt>
              </c:strCache>
            </c:strRef>
          </c:tx>
          <c:spPr>
            <a:ln>
              <a:noFill/>
            </a:ln>
          </c:spPr>
          <c:marker>
            <c:symbol val="diamond"/>
            <c:size val="9"/>
            <c:spPr>
              <a:solidFill>
                <a:srgbClr val="92D050"/>
              </a:solidFill>
            </c:spPr>
          </c:marker>
          <c:dLbls>
            <c:dLblPos val="b"/>
            <c:showVal val="1"/>
          </c:dLbls>
          <c:cat>
            <c:strRef>
              <c:f>'IT Labor'!$C$26:$C$32</c:f>
              <c:strCache>
                <c:ptCount val="7"/>
                <c:pt idx="0">
                  <c:v>Report creation</c:v>
                </c:pt>
                <c:pt idx="1">
                  <c:v>Database administration</c:v>
                </c:pt>
                <c:pt idx="2">
                  <c:v>Data management</c:v>
                </c:pt>
                <c:pt idx="3">
                  <c:v>Integration</c:v>
                </c:pt>
                <c:pt idx="4">
                  <c:v>Application development</c:v>
                </c:pt>
                <c:pt idx="5">
                  <c:v>Administration</c:v>
                </c:pt>
                <c:pt idx="6">
                  <c:v>Other</c:v>
                </c:pt>
              </c:strCache>
            </c:strRef>
          </c:cat>
          <c:val>
            <c:numRef>
              <c:f>'IT Labor'!$J$26:$J$32</c:f>
              <c:numCache>
                <c:formatCode>_(* #,##0.0_);_(* \(#,##0.0\);_(* "-"_);_(@_)</c:formatCode>
                <c:ptCount val="7"/>
                <c:pt idx="0">
                  <c:v>1.4260307990889591</c:v>
                </c:pt>
                <c:pt idx="1">
                  <c:v>1.8011332705528549</c:v>
                </c:pt>
                <c:pt idx="2">
                  <c:v>1.8218980776349567</c:v>
                </c:pt>
                <c:pt idx="3">
                  <c:v>1.3413007601954443</c:v>
                </c:pt>
                <c:pt idx="4">
                  <c:v>1.2356074502353982</c:v>
                </c:pt>
                <c:pt idx="5">
                  <c:v>0.72362937883663059</c:v>
                </c:pt>
                <c:pt idx="6">
                  <c:v>0.18933493627922507</c:v>
                </c:pt>
              </c:numCache>
            </c:numRef>
          </c:val>
        </c:ser>
        <c:marker val="1"/>
        <c:axId val="80597760"/>
        <c:axId val="80587392"/>
      </c:lineChart>
      <c:catAx>
        <c:axId val="80567296"/>
        <c:scaling>
          <c:orientation val="minMax"/>
        </c:scaling>
        <c:axPos val="b"/>
        <c:numFmt formatCode="General" sourceLinked="1"/>
        <c:tickLblPos val="nextTo"/>
        <c:txPr>
          <a:bodyPr/>
          <a:lstStyle/>
          <a:p>
            <a:pPr>
              <a:defRPr sz="800"/>
            </a:pPr>
            <a:endParaRPr lang="en-US"/>
          </a:p>
        </c:txPr>
        <c:crossAx val="80585472"/>
        <c:crosses val="autoZero"/>
        <c:auto val="1"/>
        <c:lblAlgn val="ctr"/>
        <c:lblOffset val="100"/>
      </c:catAx>
      <c:valAx>
        <c:axId val="80585472"/>
        <c:scaling>
          <c:orientation val="minMax"/>
        </c:scaling>
        <c:axPos val="l"/>
        <c:majorGridlines/>
        <c:title>
          <c:tx>
            <c:rich>
              <a:bodyPr rot="-5400000" vert="horz"/>
              <a:lstStyle/>
              <a:p>
                <a:pPr>
                  <a:defRPr sz="800"/>
                </a:pPr>
                <a:r>
                  <a:rPr lang="en-US" sz="800"/>
                  <a:t>TCO per PC per Year</a:t>
                </a:r>
              </a:p>
            </c:rich>
          </c:tx>
        </c:title>
        <c:numFmt formatCode="_(&quot;$&quot;* #,##0.0_);_(&quot;$&quot;* \(#,##0.0\);_(&quot;$&quot;* &quot;-&quot;_);_(@_)" sourceLinked="1"/>
        <c:tickLblPos val="nextTo"/>
        <c:crossAx val="80567296"/>
        <c:crosses val="autoZero"/>
        <c:crossBetween val="between"/>
      </c:valAx>
      <c:valAx>
        <c:axId val="80587392"/>
        <c:scaling>
          <c:orientation val="minMax"/>
        </c:scaling>
        <c:axPos val="r"/>
        <c:title>
          <c:tx>
            <c:rich>
              <a:bodyPr rot="-5400000" vert="horz"/>
              <a:lstStyle/>
              <a:p>
                <a:pPr>
                  <a:defRPr sz="800"/>
                </a:pPr>
                <a:r>
                  <a:rPr lang="en-US" sz="800"/>
                  <a:t>FTEs (Full Time Equivalents)</a:t>
                </a:r>
              </a:p>
            </c:rich>
          </c:tx>
        </c:title>
        <c:numFmt formatCode="#,##0" sourceLinked="0"/>
        <c:tickLblPos val="nextTo"/>
        <c:crossAx val="80597760"/>
        <c:crosses val="max"/>
        <c:crossBetween val="between"/>
      </c:valAx>
      <c:catAx>
        <c:axId val="80597760"/>
        <c:scaling>
          <c:orientation val="minMax"/>
        </c:scaling>
        <c:delete val="1"/>
        <c:axPos val="b"/>
        <c:numFmt formatCode="General" sourceLinked="1"/>
        <c:tickLblPos val="nextTo"/>
        <c:crossAx val="80587392"/>
        <c:crosses val="autoZero"/>
        <c:auto val="1"/>
        <c:lblAlgn val="ctr"/>
        <c:lblOffset val="100"/>
      </c:catAx>
    </c:plotArea>
    <c:legend>
      <c:legendPos val="r"/>
      <c:layout>
        <c:manualLayout>
          <c:xMode val="edge"/>
          <c:yMode val="edge"/>
          <c:x val="8.5997635564677766E-2"/>
          <c:y val="0.12099231250915972"/>
          <c:w val="0.85735870268342218"/>
          <c:h val="9.2212318637835133E-2"/>
        </c:manualLayout>
      </c:layout>
      <c:txPr>
        <a:bodyPr/>
        <a:lstStyle/>
        <a:p>
          <a:pPr>
            <a:defRPr sz="1000"/>
          </a:pPr>
          <a:endParaRPr lang="en-US"/>
        </a:p>
      </c:txPr>
    </c:legend>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sz="700">
          <a:solidFill>
            <a:schemeClr val="dk1"/>
          </a:solidFill>
          <a:latin typeface="Arial" pitchFamily="34" charset="0"/>
          <a:ea typeface="+mn-ea"/>
          <a:cs typeface="Arial" pitchFamily="34" charset="0"/>
        </a:defRPr>
      </a:pPr>
      <a:endParaRPr lang="en-US"/>
    </a:p>
  </c:txPr>
  <c:printSettings>
    <c:headerFooter/>
    <c:pageMargins b="0.7500000000000131" l="0.70000000000000062" r="0.70000000000000062" t="0.7500000000000131"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Direct Cost Savings</a:t>
            </a:r>
          </a:p>
        </c:rich>
      </c:tx>
      <c:layout>
        <c:manualLayout>
          <c:xMode val="edge"/>
          <c:yMode val="edge"/>
          <c:x val="0.22683179677917145"/>
          <c:y val="8.9327602165673193E-3"/>
        </c:manualLayout>
      </c:layout>
    </c:title>
    <c:plotArea>
      <c:layout>
        <c:manualLayout>
          <c:layoutTarget val="inner"/>
          <c:xMode val="edge"/>
          <c:yMode val="edge"/>
          <c:x val="0.24028176805768134"/>
          <c:y val="0.11150493869425655"/>
          <c:w val="0.30107624737862992"/>
          <c:h val="0.79648547554744054"/>
        </c:manualLayout>
      </c:layout>
      <c:barChart>
        <c:barDir val="col"/>
        <c:grouping val="stacked"/>
        <c:ser>
          <c:idx val="0"/>
          <c:order val="0"/>
          <c:tx>
            <c:strRef>
              <c:f>'Direct Savings'!$D$92</c:f>
              <c:strCache>
                <c:ptCount val="1"/>
                <c:pt idx="0">
                  <c:v>Software - Clients</c:v>
                </c:pt>
              </c:strCache>
            </c:strRef>
          </c:tx>
          <c:dLbls>
            <c:numFmt formatCode="_(\$* #,##0_);_(\$* \(#,##0\);_(\$* &quot;-&quot;??_);_(@_)" sourceLinked="0"/>
            <c:showVal val="1"/>
          </c:dLbls>
          <c:cat>
            <c:strRef>
              <c:f>'Direct Savings'!$J$91</c:f>
              <c:strCache>
                <c:ptCount val="1"/>
                <c:pt idx="0">
                  <c:v>5-Year Total</c:v>
                </c:pt>
              </c:strCache>
            </c:strRef>
          </c:cat>
          <c:val>
            <c:numRef>
              <c:f>'Direct Savings'!$J$92</c:f>
              <c:numCache>
                <c:formatCode>_("$"* #,##0_);_("$"* \(#,##0\);_("$"* "-"??_);_(@_)</c:formatCode>
                <c:ptCount val="1"/>
                <c:pt idx="0">
                  <c:v>225.48620916627442</c:v>
                </c:pt>
              </c:numCache>
            </c:numRef>
          </c:val>
        </c:ser>
        <c:ser>
          <c:idx val="1"/>
          <c:order val="1"/>
          <c:tx>
            <c:strRef>
              <c:f>'Direct Savings'!$D$93</c:f>
              <c:strCache>
                <c:ptCount val="1"/>
                <c:pt idx="0">
                  <c:v>Software - Servers</c:v>
                </c:pt>
              </c:strCache>
            </c:strRef>
          </c:tx>
          <c:dLbls>
            <c:showVal val="1"/>
          </c:dLbls>
          <c:cat>
            <c:strRef>
              <c:f>'Direct Savings'!$J$91</c:f>
              <c:strCache>
                <c:ptCount val="1"/>
                <c:pt idx="0">
                  <c:v>5-Year Total</c:v>
                </c:pt>
              </c:strCache>
            </c:strRef>
          </c:cat>
          <c:val>
            <c:numRef>
              <c:f>'Direct Savings'!$J$93</c:f>
              <c:numCache>
                <c:formatCode>_("$"* #,##0_);_("$"* \(#,##0\);_("$"* "-"??_);_(@_)</c:formatCode>
                <c:ptCount val="1"/>
                <c:pt idx="0">
                  <c:v>67.048671424673742</c:v>
                </c:pt>
              </c:numCache>
            </c:numRef>
          </c:val>
        </c:ser>
        <c:ser>
          <c:idx val="2"/>
          <c:order val="2"/>
          <c:tx>
            <c:strRef>
              <c:f>'Direct Savings'!$D$94</c:f>
              <c:strCache>
                <c:ptCount val="1"/>
                <c:pt idx="0">
                  <c:v>Hardware</c:v>
                </c:pt>
              </c:strCache>
            </c:strRef>
          </c:tx>
          <c:dLbls>
            <c:showVal val="1"/>
          </c:dLbls>
          <c:cat>
            <c:strRef>
              <c:f>'Direct Savings'!$J$91</c:f>
              <c:strCache>
                <c:ptCount val="1"/>
                <c:pt idx="0">
                  <c:v>5-Year Total</c:v>
                </c:pt>
              </c:strCache>
            </c:strRef>
          </c:cat>
          <c:val>
            <c:numRef>
              <c:f>'Direct Savings'!$J$94</c:f>
              <c:numCache>
                <c:formatCode>_("$"* #,##0_);_("$"* \(#,##0\);_("$"* "-"??_);_(@_)</c:formatCode>
                <c:ptCount val="1"/>
                <c:pt idx="0">
                  <c:v>1.9687303126968747</c:v>
                </c:pt>
              </c:numCache>
            </c:numRef>
          </c:val>
        </c:ser>
        <c:ser>
          <c:idx val="3"/>
          <c:order val="3"/>
          <c:tx>
            <c:strRef>
              <c:f>'Direct Savings'!$D$95</c:f>
              <c:strCache>
                <c:ptCount val="1"/>
                <c:pt idx="0">
                  <c:v>IT Services</c:v>
                </c:pt>
              </c:strCache>
            </c:strRef>
          </c:tx>
          <c:dLbls>
            <c:showVal val="1"/>
          </c:dLbls>
          <c:cat>
            <c:strRef>
              <c:f>'Direct Savings'!$J$91</c:f>
              <c:strCache>
                <c:ptCount val="1"/>
                <c:pt idx="0">
                  <c:v>5-Year Total</c:v>
                </c:pt>
              </c:strCache>
            </c:strRef>
          </c:cat>
          <c:val>
            <c:numRef>
              <c:f>'Direct Savings'!$J$95</c:f>
              <c:numCache>
                <c:formatCode>_("$"* #,##0_);_("$"* \(#,##0\);_("$"* "-"??_);_(@_)</c:formatCode>
                <c:ptCount val="1"/>
                <c:pt idx="0">
                  <c:v>45.341470262345652</c:v>
                </c:pt>
              </c:numCache>
            </c:numRef>
          </c:val>
        </c:ser>
        <c:ser>
          <c:idx val="5"/>
          <c:order val="4"/>
          <c:tx>
            <c:strRef>
              <c:f>'Direct Savings'!$D$96</c:f>
              <c:strCache>
                <c:ptCount val="1"/>
                <c:pt idx="0">
                  <c:v>Other IT Costs</c:v>
                </c:pt>
              </c:strCache>
            </c:strRef>
          </c:tx>
          <c:dLbls>
            <c:showVal val="1"/>
          </c:dLbls>
          <c:cat>
            <c:strRef>
              <c:f>'Direct Savings'!$J$91</c:f>
              <c:strCache>
                <c:ptCount val="1"/>
                <c:pt idx="0">
                  <c:v>5-Year Total</c:v>
                </c:pt>
              </c:strCache>
            </c:strRef>
          </c:cat>
          <c:val>
            <c:numRef>
              <c:f>'Direct Savings'!$J$96</c:f>
              <c:numCache>
                <c:formatCode>_("$"* #,##0_);_("$"* \(#,##0\);_("$"* "-"??_);_(@_)</c:formatCode>
                <c:ptCount val="1"/>
                <c:pt idx="0">
                  <c:v>2.0249595008099859</c:v>
                </c:pt>
              </c:numCache>
            </c:numRef>
          </c:val>
        </c:ser>
        <c:ser>
          <c:idx val="6"/>
          <c:order val="5"/>
          <c:tx>
            <c:strRef>
              <c:f>'Direct Savings'!$D$100</c:f>
              <c:strCache>
                <c:ptCount val="1"/>
                <c:pt idx="0">
                  <c:v>Travel Expenses</c:v>
                </c:pt>
              </c:strCache>
            </c:strRef>
          </c:tx>
          <c:dLbls>
            <c:showVal val="1"/>
          </c:dLbls>
          <c:cat>
            <c:strRef>
              <c:f>'Direct Savings'!$J$91</c:f>
              <c:strCache>
                <c:ptCount val="1"/>
                <c:pt idx="0">
                  <c:v>5-Year Total</c:v>
                </c:pt>
              </c:strCache>
            </c:strRef>
          </c:cat>
          <c:val>
            <c:numRef>
              <c:f>'Direct Savings'!$J$100</c:f>
              <c:numCache>
                <c:formatCode>_("$"* #,##0_);_("$"* \(#,##0\);_("$"* "-"??_);_(@_)</c:formatCode>
                <c:ptCount val="1"/>
                <c:pt idx="0">
                  <c:v>20.753356703638786</c:v>
                </c:pt>
              </c:numCache>
            </c:numRef>
          </c:val>
        </c:ser>
        <c:ser>
          <c:idx val="7"/>
          <c:order val="6"/>
          <c:tx>
            <c:strRef>
              <c:f>'Direct Savings'!$D$101</c:f>
              <c:strCache>
                <c:ptCount val="1"/>
                <c:pt idx="0">
                  <c:v>External Business Services</c:v>
                </c:pt>
              </c:strCache>
            </c:strRef>
          </c:tx>
          <c:dLbls>
            <c:showVal val="1"/>
          </c:dLbls>
          <c:cat>
            <c:strRef>
              <c:f>'Direct Savings'!$J$91</c:f>
              <c:strCache>
                <c:ptCount val="1"/>
                <c:pt idx="0">
                  <c:v>5-Year Total</c:v>
                </c:pt>
              </c:strCache>
            </c:strRef>
          </c:cat>
          <c:val>
            <c:numRef>
              <c:f>'Direct Savings'!$J$101</c:f>
              <c:numCache>
                <c:formatCode>_("$"* #,##0_);_("$"* \(#,##0\);_("$"* "-"??_);_(@_)</c:formatCode>
                <c:ptCount val="1"/>
                <c:pt idx="0">
                  <c:v>61.567901917997929</c:v>
                </c:pt>
              </c:numCache>
            </c:numRef>
          </c:val>
        </c:ser>
        <c:ser>
          <c:idx val="8"/>
          <c:order val="7"/>
          <c:tx>
            <c:strRef>
              <c:f>'Direct Savings'!$D$102</c:f>
              <c:strCache>
                <c:ptCount val="1"/>
                <c:pt idx="0">
                  <c:v>Operational Costs</c:v>
                </c:pt>
              </c:strCache>
            </c:strRef>
          </c:tx>
          <c:dLbls>
            <c:showVal val="1"/>
          </c:dLbls>
          <c:cat>
            <c:strRef>
              <c:f>'Direct Savings'!$J$91</c:f>
              <c:strCache>
                <c:ptCount val="1"/>
                <c:pt idx="0">
                  <c:v>5-Year Total</c:v>
                </c:pt>
              </c:strCache>
            </c:strRef>
          </c:cat>
          <c:val>
            <c:numRef>
              <c:f>'Direct Savings'!$J$102</c:f>
              <c:numCache>
                <c:formatCode>_("$"* #,##0_);_("$"* \(#,##0\);_("$"* "-"??_);_(@_)</c:formatCode>
                <c:ptCount val="1"/>
                <c:pt idx="0">
                  <c:v>138.70813630395685</c:v>
                </c:pt>
              </c:numCache>
            </c:numRef>
          </c:val>
        </c:ser>
        <c:dLbls>
          <c:showVal val="1"/>
        </c:dLbls>
        <c:overlap val="100"/>
        <c:axId val="80626816"/>
        <c:axId val="80628352"/>
      </c:barChart>
      <c:catAx>
        <c:axId val="80626816"/>
        <c:scaling>
          <c:orientation val="minMax"/>
        </c:scaling>
        <c:axPos val="b"/>
        <c:tickLblPos val="nextTo"/>
        <c:crossAx val="80628352"/>
        <c:crosses val="autoZero"/>
        <c:auto val="1"/>
        <c:lblAlgn val="ctr"/>
        <c:lblOffset val="100"/>
        <c:noMultiLvlLbl val="1"/>
      </c:catAx>
      <c:valAx>
        <c:axId val="80628352"/>
        <c:scaling>
          <c:orientation val="minMax"/>
        </c:scaling>
        <c:axPos val="l"/>
        <c:majorGridlines/>
        <c:title>
          <c:tx>
            <c:rich>
              <a:bodyPr/>
              <a:lstStyle/>
              <a:p>
                <a:pPr>
                  <a:defRPr/>
                </a:pPr>
                <a:r>
                  <a:rPr lang="en-US"/>
                  <a:t>Benefit ($ per PC)</a:t>
                </a:r>
              </a:p>
            </c:rich>
          </c:tx>
          <c:layout>
            <c:manualLayout>
              <c:xMode val="edge"/>
              <c:yMode val="edge"/>
              <c:x val="3.0084177330941E-2"/>
              <c:y val="0.27820708852071424"/>
            </c:manualLayout>
          </c:layout>
        </c:title>
        <c:numFmt formatCode="_(&quot;$&quot;* #,##0_);_(&quot;$&quot;* \(#,##0\);_(&quot;$&quot;* &quot;-&quot;??_);_(@_)" sourceLinked="1"/>
        <c:tickLblPos val="nextTo"/>
        <c:txPr>
          <a:bodyPr rot="0" vert="horz"/>
          <a:lstStyle/>
          <a:p>
            <a:pPr>
              <a:defRPr/>
            </a:pPr>
            <a:endParaRPr lang="en-US"/>
          </a:p>
        </c:txPr>
        <c:crossAx val="80626816"/>
        <c:crossesAt val="1"/>
        <c:crossBetween val="between"/>
      </c:valAx>
    </c:plotArea>
    <c:legend>
      <c:legendPos val="r"/>
      <c:layout>
        <c:manualLayout>
          <c:xMode val="edge"/>
          <c:yMode val="edge"/>
          <c:x val="0.55935768079240844"/>
          <c:y val="0.15691114881826601"/>
          <c:w val="0.42163758424669284"/>
          <c:h val="0.77721936931795899"/>
        </c:manualLayout>
      </c:layout>
    </c:legend>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alignWithMargins="0"/>
    <c:pageMargins b="0.75000000000001199" l="0.70000000000000062" r="0.70000000000000062" t="0.75000000000001199" header="0.30000000000000032" footer="0.30000000000000032"/>
    <c:pageSetup paperSize="0" orientation="portrait" horizontalDpi="0" verticalDpi="0" copies="0"/>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Business Value of Productivity</a:t>
            </a:r>
            <a:r>
              <a:rPr lang="en-US" baseline="0"/>
              <a:t> Benefits</a:t>
            </a:r>
            <a:endParaRPr lang="en-US"/>
          </a:p>
        </c:rich>
      </c:tx>
    </c:title>
    <c:plotArea>
      <c:layout>
        <c:manualLayout>
          <c:layoutTarget val="inner"/>
          <c:xMode val="edge"/>
          <c:yMode val="edge"/>
          <c:x val="0.22544506255153979"/>
          <c:y val="0.24470876670502187"/>
          <c:w val="0.31596836574847109"/>
          <c:h val="0.71287473020027403"/>
        </c:manualLayout>
      </c:layout>
      <c:barChart>
        <c:barDir val="col"/>
        <c:grouping val="stacked"/>
        <c:ser>
          <c:idx val="0"/>
          <c:order val="0"/>
          <c:tx>
            <c:strRef>
              <c:f>ROI!$D$341</c:f>
              <c:strCache>
                <c:ptCount val="1"/>
                <c:pt idx="0">
                  <c:v>Information Access &amp; Analysis</c:v>
                </c:pt>
              </c:strCache>
            </c:strRef>
          </c:tx>
          <c:dLbls>
            <c:showVal val="1"/>
          </c:dLbls>
          <c:val>
            <c:numRef>
              <c:f>ROI!$F$341</c:f>
              <c:numCache>
                <c:formatCode>_("$"* #,##0_);_("$"* \(#,##0\);_("$"* "-"??_);_(@_)</c:formatCode>
                <c:ptCount val="1"/>
                <c:pt idx="0">
                  <c:v>509.01230521421888</c:v>
                </c:pt>
              </c:numCache>
            </c:numRef>
          </c:val>
        </c:ser>
        <c:ser>
          <c:idx val="1"/>
          <c:order val="1"/>
          <c:tx>
            <c:strRef>
              <c:f>ROI!$D$342</c:f>
              <c:strCache>
                <c:ptCount val="1"/>
                <c:pt idx="0">
                  <c:v>Performance Management </c:v>
                </c:pt>
              </c:strCache>
            </c:strRef>
          </c:tx>
          <c:dLbls>
            <c:showVal val="1"/>
          </c:dLbls>
          <c:val>
            <c:numRef>
              <c:f>ROI!$F$342</c:f>
              <c:numCache>
                <c:formatCode>_("$"* #,##0_);_("$"* \(#,##0\);_("$"* "-"??_);_(@_)</c:formatCode>
                <c:ptCount val="1"/>
                <c:pt idx="0">
                  <c:v>33.928400976616878</c:v>
                </c:pt>
              </c:numCache>
            </c:numRef>
          </c:val>
        </c:ser>
        <c:ser>
          <c:idx val="2"/>
          <c:order val="2"/>
          <c:tx>
            <c:strRef>
              <c:f>ROI!$D$343</c:f>
              <c:strCache>
                <c:ptCount val="1"/>
                <c:pt idx="0">
                  <c:v>Business Process Automation</c:v>
                </c:pt>
              </c:strCache>
            </c:strRef>
          </c:tx>
          <c:dLbls>
            <c:showVal val="1"/>
          </c:dLbls>
          <c:val>
            <c:numRef>
              <c:f>ROI!$F$343</c:f>
              <c:numCache>
                <c:formatCode>_("$"* #,##0_);_("$"* \(#,##0\);_("$"* "-"??_);_(@_)</c:formatCode>
                <c:ptCount val="1"/>
                <c:pt idx="0">
                  <c:v>89.92608662323255</c:v>
                </c:pt>
              </c:numCache>
            </c:numRef>
          </c:val>
        </c:ser>
        <c:ser>
          <c:idx val="3"/>
          <c:order val="3"/>
          <c:tx>
            <c:strRef>
              <c:f>ROI!$D$344</c:f>
              <c:strCache>
                <c:ptCount val="1"/>
                <c:pt idx="0">
                  <c:v>Performance, Reliability, and Security</c:v>
                </c:pt>
              </c:strCache>
            </c:strRef>
          </c:tx>
          <c:dLbls>
            <c:showVal val="1"/>
          </c:dLbls>
          <c:val>
            <c:numRef>
              <c:f>ROI!$F$344</c:f>
              <c:numCache>
                <c:formatCode>_("$"* #,##0_);_("$"* \(#,##0\);_("$"* "-"??_);_(@_)</c:formatCode>
                <c:ptCount val="1"/>
                <c:pt idx="0">
                  <c:v>5.7372731240762587</c:v>
                </c:pt>
              </c:numCache>
            </c:numRef>
          </c:val>
        </c:ser>
        <c:ser>
          <c:idx val="4"/>
          <c:order val="4"/>
          <c:tx>
            <c:strRef>
              <c:f>ROI!$D$345</c:f>
              <c:strCache>
                <c:ptCount val="1"/>
                <c:pt idx="0">
                  <c:v>Communication &amp; Collaboration</c:v>
                </c:pt>
              </c:strCache>
            </c:strRef>
          </c:tx>
          <c:dLbls>
            <c:showVal val="1"/>
          </c:dLbls>
          <c:val>
            <c:numRef>
              <c:f>ROI!$F$345</c:f>
              <c:numCache>
                <c:formatCode>_("$"* #,##0_);_("$"* \(#,##0\);_("$"* "-"??_);_(@_)</c:formatCode>
                <c:ptCount val="1"/>
                <c:pt idx="0">
                  <c:v>54.612433136399822</c:v>
                </c:pt>
              </c:numCache>
            </c:numRef>
          </c:val>
        </c:ser>
        <c:ser>
          <c:idx val="5"/>
          <c:order val="5"/>
          <c:tx>
            <c:strRef>
              <c:f>ROI!$D$346</c:f>
              <c:strCache>
                <c:ptCount val="1"/>
                <c:pt idx="0">
                  <c:v>User Application Development</c:v>
                </c:pt>
              </c:strCache>
            </c:strRef>
          </c:tx>
          <c:dLbls>
            <c:showVal val="1"/>
          </c:dLbls>
          <c:val>
            <c:numRef>
              <c:f>ROI!$F$346</c:f>
              <c:numCache>
                <c:formatCode>_("$"* #,##0_);_("$"* \(#,##0\);_("$"* "-"??_);_(@_)</c:formatCode>
                <c:ptCount val="1"/>
                <c:pt idx="0">
                  <c:v>18.81189475019632</c:v>
                </c:pt>
              </c:numCache>
            </c:numRef>
          </c:val>
        </c:ser>
        <c:dLbls>
          <c:showVal val="1"/>
        </c:dLbls>
        <c:overlap val="100"/>
        <c:axId val="80676352"/>
        <c:axId val="80677888"/>
      </c:barChart>
      <c:catAx>
        <c:axId val="80676352"/>
        <c:scaling>
          <c:orientation val="minMax"/>
        </c:scaling>
        <c:delete val="1"/>
        <c:axPos val="b"/>
        <c:numFmt formatCode="General" sourceLinked="1"/>
        <c:tickLblPos val="nextTo"/>
        <c:crossAx val="80677888"/>
        <c:crosses val="autoZero"/>
        <c:auto val="1"/>
        <c:lblAlgn val="ctr"/>
        <c:lblOffset val="100"/>
      </c:catAx>
      <c:valAx>
        <c:axId val="80677888"/>
        <c:scaling>
          <c:orientation val="minMax"/>
        </c:scaling>
        <c:axPos val="l"/>
        <c:majorGridlines/>
        <c:title>
          <c:tx>
            <c:rich>
              <a:bodyPr rot="-5400000" vert="horz"/>
              <a:lstStyle/>
              <a:p>
                <a:pPr>
                  <a:defRPr/>
                </a:pPr>
                <a:r>
                  <a:rPr lang="en-US"/>
                  <a:t>Annual Productivity Benefits ($/BI</a:t>
                </a:r>
                <a:r>
                  <a:rPr lang="en-US" baseline="0"/>
                  <a:t> User/Year</a:t>
                </a:r>
                <a:r>
                  <a:rPr lang="en-US"/>
                  <a:t>)</a:t>
                </a:r>
              </a:p>
            </c:rich>
          </c:tx>
        </c:title>
        <c:numFmt formatCode="_(&quot;$&quot;* #,##0_);_(&quot;$&quot;* \(#,##0\);_(&quot;$&quot;* &quot;-&quot;??_);_(@_)" sourceLinked="1"/>
        <c:tickLblPos val="nextTo"/>
        <c:crossAx val="80676352"/>
        <c:crosses val="autoZero"/>
        <c:crossBetween val="between"/>
      </c:valAx>
    </c:plotArea>
    <c:legend>
      <c:legendPos val="r"/>
      <c:layout>
        <c:manualLayout>
          <c:xMode val="edge"/>
          <c:yMode val="edge"/>
          <c:x val="0.56125433572919403"/>
          <c:y val="0.19408008539322574"/>
          <c:w val="0.41838866077758446"/>
          <c:h val="0.79106763465151864"/>
        </c:manualLayout>
      </c:layout>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1021" l="0.70000000000000062" r="0.70000000000000062" t="0.75000000000001021"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Annual Revenue Growth (Margin)</a:t>
            </a:r>
          </a:p>
        </c:rich>
      </c:tx>
      <c:layout>
        <c:manualLayout>
          <c:xMode val="edge"/>
          <c:yMode val="edge"/>
          <c:x val="0.19462949771865315"/>
          <c:y val="3.8609488330087774E-2"/>
        </c:manualLayout>
      </c:layout>
    </c:title>
    <c:plotArea>
      <c:layout>
        <c:manualLayout>
          <c:layoutTarget val="inner"/>
          <c:xMode val="edge"/>
          <c:yMode val="edge"/>
          <c:x val="0.23925708699902443"/>
          <c:y val="0.1733218570350771"/>
          <c:w val="0.24524362127690041"/>
          <c:h val="0.68090844016399266"/>
        </c:manualLayout>
      </c:layout>
      <c:barChart>
        <c:barDir val="col"/>
        <c:grouping val="stacked"/>
        <c:ser>
          <c:idx val="0"/>
          <c:order val="0"/>
          <c:tx>
            <c:strRef>
              <c:f>Revenue!$B$18</c:f>
              <c:strCache>
                <c:ptCount val="1"/>
                <c:pt idx="0">
                  <c:v>Improved Sales Effectiveness</c:v>
                </c:pt>
              </c:strCache>
            </c:strRef>
          </c:tx>
          <c:dLbls>
            <c:dLblPos val="ctr"/>
            <c:showVal val="1"/>
          </c:dLbls>
          <c:cat>
            <c:strRef>
              <c:f>Revenue!$F$17</c:f>
              <c:strCache>
                <c:ptCount val="1"/>
                <c:pt idx="0">
                  <c:v>Benefit 
($ per BI User)</c:v>
                </c:pt>
              </c:strCache>
            </c:strRef>
          </c:cat>
          <c:val>
            <c:numRef>
              <c:f>Revenue!$F$18</c:f>
              <c:numCache>
                <c:formatCode>_("$"* #,##0_);_("$"* \(#,##0\);_("$"* "-"_);_(@_)</c:formatCode>
                <c:ptCount val="1"/>
                <c:pt idx="0">
                  <c:v>130.3672531520954</c:v>
                </c:pt>
              </c:numCache>
            </c:numRef>
          </c:val>
        </c:ser>
        <c:ser>
          <c:idx val="1"/>
          <c:order val="1"/>
          <c:tx>
            <c:strRef>
              <c:f>Revenue!$B$19</c:f>
              <c:strCache>
                <c:ptCount val="1"/>
                <c:pt idx="0">
                  <c:v>Improved Marketing Effectiveness</c:v>
                </c:pt>
              </c:strCache>
            </c:strRef>
          </c:tx>
          <c:dLbls>
            <c:dLblPos val="ctr"/>
            <c:showVal val="1"/>
          </c:dLbls>
          <c:cat>
            <c:strRef>
              <c:f>Revenue!$F$17</c:f>
              <c:strCache>
                <c:ptCount val="1"/>
                <c:pt idx="0">
                  <c:v>Benefit 
($ per BI User)</c:v>
                </c:pt>
              </c:strCache>
            </c:strRef>
          </c:cat>
          <c:val>
            <c:numRef>
              <c:f>Revenue!$F$19</c:f>
              <c:numCache>
                <c:formatCode>_("$"* #,##0_);_("$"* \(#,##0\);_("$"* "-"_);_(@_)</c:formatCode>
                <c:ptCount val="1"/>
                <c:pt idx="0">
                  <c:v>65.1836265760477</c:v>
                </c:pt>
              </c:numCache>
            </c:numRef>
          </c:val>
        </c:ser>
        <c:ser>
          <c:idx val="2"/>
          <c:order val="2"/>
          <c:tx>
            <c:strRef>
              <c:f>Revenue!$B$20</c:f>
              <c:strCache>
                <c:ptCount val="1"/>
                <c:pt idx="0">
                  <c:v>Improved Customer Service</c:v>
                </c:pt>
              </c:strCache>
            </c:strRef>
          </c:tx>
          <c:dLbls>
            <c:dLblPos val="ctr"/>
            <c:showVal val="1"/>
          </c:dLbls>
          <c:cat>
            <c:strRef>
              <c:f>Revenue!$F$17</c:f>
              <c:strCache>
                <c:ptCount val="1"/>
                <c:pt idx="0">
                  <c:v>Benefit 
($ per BI User)</c:v>
                </c:pt>
              </c:strCache>
            </c:strRef>
          </c:cat>
          <c:val>
            <c:numRef>
              <c:f>Revenue!$F$20</c:f>
              <c:numCache>
                <c:formatCode>_("$"* #,##0_);_("$"* \(#,##0\);_("$"* "-"_);_(@_)</c:formatCode>
                <c:ptCount val="1"/>
                <c:pt idx="0">
                  <c:v>138.79336182210639</c:v>
                </c:pt>
              </c:numCache>
            </c:numRef>
          </c:val>
        </c:ser>
        <c:ser>
          <c:idx val="3"/>
          <c:order val="3"/>
          <c:tx>
            <c:strRef>
              <c:f>Revenue!$B$21</c:f>
              <c:strCache>
                <c:ptCount val="1"/>
                <c:pt idx="0">
                  <c:v>New/Expanded Channels or Geographies</c:v>
                </c:pt>
              </c:strCache>
            </c:strRef>
          </c:tx>
          <c:dLbls>
            <c:dLblPos val="ctr"/>
            <c:showVal val="1"/>
          </c:dLbls>
          <c:cat>
            <c:strRef>
              <c:f>Revenue!$F$17</c:f>
              <c:strCache>
                <c:ptCount val="1"/>
                <c:pt idx="0">
                  <c:v>Benefit 
($ per BI User)</c:v>
                </c:pt>
              </c:strCache>
            </c:strRef>
          </c:cat>
          <c:val>
            <c:numRef>
              <c:f>Revenue!$F$21</c:f>
              <c:numCache>
                <c:formatCode>_("$"* #,##0_);_("$"* \(#,##0\);_("$"* "-"_);_(@_)</c:formatCode>
                <c:ptCount val="1"/>
                <c:pt idx="0">
                  <c:v>62.798303815385623</c:v>
                </c:pt>
              </c:numCache>
            </c:numRef>
          </c:val>
        </c:ser>
        <c:ser>
          <c:idx val="4"/>
          <c:order val="4"/>
          <c:tx>
            <c:strRef>
              <c:f>Revenue!$B$22</c:f>
              <c:strCache>
                <c:ptCount val="1"/>
                <c:pt idx="0">
                  <c:v>New/Enhanced Products/Services</c:v>
                </c:pt>
              </c:strCache>
            </c:strRef>
          </c:tx>
          <c:dLbls>
            <c:showVal val="1"/>
          </c:dLbls>
          <c:cat>
            <c:strRef>
              <c:f>Revenue!$F$17</c:f>
              <c:strCache>
                <c:ptCount val="1"/>
                <c:pt idx="0">
                  <c:v>Benefit 
($ per BI User)</c:v>
                </c:pt>
              </c:strCache>
            </c:strRef>
          </c:cat>
          <c:val>
            <c:numRef>
              <c:f>Revenue!$F$22</c:f>
              <c:numCache>
                <c:formatCode>_("$"* #,##0_);_("$"* \(#,##0\);_("$"* "-"_);_(@_)</c:formatCode>
                <c:ptCount val="1"/>
                <c:pt idx="0">
                  <c:v>68.473192612108591</c:v>
                </c:pt>
              </c:numCache>
            </c:numRef>
          </c:val>
        </c:ser>
        <c:ser>
          <c:idx val="5"/>
          <c:order val="5"/>
          <c:tx>
            <c:strRef>
              <c:f>Revenue!$B$23</c:f>
              <c:strCache>
                <c:ptCount val="1"/>
                <c:pt idx="0">
                  <c:v>Improved Product Availability (fill rate, up-time)</c:v>
                </c:pt>
              </c:strCache>
            </c:strRef>
          </c:tx>
          <c:dLbls>
            <c:showVal val="1"/>
          </c:dLbls>
          <c:cat>
            <c:strRef>
              <c:f>Revenue!$F$17</c:f>
              <c:strCache>
                <c:ptCount val="1"/>
                <c:pt idx="0">
                  <c:v>Benefit 
($ per BI User)</c:v>
                </c:pt>
              </c:strCache>
            </c:strRef>
          </c:cat>
          <c:val>
            <c:numRef>
              <c:f>Revenue!$F$23</c:f>
              <c:numCache>
                <c:formatCode>_("$"* #,##0_);_("$"* \(#,##0\);_("$"* "-"_);_(@_)</c:formatCode>
                <c:ptCount val="1"/>
                <c:pt idx="0">
                  <c:v>54.531504399485556</c:v>
                </c:pt>
              </c:numCache>
            </c:numRef>
          </c:val>
        </c:ser>
        <c:ser>
          <c:idx val="6"/>
          <c:order val="6"/>
          <c:tx>
            <c:strRef>
              <c:f>Revenue!$B$24</c:f>
              <c:strCache>
                <c:ptCount val="1"/>
                <c:pt idx="0">
                  <c:v>Other</c:v>
                </c:pt>
              </c:strCache>
            </c:strRef>
          </c:tx>
          <c:dLbls>
            <c:showVal val="1"/>
          </c:dLbls>
          <c:cat>
            <c:strRef>
              <c:f>Revenue!$F$17</c:f>
              <c:strCache>
                <c:ptCount val="1"/>
                <c:pt idx="0">
                  <c:v>Benefit 
($ per BI User)</c:v>
                </c:pt>
              </c:strCache>
            </c:strRef>
          </c:cat>
          <c:val>
            <c:numRef>
              <c:f>Revenue!$F$24</c:f>
              <c:numCache>
                <c:formatCode>_("$"* #,##0_);_("$"* \(#,##0\);_("$"* "-"_);_(@_)</c:formatCode>
                <c:ptCount val="1"/>
                <c:pt idx="0">
                  <c:v>0</c:v>
                </c:pt>
              </c:numCache>
            </c:numRef>
          </c:val>
        </c:ser>
        <c:dLbls>
          <c:showVal val="1"/>
        </c:dLbls>
        <c:overlap val="100"/>
        <c:axId val="80829056"/>
        <c:axId val="80834944"/>
      </c:barChart>
      <c:catAx>
        <c:axId val="80829056"/>
        <c:scaling>
          <c:orientation val="minMax"/>
        </c:scaling>
        <c:axPos val="b"/>
        <c:numFmt formatCode="General" sourceLinked="0"/>
        <c:tickLblPos val="nextTo"/>
        <c:txPr>
          <a:bodyPr rot="0" vert="horz"/>
          <a:lstStyle/>
          <a:p>
            <a:pPr>
              <a:defRPr sz="1000"/>
            </a:pPr>
            <a:endParaRPr lang="en-US"/>
          </a:p>
        </c:txPr>
        <c:crossAx val="80834944"/>
        <c:crosses val="autoZero"/>
        <c:auto val="1"/>
        <c:lblAlgn val="ctr"/>
        <c:lblOffset val="100"/>
        <c:tickLblSkip val="1"/>
        <c:tickMarkSkip val="1"/>
        <c:noMultiLvlLbl val="1"/>
      </c:catAx>
      <c:valAx>
        <c:axId val="80834944"/>
        <c:scaling>
          <c:orientation val="minMax"/>
        </c:scaling>
        <c:axPos val="l"/>
        <c:majorGridlines/>
        <c:title>
          <c:tx>
            <c:rich>
              <a:bodyPr/>
              <a:lstStyle/>
              <a:p>
                <a:pPr>
                  <a:defRPr sz="1100"/>
                </a:pPr>
                <a:r>
                  <a:rPr lang="en-US" sz="1100"/>
                  <a:t>Annual Benefit per PC</a:t>
                </a:r>
              </a:p>
            </c:rich>
          </c:tx>
          <c:layout>
            <c:manualLayout>
              <c:xMode val="edge"/>
              <c:yMode val="edge"/>
              <c:x val="2.0676336510568275E-2"/>
              <c:y val="0.27236868670769188"/>
            </c:manualLayout>
          </c:layout>
        </c:title>
        <c:numFmt formatCode="&quot;$&quot;#,##0" sourceLinked="0"/>
        <c:tickLblPos val="nextTo"/>
        <c:txPr>
          <a:bodyPr rot="0" vert="horz"/>
          <a:lstStyle/>
          <a:p>
            <a:pPr>
              <a:defRPr sz="1100"/>
            </a:pPr>
            <a:endParaRPr lang="en-US"/>
          </a:p>
        </c:txPr>
        <c:crossAx val="80829056"/>
        <c:crossesAt val="1"/>
        <c:crossBetween val="between"/>
      </c:valAx>
    </c:plotArea>
    <c:legend>
      <c:legendPos val="t"/>
      <c:layout>
        <c:manualLayout>
          <c:xMode val="edge"/>
          <c:yMode val="edge"/>
          <c:x val="0.5233976570538833"/>
          <c:y val="0.16774650132296398"/>
          <c:w val="0.43449710295647032"/>
          <c:h val="0.80454624990058066"/>
        </c:manualLayout>
      </c:layout>
      <c:txPr>
        <a:bodyPr/>
        <a:lstStyle/>
        <a:p>
          <a:pPr>
            <a:defRPr sz="1050"/>
          </a:pPr>
          <a:endParaRPr lang="en-US"/>
        </a:p>
      </c:txPr>
    </c:legend>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1199" l="0.70000000000000062" r="0.70000000000000062" t="0.75000000000001199" header="0.30000000000000032" footer="0.30000000000000032"/>
    <c:pageSetup paperSize="0" orientation="landscape" horizontalDpi="0" verticalDpi="0" copies="0"/>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n-US"/>
  <c:style val="27"/>
  <c:chart>
    <c:title>
      <c:tx>
        <c:rich>
          <a:bodyPr/>
          <a:lstStyle/>
          <a:p>
            <a:pPr>
              <a:defRPr/>
            </a:pPr>
            <a:r>
              <a:rPr lang="en-US"/>
              <a:t>BI  IT Labor TCO Comparison </a:t>
            </a:r>
            <a:r>
              <a:rPr lang="en-US" sz="1080" b="1" i="0" u="none" strike="noStrike" baseline="0"/>
              <a:t>(to support current capabilities)</a:t>
            </a:r>
            <a:endParaRPr lang="en-US"/>
          </a:p>
        </c:rich>
      </c:tx>
      <c:layout>
        <c:manualLayout>
          <c:xMode val="edge"/>
          <c:yMode val="edge"/>
          <c:x val="0.15996463321999294"/>
          <c:y val="2.266193274745721E-2"/>
        </c:manualLayout>
      </c:layout>
    </c:title>
    <c:plotArea>
      <c:layout>
        <c:manualLayout>
          <c:layoutTarget val="inner"/>
          <c:xMode val="edge"/>
          <c:yMode val="edge"/>
          <c:x val="0.23110060070912589"/>
          <c:y val="0.153295668549908"/>
          <c:w val="0.39292088789306784"/>
          <c:h val="0.72799116212169201"/>
        </c:manualLayout>
      </c:layout>
      <c:barChart>
        <c:barDir val="col"/>
        <c:grouping val="stacked"/>
        <c:ser>
          <c:idx val="0"/>
          <c:order val="0"/>
          <c:tx>
            <c:strRef>
              <c:f>'IT Labor'!$C$26</c:f>
              <c:strCache>
                <c:ptCount val="1"/>
                <c:pt idx="0">
                  <c:v>Report creation</c:v>
                </c:pt>
              </c:strCache>
            </c:strRef>
          </c:tx>
          <c:dLbls>
            <c:dLblPos val="ctr"/>
            <c:showVal val="1"/>
          </c:dLbls>
          <c:cat>
            <c:strRef>
              <c:f>'IT Labor'!$E$25:$F$25</c:f>
              <c:strCache>
                <c:ptCount val="2"/>
                <c:pt idx="0">
                  <c:v>As-Is TCO</c:v>
                </c:pt>
                <c:pt idx="1">
                  <c:v>To-Be TCO</c:v>
                </c:pt>
              </c:strCache>
            </c:strRef>
          </c:cat>
          <c:val>
            <c:numRef>
              <c:f>'IT Labor'!$E$26:$F$26</c:f>
              <c:numCache>
                <c:formatCode>_("$"* #,##0.0_);_("$"* \(#,##0.0\);_("$"* "-"_);_(@_)</c:formatCode>
                <c:ptCount val="2"/>
                <c:pt idx="0">
                  <c:v>55.038472774060658</c:v>
                </c:pt>
                <c:pt idx="1">
                  <c:v>41.453816634706996</c:v>
                </c:pt>
              </c:numCache>
            </c:numRef>
          </c:val>
        </c:ser>
        <c:ser>
          <c:idx val="2"/>
          <c:order val="1"/>
          <c:tx>
            <c:strRef>
              <c:f>'IT Labor'!$C$27</c:f>
              <c:strCache>
                <c:ptCount val="1"/>
                <c:pt idx="0">
                  <c:v>Database administration</c:v>
                </c:pt>
              </c:strCache>
            </c:strRef>
          </c:tx>
          <c:dLbls>
            <c:showVal val="1"/>
          </c:dLbls>
          <c:cat>
            <c:strRef>
              <c:f>'IT Labor'!$E$25:$F$25</c:f>
              <c:strCache>
                <c:ptCount val="2"/>
                <c:pt idx="0">
                  <c:v>As-Is TCO</c:v>
                </c:pt>
                <c:pt idx="1">
                  <c:v>To-Be TCO</c:v>
                </c:pt>
              </c:strCache>
            </c:strRef>
          </c:cat>
          <c:val>
            <c:numRef>
              <c:f>'IT Labor'!$E$27:$F$27</c:f>
              <c:numCache>
                <c:formatCode>_("$"* #,##0.0_);_("$"* \(#,##0.0\);_("$"* "-"_);_(@_)</c:formatCode>
                <c:ptCount val="2"/>
                <c:pt idx="0">
                  <c:v>57.29476999753588</c:v>
                </c:pt>
                <c:pt idx="1">
                  <c:v>54.50421274552599</c:v>
                </c:pt>
              </c:numCache>
            </c:numRef>
          </c:val>
        </c:ser>
        <c:ser>
          <c:idx val="4"/>
          <c:order val="2"/>
          <c:tx>
            <c:strRef>
              <c:f>'IT Labor'!$C$28</c:f>
              <c:strCache>
                <c:ptCount val="1"/>
                <c:pt idx="0">
                  <c:v>Data management</c:v>
                </c:pt>
              </c:strCache>
            </c:strRef>
          </c:tx>
          <c:dLbls>
            <c:showVal val="1"/>
          </c:dLbls>
          <c:cat>
            <c:strRef>
              <c:f>'IT Labor'!$E$25:$F$25</c:f>
              <c:strCache>
                <c:ptCount val="2"/>
                <c:pt idx="0">
                  <c:v>As-Is TCO</c:v>
                </c:pt>
                <c:pt idx="1">
                  <c:v>To-Be TCO</c:v>
                </c:pt>
              </c:strCache>
            </c:strRef>
          </c:cat>
          <c:val>
            <c:numRef>
              <c:f>'IT Labor'!$E$28:$F$28</c:f>
              <c:numCache>
                <c:formatCode>_("$"* #,##0.0_);_("$"* \(#,##0.0\);_("$"* "-"_);_(@_)</c:formatCode>
                <c:ptCount val="2"/>
                <c:pt idx="0">
                  <c:v>55.038472774060658</c:v>
                </c:pt>
                <c:pt idx="1">
                  <c:v>52.961428943648819</c:v>
                </c:pt>
              </c:numCache>
            </c:numRef>
          </c:val>
        </c:ser>
        <c:ser>
          <c:idx val="5"/>
          <c:order val="3"/>
          <c:tx>
            <c:strRef>
              <c:f>'IT Labor'!$C$29</c:f>
              <c:strCache>
                <c:ptCount val="1"/>
                <c:pt idx="0">
                  <c:v>Integration</c:v>
                </c:pt>
              </c:strCache>
            </c:strRef>
          </c:tx>
          <c:dLbls>
            <c:showVal val="1"/>
          </c:dLbls>
          <c:cat>
            <c:strRef>
              <c:f>'IT Labor'!$E$25:$F$25</c:f>
              <c:strCache>
                <c:ptCount val="2"/>
                <c:pt idx="0">
                  <c:v>As-Is TCO</c:v>
                </c:pt>
                <c:pt idx="1">
                  <c:v>To-Be TCO</c:v>
                </c:pt>
              </c:strCache>
            </c:strRef>
          </c:cat>
          <c:val>
            <c:numRef>
              <c:f>'IT Labor'!$E$29:$F$29</c:f>
              <c:numCache>
                <c:formatCode>_("$"* #,##0.0_);_("$"* \(#,##0.0\);_("$"* "-"_);_(@_)</c:formatCode>
                <c:ptCount val="2"/>
                <c:pt idx="0">
                  <c:v>45.329400167998763</c:v>
                </c:pt>
                <c:pt idx="1">
                  <c:v>42.81679165988578</c:v>
                </c:pt>
              </c:numCache>
            </c:numRef>
          </c:val>
        </c:ser>
        <c:ser>
          <c:idx val="6"/>
          <c:order val="4"/>
          <c:tx>
            <c:strRef>
              <c:f>'IT Labor'!$C$30</c:f>
              <c:strCache>
                <c:ptCount val="1"/>
                <c:pt idx="0">
                  <c:v>Application development</c:v>
                </c:pt>
              </c:strCache>
            </c:strRef>
          </c:tx>
          <c:dLbls>
            <c:showVal val="1"/>
          </c:dLbls>
          <c:cat>
            <c:strRef>
              <c:f>'IT Labor'!$E$25:$F$25</c:f>
              <c:strCache>
                <c:ptCount val="2"/>
                <c:pt idx="0">
                  <c:v>As-Is TCO</c:v>
                </c:pt>
                <c:pt idx="1">
                  <c:v>To-Be TCO</c:v>
                </c:pt>
              </c:strCache>
            </c:strRef>
          </c:cat>
          <c:val>
            <c:numRef>
              <c:f>'IT Labor'!$E$30:$F$30</c:f>
              <c:numCache>
                <c:formatCode>_("$"* #,##0.0_);_("$"* \(#,##0.0\);_("$"* "-"_);_(@_)</c:formatCode>
                <c:ptCount val="2"/>
                <c:pt idx="0">
                  <c:v>45.329400167998763</c:v>
                </c:pt>
                <c:pt idx="1">
                  <c:v>39.442866462271184</c:v>
                </c:pt>
              </c:numCache>
            </c:numRef>
          </c:val>
        </c:ser>
        <c:ser>
          <c:idx val="7"/>
          <c:order val="5"/>
          <c:tx>
            <c:strRef>
              <c:f>'IT Labor'!$C$31</c:f>
              <c:strCache>
                <c:ptCount val="1"/>
                <c:pt idx="0">
                  <c:v>Administration</c:v>
                </c:pt>
              </c:strCache>
            </c:strRef>
          </c:tx>
          <c:dLbls>
            <c:showVal val="1"/>
          </c:dLbls>
          <c:cat>
            <c:strRef>
              <c:f>'IT Labor'!$E$25:$F$25</c:f>
              <c:strCache>
                <c:ptCount val="2"/>
                <c:pt idx="0">
                  <c:v>As-Is TCO</c:v>
                </c:pt>
                <c:pt idx="1">
                  <c:v>To-Be TCO</c:v>
                </c:pt>
              </c:strCache>
            </c:strRef>
          </c:cat>
          <c:val>
            <c:numRef>
              <c:f>'IT Labor'!$E$31:$F$31</c:f>
              <c:numCache>
                <c:formatCode>_("$"* #,##0.0_);_("$"* \(#,##0.0\);_("$"* "-"_);_(@_)</c:formatCode>
                <c:ptCount val="2"/>
                <c:pt idx="0">
                  <c:v>22.91790799901435</c:v>
                </c:pt>
                <c:pt idx="1">
                  <c:v>21.897796380674389</c:v>
                </c:pt>
              </c:numCache>
            </c:numRef>
          </c:val>
        </c:ser>
        <c:ser>
          <c:idx val="9"/>
          <c:order val="6"/>
          <c:tx>
            <c:strRef>
              <c:f>'IT Labor'!$C$32</c:f>
              <c:strCache>
                <c:ptCount val="1"/>
                <c:pt idx="0">
                  <c:v>Other</c:v>
                </c:pt>
              </c:strCache>
            </c:strRef>
          </c:tx>
          <c:dLbls>
            <c:showVal val="1"/>
          </c:dLbls>
          <c:cat>
            <c:strRef>
              <c:f>'IT Labor'!$E$25:$F$25</c:f>
              <c:strCache>
                <c:ptCount val="2"/>
                <c:pt idx="0">
                  <c:v>As-Is TCO</c:v>
                </c:pt>
                <c:pt idx="1">
                  <c:v>To-Be TCO</c:v>
                </c:pt>
              </c:strCache>
            </c:strRef>
          </c:cat>
          <c:val>
            <c:numRef>
              <c:f>'IT Labor'!$E$32:$F$32</c:f>
              <c:numCache>
                <c:formatCode>_("$"* #,##0.0_);_("$"* \(#,##0.0\);_("$"* "-"_);_(@_)</c:formatCode>
                <c:ptCount val="2"/>
                <c:pt idx="0">
                  <c:v>5.7294769997535617</c:v>
                </c:pt>
                <c:pt idx="1">
                  <c:v>5.7294769997535617</c:v>
                </c:pt>
              </c:numCache>
            </c:numRef>
          </c:val>
        </c:ser>
        <c:dLbls>
          <c:showVal val="1"/>
        </c:dLbls>
        <c:overlap val="100"/>
        <c:axId val="80978304"/>
        <c:axId val="80979840"/>
      </c:barChart>
      <c:catAx>
        <c:axId val="80978304"/>
        <c:scaling>
          <c:orientation val="minMax"/>
        </c:scaling>
        <c:axPos val="b"/>
        <c:numFmt formatCode="General" sourceLinked="1"/>
        <c:tickLblPos val="nextTo"/>
        <c:crossAx val="80979840"/>
        <c:crosses val="autoZero"/>
        <c:auto val="1"/>
        <c:lblAlgn val="ctr"/>
        <c:lblOffset val="100"/>
      </c:catAx>
      <c:valAx>
        <c:axId val="80979840"/>
        <c:scaling>
          <c:orientation val="minMax"/>
        </c:scaling>
        <c:axPos val="l"/>
        <c:majorGridlines/>
        <c:title>
          <c:tx>
            <c:rich>
              <a:bodyPr rot="-5400000" vert="horz"/>
              <a:lstStyle/>
              <a:p>
                <a:pPr>
                  <a:defRPr/>
                </a:pPr>
                <a:r>
                  <a:rPr lang="en-US"/>
                  <a:t>TCO per PC per Year</a:t>
                </a:r>
              </a:p>
            </c:rich>
          </c:tx>
        </c:title>
        <c:numFmt formatCode="_(&quot;$&quot;* #,##0.0_);_(&quot;$&quot;* \(#,##0.0\);_(&quot;$&quot;* &quot;-&quot;_);_(@_)" sourceLinked="1"/>
        <c:tickLblPos val="nextTo"/>
        <c:crossAx val="80978304"/>
        <c:crosses val="autoZero"/>
        <c:crossBetween val="between"/>
      </c:valAx>
    </c:plotArea>
    <c:legend>
      <c:legendPos val="r"/>
      <c:layout>
        <c:manualLayout>
          <c:xMode val="edge"/>
          <c:yMode val="edge"/>
          <c:x val="0.63740140563465864"/>
          <c:y val="0.15483326005569167"/>
          <c:w val="0.34289508872104368"/>
          <c:h val="0.84516673994430858"/>
        </c:manualLayout>
      </c:layout>
    </c:legend>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sz="900">
          <a:solidFill>
            <a:schemeClr val="dk1"/>
          </a:solidFill>
          <a:latin typeface="Arial" pitchFamily="34" charset="0"/>
          <a:ea typeface="+mn-ea"/>
          <a:cs typeface="Arial" pitchFamily="34" charset="0"/>
        </a:defRPr>
      </a:pPr>
      <a:endParaRPr lang="en-US"/>
    </a:p>
  </c:txPr>
  <c:printSettings>
    <c:headerFooter/>
    <c:pageMargins b="0.75000000000001288" l="0.70000000000000062" r="0.70000000000000062" t="0.75000000000001288"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Implementation Costs (Per BI User)</a:t>
            </a:r>
          </a:p>
        </c:rich>
      </c:tx>
      <c:layout>
        <c:manualLayout>
          <c:xMode val="edge"/>
          <c:yMode val="edge"/>
          <c:x val="0.20612244897959184"/>
          <c:y val="3.3613445378151259E-2"/>
        </c:manualLayout>
      </c:layout>
    </c:title>
    <c:plotArea>
      <c:layout>
        <c:manualLayout>
          <c:layoutTarget val="inner"/>
          <c:xMode val="edge"/>
          <c:yMode val="edge"/>
          <c:x val="0.15522895311645929"/>
          <c:y val="0.15329566854990806"/>
          <c:w val="0.25029980564687121"/>
          <c:h val="0.72799116212169224"/>
        </c:manualLayout>
      </c:layout>
      <c:barChart>
        <c:barDir val="col"/>
        <c:grouping val="stacked"/>
        <c:ser>
          <c:idx val="0"/>
          <c:order val="0"/>
          <c:tx>
            <c:strRef>
              <c:f>'Costs - HWSW'!$C$147</c:f>
              <c:strCache>
                <c:ptCount val="1"/>
                <c:pt idx="0">
                  <c:v>Storage Hardware</c:v>
                </c:pt>
              </c:strCache>
            </c:strRef>
          </c:tx>
          <c:dLbls>
            <c:showVal val="1"/>
          </c:dLbls>
          <c:cat>
            <c:strRef>
              <c:f>'Costs - HWSW'!$G$146</c:f>
              <c:strCache>
                <c:ptCount val="1"/>
                <c:pt idx="0">
                  <c:v>5-Year Total</c:v>
                </c:pt>
              </c:strCache>
            </c:strRef>
          </c:cat>
          <c:val>
            <c:numRef>
              <c:f>'Costs - HWSW'!$G$147</c:f>
              <c:numCache>
                <c:formatCode>_("$"* #,##0_);_("$"* \(#,##0\);_("$"* "-"??_);_(@_)</c:formatCode>
                <c:ptCount val="1"/>
                <c:pt idx="0">
                  <c:v>28.292255580957274</c:v>
                </c:pt>
              </c:numCache>
            </c:numRef>
          </c:val>
        </c:ser>
        <c:ser>
          <c:idx val="1"/>
          <c:order val="1"/>
          <c:tx>
            <c:strRef>
              <c:f>'Costs - HWSW'!$C$148</c:f>
              <c:strCache>
                <c:ptCount val="1"/>
                <c:pt idx="0">
                  <c:v>Server Hardware</c:v>
                </c:pt>
              </c:strCache>
            </c:strRef>
          </c:tx>
          <c:dLbls>
            <c:showVal val="1"/>
          </c:dLbls>
          <c:cat>
            <c:strRef>
              <c:f>'Costs - HWSW'!$G$146</c:f>
              <c:strCache>
                <c:ptCount val="1"/>
                <c:pt idx="0">
                  <c:v>5-Year Total</c:v>
                </c:pt>
              </c:strCache>
            </c:strRef>
          </c:cat>
          <c:val>
            <c:numRef>
              <c:f>'Costs - HWSW'!$G$148</c:f>
              <c:numCache>
                <c:formatCode>_("$"* #,##0_);_("$"* \(#,##0\);_("$"* "-"??_);_(@_)</c:formatCode>
                <c:ptCount val="1"/>
                <c:pt idx="0">
                  <c:v>88.626537679025674</c:v>
                </c:pt>
              </c:numCache>
            </c:numRef>
          </c:val>
        </c:ser>
        <c:ser>
          <c:idx val="2"/>
          <c:order val="2"/>
          <c:tx>
            <c:strRef>
              <c:f>'Costs - HWSW'!$C$149</c:f>
              <c:strCache>
                <c:ptCount val="1"/>
                <c:pt idx="0">
                  <c:v>Server Software</c:v>
                </c:pt>
              </c:strCache>
            </c:strRef>
          </c:tx>
          <c:dLbls>
            <c:showVal val="1"/>
          </c:dLbls>
          <c:cat>
            <c:strRef>
              <c:f>'Costs - HWSW'!$G$146</c:f>
              <c:strCache>
                <c:ptCount val="1"/>
                <c:pt idx="0">
                  <c:v>5-Year Total</c:v>
                </c:pt>
              </c:strCache>
            </c:strRef>
          </c:cat>
          <c:val>
            <c:numRef>
              <c:f>'Costs - HWSW'!$G$149</c:f>
              <c:numCache>
                <c:formatCode>_("$"* #,##0_);_("$"* \(#,##0\);_("$"* "-"??_);_(@_)</c:formatCode>
                <c:ptCount val="1"/>
                <c:pt idx="0">
                  <c:v>384</c:v>
                </c:pt>
              </c:numCache>
            </c:numRef>
          </c:val>
        </c:ser>
        <c:ser>
          <c:idx val="3"/>
          <c:order val="3"/>
          <c:tx>
            <c:strRef>
              <c:f>'Costs - HWSW'!$C$150</c:f>
              <c:strCache>
                <c:ptCount val="1"/>
                <c:pt idx="0">
                  <c:v>Client Software</c:v>
                </c:pt>
              </c:strCache>
            </c:strRef>
          </c:tx>
          <c:dLbls>
            <c:showVal val="1"/>
          </c:dLbls>
          <c:cat>
            <c:strRef>
              <c:f>'Costs - HWSW'!$G$146</c:f>
              <c:strCache>
                <c:ptCount val="1"/>
                <c:pt idx="0">
                  <c:v>5-Year Total</c:v>
                </c:pt>
              </c:strCache>
            </c:strRef>
          </c:cat>
          <c:val>
            <c:numRef>
              <c:f>'Costs - HWSW'!$G$150</c:f>
              <c:numCache>
                <c:formatCode>_("$"* #,##0_);_("$"* \(#,##0\);_("$"* "-"??_);_(@_)</c:formatCode>
                <c:ptCount val="1"/>
                <c:pt idx="0">
                  <c:v>436.01690881950253</c:v>
                </c:pt>
              </c:numCache>
            </c:numRef>
          </c:val>
        </c:ser>
        <c:ser>
          <c:idx val="4"/>
          <c:order val="4"/>
          <c:tx>
            <c:strRef>
              <c:f>'Costs - HWSW'!$C$151</c:f>
              <c:strCache>
                <c:ptCount val="1"/>
                <c:pt idx="0">
                  <c:v>BI Applications IT Labor</c:v>
                </c:pt>
              </c:strCache>
            </c:strRef>
          </c:tx>
          <c:dLbls>
            <c:showVal val="1"/>
          </c:dLbls>
          <c:cat>
            <c:strRef>
              <c:f>'Costs - HWSW'!$G$146</c:f>
              <c:strCache>
                <c:ptCount val="1"/>
                <c:pt idx="0">
                  <c:v>5-Year Total</c:v>
                </c:pt>
              </c:strCache>
            </c:strRef>
          </c:cat>
          <c:val>
            <c:numRef>
              <c:f>'Costs - HWSW'!$G$151</c:f>
              <c:numCache>
                <c:formatCode>_("$"* #,##0_);_("$"* \(#,##0\);_("$"* "-"??_);_(@_)</c:formatCode>
                <c:ptCount val="1"/>
                <c:pt idx="0">
                  <c:v>229.76009974971933</c:v>
                </c:pt>
              </c:numCache>
            </c:numRef>
          </c:val>
        </c:ser>
        <c:ser>
          <c:idx val="5"/>
          <c:order val="5"/>
          <c:tx>
            <c:strRef>
              <c:f>'Costs - HWSW'!$C$152</c:f>
              <c:strCache>
                <c:ptCount val="1"/>
                <c:pt idx="0">
                  <c:v>Source System Inclusion / Integration IT Labor</c:v>
                </c:pt>
              </c:strCache>
            </c:strRef>
          </c:tx>
          <c:dLbls>
            <c:showVal val="1"/>
          </c:dLbls>
          <c:cat>
            <c:strRef>
              <c:f>'Costs - HWSW'!$G$146</c:f>
              <c:strCache>
                <c:ptCount val="1"/>
                <c:pt idx="0">
                  <c:v>5-Year Total</c:v>
                </c:pt>
              </c:strCache>
            </c:strRef>
          </c:cat>
          <c:val>
            <c:numRef>
              <c:f>'Costs - HWSW'!$G$152</c:f>
              <c:numCache>
                <c:formatCode>_("$"* #,##0_);_("$"* \(#,##0\);_("$"* "-"??_);_(@_)</c:formatCode>
                <c:ptCount val="1"/>
                <c:pt idx="0">
                  <c:v>103.73456820932621</c:v>
                </c:pt>
              </c:numCache>
            </c:numRef>
          </c:val>
        </c:ser>
        <c:ser>
          <c:idx val="6"/>
          <c:order val="6"/>
          <c:tx>
            <c:strRef>
              <c:f>'Costs - HWSW'!$C$153</c:f>
              <c:strCache>
                <c:ptCount val="1"/>
                <c:pt idx="0">
                  <c:v>Enhance DW Platform IT Labor</c:v>
                </c:pt>
              </c:strCache>
            </c:strRef>
          </c:tx>
          <c:dLbls>
            <c:showVal val="1"/>
          </c:dLbls>
          <c:cat>
            <c:strRef>
              <c:f>'Costs - HWSW'!$G$146</c:f>
              <c:strCache>
                <c:ptCount val="1"/>
                <c:pt idx="0">
                  <c:v>5-Year Total</c:v>
                </c:pt>
              </c:strCache>
            </c:strRef>
          </c:cat>
          <c:val>
            <c:numRef>
              <c:f>'Costs - HWSW'!$G$153</c:f>
              <c:numCache>
                <c:formatCode>_("$"* #,##0_);_("$"* \(#,##0\);_("$"* "-"??_);_(@_)</c:formatCode>
                <c:ptCount val="1"/>
                <c:pt idx="0">
                  <c:v>32.846137548444005</c:v>
                </c:pt>
              </c:numCache>
            </c:numRef>
          </c:val>
        </c:ser>
        <c:ser>
          <c:idx val="7"/>
          <c:order val="7"/>
          <c:tx>
            <c:strRef>
              <c:f>'Costs - HWSW'!$C$154</c:f>
              <c:strCache>
                <c:ptCount val="1"/>
                <c:pt idx="0">
                  <c:v>Enhance BI Platform IT Labor</c:v>
                </c:pt>
              </c:strCache>
            </c:strRef>
          </c:tx>
          <c:dLbls>
            <c:showVal val="1"/>
          </c:dLbls>
          <c:cat>
            <c:strRef>
              <c:f>'Costs - HWSW'!$G$146</c:f>
              <c:strCache>
                <c:ptCount val="1"/>
                <c:pt idx="0">
                  <c:v>5-Year Total</c:v>
                </c:pt>
              </c:strCache>
            </c:strRef>
          </c:cat>
          <c:val>
            <c:numRef>
              <c:f>'Costs - HWSW'!$G$154</c:f>
              <c:numCache>
                <c:formatCode>_("$"* #,##0_);_("$"* \(#,##0\);_("$"* "-"??_);_(@_)</c:formatCode>
                <c:ptCount val="1"/>
                <c:pt idx="0">
                  <c:v>193.30816474898677</c:v>
                </c:pt>
              </c:numCache>
            </c:numRef>
          </c:val>
        </c:ser>
        <c:ser>
          <c:idx val="8"/>
          <c:order val="8"/>
          <c:tx>
            <c:strRef>
              <c:f>'Costs - HWSW'!$C$155</c:f>
              <c:strCache>
                <c:ptCount val="1"/>
                <c:pt idx="0">
                  <c:v>IT Training</c:v>
                </c:pt>
              </c:strCache>
            </c:strRef>
          </c:tx>
          <c:dLbls>
            <c:showVal val="1"/>
          </c:dLbls>
          <c:cat>
            <c:strRef>
              <c:f>'Costs - HWSW'!$G$146</c:f>
              <c:strCache>
                <c:ptCount val="1"/>
                <c:pt idx="0">
                  <c:v>5-Year Total</c:v>
                </c:pt>
              </c:strCache>
            </c:strRef>
          </c:cat>
          <c:val>
            <c:numRef>
              <c:f>'Costs - HWSW'!$G$155</c:f>
              <c:numCache>
                <c:formatCode>_("$"* #,##0_);_("$"* \(#,##0\);_("$"* "-"??_);_(@_)</c:formatCode>
                <c:ptCount val="1"/>
                <c:pt idx="0">
                  <c:v>22.798278299566697</c:v>
                </c:pt>
              </c:numCache>
            </c:numRef>
          </c:val>
        </c:ser>
        <c:ser>
          <c:idx val="9"/>
          <c:order val="9"/>
          <c:tx>
            <c:strRef>
              <c:f>'Costs - HWSW'!$C$156</c:f>
              <c:strCache>
                <c:ptCount val="1"/>
                <c:pt idx="0">
                  <c:v>End-User Training</c:v>
                </c:pt>
              </c:strCache>
            </c:strRef>
          </c:tx>
          <c:dLbls>
            <c:showVal val="1"/>
          </c:dLbls>
          <c:cat>
            <c:strRef>
              <c:f>'Costs - HWSW'!$G$146</c:f>
              <c:strCache>
                <c:ptCount val="1"/>
                <c:pt idx="0">
                  <c:v>5-Year Total</c:v>
                </c:pt>
              </c:strCache>
            </c:strRef>
          </c:cat>
          <c:val>
            <c:numRef>
              <c:f>'Costs - HWSW'!$G$156</c:f>
              <c:numCache>
                <c:formatCode>_("$"* #,##0_);_("$"* \(#,##0\);_("$"* "-"??_);_(@_)</c:formatCode>
                <c:ptCount val="1"/>
                <c:pt idx="0">
                  <c:v>392.33451508460257</c:v>
                </c:pt>
              </c:numCache>
            </c:numRef>
          </c:val>
        </c:ser>
        <c:ser>
          <c:idx val="10"/>
          <c:order val="10"/>
          <c:tx>
            <c:strRef>
              <c:f>'Costs - HWSW'!$C$157</c:f>
              <c:strCache>
                <c:ptCount val="1"/>
                <c:pt idx="0">
                  <c:v>End-User Labor</c:v>
                </c:pt>
              </c:strCache>
            </c:strRef>
          </c:tx>
          <c:dLbls>
            <c:showVal val="1"/>
          </c:dLbls>
          <c:cat>
            <c:strRef>
              <c:f>'Costs - HWSW'!$G$146</c:f>
              <c:strCache>
                <c:ptCount val="1"/>
                <c:pt idx="0">
                  <c:v>5-Year Total</c:v>
                </c:pt>
              </c:strCache>
            </c:strRef>
          </c:cat>
          <c:val>
            <c:numRef>
              <c:f>'Costs - HWSW'!$G$157</c:f>
              <c:numCache>
                <c:formatCode>_("$"* #,##0_);_("$"* \(#,##0\);_("$"* "-"??_);_(@_)</c:formatCode>
                <c:ptCount val="1"/>
                <c:pt idx="0">
                  <c:v>24.858092011779199</c:v>
                </c:pt>
              </c:numCache>
            </c:numRef>
          </c:val>
        </c:ser>
        <c:dLbls>
          <c:showVal val="1"/>
        </c:dLbls>
        <c:overlap val="100"/>
        <c:axId val="81025664"/>
        <c:axId val="81047936"/>
      </c:barChart>
      <c:catAx>
        <c:axId val="81025664"/>
        <c:scaling>
          <c:orientation val="minMax"/>
        </c:scaling>
        <c:axPos val="b"/>
        <c:numFmt formatCode="General" sourceLinked="1"/>
        <c:tickLblPos val="nextTo"/>
        <c:crossAx val="81047936"/>
        <c:crosses val="autoZero"/>
        <c:auto val="1"/>
        <c:lblAlgn val="ctr"/>
        <c:lblOffset val="100"/>
      </c:catAx>
      <c:valAx>
        <c:axId val="81047936"/>
        <c:scaling>
          <c:orientation val="minMax"/>
        </c:scaling>
        <c:axPos val="l"/>
        <c:majorGridlines/>
        <c:title>
          <c:tx>
            <c:rich>
              <a:bodyPr rot="-5400000" vert="horz"/>
              <a:lstStyle/>
              <a:p>
                <a:pPr>
                  <a:defRPr/>
                </a:pPr>
                <a:r>
                  <a:rPr lang="en-US"/>
                  <a:t>Cost per BI User</a:t>
                </a:r>
              </a:p>
            </c:rich>
          </c:tx>
        </c:title>
        <c:numFmt formatCode="_(&quot;$&quot;* #,##0_);_(&quot;$&quot;* \(#,##0\);_(&quot;$&quot;* &quot;-&quot;??_);_(@_)" sourceLinked="1"/>
        <c:tickLblPos val="nextTo"/>
        <c:crossAx val="81025664"/>
        <c:crosses val="autoZero"/>
        <c:crossBetween val="between"/>
      </c:valAx>
    </c:plotArea>
    <c:legend>
      <c:legendPos val="r"/>
      <c:layout>
        <c:manualLayout>
          <c:xMode val="edge"/>
          <c:yMode val="edge"/>
          <c:x val="0.42812896501204611"/>
          <c:y val="0.14220219940861822"/>
          <c:w val="0.54843427214744478"/>
          <c:h val="0.82745635922644356"/>
        </c:manualLayout>
      </c:layout>
    </c:legend>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Arial" pitchFamily="34" charset="0"/>
          <a:ea typeface="+mn-ea"/>
          <a:cs typeface="Arial" pitchFamily="34" charset="0"/>
        </a:defRPr>
      </a:pPr>
      <a:endParaRPr lang="en-US"/>
    </a:p>
  </c:txPr>
  <c:printSettings>
    <c:headerFooter/>
    <c:pageMargins b="0.7500000000000131" l="0.70000000000000062" r="0.70000000000000062" t="0.750000000000013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style val="29"/>
  <c:chart>
    <c:title>
      <c:tx>
        <c:rich>
          <a:bodyPr/>
          <a:lstStyle/>
          <a:p>
            <a:pPr>
              <a:defRPr sz="1400"/>
            </a:pPr>
            <a:r>
              <a:rPr lang="en-US" sz="1400"/>
              <a:t>Benefit Summary (per BI User)</a:t>
            </a:r>
          </a:p>
        </c:rich>
      </c:tx>
      <c:layout>
        <c:manualLayout>
          <c:xMode val="edge"/>
          <c:yMode val="edge"/>
          <c:x val="0.20167027263483867"/>
          <c:y val="1.5432098765432223E-2"/>
        </c:manualLayout>
      </c:layout>
      <c:overlay val="1"/>
    </c:title>
    <c:plotArea>
      <c:layout>
        <c:manualLayout>
          <c:layoutTarget val="inner"/>
          <c:xMode val="edge"/>
          <c:yMode val="edge"/>
          <c:x val="0.26808768170033798"/>
          <c:y val="0.21806722076407276"/>
          <c:w val="0.33613394655943241"/>
          <c:h val="0.63155839895013122"/>
        </c:manualLayout>
      </c:layout>
      <c:barChart>
        <c:barDir val="col"/>
        <c:grouping val="stacked"/>
        <c:ser>
          <c:idx val="0"/>
          <c:order val="0"/>
          <c:tx>
            <c:strRef>
              <c:f>ROI!$D$134</c:f>
              <c:strCache>
                <c:ptCount val="1"/>
                <c:pt idx="0">
                  <c:v>IT Labor/Services TCO Savings</c:v>
                </c:pt>
              </c:strCache>
            </c:strRef>
          </c:tx>
          <c:dLbls>
            <c:dLblPos val="ctr"/>
            <c:showVal val="1"/>
          </c:dLbls>
          <c:cat>
            <c:strRef>
              <c:f>ROI!$G$122</c:f>
              <c:strCache>
                <c:ptCount val="1"/>
                <c:pt idx="0">
                  <c:v>5-Year Total</c:v>
                </c:pt>
              </c:strCache>
            </c:strRef>
          </c:cat>
          <c:val>
            <c:numRef>
              <c:f>ROI!$G$134</c:f>
              <c:numCache>
                <c:formatCode>_("$"* #,##0_);_("$"* \(#,##0\);_("$"* "-"??_);_(@_)</c:formatCode>
                <c:ptCount val="1"/>
                <c:pt idx="0">
                  <c:v>139.35755526977957</c:v>
                </c:pt>
              </c:numCache>
            </c:numRef>
          </c:val>
        </c:ser>
        <c:ser>
          <c:idx val="1"/>
          <c:order val="1"/>
          <c:tx>
            <c:strRef>
              <c:f>ROI!$D$135</c:f>
              <c:strCache>
                <c:ptCount val="1"/>
                <c:pt idx="0">
                  <c:v>Other Direct Cost Savings</c:v>
                </c:pt>
              </c:strCache>
            </c:strRef>
          </c:tx>
          <c:dLbls>
            <c:dLblPos val="ctr"/>
            <c:showVal val="1"/>
          </c:dLbls>
          <c:cat>
            <c:strRef>
              <c:f>ROI!$G$122</c:f>
              <c:strCache>
                <c:ptCount val="1"/>
                <c:pt idx="0">
                  <c:v>5-Year Total</c:v>
                </c:pt>
              </c:strCache>
            </c:strRef>
          </c:cat>
          <c:val>
            <c:numRef>
              <c:f>ROI!$G$135</c:f>
              <c:numCache>
                <c:formatCode>_("$"* #,##0_);_("$"* \(#,##0\);_("$"* "-"??_);_(@_)</c:formatCode>
                <c:ptCount val="1"/>
                <c:pt idx="0">
                  <c:v>562.89943559239418</c:v>
                </c:pt>
              </c:numCache>
            </c:numRef>
          </c:val>
        </c:ser>
        <c:ser>
          <c:idx val="2"/>
          <c:order val="2"/>
          <c:tx>
            <c:strRef>
              <c:f>ROI!$D$136</c:f>
              <c:strCache>
                <c:ptCount val="1"/>
                <c:pt idx="0">
                  <c:v>User Productivity Benefits</c:v>
                </c:pt>
              </c:strCache>
            </c:strRef>
          </c:tx>
          <c:dLbls>
            <c:dLblPos val="ctr"/>
            <c:showVal val="1"/>
          </c:dLbls>
          <c:cat>
            <c:strRef>
              <c:f>ROI!$G$122</c:f>
              <c:strCache>
                <c:ptCount val="1"/>
                <c:pt idx="0">
                  <c:v>5-Year Total</c:v>
                </c:pt>
              </c:strCache>
            </c:strRef>
          </c:cat>
          <c:val>
            <c:numRef>
              <c:f>ROI!$G$136</c:f>
              <c:numCache>
                <c:formatCode>_("$"* #,##0_);_("$"* \(#,##0\);_("$"* "-"??_);_(@_)</c:formatCode>
                <c:ptCount val="1"/>
                <c:pt idx="0">
                  <c:v>3560.1419691237033</c:v>
                </c:pt>
              </c:numCache>
            </c:numRef>
          </c:val>
        </c:ser>
        <c:ser>
          <c:idx val="3"/>
          <c:order val="3"/>
          <c:tx>
            <c:strRef>
              <c:f>ROI!$D$137</c:f>
              <c:strCache>
                <c:ptCount val="1"/>
                <c:pt idx="0">
                  <c:v>Revenue Growth (Profit on)</c:v>
                </c:pt>
              </c:strCache>
            </c:strRef>
          </c:tx>
          <c:dLbls>
            <c:dLblPos val="ctr"/>
            <c:showVal val="1"/>
          </c:dLbls>
          <c:cat>
            <c:strRef>
              <c:f>ROI!$G$122</c:f>
              <c:strCache>
                <c:ptCount val="1"/>
                <c:pt idx="0">
                  <c:v>5-Year Total</c:v>
                </c:pt>
              </c:strCache>
            </c:strRef>
          </c:cat>
          <c:val>
            <c:numRef>
              <c:f>ROI!$G$137</c:f>
              <c:numCache>
                <c:formatCode>_("$"* #,##0_);_("$"* \(#,##0\);_("$"* "-"??_);_(@_)</c:formatCode>
                <c:ptCount val="1"/>
                <c:pt idx="0">
                  <c:v>2600.7362118861461</c:v>
                </c:pt>
              </c:numCache>
            </c:numRef>
          </c:val>
        </c:ser>
        <c:dLbls>
          <c:showVal val="1"/>
        </c:dLbls>
        <c:overlap val="100"/>
        <c:axId val="72590848"/>
        <c:axId val="72592384"/>
      </c:barChart>
      <c:catAx>
        <c:axId val="72590848"/>
        <c:scaling>
          <c:orientation val="minMax"/>
        </c:scaling>
        <c:axPos val="b"/>
        <c:tickLblPos val="nextTo"/>
        <c:crossAx val="72592384"/>
        <c:crosses val="autoZero"/>
        <c:auto val="1"/>
        <c:lblAlgn val="ctr"/>
        <c:lblOffset val="100"/>
      </c:catAx>
      <c:valAx>
        <c:axId val="72592384"/>
        <c:scaling>
          <c:orientation val="minMax"/>
        </c:scaling>
        <c:axPos val="l"/>
        <c:majorGridlines/>
        <c:title>
          <c:tx>
            <c:rich>
              <a:bodyPr rot="-5400000" vert="horz"/>
              <a:lstStyle/>
              <a:p>
                <a:pPr>
                  <a:defRPr/>
                </a:pPr>
                <a:r>
                  <a:rPr lang="en-US"/>
                  <a:t>Benefits ($ per BI User)</a:t>
                </a:r>
              </a:p>
            </c:rich>
          </c:tx>
        </c:title>
        <c:numFmt formatCode="_(&quot;$&quot;* #,##0_);_(&quot;$&quot;* \(#,##0\);_(&quot;$&quot;* &quot;-&quot;??_);_(@_)" sourceLinked="1"/>
        <c:tickLblPos val="nextTo"/>
        <c:crossAx val="72590848"/>
        <c:crosses val="autoZero"/>
        <c:crossBetween val="between"/>
      </c:valAx>
    </c:plotArea>
    <c:legend>
      <c:legendPos val="r"/>
      <c:layout>
        <c:manualLayout>
          <c:xMode val="edge"/>
          <c:yMode val="edge"/>
          <c:x val="0.60985014487867961"/>
          <c:y val="0.19753864100320792"/>
          <c:w val="0.36767816866928787"/>
          <c:h val="0.73522183221074422"/>
        </c:manualLayout>
      </c:layout>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0544" l="0.70000000000000062" r="0.70000000000000062" t="0.75000000000000544"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sz="1800"/>
            </a:pPr>
            <a:r>
              <a:rPr lang="en-US" sz="1800"/>
              <a:t>BI IT Labor FTEs</a:t>
            </a:r>
          </a:p>
        </c:rich>
      </c:tx>
    </c:title>
    <c:plotArea>
      <c:layout/>
      <c:barChart>
        <c:barDir val="col"/>
        <c:grouping val="clustered"/>
        <c:ser>
          <c:idx val="0"/>
          <c:order val="0"/>
          <c:tx>
            <c:strRef>
              <c:f>'IT Labor'!$E$60</c:f>
              <c:strCache>
                <c:ptCount val="1"/>
                <c:pt idx="0">
                  <c:v>FTEs</c:v>
                </c:pt>
              </c:strCache>
            </c:strRef>
          </c:tx>
          <c:dLbls>
            <c:dLblPos val="ctr"/>
            <c:showVal val="1"/>
          </c:dLbls>
          <c:cat>
            <c:strRef>
              <c:f>'IT Labor'!$C$61:$C$63</c:f>
              <c:strCache>
                <c:ptCount val="3"/>
                <c:pt idx="0">
                  <c:v>Current (as-is) BI labor</c:v>
                </c:pt>
                <c:pt idx="1">
                  <c:v>Simulated BI labor (to maintain current BI capabilities)</c:v>
                </c:pt>
                <c:pt idx="2">
                  <c:v>Total Simulated (to-be) labor</c:v>
                </c:pt>
              </c:strCache>
            </c:strRef>
          </c:cat>
          <c:val>
            <c:numRef>
              <c:f>'IT Labor'!$E$61:$E$63</c:f>
              <c:numCache>
                <c:formatCode>_(* #,##0.0_);_(* \(#,##0.0\);_(* "-"_);_(@_)</c:formatCode>
                <c:ptCount val="3"/>
                <c:pt idx="0">
                  <c:v>9.4667468139612971</c:v>
                </c:pt>
                <c:pt idx="1">
                  <c:v>8.538934672823471</c:v>
                </c:pt>
                <c:pt idx="2">
                  <c:v>10.423614012251839</c:v>
                </c:pt>
              </c:numCache>
            </c:numRef>
          </c:val>
        </c:ser>
        <c:dLbls>
          <c:showVal val="1"/>
        </c:dLbls>
        <c:axId val="81065088"/>
        <c:axId val="81066624"/>
      </c:barChart>
      <c:catAx>
        <c:axId val="81065088"/>
        <c:scaling>
          <c:orientation val="minMax"/>
        </c:scaling>
        <c:axPos val="b"/>
        <c:numFmt formatCode="General" sourceLinked="1"/>
        <c:tickLblPos val="nextTo"/>
        <c:crossAx val="81066624"/>
        <c:crosses val="autoZero"/>
        <c:auto val="1"/>
        <c:lblAlgn val="ctr"/>
        <c:lblOffset val="100"/>
      </c:catAx>
      <c:valAx>
        <c:axId val="81066624"/>
        <c:scaling>
          <c:orientation val="minMax"/>
        </c:scaling>
        <c:axPos val="l"/>
        <c:majorGridlines/>
        <c:title>
          <c:tx>
            <c:rich>
              <a:bodyPr rot="-5400000" vert="horz"/>
              <a:lstStyle/>
              <a:p>
                <a:pPr>
                  <a:defRPr/>
                </a:pPr>
                <a:r>
                  <a:rPr lang="en-US"/>
                  <a:t>BI IT Labor FTEs</a:t>
                </a:r>
              </a:p>
            </c:rich>
          </c:tx>
        </c:title>
        <c:numFmt formatCode="#,##0" sourceLinked="0"/>
        <c:tickLblPos val="nextTo"/>
        <c:crossAx val="81065088"/>
        <c:crosses val="autoZero"/>
        <c:crossBetween val="between"/>
      </c:valAx>
    </c:plotArea>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sz="1100">
          <a:solidFill>
            <a:schemeClr val="dk1"/>
          </a:solidFill>
          <a:latin typeface="+mn-lt"/>
          <a:ea typeface="+mn-ea"/>
          <a:cs typeface="+mn-cs"/>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BI Maturity Levels</a:t>
            </a:r>
          </a:p>
        </c:rich>
      </c:tx>
      <c:layout/>
    </c:title>
    <c:plotArea>
      <c:layout>
        <c:manualLayout>
          <c:layoutTarget val="inner"/>
          <c:xMode val="edge"/>
          <c:yMode val="edge"/>
          <c:x val="0.22979036167117539"/>
          <c:y val="0.29569975474377175"/>
          <c:w val="0.72354015815485262"/>
          <c:h val="0.64287379226430208"/>
        </c:manualLayout>
      </c:layout>
      <c:barChart>
        <c:barDir val="bar"/>
        <c:grouping val="clustered"/>
        <c:ser>
          <c:idx val="0"/>
          <c:order val="0"/>
          <c:tx>
            <c:strRef>
              <c:f>Maturity!$C$62</c:f>
              <c:strCache>
                <c:ptCount val="1"/>
                <c:pt idx="0">
                  <c:v>As-Is</c:v>
                </c:pt>
              </c:strCache>
            </c:strRef>
          </c:tx>
          <c:cat>
            <c:strRef>
              <c:f>Maturity!$B$63:$B$70</c:f>
              <c:strCache>
                <c:ptCount val="8"/>
                <c:pt idx="0">
                  <c:v>Scope</c:v>
                </c:pt>
                <c:pt idx="1">
                  <c:v>Sponsorship</c:v>
                </c:pt>
                <c:pt idx="2">
                  <c:v>Funding</c:v>
                </c:pt>
                <c:pt idx="3">
                  <c:v>Value</c:v>
                </c:pt>
                <c:pt idx="4">
                  <c:v>Architecture</c:v>
                </c:pt>
                <c:pt idx="5">
                  <c:v>Data</c:v>
                </c:pt>
                <c:pt idx="6">
                  <c:v>Development</c:v>
                </c:pt>
                <c:pt idx="7">
                  <c:v>Delivery</c:v>
                </c:pt>
              </c:strCache>
            </c:strRef>
          </c:cat>
          <c:val>
            <c:numRef>
              <c:f>Maturity!$C$63:$C$70</c:f>
              <c:numCache>
                <c:formatCode>0.0</c:formatCode>
                <c:ptCount val="8"/>
                <c:pt idx="0">
                  <c:v>2.7154264440788891</c:v>
                </c:pt>
                <c:pt idx="1">
                  <c:v>3.2216124353592335</c:v>
                </c:pt>
                <c:pt idx="2">
                  <c:v>2.867923974972272</c:v>
                </c:pt>
                <c:pt idx="3">
                  <c:v>2.6608431151952354</c:v>
                </c:pt>
                <c:pt idx="4">
                  <c:v>3.5925930255310377</c:v>
                </c:pt>
                <c:pt idx="5">
                  <c:v>3.7480699958844981</c:v>
                </c:pt>
                <c:pt idx="6">
                  <c:v>3.6060772837472554</c:v>
                </c:pt>
                <c:pt idx="7">
                  <c:v>2.9288407722759757</c:v>
                </c:pt>
              </c:numCache>
            </c:numRef>
          </c:val>
        </c:ser>
        <c:ser>
          <c:idx val="1"/>
          <c:order val="1"/>
          <c:tx>
            <c:strRef>
              <c:f>Maturity!$D$62</c:f>
              <c:strCache>
                <c:ptCount val="1"/>
                <c:pt idx="0">
                  <c:v>To-Be</c:v>
                </c:pt>
              </c:strCache>
            </c:strRef>
          </c:tx>
          <c:spPr>
            <a:solidFill>
              <a:schemeClr val="accent3">
                <a:lumMod val="75000"/>
              </a:schemeClr>
            </a:solidFill>
          </c:spPr>
          <c:cat>
            <c:strRef>
              <c:f>Maturity!$B$63:$B$70</c:f>
              <c:strCache>
                <c:ptCount val="8"/>
                <c:pt idx="0">
                  <c:v>Scope</c:v>
                </c:pt>
                <c:pt idx="1">
                  <c:v>Sponsorship</c:v>
                </c:pt>
                <c:pt idx="2">
                  <c:v>Funding</c:v>
                </c:pt>
                <c:pt idx="3">
                  <c:v>Value</c:v>
                </c:pt>
                <c:pt idx="4">
                  <c:v>Architecture</c:v>
                </c:pt>
                <c:pt idx="5">
                  <c:v>Data</c:v>
                </c:pt>
                <c:pt idx="6">
                  <c:v>Development</c:v>
                </c:pt>
                <c:pt idx="7">
                  <c:v>Delivery</c:v>
                </c:pt>
              </c:strCache>
            </c:strRef>
          </c:cat>
          <c:val>
            <c:numRef>
              <c:f>Maturity!$D$63:$D$70</c:f>
              <c:numCache>
                <c:formatCode>0.0</c:formatCode>
                <c:ptCount val="8"/>
                <c:pt idx="0">
                  <c:v>4.0656499402863853</c:v>
                </c:pt>
                <c:pt idx="1">
                  <c:v>4.0746435649518764</c:v>
                </c:pt>
                <c:pt idx="2">
                  <c:v>4.109364645433609</c:v>
                </c:pt>
                <c:pt idx="3">
                  <c:v>4.199388379081431</c:v>
                </c:pt>
                <c:pt idx="4">
                  <c:v>4.2806235862395807</c:v>
                </c:pt>
                <c:pt idx="5">
                  <c:v>4.4402677945183626</c:v>
                </c:pt>
                <c:pt idx="6">
                  <c:v>4.1241944209317838</c:v>
                </c:pt>
                <c:pt idx="7">
                  <c:v>4.1309986233955192</c:v>
                </c:pt>
              </c:numCache>
            </c:numRef>
          </c:val>
        </c:ser>
        <c:axId val="81103872"/>
        <c:axId val="81109760"/>
      </c:barChart>
      <c:catAx>
        <c:axId val="81103872"/>
        <c:scaling>
          <c:orientation val="maxMin"/>
        </c:scaling>
        <c:axPos val="l"/>
        <c:majorTickMark val="none"/>
        <c:tickLblPos val="nextTo"/>
        <c:txPr>
          <a:bodyPr/>
          <a:lstStyle/>
          <a:p>
            <a:pPr>
              <a:defRPr sz="1100" b="1"/>
            </a:pPr>
            <a:endParaRPr lang="en-US"/>
          </a:p>
        </c:txPr>
        <c:crossAx val="81109760"/>
        <c:crosses val="autoZero"/>
        <c:auto val="1"/>
        <c:lblAlgn val="ctr"/>
        <c:lblOffset val="100"/>
      </c:catAx>
      <c:valAx>
        <c:axId val="81109760"/>
        <c:scaling>
          <c:orientation val="minMax"/>
          <c:max val="5"/>
          <c:min val="1"/>
        </c:scaling>
        <c:axPos val="t"/>
        <c:majorGridlines/>
        <c:title>
          <c:tx>
            <c:rich>
              <a:bodyPr/>
              <a:lstStyle/>
              <a:p>
                <a:pPr>
                  <a:defRPr sz="1100"/>
                </a:pPr>
                <a:r>
                  <a:rPr lang="en-US" sz="1100"/>
                  <a:t>Maturity Level</a:t>
                </a:r>
              </a:p>
            </c:rich>
          </c:tx>
          <c:layout/>
        </c:title>
        <c:numFmt formatCode="0" sourceLinked="0"/>
        <c:majorTickMark val="none"/>
        <c:tickLblPos val="nextTo"/>
        <c:txPr>
          <a:bodyPr/>
          <a:lstStyle/>
          <a:p>
            <a:pPr>
              <a:defRPr sz="1200" b="1"/>
            </a:pPr>
            <a:endParaRPr lang="en-US"/>
          </a:p>
        </c:txPr>
        <c:crossAx val="81103872"/>
        <c:crosses val="autoZero"/>
        <c:crossBetween val="between"/>
      </c:valAx>
    </c:plotArea>
    <c:legend>
      <c:legendPos val="r"/>
      <c:layout>
        <c:manualLayout>
          <c:xMode val="edge"/>
          <c:yMode val="edge"/>
          <c:x val="0.78033330576871429"/>
          <c:y val="3.6262253151107517E-2"/>
          <c:w val="0.18511704257306894"/>
          <c:h val="0.13198876880224741"/>
        </c:manualLayout>
      </c:layout>
      <c:txPr>
        <a:bodyPr/>
        <a:lstStyle/>
        <a:p>
          <a:pPr>
            <a:defRPr sz="1400" b="1"/>
          </a:pPr>
          <a:endParaRPr lang="en-US"/>
        </a:p>
      </c:txPr>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0344" l="0.70000000000000062" r="0.70000000000000062" t="0.75000000000000344" header="0.30000000000000032" footer="0.30000000000000032"/>
    <c:pageSetup/>
  </c:printSettings>
  <c:userShapes r:id="rId1"/>
</c:chartSpace>
</file>

<file path=xl/charts/chart32.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BI Capability Adoption Summary</a:t>
            </a:r>
          </a:p>
        </c:rich>
      </c:tx>
      <c:layout/>
    </c:title>
    <c:plotArea>
      <c:layout>
        <c:manualLayout>
          <c:layoutTarget val="inner"/>
          <c:xMode val="edge"/>
          <c:yMode val="edge"/>
          <c:x val="0.3925411388793793"/>
          <c:y val="0.39155589113004907"/>
          <c:w val="0.55010521510898314"/>
          <c:h val="0.56826146046812664"/>
        </c:manualLayout>
      </c:layout>
      <c:barChart>
        <c:barDir val="bar"/>
        <c:grouping val="clustered"/>
        <c:ser>
          <c:idx val="0"/>
          <c:order val="0"/>
          <c:tx>
            <c:strRef>
              <c:f>Initiatives!$H$164</c:f>
              <c:strCache>
                <c:ptCount val="1"/>
                <c:pt idx="0">
                  <c:v>Current Adoption (As-Is)</c:v>
                </c:pt>
              </c:strCache>
            </c:strRef>
          </c:tx>
          <c:dLbls>
            <c:dLblPos val="ctr"/>
            <c:showVal val="1"/>
          </c:dLbls>
          <c:cat>
            <c:strRef>
              <c:f>Initiatives!$F$192:$F$195</c:f>
              <c:strCache>
                <c:ptCount val="4"/>
                <c:pt idx="0">
                  <c:v>BI Applications</c:v>
                </c:pt>
                <c:pt idx="1">
                  <c:v>Source System Inclusion / Integration</c:v>
                </c:pt>
                <c:pt idx="2">
                  <c:v>Enhance DW Platform</c:v>
                </c:pt>
                <c:pt idx="3">
                  <c:v>Enhance BI Platform</c:v>
                </c:pt>
              </c:strCache>
            </c:strRef>
          </c:cat>
          <c:val>
            <c:numRef>
              <c:f>Initiatives!$H$192:$H$195</c:f>
              <c:numCache>
                <c:formatCode>0%</c:formatCode>
                <c:ptCount val="4"/>
                <c:pt idx="0">
                  <c:v>0.34166666666666662</c:v>
                </c:pt>
                <c:pt idx="1">
                  <c:v>0.43181818181818177</c:v>
                </c:pt>
                <c:pt idx="2">
                  <c:v>0.77</c:v>
                </c:pt>
                <c:pt idx="3">
                  <c:v>0.25</c:v>
                </c:pt>
              </c:numCache>
            </c:numRef>
          </c:val>
        </c:ser>
        <c:ser>
          <c:idx val="1"/>
          <c:order val="1"/>
          <c:tx>
            <c:strRef>
              <c:f>Initiatives!$I$164</c:f>
              <c:strCache>
                <c:ptCount val="1"/>
                <c:pt idx="0">
                  <c:v>Simulated Adoption (To-Be)</c:v>
                </c:pt>
              </c:strCache>
            </c:strRef>
          </c:tx>
          <c:spPr>
            <a:solidFill>
              <a:schemeClr val="accent3">
                <a:lumMod val="75000"/>
              </a:schemeClr>
            </a:solidFill>
          </c:spPr>
          <c:dLbls>
            <c:dLblPos val="ctr"/>
            <c:showVal val="1"/>
          </c:dLbls>
          <c:cat>
            <c:strRef>
              <c:f>Initiatives!$F$192:$F$195</c:f>
              <c:strCache>
                <c:ptCount val="4"/>
                <c:pt idx="0">
                  <c:v>BI Applications</c:v>
                </c:pt>
                <c:pt idx="1">
                  <c:v>Source System Inclusion / Integration</c:v>
                </c:pt>
                <c:pt idx="2">
                  <c:v>Enhance DW Platform</c:v>
                </c:pt>
                <c:pt idx="3">
                  <c:v>Enhance BI Platform</c:v>
                </c:pt>
              </c:strCache>
            </c:strRef>
          </c:cat>
          <c:val>
            <c:numRef>
              <c:f>Initiatives!$I$192:$I$195</c:f>
              <c:numCache>
                <c:formatCode>0%</c:formatCode>
                <c:ptCount val="4"/>
                <c:pt idx="0">
                  <c:v>0.79722222222222205</c:v>
                </c:pt>
                <c:pt idx="1">
                  <c:v>0.88636363636363613</c:v>
                </c:pt>
                <c:pt idx="2">
                  <c:v>0.8470000000000002</c:v>
                </c:pt>
                <c:pt idx="3">
                  <c:v>0.85</c:v>
                </c:pt>
              </c:numCache>
            </c:numRef>
          </c:val>
        </c:ser>
        <c:dLbls>
          <c:showVal val="1"/>
        </c:dLbls>
        <c:axId val="81176064"/>
        <c:axId val="81170432"/>
      </c:barChart>
      <c:catAx>
        <c:axId val="81176064"/>
        <c:scaling>
          <c:orientation val="maxMin"/>
        </c:scaling>
        <c:axPos val="l"/>
        <c:majorTickMark val="none"/>
        <c:tickLblPos val="nextTo"/>
        <c:txPr>
          <a:bodyPr/>
          <a:lstStyle/>
          <a:p>
            <a:pPr>
              <a:defRPr sz="1100" b="1"/>
            </a:pPr>
            <a:endParaRPr lang="en-US"/>
          </a:p>
        </c:txPr>
        <c:crossAx val="81170432"/>
        <c:crosses val="autoZero"/>
        <c:auto val="1"/>
        <c:lblAlgn val="ctr"/>
        <c:lblOffset val="100"/>
      </c:catAx>
      <c:valAx>
        <c:axId val="81170432"/>
        <c:scaling>
          <c:orientation val="minMax"/>
          <c:max val="1"/>
          <c:min val="0"/>
        </c:scaling>
        <c:axPos val="t"/>
        <c:majorGridlines/>
        <c:title>
          <c:tx>
            <c:rich>
              <a:bodyPr/>
              <a:lstStyle/>
              <a:p>
                <a:pPr>
                  <a:defRPr sz="1100"/>
                </a:pPr>
                <a:r>
                  <a:rPr lang="en-US" sz="1100"/>
                  <a:t>Adoption</a:t>
                </a:r>
                <a:r>
                  <a:rPr lang="en-US" sz="1100" baseline="0"/>
                  <a:t> %</a:t>
                </a:r>
                <a:endParaRPr lang="en-US" sz="1100"/>
              </a:p>
            </c:rich>
          </c:tx>
          <c:layout/>
        </c:title>
        <c:numFmt formatCode="0%" sourceLinked="1"/>
        <c:majorTickMark val="none"/>
        <c:tickLblPos val="nextTo"/>
        <c:txPr>
          <a:bodyPr/>
          <a:lstStyle/>
          <a:p>
            <a:pPr>
              <a:defRPr sz="1200" b="1"/>
            </a:pPr>
            <a:endParaRPr lang="en-US"/>
          </a:p>
        </c:txPr>
        <c:crossAx val="81176064"/>
        <c:crosses val="autoZero"/>
        <c:crossBetween val="between"/>
        <c:majorUnit val="0.2"/>
      </c:valAx>
    </c:plotArea>
    <c:legend>
      <c:legendPos val="r"/>
      <c:layout>
        <c:manualLayout>
          <c:xMode val="edge"/>
          <c:yMode val="edge"/>
          <c:x val="4.1931648307741064E-2"/>
          <c:y val="0.15389723399959643"/>
          <c:w val="0.91967979002624667"/>
          <c:h val="9.9841656779204008E-2"/>
        </c:manualLayout>
      </c:layout>
      <c:txPr>
        <a:bodyPr/>
        <a:lstStyle/>
        <a:p>
          <a:pPr>
            <a:defRPr sz="1200"/>
          </a:pPr>
          <a:endParaRPr lang="en-US"/>
        </a:p>
      </c:txPr>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0366" l="0.70000000000000062" r="0.70000000000000062" t="0.75000000000000366"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n-US"/>
  <c:style val="27"/>
  <c:chart>
    <c:title>
      <c:tx>
        <c:rich>
          <a:bodyPr/>
          <a:lstStyle/>
          <a:p>
            <a:pPr>
              <a:defRPr/>
            </a:pPr>
            <a:r>
              <a:rPr lang="en-US"/>
              <a:t>KPI Performance</a:t>
            </a:r>
          </a:p>
        </c:rich>
      </c:tx>
    </c:title>
    <c:plotArea>
      <c:layout>
        <c:manualLayout>
          <c:layoutTarget val="inner"/>
          <c:xMode val="edge"/>
          <c:yMode val="edge"/>
          <c:x val="0.18247607426005266"/>
          <c:y val="0.16047070692739984"/>
          <c:w val="0.80136955953488165"/>
          <c:h val="0.62206521482112065"/>
        </c:manualLayout>
      </c:layout>
      <c:barChart>
        <c:barDir val="col"/>
        <c:grouping val="clustered"/>
        <c:ser>
          <c:idx val="0"/>
          <c:order val="0"/>
          <c:tx>
            <c:strRef>
              <c:f>KPIs!$D$34</c:f>
              <c:strCache>
                <c:ptCount val="1"/>
                <c:pt idx="0">
                  <c:v>Current (As-Is)</c:v>
                </c:pt>
              </c:strCache>
            </c:strRef>
          </c:tx>
          <c:dLbls>
            <c:dLblPos val="outEnd"/>
            <c:showVal val="1"/>
          </c:dLbls>
          <c:cat>
            <c:strRef>
              <c:f>KPIs!$C$35:$C$38</c:f>
              <c:strCache>
                <c:ptCount val="4"/>
                <c:pt idx="0">
                  <c:v>Business Management Effectiveness</c:v>
                </c:pt>
                <c:pt idx="1">
                  <c:v>Sales/Marketing Performance</c:v>
                </c:pt>
                <c:pt idx="2">
                  <c:v>Supply/Operations Performance</c:v>
                </c:pt>
                <c:pt idx="3">
                  <c:v>Financial Management Performance</c:v>
                </c:pt>
              </c:strCache>
            </c:strRef>
          </c:cat>
          <c:val>
            <c:numRef>
              <c:f>KPIs!$D$35:$D$38</c:f>
              <c:numCache>
                <c:formatCode>0%</c:formatCode>
                <c:ptCount val="4"/>
                <c:pt idx="0">
                  <c:v>0.40249999999999991</c:v>
                </c:pt>
                <c:pt idx="1">
                  <c:v>0.53</c:v>
                </c:pt>
                <c:pt idx="2">
                  <c:v>0.40249999999999991</c:v>
                </c:pt>
                <c:pt idx="3">
                  <c:v>0.49249999999999999</c:v>
                </c:pt>
              </c:numCache>
            </c:numRef>
          </c:val>
        </c:ser>
        <c:ser>
          <c:idx val="1"/>
          <c:order val="1"/>
          <c:tx>
            <c:strRef>
              <c:f>KPIs!$E$34</c:f>
              <c:strCache>
                <c:ptCount val="1"/>
                <c:pt idx="0">
                  <c:v>Simulated (To-Be)</c:v>
                </c:pt>
              </c:strCache>
            </c:strRef>
          </c:tx>
          <c:dLbls>
            <c:dLblPos val="outEnd"/>
            <c:showVal val="1"/>
          </c:dLbls>
          <c:cat>
            <c:strRef>
              <c:f>KPIs!$C$35:$C$38</c:f>
              <c:strCache>
                <c:ptCount val="4"/>
                <c:pt idx="0">
                  <c:v>Business Management Effectiveness</c:v>
                </c:pt>
                <c:pt idx="1">
                  <c:v>Sales/Marketing Performance</c:v>
                </c:pt>
                <c:pt idx="2">
                  <c:v>Supply/Operations Performance</c:v>
                </c:pt>
                <c:pt idx="3">
                  <c:v>Financial Management Performance</c:v>
                </c:pt>
              </c:strCache>
            </c:strRef>
          </c:cat>
          <c:val>
            <c:numRef>
              <c:f>KPIs!$E$35:$E$38</c:f>
              <c:numCache>
                <c:formatCode>0%</c:formatCode>
                <c:ptCount val="4"/>
                <c:pt idx="0">
                  <c:v>0.53986427831226302</c:v>
                </c:pt>
                <c:pt idx="1">
                  <c:v>0.56115889086699411</c:v>
                </c:pt>
                <c:pt idx="2">
                  <c:v>0.44377593524665715</c:v>
                </c:pt>
                <c:pt idx="3">
                  <c:v>0.60664307114608551</c:v>
                </c:pt>
              </c:numCache>
            </c:numRef>
          </c:val>
        </c:ser>
        <c:dLbls>
          <c:showVal val="1"/>
        </c:dLbls>
        <c:axId val="81212928"/>
        <c:axId val="81214464"/>
      </c:barChart>
      <c:catAx>
        <c:axId val="81212928"/>
        <c:scaling>
          <c:orientation val="minMax"/>
        </c:scaling>
        <c:axPos val="b"/>
        <c:majorTickMark val="none"/>
        <c:tickLblPos val="nextTo"/>
        <c:txPr>
          <a:bodyPr rot="0"/>
          <a:lstStyle/>
          <a:p>
            <a:pPr>
              <a:defRPr sz="900"/>
            </a:pPr>
            <a:endParaRPr lang="en-US"/>
          </a:p>
        </c:txPr>
        <c:crossAx val="81214464"/>
        <c:crosses val="autoZero"/>
        <c:auto val="1"/>
        <c:lblAlgn val="ctr"/>
        <c:lblOffset val="100"/>
      </c:catAx>
      <c:valAx>
        <c:axId val="81214464"/>
        <c:scaling>
          <c:orientation val="minMax"/>
          <c:max val="1"/>
        </c:scaling>
        <c:axPos val="l"/>
        <c:majorGridlines/>
        <c:title>
          <c:tx>
            <c:rich>
              <a:bodyPr rot="-5400000" vert="horz"/>
              <a:lstStyle/>
              <a:p>
                <a:pPr>
                  <a:defRPr/>
                </a:pPr>
                <a:r>
                  <a:rPr lang="en-US"/>
                  <a:t>Performance Percentile</a:t>
                </a:r>
              </a:p>
            </c:rich>
          </c:tx>
        </c:title>
        <c:numFmt formatCode="0%" sourceLinked="0"/>
        <c:majorTickMark val="none"/>
        <c:tickLblPos val="nextTo"/>
        <c:crossAx val="81212928"/>
        <c:crosses val="autoZero"/>
        <c:crossBetween val="between"/>
      </c:valAx>
    </c:plotArea>
    <c:legend>
      <c:legendPos val="r"/>
      <c:layout>
        <c:manualLayout>
          <c:xMode val="edge"/>
          <c:yMode val="edge"/>
          <c:x val="0.39224030743327687"/>
          <c:y val="0.16076895793431226"/>
          <c:w val="0.32766693852076545"/>
          <c:h val="0.13548729832194434"/>
        </c:manualLayout>
      </c:layout>
      <c:txPr>
        <a:bodyPr/>
        <a:lstStyle/>
        <a:p>
          <a:pPr>
            <a:defRPr b="1"/>
          </a:pPr>
          <a:endParaRPr lang="en-US"/>
        </a:p>
      </c:txPr>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Arial" pitchFamily="34" charset="0"/>
          <a:ea typeface="+mn-ea"/>
          <a:cs typeface="Arial" pitchFamily="34" charset="0"/>
        </a:defRPr>
      </a:pPr>
      <a:endParaRPr lang="en-US"/>
    </a:p>
  </c:txPr>
  <c:printSettings>
    <c:headerFooter/>
    <c:pageMargins b="0.75000000000000588" l="0.70000000000000062" r="0.70000000000000062" t="0.75000000000000588"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BI Maturity Levels</a:t>
            </a:r>
          </a:p>
        </c:rich>
      </c:tx>
    </c:title>
    <c:plotArea>
      <c:layout>
        <c:manualLayout>
          <c:layoutTarget val="inner"/>
          <c:xMode val="edge"/>
          <c:yMode val="edge"/>
          <c:x val="0.22979036167117534"/>
          <c:y val="0.29569975474377175"/>
          <c:w val="0.72354015815485262"/>
          <c:h val="0.64287379226430175"/>
        </c:manualLayout>
      </c:layout>
      <c:barChart>
        <c:barDir val="bar"/>
        <c:grouping val="clustered"/>
        <c:ser>
          <c:idx val="0"/>
          <c:order val="0"/>
          <c:tx>
            <c:strRef>
              <c:f>Maturity!$C$62</c:f>
              <c:strCache>
                <c:ptCount val="1"/>
                <c:pt idx="0">
                  <c:v>As-Is</c:v>
                </c:pt>
              </c:strCache>
            </c:strRef>
          </c:tx>
          <c:cat>
            <c:strRef>
              <c:f>Maturity!$B$63:$B$70</c:f>
              <c:strCache>
                <c:ptCount val="8"/>
                <c:pt idx="0">
                  <c:v>Scope</c:v>
                </c:pt>
                <c:pt idx="1">
                  <c:v>Sponsorship</c:v>
                </c:pt>
                <c:pt idx="2">
                  <c:v>Funding</c:v>
                </c:pt>
                <c:pt idx="3">
                  <c:v>Value</c:v>
                </c:pt>
                <c:pt idx="4">
                  <c:v>Architecture</c:v>
                </c:pt>
                <c:pt idx="5">
                  <c:v>Data</c:v>
                </c:pt>
                <c:pt idx="6">
                  <c:v>Development</c:v>
                </c:pt>
                <c:pt idx="7">
                  <c:v>Delivery</c:v>
                </c:pt>
              </c:strCache>
            </c:strRef>
          </c:cat>
          <c:val>
            <c:numRef>
              <c:f>Maturity!$C$63:$C$70</c:f>
              <c:numCache>
                <c:formatCode>0.0</c:formatCode>
                <c:ptCount val="8"/>
                <c:pt idx="0">
                  <c:v>2.7154264440788891</c:v>
                </c:pt>
                <c:pt idx="1">
                  <c:v>3.2216124353592335</c:v>
                </c:pt>
                <c:pt idx="2">
                  <c:v>2.867923974972272</c:v>
                </c:pt>
                <c:pt idx="3">
                  <c:v>2.6608431151952354</c:v>
                </c:pt>
                <c:pt idx="4">
                  <c:v>3.5925930255310377</c:v>
                </c:pt>
                <c:pt idx="5">
                  <c:v>3.7480699958844981</c:v>
                </c:pt>
                <c:pt idx="6">
                  <c:v>3.6060772837472554</c:v>
                </c:pt>
                <c:pt idx="7">
                  <c:v>2.9288407722759757</c:v>
                </c:pt>
              </c:numCache>
            </c:numRef>
          </c:val>
        </c:ser>
        <c:ser>
          <c:idx val="1"/>
          <c:order val="1"/>
          <c:tx>
            <c:strRef>
              <c:f>Maturity!$D$62</c:f>
              <c:strCache>
                <c:ptCount val="1"/>
                <c:pt idx="0">
                  <c:v>To-Be</c:v>
                </c:pt>
              </c:strCache>
            </c:strRef>
          </c:tx>
          <c:spPr>
            <a:solidFill>
              <a:schemeClr val="accent3">
                <a:lumMod val="75000"/>
              </a:schemeClr>
            </a:solidFill>
          </c:spPr>
          <c:cat>
            <c:strRef>
              <c:f>Maturity!$B$63:$B$70</c:f>
              <c:strCache>
                <c:ptCount val="8"/>
                <c:pt idx="0">
                  <c:v>Scope</c:v>
                </c:pt>
                <c:pt idx="1">
                  <c:v>Sponsorship</c:v>
                </c:pt>
                <c:pt idx="2">
                  <c:v>Funding</c:v>
                </c:pt>
                <c:pt idx="3">
                  <c:v>Value</c:v>
                </c:pt>
                <c:pt idx="4">
                  <c:v>Architecture</c:v>
                </c:pt>
                <c:pt idx="5">
                  <c:v>Data</c:v>
                </c:pt>
                <c:pt idx="6">
                  <c:v>Development</c:v>
                </c:pt>
                <c:pt idx="7">
                  <c:v>Delivery</c:v>
                </c:pt>
              </c:strCache>
            </c:strRef>
          </c:cat>
          <c:val>
            <c:numRef>
              <c:f>Maturity!$D$63:$D$70</c:f>
              <c:numCache>
                <c:formatCode>0.0</c:formatCode>
                <c:ptCount val="8"/>
                <c:pt idx="0">
                  <c:v>4.0656499402863853</c:v>
                </c:pt>
                <c:pt idx="1">
                  <c:v>4.0746435649518764</c:v>
                </c:pt>
                <c:pt idx="2">
                  <c:v>4.109364645433609</c:v>
                </c:pt>
                <c:pt idx="3">
                  <c:v>4.199388379081431</c:v>
                </c:pt>
                <c:pt idx="4">
                  <c:v>4.2806235862395807</c:v>
                </c:pt>
                <c:pt idx="5">
                  <c:v>4.4402677945183626</c:v>
                </c:pt>
                <c:pt idx="6">
                  <c:v>4.1241944209317838</c:v>
                </c:pt>
                <c:pt idx="7">
                  <c:v>4.1309986233955192</c:v>
                </c:pt>
              </c:numCache>
            </c:numRef>
          </c:val>
        </c:ser>
        <c:axId val="72705152"/>
        <c:axId val="72706688"/>
      </c:barChart>
      <c:catAx>
        <c:axId val="72705152"/>
        <c:scaling>
          <c:orientation val="maxMin"/>
        </c:scaling>
        <c:axPos val="l"/>
        <c:majorTickMark val="none"/>
        <c:tickLblPos val="nextTo"/>
        <c:txPr>
          <a:bodyPr/>
          <a:lstStyle/>
          <a:p>
            <a:pPr>
              <a:defRPr sz="1100" b="1"/>
            </a:pPr>
            <a:endParaRPr lang="en-US"/>
          </a:p>
        </c:txPr>
        <c:crossAx val="72706688"/>
        <c:crosses val="autoZero"/>
        <c:auto val="1"/>
        <c:lblAlgn val="ctr"/>
        <c:lblOffset val="100"/>
      </c:catAx>
      <c:valAx>
        <c:axId val="72706688"/>
        <c:scaling>
          <c:orientation val="minMax"/>
          <c:max val="5"/>
          <c:min val="1"/>
        </c:scaling>
        <c:axPos val="t"/>
        <c:majorGridlines/>
        <c:title>
          <c:tx>
            <c:rich>
              <a:bodyPr/>
              <a:lstStyle/>
              <a:p>
                <a:pPr>
                  <a:defRPr sz="1100"/>
                </a:pPr>
                <a:r>
                  <a:rPr lang="en-US" sz="1100"/>
                  <a:t>Maturity Level</a:t>
                </a:r>
              </a:p>
            </c:rich>
          </c:tx>
        </c:title>
        <c:numFmt formatCode="0" sourceLinked="0"/>
        <c:majorTickMark val="none"/>
        <c:tickLblPos val="nextTo"/>
        <c:txPr>
          <a:bodyPr/>
          <a:lstStyle/>
          <a:p>
            <a:pPr>
              <a:defRPr sz="1200" b="1"/>
            </a:pPr>
            <a:endParaRPr lang="en-US"/>
          </a:p>
        </c:txPr>
        <c:crossAx val="72705152"/>
        <c:crosses val="autoZero"/>
        <c:crossBetween val="between"/>
      </c:valAx>
    </c:plotArea>
    <c:legend>
      <c:legendPos val="r"/>
      <c:layout>
        <c:manualLayout>
          <c:xMode val="edge"/>
          <c:yMode val="edge"/>
          <c:x val="0.78033330576871462"/>
          <c:y val="3.6262253151107517E-2"/>
          <c:w val="0.18511704257306882"/>
          <c:h val="0.13198876880224741"/>
        </c:manualLayout>
      </c:layout>
      <c:txPr>
        <a:bodyPr/>
        <a:lstStyle/>
        <a:p>
          <a:pPr>
            <a:defRPr sz="1400" b="1"/>
          </a:pPr>
          <a:endParaRPr lang="en-US"/>
        </a:p>
      </c:txPr>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0322" l="0.70000000000000062" r="0.70000000000000062" t="0.75000000000000322"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BI Capability Adoption Summary</a:t>
            </a:r>
          </a:p>
        </c:rich>
      </c:tx>
    </c:title>
    <c:plotArea>
      <c:layout>
        <c:manualLayout>
          <c:layoutTarget val="inner"/>
          <c:xMode val="edge"/>
          <c:yMode val="edge"/>
          <c:x val="0.3925411388793793"/>
          <c:y val="0.39155589113004879"/>
          <c:w val="0.55010521510898291"/>
          <c:h val="0.56826146046812664"/>
        </c:manualLayout>
      </c:layout>
      <c:barChart>
        <c:barDir val="bar"/>
        <c:grouping val="clustered"/>
        <c:ser>
          <c:idx val="0"/>
          <c:order val="0"/>
          <c:tx>
            <c:strRef>
              <c:f>Initiatives!$H$164</c:f>
              <c:strCache>
                <c:ptCount val="1"/>
                <c:pt idx="0">
                  <c:v>Current Adoption (As-Is)</c:v>
                </c:pt>
              </c:strCache>
            </c:strRef>
          </c:tx>
          <c:cat>
            <c:strRef>
              <c:f>Initiatives!$F$192:$F$195</c:f>
              <c:strCache>
                <c:ptCount val="4"/>
                <c:pt idx="0">
                  <c:v>BI Applications</c:v>
                </c:pt>
                <c:pt idx="1">
                  <c:v>Source System Inclusion / Integration</c:v>
                </c:pt>
                <c:pt idx="2">
                  <c:v>Enhance DW Platform</c:v>
                </c:pt>
                <c:pt idx="3">
                  <c:v>Enhance BI Platform</c:v>
                </c:pt>
              </c:strCache>
            </c:strRef>
          </c:cat>
          <c:val>
            <c:numRef>
              <c:f>Initiatives!$H$192:$H$195</c:f>
              <c:numCache>
                <c:formatCode>0%</c:formatCode>
                <c:ptCount val="4"/>
                <c:pt idx="0">
                  <c:v>0.34166666666666662</c:v>
                </c:pt>
                <c:pt idx="1">
                  <c:v>0.43181818181818177</c:v>
                </c:pt>
                <c:pt idx="2">
                  <c:v>0.77</c:v>
                </c:pt>
                <c:pt idx="3">
                  <c:v>0.25</c:v>
                </c:pt>
              </c:numCache>
            </c:numRef>
          </c:val>
        </c:ser>
        <c:ser>
          <c:idx val="1"/>
          <c:order val="1"/>
          <c:tx>
            <c:strRef>
              <c:f>Initiatives!$I$164</c:f>
              <c:strCache>
                <c:ptCount val="1"/>
                <c:pt idx="0">
                  <c:v>Simulated Adoption (To-Be)</c:v>
                </c:pt>
              </c:strCache>
            </c:strRef>
          </c:tx>
          <c:spPr>
            <a:solidFill>
              <a:schemeClr val="accent3">
                <a:lumMod val="75000"/>
              </a:schemeClr>
            </a:solidFill>
          </c:spPr>
          <c:cat>
            <c:strRef>
              <c:f>Initiatives!$F$192:$F$195</c:f>
              <c:strCache>
                <c:ptCount val="4"/>
                <c:pt idx="0">
                  <c:v>BI Applications</c:v>
                </c:pt>
                <c:pt idx="1">
                  <c:v>Source System Inclusion / Integration</c:v>
                </c:pt>
                <c:pt idx="2">
                  <c:v>Enhance DW Platform</c:v>
                </c:pt>
                <c:pt idx="3">
                  <c:v>Enhance BI Platform</c:v>
                </c:pt>
              </c:strCache>
            </c:strRef>
          </c:cat>
          <c:val>
            <c:numRef>
              <c:f>Initiatives!$I$192:$I$195</c:f>
              <c:numCache>
                <c:formatCode>0%</c:formatCode>
                <c:ptCount val="4"/>
                <c:pt idx="0">
                  <c:v>0.79722222222222205</c:v>
                </c:pt>
                <c:pt idx="1">
                  <c:v>0.88636363636363613</c:v>
                </c:pt>
                <c:pt idx="2">
                  <c:v>0.8470000000000002</c:v>
                </c:pt>
                <c:pt idx="3">
                  <c:v>0.85</c:v>
                </c:pt>
              </c:numCache>
            </c:numRef>
          </c:val>
        </c:ser>
        <c:axId val="72637056"/>
        <c:axId val="72710016"/>
      </c:barChart>
      <c:catAx>
        <c:axId val="72637056"/>
        <c:scaling>
          <c:orientation val="maxMin"/>
        </c:scaling>
        <c:axPos val="l"/>
        <c:majorTickMark val="none"/>
        <c:tickLblPos val="nextTo"/>
        <c:txPr>
          <a:bodyPr/>
          <a:lstStyle/>
          <a:p>
            <a:pPr>
              <a:defRPr sz="1100" b="1"/>
            </a:pPr>
            <a:endParaRPr lang="en-US"/>
          </a:p>
        </c:txPr>
        <c:crossAx val="72710016"/>
        <c:crosses val="autoZero"/>
        <c:auto val="1"/>
        <c:lblAlgn val="ctr"/>
        <c:lblOffset val="100"/>
      </c:catAx>
      <c:valAx>
        <c:axId val="72710016"/>
        <c:scaling>
          <c:orientation val="minMax"/>
          <c:max val="1"/>
          <c:min val="0"/>
        </c:scaling>
        <c:axPos val="t"/>
        <c:majorGridlines/>
        <c:title>
          <c:tx>
            <c:rich>
              <a:bodyPr/>
              <a:lstStyle/>
              <a:p>
                <a:pPr>
                  <a:defRPr sz="1100"/>
                </a:pPr>
                <a:r>
                  <a:rPr lang="en-US" sz="1100"/>
                  <a:t>Adoption</a:t>
                </a:r>
                <a:r>
                  <a:rPr lang="en-US" sz="1100" baseline="0"/>
                  <a:t> %</a:t>
                </a:r>
                <a:endParaRPr lang="en-US" sz="1100"/>
              </a:p>
            </c:rich>
          </c:tx>
        </c:title>
        <c:numFmt formatCode="0%" sourceLinked="1"/>
        <c:majorTickMark val="none"/>
        <c:tickLblPos val="nextTo"/>
        <c:txPr>
          <a:bodyPr/>
          <a:lstStyle/>
          <a:p>
            <a:pPr>
              <a:defRPr sz="1200" b="1"/>
            </a:pPr>
            <a:endParaRPr lang="en-US"/>
          </a:p>
        </c:txPr>
        <c:crossAx val="72637056"/>
        <c:crosses val="autoZero"/>
        <c:crossBetween val="between"/>
        <c:majorUnit val="0.2"/>
      </c:valAx>
    </c:plotArea>
    <c:legend>
      <c:legendPos val="r"/>
      <c:layout>
        <c:manualLayout>
          <c:xMode val="edge"/>
          <c:yMode val="edge"/>
          <c:x val="6.2928905625927192E-2"/>
          <c:y val="0.11030755402150071"/>
          <c:w val="0.91967979002624667"/>
          <c:h val="9.9841656779204008E-2"/>
        </c:manualLayout>
      </c:layout>
      <c:txPr>
        <a:bodyPr/>
        <a:lstStyle/>
        <a:p>
          <a:pPr>
            <a:defRPr sz="1200"/>
          </a:pPr>
          <a:endParaRPr lang="en-US"/>
        </a:p>
      </c:txPr>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0344" l="0.70000000000000062" r="0.70000000000000062" t="0.75000000000000344"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chart>
    <c:title/>
    <c:plotArea>
      <c:layout/>
      <c:scatterChart>
        <c:scatterStyle val="smoothMarker"/>
        <c:ser>
          <c:idx val="0"/>
          <c:order val="0"/>
          <c:tx>
            <c:strRef>
              <c:f>Initiatives!$R$6</c:f>
              <c:strCache>
                <c:ptCount val="1"/>
                <c:pt idx="0">
                  <c:v>Closes % of Remaining Gap</c:v>
                </c:pt>
              </c:strCache>
            </c:strRef>
          </c:tx>
          <c:trendline>
            <c:trendlineType val="log"/>
          </c:trendline>
          <c:trendline>
            <c:trendlineType val="log"/>
            <c:dispEq val="1"/>
            <c:trendlineLbl>
              <c:numFmt formatCode="General" sourceLinked="0"/>
            </c:trendlineLbl>
          </c:trendline>
          <c:trendline>
            <c:trendlineType val="poly"/>
            <c:order val="2"/>
            <c:intercept val="0"/>
            <c:dispEq val="1"/>
            <c:trendlineLbl>
              <c:numFmt formatCode="General" sourceLinked="0"/>
            </c:trendlineLbl>
          </c:trendline>
          <c:xVal>
            <c:numRef>
              <c:f>Initiatives!$Q$7:$Q$10</c:f>
            </c:numRef>
          </c:xVal>
          <c:yVal>
            <c:numRef>
              <c:f>Initiatives!$R$7:$R$10</c:f>
            </c:numRef>
          </c:yVal>
          <c:smooth val="1"/>
        </c:ser>
        <c:axId val="72981504"/>
        <c:axId val="72995584"/>
      </c:scatterChart>
      <c:valAx>
        <c:axId val="72981504"/>
        <c:scaling>
          <c:orientation val="minMax"/>
        </c:scaling>
        <c:axPos val="b"/>
        <c:numFmt formatCode="General" sourceLinked="1"/>
        <c:tickLblPos val="nextTo"/>
        <c:crossAx val="72995584"/>
        <c:crosses val="autoZero"/>
        <c:crossBetween val="midCat"/>
      </c:valAx>
      <c:valAx>
        <c:axId val="72995584"/>
        <c:scaling>
          <c:orientation val="minMax"/>
        </c:scaling>
        <c:axPos val="l"/>
        <c:majorGridlines/>
        <c:numFmt formatCode="0%" sourceLinked="1"/>
        <c:tickLblPos val="nextTo"/>
        <c:crossAx val="72981504"/>
        <c:crosses val="autoZero"/>
        <c:crossBetween val="midCat"/>
      </c:valAx>
    </c:plotArea>
    <c:legend>
      <c:legendPos val="r"/>
      <c:legendEntry>
        <c:idx val="0"/>
        <c:delete val="1"/>
      </c:legendEntry>
      <c:legendEntry>
        <c:idx val="1"/>
        <c:delete val="1"/>
      </c:legendEntry>
    </c:legend>
    <c:plotVisOnly val="1"/>
  </c:chart>
  <c:printSettings>
    <c:headerFooter/>
    <c:pageMargins b="0.75000000000000222" l="0.70000000000000062" r="0.70000000000000062" t="0.7500000000000022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BI Capability Adoption Summary</a:t>
            </a:r>
          </a:p>
        </c:rich>
      </c:tx>
    </c:title>
    <c:plotArea>
      <c:layout>
        <c:manualLayout>
          <c:layoutTarget val="inner"/>
          <c:xMode val="edge"/>
          <c:yMode val="edge"/>
          <c:x val="0.3925411388793793"/>
          <c:y val="0.39155589113004857"/>
          <c:w val="0.55010521510898258"/>
          <c:h val="0.56826146046812664"/>
        </c:manualLayout>
      </c:layout>
      <c:barChart>
        <c:barDir val="bar"/>
        <c:grouping val="clustered"/>
        <c:ser>
          <c:idx val="0"/>
          <c:order val="0"/>
          <c:tx>
            <c:strRef>
              <c:f>Initiatives!$H$164</c:f>
              <c:strCache>
                <c:ptCount val="1"/>
                <c:pt idx="0">
                  <c:v>Current Adoption (As-Is)</c:v>
                </c:pt>
              </c:strCache>
            </c:strRef>
          </c:tx>
          <c:cat>
            <c:strRef>
              <c:f>Initiatives!$F$192:$F$195</c:f>
              <c:strCache>
                <c:ptCount val="4"/>
                <c:pt idx="0">
                  <c:v>BI Applications</c:v>
                </c:pt>
                <c:pt idx="1">
                  <c:v>Source System Inclusion / Integration</c:v>
                </c:pt>
                <c:pt idx="2">
                  <c:v>Enhance DW Platform</c:v>
                </c:pt>
                <c:pt idx="3">
                  <c:v>Enhance BI Platform</c:v>
                </c:pt>
              </c:strCache>
            </c:strRef>
          </c:cat>
          <c:val>
            <c:numRef>
              <c:f>Initiatives!$H$192:$H$195</c:f>
              <c:numCache>
                <c:formatCode>0%</c:formatCode>
                <c:ptCount val="4"/>
                <c:pt idx="0">
                  <c:v>0.34166666666666662</c:v>
                </c:pt>
                <c:pt idx="1">
                  <c:v>0.43181818181818177</c:v>
                </c:pt>
                <c:pt idx="2">
                  <c:v>0.77</c:v>
                </c:pt>
                <c:pt idx="3">
                  <c:v>0.25</c:v>
                </c:pt>
              </c:numCache>
            </c:numRef>
          </c:val>
        </c:ser>
        <c:ser>
          <c:idx val="1"/>
          <c:order val="1"/>
          <c:tx>
            <c:strRef>
              <c:f>Initiatives!$I$164</c:f>
              <c:strCache>
                <c:ptCount val="1"/>
                <c:pt idx="0">
                  <c:v>Simulated Adoption (To-Be)</c:v>
                </c:pt>
              </c:strCache>
            </c:strRef>
          </c:tx>
          <c:spPr>
            <a:solidFill>
              <a:schemeClr val="accent3">
                <a:lumMod val="75000"/>
              </a:schemeClr>
            </a:solidFill>
          </c:spPr>
          <c:cat>
            <c:strRef>
              <c:f>Initiatives!$F$192:$F$195</c:f>
              <c:strCache>
                <c:ptCount val="4"/>
                <c:pt idx="0">
                  <c:v>BI Applications</c:v>
                </c:pt>
                <c:pt idx="1">
                  <c:v>Source System Inclusion / Integration</c:v>
                </c:pt>
                <c:pt idx="2">
                  <c:v>Enhance DW Platform</c:v>
                </c:pt>
                <c:pt idx="3">
                  <c:v>Enhance BI Platform</c:v>
                </c:pt>
              </c:strCache>
            </c:strRef>
          </c:cat>
          <c:val>
            <c:numRef>
              <c:f>Initiatives!$I$192:$I$195</c:f>
              <c:numCache>
                <c:formatCode>0%</c:formatCode>
                <c:ptCount val="4"/>
                <c:pt idx="0">
                  <c:v>0.79722222222222205</c:v>
                </c:pt>
                <c:pt idx="1">
                  <c:v>0.88636363636363613</c:v>
                </c:pt>
                <c:pt idx="2">
                  <c:v>0.8470000000000002</c:v>
                </c:pt>
                <c:pt idx="3">
                  <c:v>0.85</c:v>
                </c:pt>
              </c:numCache>
            </c:numRef>
          </c:val>
        </c:ser>
        <c:axId val="72834048"/>
        <c:axId val="72844032"/>
      </c:barChart>
      <c:catAx>
        <c:axId val="72834048"/>
        <c:scaling>
          <c:orientation val="maxMin"/>
        </c:scaling>
        <c:axPos val="l"/>
        <c:majorTickMark val="none"/>
        <c:tickLblPos val="nextTo"/>
        <c:txPr>
          <a:bodyPr/>
          <a:lstStyle/>
          <a:p>
            <a:pPr>
              <a:defRPr sz="1100" b="1"/>
            </a:pPr>
            <a:endParaRPr lang="en-US"/>
          </a:p>
        </c:txPr>
        <c:crossAx val="72844032"/>
        <c:crosses val="autoZero"/>
        <c:auto val="1"/>
        <c:lblAlgn val="ctr"/>
        <c:lblOffset val="100"/>
      </c:catAx>
      <c:valAx>
        <c:axId val="72844032"/>
        <c:scaling>
          <c:orientation val="minMax"/>
        </c:scaling>
        <c:axPos val="t"/>
        <c:majorGridlines/>
        <c:title>
          <c:tx>
            <c:rich>
              <a:bodyPr/>
              <a:lstStyle/>
              <a:p>
                <a:pPr>
                  <a:defRPr sz="1100"/>
                </a:pPr>
                <a:r>
                  <a:rPr lang="en-US" sz="1100"/>
                  <a:t>Adoption</a:t>
                </a:r>
                <a:r>
                  <a:rPr lang="en-US" sz="1100" baseline="0"/>
                  <a:t> %</a:t>
                </a:r>
                <a:endParaRPr lang="en-US" sz="1100"/>
              </a:p>
            </c:rich>
          </c:tx>
        </c:title>
        <c:numFmt formatCode="0%" sourceLinked="1"/>
        <c:majorTickMark val="none"/>
        <c:tickLblPos val="nextTo"/>
        <c:txPr>
          <a:bodyPr/>
          <a:lstStyle/>
          <a:p>
            <a:pPr>
              <a:defRPr sz="1200" b="1"/>
            </a:pPr>
            <a:endParaRPr lang="en-US"/>
          </a:p>
        </c:txPr>
        <c:crossAx val="72834048"/>
        <c:crosses val="autoZero"/>
        <c:crossBetween val="between"/>
        <c:majorUnit val="0.2"/>
      </c:valAx>
    </c:plotArea>
    <c:legend>
      <c:legendPos val="r"/>
      <c:layout>
        <c:manualLayout>
          <c:xMode val="edge"/>
          <c:yMode val="edge"/>
          <c:x val="6.2928905625927192E-2"/>
          <c:y val="0.11030755402150071"/>
          <c:w val="0.91967979002624667"/>
          <c:h val="9.9841656779204008E-2"/>
        </c:manualLayout>
      </c:layout>
      <c:txPr>
        <a:bodyPr/>
        <a:lstStyle/>
        <a:p>
          <a:pPr>
            <a:defRPr sz="1200"/>
          </a:pPr>
          <a:endParaRPr lang="en-US"/>
        </a:p>
      </c:txPr>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0322" l="0.70000000000000062" r="0.70000000000000062" t="0.750000000000003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BI Capability Adoption Summary</a:t>
            </a:r>
          </a:p>
        </c:rich>
      </c:tx>
    </c:title>
    <c:plotArea>
      <c:layout>
        <c:manualLayout>
          <c:layoutTarget val="inner"/>
          <c:xMode val="edge"/>
          <c:yMode val="edge"/>
          <c:x val="0.45883944065002924"/>
          <c:y val="0.24438402366096329"/>
          <c:w val="0.48380678934470411"/>
          <c:h val="0.71543333030652878"/>
        </c:manualLayout>
      </c:layout>
      <c:barChart>
        <c:barDir val="bar"/>
        <c:grouping val="clustered"/>
        <c:ser>
          <c:idx val="0"/>
          <c:order val="0"/>
          <c:tx>
            <c:strRef>
              <c:f>Initiatives!$H$164</c:f>
              <c:strCache>
                <c:ptCount val="1"/>
                <c:pt idx="0">
                  <c:v>Current Adoption (As-Is)</c:v>
                </c:pt>
              </c:strCache>
            </c:strRef>
          </c:tx>
          <c:cat>
            <c:strRef>
              <c:f>(Initiatives!$F$166:$F$169,Initiatives!$F$172:$F$175,Initiatives!$F$178:$F$182,Initiatives!$F$185:$F$188)</c:f>
              <c:strCache>
                <c:ptCount val="17"/>
                <c:pt idx="0">
                  <c:v>Marketing / Sales Apps</c:v>
                </c:pt>
                <c:pt idx="1">
                  <c:v>Supply / Operations Apps</c:v>
                </c:pt>
                <c:pt idx="2">
                  <c:v>Financial Apps</c:v>
                </c:pt>
                <c:pt idx="3">
                  <c:v>Other / General Mgmt Apps</c:v>
                </c:pt>
                <c:pt idx="4">
                  <c:v>Marketing / Sales Data Integration</c:v>
                </c:pt>
                <c:pt idx="5">
                  <c:v>Supply Chain / Ops Data Integration</c:v>
                </c:pt>
                <c:pt idx="6">
                  <c:v>Financial Data Integration</c:v>
                </c:pt>
                <c:pt idx="7">
                  <c:v>Other Data Integration</c:v>
                </c:pt>
                <c:pt idx="8">
                  <c:v>Architecture Standards &amp; Adherence</c:v>
                </c:pt>
                <c:pt idx="9">
                  <c:v>Data Management</c:v>
                </c:pt>
                <c:pt idx="10">
                  <c:v>Data Integration/ETL</c:v>
                </c:pt>
                <c:pt idx="11">
                  <c:v>Data Warehouse / Data Marts</c:v>
                </c:pt>
                <c:pt idx="12">
                  <c:v>Development</c:v>
                </c:pt>
                <c:pt idx="13">
                  <c:v>Reporting</c:v>
                </c:pt>
                <c:pt idx="14">
                  <c:v>Scorecards / Dashboards</c:v>
                </c:pt>
                <c:pt idx="15">
                  <c:v>Analytical Tools</c:v>
                </c:pt>
                <c:pt idx="16">
                  <c:v>Workflow and Collaboration</c:v>
                </c:pt>
              </c:strCache>
            </c:strRef>
          </c:cat>
          <c:val>
            <c:numRef>
              <c:f>(Initiatives!$H$166:$H$169,Initiatives!$H$172:$H$175,Initiatives!$H$178:$H$182,Initiatives!$H$185:$H$188)</c:f>
              <c:numCache>
                <c:formatCode>0%</c:formatCode>
                <c:ptCount val="17"/>
                <c:pt idx="0">
                  <c:v>0.65</c:v>
                </c:pt>
                <c:pt idx="1">
                  <c:v>0.19999999999999998</c:v>
                </c:pt>
                <c:pt idx="2">
                  <c:v>0.3</c:v>
                </c:pt>
                <c:pt idx="3">
                  <c:v>0.15</c:v>
                </c:pt>
                <c:pt idx="4">
                  <c:v>0.55000000000000004</c:v>
                </c:pt>
                <c:pt idx="5">
                  <c:v>0.15</c:v>
                </c:pt>
                <c:pt idx="6">
                  <c:v>0.64999999999999991</c:v>
                </c:pt>
                <c:pt idx="7">
                  <c:v>0.2</c:v>
                </c:pt>
                <c:pt idx="8">
                  <c:v>0.65</c:v>
                </c:pt>
                <c:pt idx="9">
                  <c:v>0.75</c:v>
                </c:pt>
                <c:pt idx="10">
                  <c:v>0.75</c:v>
                </c:pt>
                <c:pt idx="11">
                  <c:v>0.8</c:v>
                </c:pt>
                <c:pt idx="12">
                  <c:v>0.9</c:v>
                </c:pt>
                <c:pt idx="13">
                  <c:v>0.4</c:v>
                </c:pt>
                <c:pt idx="14">
                  <c:v>0.25</c:v>
                </c:pt>
                <c:pt idx="15">
                  <c:v>0.25</c:v>
                </c:pt>
                <c:pt idx="16">
                  <c:v>0.1</c:v>
                </c:pt>
              </c:numCache>
            </c:numRef>
          </c:val>
        </c:ser>
        <c:ser>
          <c:idx val="1"/>
          <c:order val="1"/>
          <c:tx>
            <c:strRef>
              <c:f>Initiatives!$I$164</c:f>
              <c:strCache>
                <c:ptCount val="1"/>
                <c:pt idx="0">
                  <c:v>Simulated Adoption (To-Be)</c:v>
                </c:pt>
              </c:strCache>
            </c:strRef>
          </c:tx>
          <c:spPr>
            <a:solidFill>
              <a:schemeClr val="accent3">
                <a:lumMod val="75000"/>
              </a:schemeClr>
            </a:solidFill>
          </c:spPr>
          <c:cat>
            <c:strRef>
              <c:f>(Initiatives!$F$166:$F$169,Initiatives!$F$172:$F$175,Initiatives!$F$178:$F$182,Initiatives!$F$185:$F$188)</c:f>
              <c:strCache>
                <c:ptCount val="17"/>
                <c:pt idx="0">
                  <c:v>Marketing / Sales Apps</c:v>
                </c:pt>
                <c:pt idx="1">
                  <c:v>Supply / Operations Apps</c:v>
                </c:pt>
                <c:pt idx="2">
                  <c:v>Financial Apps</c:v>
                </c:pt>
                <c:pt idx="3">
                  <c:v>Other / General Mgmt Apps</c:v>
                </c:pt>
                <c:pt idx="4">
                  <c:v>Marketing / Sales Data Integration</c:v>
                </c:pt>
                <c:pt idx="5">
                  <c:v>Supply Chain / Ops Data Integration</c:v>
                </c:pt>
                <c:pt idx="6">
                  <c:v>Financial Data Integration</c:v>
                </c:pt>
                <c:pt idx="7">
                  <c:v>Other Data Integration</c:v>
                </c:pt>
                <c:pt idx="8">
                  <c:v>Architecture Standards &amp; Adherence</c:v>
                </c:pt>
                <c:pt idx="9">
                  <c:v>Data Management</c:v>
                </c:pt>
                <c:pt idx="10">
                  <c:v>Data Integration/ETL</c:v>
                </c:pt>
                <c:pt idx="11">
                  <c:v>Data Warehouse / Data Marts</c:v>
                </c:pt>
                <c:pt idx="12">
                  <c:v>Development</c:v>
                </c:pt>
                <c:pt idx="13">
                  <c:v>Reporting</c:v>
                </c:pt>
                <c:pt idx="14">
                  <c:v>Scorecards / Dashboards</c:v>
                </c:pt>
                <c:pt idx="15">
                  <c:v>Analytical Tools</c:v>
                </c:pt>
                <c:pt idx="16">
                  <c:v>Workflow and Collaboration</c:v>
                </c:pt>
              </c:strCache>
            </c:strRef>
          </c:cat>
          <c:val>
            <c:numRef>
              <c:f>(Initiatives!$I$166:$I$169,Initiatives!$I$172:$I$175,Initiatives!$I$178:$I$182,Initiatives!$I$185:$I$188)</c:f>
              <c:numCache>
                <c:formatCode>0%</c:formatCode>
                <c:ptCount val="17"/>
                <c:pt idx="0">
                  <c:v>0.92999999999999994</c:v>
                </c:pt>
                <c:pt idx="1">
                  <c:v>0.52</c:v>
                </c:pt>
                <c:pt idx="2">
                  <c:v>0.85999999999999965</c:v>
                </c:pt>
                <c:pt idx="3">
                  <c:v>0.83000000000000007</c:v>
                </c:pt>
                <c:pt idx="4">
                  <c:v>0.91000000000000014</c:v>
                </c:pt>
                <c:pt idx="5">
                  <c:v>0.83000000000000018</c:v>
                </c:pt>
                <c:pt idx="6">
                  <c:v>0.92999999999999949</c:v>
                </c:pt>
                <c:pt idx="7">
                  <c:v>0.84000000000000008</c:v>
                </c:pt>
                <c:pt idx="8">
                  <c:v>0.79000000000000015</c:v>
                </c:pt>
                <c:pt idx="9">
                  <c:v>0.85</c:v>
                </c:pt>
                <c:pt idx="10">
                  <c:v>0.85</c:v>
                </c:pt>
                <c:pt idx="11">
                  <c:v>0.83000000000000007</c:v>
                </c:pt>
                <c:pt idx="12">
                  <c:v>0.91500000000000015</c:v>
                </c:pt>
                <c:pt idx="13">
                  <c:v>0.88</c:v>
                </c:pt>
                <c:pt idx="14">
                  <c:v>0.85</c:v>
                </c:pt>
                <c:pt idx="15">
                  <c:v>0.85</c:v>
                </c:pt>
                <c:pt idx="16">
                  <c:v>0.82000000000000006</c:v>
                </c:pt>
              </c:numCache>
            </c:numRef>
          </c:val>
        </c:ser>
        <c:axId val="72852992"/>
        <c:axId val="72854528"/>
      </c:barChart>
      <c:catAx>
        <c:axId val="72852992"/>
        <c:scaling>
          <c:orientation val="maxMin"/>
        </c:scaling>
        <c:axPos val="l"/>
        <c:majorTickMark val="none"/>
        <c:tickLblPos val="nextTo"/>
        <c:txPr>
          <a:bodyPr/>
          <a:lstStyle/>
          <a:p>
            <a:pPr>
              <a:defRPr sz="1000" b="1"/>
            </a:pPr>
            <a:endParaRPr lang="en-US"/>
          </a:p>
        </c:txPr>
        <c:crossAx val="72854528"/>
        <c:crosses val="autoZero"/>
        <c:auto val="1"/>
        <c:lblAlgn val="ctr"/>
        <c:lblOffset val="100"/>
      </c:catAx>
      <c:valAx>
        <c:axId val="72854528"/>
        <c:scaling>
          <c:orientation val="minMax"/>
          <c:max val="1"/>
        </c:scaling>
        <c:axPos val="t"/>
        <c:majorGridlines/>
        <c:title>
          <c:tx>
            <c:rich>
              <a:bodyPr/>
              <a:lstStyle/>
              <a:p>
                <a:pPr>
                  <a:defRPr sz="1100"/>
                </a:pPr>
                <a:r>
                  <a:rPr lang="en-US" sz="1100"/>
                  <a:t>Adoption</a:t>
                </a:r>
                <a:r>
                  <a:rPr lang="en-US" sz="1100" baseline="0"/>
                  <a:t> %</a:t>
                </a:r>
                <a:endParaRPr lang="en-US" sz="1100"/>
              </a:p>
            </c:rich>
          </c:tx>
        </c:title>
        <c:numFmt formatCode="0%" sourceLinked="1"/>
        <c:majorTickMark val="none"/>
        <c:tickLblPos val="nextTo"/>
        <c:txPr>
          <a:bodyPr/>
          <a:lstStyle/>
          <a:p>
            <a:pPr>
              <a:defRPr sz="1200" b="1"/>
            </a:pPr>
            <a:endParaRPr lang="en-US"/>
          </a:p>
        </c:txPr>
        <c:crossAx val="72852992"/>
        <c:crosses val="autoZero"/>
        <c:crossBetween val="between"/>
        <c:majorUnit val="0.2"/>
      </c:valAx>
    </c:plotArea>
    <c:legend>
      <c:legendPos val="r"/>
      <c:layout>
        <c:manualLayout>
          <c:xMode val="edge"/>
          <c:yMode val="edge"/>
          <c:x val="4.2638979519825294E-2"/>
          <c:y val="7.7358550938957993E-2"/>
          <c:w val="0.91967979002624667"/>
          <c:h val="6.0302939891986575E-2"/>
        </c:manualLayout>
      </c:layout>
      <c:txPr>
        <a:bodyPr/>
        <a:lstStyle/>
        <a:p>
          <a:pPr>
            <a:defRPr sz="1200"/>
          </a:pPr>
          <a:endParaRPr lang="en-US"/>
        </a:p>
      </c:txPr>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0344" l="0.70000000000000062" r="0.70000000000000062" t="0.750000000000003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US"/>
  <c:style val="26"/>
  <c:chart>
    <c:title>
      <c:tx>
        <c:rich>
          <a:bodyPr/>
          <a:lstStyle/>
          <a:p>
            <a:pPr>
              <a:defRPr/>
            </a:pPr>
            <a:r>
              <a:rPr lang="en-US"/>
              <a:t>BI Maturity Levels</a:t>
            </a:r>
          </a:p>
        </c:rich>
      </c:tx>
    </c:title>
    <c:plotArea>
      <c:layout>
        <c:manualLayout>
          <c:layoutTarget val="inner"/>
          <c:xMode val="edge"/>
          <c:yMode val="edge"/>
          <c:x val="0.22979036167117539"/>
          <c:y val="0.29569975474377175"/>
          <c:w val="0.72354015815485262"/>
          <c:h val="0.64287379226430208"/>
        </c:manualLayout>
      </c:layout>
      <c:barChart>
        <c:barDir val="bar"/>
        <c:grouping val="clustered"/>
        <c:ser>
          <c:idx val="0"/>
          <c:order val="0"/>
          <c:tx>
            <c:strRef>
              <c:f>Maturity!$C$62</c:f>
              <c:strCache>
                <c:ptCount val="1"/>
                <c:pt idx="0">
                  <c:v>As-Is</c:v>
                </c:pt>
              </c:strCache>
            </c:strRef>
          </c:tx>
          <c:cat>
            <c:strRef>
              <c:f>Maturity!$B$63:$B$70</c:f>
              <c:strCache>
                <c:ptCount val="8"/>
                <c:pt idx="0">
                  <c:v>Scope</c:v>
                </c:pt>
                <c:pt idx="1">
                  <c:v>Sponsorship</c:v>
                </c:pt>
                <c:pt idx="2">
                  <c:v>Funding</c:v>
                </c:pt>
                <c:pt idx="3">
                  <c:v>Value</c:v>
                </c:pt>
                <c:pt idx="4">
                  <c:v>Architecture</c:v>
                </c:pt>
                <c:pt idx="5">
                  <c:v>Data</c:v>
                </c:pt>
                <c:pt idx="6">
                  <c:v>Development</c:v>
                </c:pt>
                <c:pt idx="7">
                  <c:v>Delivery</c:v>
                </c:pt>
              </c:strCache>
            </c:strRef>
          </c:cat>
          <c:val>
            <c:numRef>
              <c:f>Maturity!$C$63:$C$70</c:f>
              <c:numCache>
                <c:formatCode>0.0</c:formatCode>
                <c:ptCount val="8"/>
                <c:pt idx="0">
                  <c:v>2.7154264440788891</c:v>
                </c:pt>
                <c:pt idx="1">
                  <c:v>3.2216124353592335</c:v>
                </c:pt>
                <c:pt idx="2">
                  <c:v>2.867923974972272</c:v>
                </c:pt>
                <c:pt idx="3">
                  <c:v>2.6608431151952354</c:v>
                </c:pt>
                <c:pt idx="4">
                  <c:v>3.5925930255310377</c:v>
                </c:pt>
                <c:pt idx="5">
                  <c:v>3.7480699958844981</c:v>
                </c:pt>
                <c:pt idx="6">
                  <c:v>3.6060772837472554</c:v>
                </c:pt>
                <c:pt idx="7">
                  <c:v>2.9288407722759757</c:v>
                </c:pt>
              </c:numCache>
            </c:numRef>
          </c:val>
        </c:ser>
        <c:ser>
          <c:idx val="1"/>
          <c:order val="1"/>
          <c:tx>
            <c:strRef>
              <c:f>Maturity!$D$62</c:f>
              <c:strCache>
                <c:ptCount val="1"/>
                <c:pt idx="0">
                  <c:v>To-Be</c:v>
                </c:pt>
              </c:strCache>
            </c:strRef>
          </c:tx>
          <c:spPr>
            <a:solidFill>
              <a:schemeClr val="accent3">
                <a:lumMod val="75000"/>
              </a:schemeClr>
            </a:solidFill>
          </c:spPr>
          <c:cat>
            <c:strRef>
              <c:f>Maturity!$B$63:$B$70</c:f>
              <c:strCache>
                <c:ptCount val="8"/>
                <c:pt idx="0">
                  <c:v>Scope</c:v>
                </c:pt>
                <c:pt idx="1">
                  <c:v>Sponsorship</c:v>
                </c:pt>
                <c:pt idx="2">
                  <c:v>Funding</c:v>
                </c:pt>
                <c:pt idx="3">
                  <c:v>Value</c:v>
                </c:pt>
                <c:pt idx="4">
                  <c:v>Architecture</c:v>
                </c:pt>
                <c:pt idx="5">
                  <c:v>Data</c:v>
                </c:pt>
                <c:pt idx="6">
                  <c:v>Development</c:v>
                </c:pt>
                <c:pt idx="7">
                  <c:v>Delivery</c:v>
                </c:pt>
              </c:strCache>
            </c:strRef>
          </c:cat>
          <c:val>
            <c:numRef>
              <c:f>Maturity!$D$63:$D$70</c:f>
              <c:numCache>
                <c:formatCode>0.0</c:formatCode>
                <c:ptCount val="8"/>
                <c:pt idx="0">
                  <c:v>4.0656499402863853</c:v>
                </c:pt>
                <c:pt idx="1">
                  <c:v>4.0746435649518764</c:v>
                </c:pt>
                <c:pt idx="2">
                  <c:v>4.109364645433609</c:v>
                </c:pt>
                <c:pt idx="3">
                  <c:v>4.199388379081431</c:v>
                </c:pt>
                <c:pt idx="4">
                  <c:v>4.2806235862395807</c:v>
                </c:pt>
                <c:pt idx="5">
                  <c:v>4.4402677945183626</c:v>
                </c:pt>
                <c:pt idx="6">
                  <c:v>4.1241944209317838</c:v>
                </c:pt>
                <c:pt idx="7">
                  <c:v>4.1309986233955192</c:v>
                </c:pt>
              </c:numCache>
            </c:numRef>
          </c:val>
        </c:ser>
        <c:axId val="73198208"/>
        <c:axId val="73208192"/>
      </c:barChart>
      <c:catAx>
        <c:axId val="73198208"/>
        <c:scaling>
          <c:orientation val="maxMin"/>
        </c:scaling>
        <c:axPos val="l"/>
        <c:majorTickMark val="none"/>
        <c:tickLblPos val="nextTo"/>
        <c:txPr>
          <a:bodyPr/>
          <a:lstStyle/>
          <a:p>
            <a:pPr>
              <a:defRPr sz="1100" b="1"/>
            </a:pPr>
            <a:endParaRPr lang="en-US"/>
          </a:p>
        </c:txPr>
        <c:crossAx val="73208192"/>
        <c:crosses val="autoZero"/>
        <c:auto val="1"/>
        <c:lblAlgn val="ctr"/>
        <c:lblOffset val="100"/>
      </c:catAx>
      <c:valAx>
        <c:axId val="73208192"/>
        <c:scaling>
          <c:orientation val="minMax"/>
          <c:max val="5"/>
          <c:min val="1"/>
        </c:scaling>
        <c:axPos val="t"/>
        <c:majorGridlines/>
        <c:title>
          <c:tx>
            <c:rich>
              <a:bodyPr/>
              <a:lstStyle/>
              <a:p>
                <a:pPr>
                  <a:defRPr sz="1100"/>
                </a:pPr>
                <a:r>
                  <a:rPr lang="en-US" sz="1100"/>
                  <a:t>Maturity Level</a:t>
                </a:r>
              </a:p>
            </c:rich>
          </c:tx>
        </c:title>
        <c:numFmt formatCode="0" sourceLinked="0"/>
        <c:majorTickMark val="none"/>
        <c:tickLblPos val="nextTo"/>
        <c:txPr>
          <a:bodyPr/>
          <a:lstStyle/>
          <a:p>
            <a:pPr>
              <a:defRPr sz="1200" b="1"/>
            </a:pPr>
            <a:endParaRPr lang="en-US"/>
          </a:p>
        </c:txPr>
        <c:crossAx val="73198208"/>
        <c:crosses val="autoZero"/>
        <c:crossBetween val="between"/>
      </c:valAx>
    </c:plotArea>
    <c:legend>
      <c:legendPos val="r"/>
      <c:layout>
        <c:manualLayout>
          <c:xMode val="edge"/>
          <c:yMode val="edge"/>
          <c:x val="0.78033330576871429"/>
          <c:y val="3.6262253151107517E-2"/>
          <c:w val="0.18511704257306894"/>
          <c:h val="0.13198876880224741"/>
        </c:manualLayout>
      </c:layout>
      <c:txPr>
        <a:bodyPr/>
        <a:lstStyle/>
        <a:p>
          <a:pPr>
            <a:defRPr sz="1400" b="1"/>
          </a:pPr>
          <a:endParaRPr lang="en-US"/>
        </a:p>
      </c:txPr>
    </c:legend>
    <c:plotVisOnly val="1"/>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n-US"/>
    </a:p>
  </c:txPr>
  <c:printSettings>
    <c:headerFooter/>
    <c:pageMargins b="0.75000000000000344" l="0.70000000000000062" r="0.70000000000000062" t="0.75000000000000344" header="0.30000000000000032" footer="0.30000000000000032"/>
    <c:pageSetup/>
  </c:printSettings>
  <c:userShapes r:id="rId1"/>
</c:chartSpace>
</file>

<file path=xl/drawings/_rels/drawing1.xml.rels><?xml version="1.0" encoding="UTF-8" standalone="no"?>
<Relationships xmlns="http://schemas.openxmlformats.org/package/2006/relationships">
<Relationship Id="rId1" Target="../media/image1.jpeg" Type="http://schemas.openxmlformats.org/officeDocument/2006/relationships/image"/>
<Relationship Id="rId2" Target="../media/image2.png" Type="http://schemas.openxmlformats.org/officeDocument/2006/relationships/image"/>
<Relationship Id="rId3" Target="../media/image3.png" Type="http://schemas.openxmlformats.org/officeDocument/2006/relationships/image"/>
<Relationship Id="rId4" Target="../media/image4.png" Type="http://schemas.openxmlformats.org/officeDocument/2006/relationships/image"/>
</Relationships>

</file>

<file path=xl/drawings/_rels/drawing10.xml.rels><?xml version="1.0" encoding="UTF-8" standalone="no"?>
<Relationships xmlns="http://schemas.openxmlformats.org/package/2006/relationships">
<Relationship Id="rId1" Target="../charts/chart16.xml" Type="http://schemas.openxmlformats.org/officeDocument/2006/relationships/chart"/>
</Relationships>

</file>

<file path=xl/drawings/_rels/drawing11.xml.rels><?xml version="1.0" encoding="UTF-8" standalone="no"?>
<Relationships xmlns="http://schemas.openxmlformats.org/package/2006/relationships">
<Relationship Id="rId1" Target="../charts/chart17.xml" Type="http://schemas.openxmlformats.org/officeDocument/2006/relationships/chart"/>
</Relationships>

</file>

<file path=xl/drawings/_rels/drawing12.xml.rels><?xml version="1.0" encoding="UTF-8" standalone="no"?>
<Relationships xmlns="http://schemas.openxmlformats.org/package/2006/relationships">
<Relationship Id="rId1" Target="../charts/chart18.xml" Type="http://schemas.openxmlformats.org/officeDocument/2006/relationships/chart"/>
</Relationships>

</file>

<file path=xl/drawings/_rels/drawing13.xml.rels><?xml version="1.0" encoding="UTF-8" standalone="no"?>
<Relationships xmlns="http://schemas.openxmlformats.org/package/2006/relationships">
<Relationship Id="rId1" Target="../charts/chart19.xml" Type="http://schemas.openxmlformats.org/officeDocument/2006/relationships/chart"/>
</Relationships>

</file>

<file path=xl/drawings/_rels/drawing15.xml.rels><?xml version="1.0" encoding="UTF-8" standalone="no"?>
<Relationships xmlns="http://schemas.openxmlformats.org/package/2006/relationships">
<Relationship Id="rId1" Target="../charts/chart20.xml" Type="http://schemas.openxmlformats.org/officeDocument/2006/relationships/chart"/>
<Relationship Id="rId10" Target="../charts/chart29.xml" Type="http://schemas.openxmlformats.org/officeDocument/2006/relationships/chart"/>
<Relationship Id="rId11" Target="../charts/chart30.xml" Type="http://schemas.openxmlformats.org/officeDocument/2006/relationships/chart"/>
<Relationship Id="rId12" Target="../charts/chart31.xml" Type="http://schemas.openxmlformats.org/officeDocument/2006/relationships/chart"/>
<Relationship Id="rId13" Target="../charts/chart32.xml" Type="http://schemas.openxmlformats.org/officeDocument/2006/relationships/chart"/>
<Relationship Id="rId14" Target="../media/image3.png" Type="http://schemas.openxmlformats.org/officeDocument/2006/relationships/image"/>
<Relationship Id="rId15" Target="../charts/chart33.xml" Type="http://schemas.openxmlformats.org/officeDocument/2006/relationships/chart"/>
<Relationship Id="rId2" Target="../charts/chart21.xml" Type="http://schemas.openxmlformats.org/officeDocument/2006/relationships/chart"/>
<Relationship Id="rId3" Target="../charts/chart22.xml" Type="http://schemas.openxmlformats.org/officeDocument/2006/relationships/chart"/>
<Relationship Id="rId4" Target="../charts/chart23.xml" Type="http://schemas.openxmlformats.org/officeDocument/2006/relationships/chart"/>
<Relationship Id="rId5" Target="../charts/chart24.xml" Type="http://schemas.openxmlformats.org/officeDocument/2006/relationships/chart"/>
<Relationship Id="rId6" Target="../charts/chart25.xml" Type="http://schemas.openxmlformats.org/officeDocument/2006/relationships/chart"/>
<Relationship Id="rId7" Target="../charts/chart26.xml" Type="http://schemas.openxmlformats.org/officeDocument/2006/relationships/chart"/>
<Relationship Id="rId8" Target="../charts/chart27.xml" Type="http://schemas.openxmlformats.org/officeDocument/2006/relationships/chart"/>
<Relationship Id="rId9" Target="../charts/chart28.xml" Type="http://schemas.openxmlformats.org/officeDocument/2006/relationships/chart"/>
</Relationships>

</file>

<file path=xl/drawings/_rels/drawing2.xml.rels><?xml version="1.0" encoding="UTF-8" standalone="no"?>
<Relationships xmlns="http://schemas.openxmlformats.org/package/2006/relationships">
<Relationship Id="rId1" Target="../charts/chart1.xml" Type="http://schemas.openxmlformats.org/officeDocument/2006/relationships/chart"/>
<Relationship Id="rId2" Target="../charts/chart2.xml" Type="http://schemas.openxmlformats.org/officeDocument/2006/relationships/chart"/>
<Relationship Id="rId3" Target="../charts/chart3.xml" Type="http://schemas.openxmlformats.org/officeDocument/2006/relationships/chart"/>
<Relationship Id="rId4" Target="../media/image5.jpeg" Type="http://schemas.openxmlformats.org/officeDocument/2006/relationships/image"/>
<Relationship Id="rId5" Target="../media/image3.png" Type="http://schemas.openxmlformats.org/officeDocument/2006/relationships/image"/>
<Relationship Id="rId6" Target="../charts/chart4.xml" Type="http://schemas.openxmlformats.org/officeDocument/2006/relationships/chart"/>
<Relationship Id="rId7" Target="../charts/chart5.xml" Type="http://schemas.openxmlformats.org/officeDocument/2006/relationships/chart"/>
<Relationship Id="rId8" Target="../media/image4.png" Type="http://schemas.openxmlformats.org/officeDocument/2006/relationships/image"/>
</Relationships>

</file>

<file path=xl/drawings/_rels/drawing4.xml.rels><?xml version="1.0" encoding="UTF-8" standalone="no"?>
<Relationships xmlns="http://schemas.openxmlformats.org/package/2006/relationships">
<Relationship Id="rId1" Target="../charts/chart6.xml" Type="http://schemas.openxmlformats.org/officeDocument/2006/relationships/chart"/>
<Relationship Id="rId2" Target="../charts/chart7.xml" Type="http://schemas.openxmlformats.org/officeDocument/2006/relationships/chart"/>
<Relationship Id="rId3" Target="../charts/chart8.xml" Type="http://schemas.openxmlformats.org/officeDocument/2006/relationships/chart"/>
</Relationships>

</file>

<file path=xl/drawings/_rels/drawing5.xml.rels><?xml version="1.0" encoding="UTF-8" standalone="no"?>
<Relationships xmlns="http://schemas.openxmlformats.org/package/2006/relationships">
<Relationship Id="rId1" Target="../charts/chart9.xml" Type="http://schemas.openxmlformats.org/officeDocument/2006/relationships/chart"/>
</Relationships>

</file>

<file path=xl/drawings/_rels/drawing7.xml.rels><?xml version="1.0" encoding="UTF-8" standalone="no"?>
<Relationships xmlns="http://schemas.openxmlformats.org/package/2006/relationships">
<Relationship Id="rId1" Target="../charts/chart10.xml" Type="http://schemas.openxmlformats.org/officeDocument/2006/relationships/chart"/>
</Relationships>

</file>

<file path=xl/drawings/_rels/drawing8.xml.rels><?xml version="1.0" encoding="UTF-8" standalone="no"?>
<Relationships xmlns="http://schemas.openxmlformats.org/package/2006/relationships">
<Relationship Id="rId1" Target="../charts/chart11.xml" Type="http://schemas.openxmlformats.org/officeDocument/2006/relationships/chart"/>
<Relationship Id="rId2" Target="../charts/chart12.xml" Type="http://schemas.openxmlformats.org/officeDocument/2006/relationships/chart"/>
</Relationships>

</file>

<file path=xl/drawings/_rels/drawing9.xml.rels><?xml version="1.0" encoding="UTF-8" standalone="no"?>
<Relationships xmlns="http://schemas.openxmlformats.org/package/2006/relationships">
<Relationship Id="rId1" Target="../charts/chart13.xml" Type="http://schemas.openxmlformats.org/officeDocument/2006/relationships/chart"/>
<Relationship Id="rId2" Target="../charts/chart14.xml" Type="http://schemas.openxmlformats.org/officeDocument/2006/relationships/chart"/>
<Relationship Id="rId3" Target="../charts/chart15.xml" Type="http://schemas.openxmlformats.org/officeDocument/2006/relationships/chart"/>
</Relationships>

</file>

<file path=xl/drawings/drawing1.xml><?xml version="1.0" encoding="utf-8"?>
<xdr:wsDr xmlns:xdr="http://schemas.openxmlformats.org/drawingml/2006/spreadsheetDrawing" xmlns:a="http://schemas.openxmlformats.org/drawingml/2006/main">
  <xdr:twoCellAnchor editAs="oneCell">
    <xdr:from>
      <xdr:col>2</xdr:col>
      <xdr:colOff>152399</xdr:colOff>
      <xdr:row>34</xdr:row>
      <xdr:rowOff>38099</xdr:rowOff>
    </xdr:from>
    <xdr:to>
      <xdr:col>5</xdr:col>
      <xdr:colOff>4562475</xdr:colOff>
      <xdr:row>65</xdr:row>
      <xdr:rowOff>28575</xdr:rowOff>
    </xdr:to>
    <xdr:pic>
      <xdr:nvPicPr>
        <xdr:cNvPr id="10" name="Picture 9"/>
        <xdr:cNvPicPr/>
      </xdr:nvPicPr>
      <xdr:blipFill>
        <a:blip xmlns:r="http://schemas.openxmlformats.org/officeDocument/2006/relationships" r:embed="rId1"/>
        <a:srcRect/>
        <a:stretch>
          <a:fillRect/>
        </a:stretch>
      </xdr:blipFill>
      <xdr:spPr bwMode="auto">
        <a:xfrm>
          <a:off x="657224" y="15220949"/>
          <a:ext cx="7877176" cy="5010151"/>
        </a:xfrm>
        <a:prstGeom prst="rect">
          <a:avLst/>
        </a:prstGeom>
        <a:noFill/>
      </xdr:spPr>
    </xdr:pic>
    <xdr:clientData/>
  </xdr:twoCellAnchor>
  <xdr:twoCellAnchor editAs="oneCell">
    <xdr:from>
      <xdr:col>2</xdr:col>
      <xdr:colOff>0</xdr:colOff>
      <xdr:row>71</xdr:row>
      <xdr:rowOff>0</xdr:rowOff>
    </xdr:from>
    <xdr:to>
      <xdr:col>4</xdr:col>
      <xdr:colOff>1970682</xdr:colOff>
      <xdr:row>80</xdr:row>
      <xdr:rowOff>16633</xdr:rowOff>
    </xdr:to>
    <xdr:pic>
      <xdr:nvPicPr>
        <xdr:cNvPr id="16" name="Picture 15"/>
        <xdr:cNvPicPr/>
      </xdr:nvPicPr>
      <xdr:blipFill>
        <a:blip xmlns:r="http://schemas.openxmlformats.org/officeDocument/2006/relationships" r:embed="rId2"/>
        <a:srcRect/>
        <a:stretch>
          <a:fillRect/>
        </a:stretch>
      </xdr:blipFill>
      <xdr:spPr bwMode="auto">
        <a:xfrm>
          <a:off x="504825" y="24860250"/>
          <a:ext cx="3056532" cy="1473958"/>
        </a:xfrm>
        <a:prstGeom prst="rect">
          <a:avLst/>
        </a:prstGeom>
        <a:noFill/>
        <a:ln w="9525">
          <a:noFill/>
          <a:miter lim="800000"/>
          <a:headEnd/>
          <a:tailEnd/>
        </a:ln>
      </xdr:spPr>
    </xdr:pic>
    <xdr:clientData/>
  </xdr:twoCellAnchor>
  <xdr:twoCellAnchor editAs="oneCell">
    <xdr:from>
      <xdr:col>2</xdr:col>
      <xdr:colOff>0</xdr:colOff>
      <xdr:row>82</xdr:row>
      <xdr:rowOff>0</xdr:rowOff>
    </xdr:from>
    <xdr:to>
      <xdr:col>5</xdr:col>
      <xdr:colOff>690065</xdr:colOff>
      <xdr:row>94</xdr:row>
      <xdr:rowOff>13476</xdr:rowOff>
    </xdr:to>
    <xdr:pic>
      <xdr:nvPicPr>
        <xdr:cNvPr id="17" name="Picture 16"/>
        <xdr:cNvPicPr/>
      </xdr:nvPicPr>
      <xdr:blipFill>
        <a:blip xmlns:r="http://schemas.openxmlformats.org/officeDocument/2006/relationships" r:embed="rId3"/>
        <a:srcRect/>
        <a:stretch>
          <a:fillRect/>
        </a:stretch>
      </xdr:blipFill>
      <xdr:spPr bwMode="auto">
        <a:xfrm>
          <a:off x="504825" y="28670250"/>
          <a:ext cx="4157165" cy="1956576"/>
        </a:xfrm>
        <a:prstGeom prst="rect">
          <a:avLst/>
        </a:prstGeom>
        <a:noFill/>
        <a:ln w="9525">
          <a:noFill/>
          <a:miter lim="800000"/>
          <a:headEnd/>
          <a:tailEnd/>
        </a:ln>
      </xdr:spPr>
    </xdr:pic>
    <xdr:clientData/>
  </xdr:twoCellAnchor>
  <xdr:twoCellAnchor editAs="oneCell">
    <xdr:from>
      <xdr:col>5</xdr:col>
      <xdr:colOff>2324100</xdr:colOff>
      <xdr:row>96</xdr:row>
      <xdr:rowOff>2219325</xdr:rowOff>
    </xdr:from>
    <xdr:to>
      <xdr:col>5</xdr:col>
      <xdr:colOff>3596033</xdr:colOff>
      <xdr:row>96</xdr:row>
      <xdr:rowOff>2545329</xdr:rowOff>
    </xdr:to>
    <xdr:pic>
      <xdr:nvPicPr>
        <xdr:cNvPr id="19" name="Picture 18"/>
        <xdr:cNvPicPr/>
      </xdr:nvPicPr>
      <xdr:blipFill>
        <a:blip xmlns:r="http://schemas.openxmlformats.org/officeDocument/2006/relationships" r:embed="rId4"/>
        <a:srcRect/>
        <a:stretch>
          <a:fillRect/>
        </a:stretch>
      </xdr:blipFill>
      <xdr:spPr bwMode="auto">
        <a:xfrm>
          <a:off x="6296025" y="33185100"/>
          <a:ext cx="1271933" cy="326004"/>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oneCellAnchor>
    <xdr:from>
      <xdr:col>3</xdr:col>
      <xdr:colOff>28575</xdr:colOff>
      <xdr:row>1</xdr:row>
      <xdr:rowOff>57150</xdr:rowOff>
    </xdr:from>
    <xdr:ext cx="7772400" cy="276225"/>
    <xdr:sp macro="" textlink="">
      <xdr:nvSpPr>
        <xdr:cNvPr id="5" name="Text Box 14"/>
        <xdr:cNvSpPr txBox="1">
          <a:spLocks noChangeArrowheads="1"/>
        </xdr:cNvSpPr>
      </xdr:nvSpPr>
      <xdr:spPr bwMode="auto">
        <a:xfrm>
          <a:off x="457200" y="400050"/>
          <a:ext cx="7772400" cy="276225"/>
        </a:xfrm>
        <a:prstGeom prst="rect">
          <a:avLst/>
        </a:prstGeom>
        <a:noFill/>
        <a:ln w="25400" cap="flat" cmpd="sng" algn="ctr">
          <a:noFill/>
          <a:prstDash val="solid"/>
          <a:miter lim="800000"/>
          <a:headEnd type="none" w="med" len="med"/>
          <a:tailEnd type="none" w="med" len="med"/>
        </a:ln>
        <a:effectLst/>
      </xdr:spPr>
      <xdr:txBody>
        <a:bodyPr vertOverflow="clip" wrap="square" lIns="25400" tIns="0" rIns="25400" bIns="0" anchor="t" upright="1"/>
        <a:lstStyle/>
        <a:p>
          <a:pPr algn="l" rtl="0">
            <a:defRPr sz="1000"/>
          </a:pPr>
          <a:r>
            <a:rPr lang="en-US" sz="1000" b="0" i="0" strike="noStrike">
              <a:solidFill>
                <a:srgbClr val="000000"/>
              </a:solidFill>
              <a:latin typeface="Arial"/>
              <a:cs typeface="Arial"/>
            </a:rPr>
            <a:t>This worksheet estimates various direct IT</a:t>
          </a:r>
          <a:r>
            <a:rPr lang="en-US" sz="1000" b="0" i="0" strike="noStrike" baseline="0">
              <a:solidFill>
                <a:srgbClr val="000000"/>
              </a:solidFill>
              <a:latin typeface="Arial"/>
              <a:cs typeface="Arial"/>
            </a:rPr>
            <a:t> and business </a:t>
          </a:r>
          <a:r>
            <a:rPr lang="en-US" sz="1000" b="0" i="0" strike="noStrike">
              <a:solidFill>
                <a:srgbClr val="000000"/>
              </a:solidFill>
              <a:latin typeface="Arial"/>
              <a:cs typeface="Arial"/>
            </a:rPr>
            <a:t>cost</a:t>
          </a:r>
          <a:r>
            <a:rPr lang="en-US" sz="1000" b="0" i="0" strike="noStrike" baseline="0">
              <a:solidFill>
                <a:srgbClr val="000000"/>
              </a:solidFill>
              <a:latin typeface="Arial"/>
              <a:cs typeface="Arial"/>
            </a:rPr>
            <a:t> savings enabled by the solution.</a:t>
          </a:r>
          <a:endParaRPr lang="en-US" sz="1000" b="0" i="0" strike="noStrike">
            <a:solidFill>
              <a:srgbClr val="000000"/>
            </a:solidFill>
            <a:latin typeface="Arial"/>
            <a:cs typeface="Arial"/>
          </a:endParaRPr>
        </a:p>
      </xdr:txBody>
    </xdr:sp>
    <xdr:clientData/>
  </xdr:oneCellAnchor>
  <xdr:twoCellAnchor>
    <xdr:from>
      <xdr:col>3</xdr:col>
      <xdr:colOff>57150</xdr:colOff>
      <xdr:row>106</xdr:row>
      <xdr:rowOff>38100</xdr:rowOff>
    </xdr:from>
    <xdr:to>
      <xdr:col>5</xdr:col>
      <xdr:colOff>695325</xdr:colOff>
      <xdr:row>130</xdr:row>
      <xdr:rowOff>95250</xdr:rowOff>
    </xdr:to>
    <xdr:graphicFrame macro="">
      <xdr:nvGraphicFramePr>
        <xdr:cNvPr id="36050"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xdr:col>
      <xdr:colOff>297391</xdr:colOff>
      <xdr:row>58</xdr:row>
      <xdr:rowOff>80432</xdr:rowOff>
    </xdr:from>
    <xdr:to>
      <xdr:col>12</xdr:col>
      <xdr:colOff>2057400</xdr:colOff>
      <xdr:row>83</xdr:row>
      <xdr:rowOff>123824</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86</xdr:row>
      <xdr:rowOff>38100</xdr:rowOff>
    </xdr:from>
    <xdr:to>
      <xdr:col>13</xdr:col>
      <xdr:colOff>1524000</xdr:colOff>
      <xdr:row>99</xdr:row>
      <xdr:rowOff>0</xdr:rowOff>
    </xdr:to>
    <xdr:sp macro="" textlink="">
      <xdr:nvSpPr>
        <xdr:cNvPr id="4" name="Text Box 1"/>
        <xdr:cNvSpPr txBox="1">
          <a:spLocks noChangeArrowheads="1"/>
        </xdr:cNvSpPr>
      </xdr:nvSpPr>
      <xdr:spPr bwMode="auto">
        <a:xfrm>
          <a:off x="219075" y="25536525"/>
          <a:ext cx="10191750" cy="2066925"/>
        </a:xfrm>
        <a:prstGeom prst="rect">
          <a:avLst/>
        </a:prstGeom>
        <a:solidFill>
          <a:srgbClr val="FFFFFF"/>
        </a:solidFill>
        <a:ln w="9525" cap="flat" cmpd="sng" algn="ctr">
          <a:noFill/>
          <a:prstDash val="solid"/>
          <a:miter lim="800000"/>
          <a:headEnd type="none" w="med" len="med"/>
          <a:tailEnd type="none" w="med" len="med"/>
        </a:ln>
        <a:effectLst/>
      </xdr:spPr>
      <xdr:txBody>
        <a:bodyPr vertOverflow="clip" wrap="square" lIns="25400" tIns="0" rIns="25400" bIns="0" anchor="t" upright="1"/>
        <a:lstStyle/>
        <a:p>
          <a:pPr algn="l" rtl="0">
            <a:defRPr sz="1000"/>
          </a:pPr>
          <a:r>
            <a:rPr lang="en-US" sz="1000" b="0" i="0" strike="noStrike">
              <a:solidFill>
                <a:srgbClr val="000000"/>
              </a:solidFill>
              <a:latin typeface="Arial"/>
              <a:cs typeface="Arial"/>
            </a:rPr>
            <a:t>This worksheet estimates the business user benefits enabled by the selected initiatives.  These benefits are calculated based on time savings of various common business activities impacted by BI capabilities.  Although these benefits are "Indirect" (not part of the budget), they are expected to impact profitability.  Productivity estimates tend to more more conservate (yet more comprehensive) than other methods of estimating business impacts.  This analysis only estimates efficiency improvements, not effectiveness (agility, decision-making) improvements.  A conversion factor is applied on the following tab (not all saved time may be used to conduct other value-added activities).</a:t>
          </a:r>
        </a:p>
        <a:p>
          <a:pPr algn="l" rtl="0">
            <a:defRPr sz="1000"/>
          </a:pPr>
          <a:endParaRPr lang="en-US" sz="1000" b="0" i="0" strike="noStrike">
            <a:solidFill>
              <a:srgbClr val="000000"/>
            </a:solidFill>
            <a:latin typeface="Arial"/>
            <a:cs typeface="Arial"/>
          </a:endParaRPr>
        </a:p>
        <a:p>
          <a:pPr algn="l" rtl="0">
            <a:defRPr sz="1000"/>
          </a:pPr>
          <a:r>
            <a:rPr lang="en-US" sz="1000" b="0" i="0" strike="noStrike">
              <a:solidFill>
                <a:srgbClr val="000000"/>
              </a:solidFill>
              <a:latin typeface="Arial"/>
              <a:cs typeface="Arial"/>
            </a:rPr>
            <a:t>Instructions:</a:t>
          </a:r>
        </a:p>
        <a:p>
          <a:pPr algn="l" rtl="0">
            <a:defRPr sz="1000"/>
          </a:pPr>
          <a:r>
            <a:rPr lang="en-US" sz="1000" b="0" i="0" strike="noStrike">
              <a:solidFill>
                <a:srgbClr val="000000"/>
              </a:solidFill>
              <a:latin typeface="Arial"/>
              <a:cs typeface="Arial"/>
            </a:rPr>
            <a:t>1. Verify/modify the portion of Knowledge Workers and Task Workers that are likely to benefit from (be impacted by) each activity ("% of Users Impacted").</a:t>
          </a:r>
        </a:p>
        <a:p>
          <a:pPr algn="l" rtl="0">
            <a:defRPr sz="1000"/>
          </a:pPr>
          <a:r>
            <a:rPr lang="en-US" sz="1000" b="0" i="0" strike="noStrike">
              <a:solidFill>
                <a:srgbClr val="000000"/>
              </a:solidFill>
              <a:latin typeface="Arial"/>
              <a:cs typeface="Arial"/>
            </a:rPr>
            <a:t>2. Verify/edit the number of "Incident per Month" for the impacted users. How many times per month will the user be affected?  Can be 20 if user spends a certain amount of time dealing with the activity every day (e.g. a total of 15 minutes thoughout the day every day waiting for the system to respond)</a:t>
          </a:r>
        </a:p>
        <a:p>
          <a:pPr algn="l" rtl="0">
            <a:defRPr sz="1000"/>
          </a:pPr>
          <a:r>
            <a:rPr lang="en-US" sz="1000" b="0" i="0" strike="noStrike">
              <a:solidFill>
                <a:srgbClr val="000000"/>
              </a:solidFill>
              <a:latin typeface="Arial"/>
              <a:cs typeface="Arial"/>
            </a:rPr>
            <a:t>3. Verify/edit the time dealing with the activity per incident.  Can be total time per day if "Incident per Month" is days.</a:t>
          </a:r>
        </a:p>
        <a:p>
          <a:pPr algn="l" rtl="0">
            <a:defRPr sz="1000"/>
          </a:pPr>
          <a:r>
            <a:rPr lang="en-US" sz="1000" b="0" i="0" strike="noStrike">
              <a:solidFill>
                <a:srgbClr val="000000"/>
              </a:solidFill>
              <a:latin typeface="Arial"/>
              <a:cs typeface="Arial"/>
            </a:rPr>
            <a:t>Default values are based on 3rd party studies and prior detailed customer-specific studies.  </a:t>
          </a:r>
        </a:p>
        <a:p>
          <a:pPr algn="l" rtl="0">
            <a:defRPr sz="1000"/>
          </a:pPr>
          <a:r>
            <a:rPr lang="en-US" sz="1000" b="0" i="0" strike="noStrike">
              <a:solidFill>
                <a:srgbClr val="000000"/>
              </a:solidFill>
              <a:latin typeface="Arial"/>
              <a:cs typeface="Arial"/>
            </a:rPr>
            <a:t>4. Verify/edit</a:t>
          </a:r>
          <a:r>
            <a:rPr lang="en-US" sz="1000" b="0" i="0" strike="noStrike" baseline="0">
              <a:solidFill>
                <a:srgbClr val="000000"/>
              </a:solidFill>
              <a:latin typeface="Arial"/>
              <a:cs typeface="Arial"/>
            </a:rPr>
            <a:t> the % reduction in time (efficiency "improvement") due to the selected initiatives.</a:t>
          </a:r>
        </a:p>
        <a:p>
          <a:pPr algn="l" rtl="0">
            <a:defRPr sz="1000"/>
          </a:pPr>
          <a:r>
            <a:rPr lang="en-US" sz="1000" b="0" i="0" strike="noStrike" baseline="0">
              <a:solidFill>
                <a:srgbClr val="000000"/>
              </a:solidFill>
              <a:latin typeface="Arial"/>
              <a:cs typeface="Arial"/>
            </a:rPr>
            <a:t>5. Verify/edit the "Conversion Factor"</a:t>
          </a:r>
          <a:endParaRPr lang="en-US" sz="1000" b="0" i="0" strike="noStrike">
            <a:solidFill>
              <a:srgbClr val="000000"/>
            </a:solidFill>
            <a:latin typeface="Arial"/>
            <a:cs typeface="Arial"/>
          </a:endParaRPr>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0</xdr:col>
      <xdr:colOff>171449</xdr:colOff>
      <xdr:row>1</xdr:row>
      <xdr:rowOff>104776</xdr:rowOff>
    </xdr:from>
    <xdr:ext cx="10410825" cy="990600"/>
    <xdr:sp macro="" textlink="">
      <xdr:nvSpPr>
        <xdr:cNvPr id="2" name="Text Box 14"/>
        <xdr:cNvSpPr txBox="1">
          <a:spLocks noChangeArrowheads="1"/>
        </xdr:cNvSpPr>
      </xdr:nvSpPr>
      <xdr:spPr bwMode="auto">
        <a:xfrm>
          <a:off x="171449" y="447676"/>
          <a:ext cx="10410825" cy="990600"/>
        </a:xfrm>
        <a:prstGeom prst="rect">
          <a:avLst/>
        </a:prstGeom>
        <a:noFill/>
        <a:ln w="25400" cap="flat" cmpd="sng" algn="ctr">
          <a:noFill/>
          <a:prstDash val="solid"/>
          <a:miter lim="800000"/>
          <a:headEnd type="none" w="med" len="med"/>
          <a:tailEnd type="none" w="med" len="med"/>
        </a:ln>
        <a:effectLst/>
      </xdr:spPr>
      <xdr:txBody>
        <a:bodyPr vertOverflow="clip" wrap="square" lIns="25400" tIns="0" rIns="2540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strike="noStrike">
              <a:solidFill>
                <a:srgbClr val="000000"/>
              </a:solidFill>
              <a:latin typeface="Arial"/>
              <a:cs typeface="Arial"/>
            </a:rPr>
            <a:t>This worksheet estimates </a:t>
          </a:r>
          <a:r>
            <a:rPr lang="en-US" sz="1000" b="0" i="0" strike="noStrike" baseline="0">
              <a:solidFill>
                <a:srgbClr val="000000"/>
              </a:solidFill>
              <a:latin typeface="Arial"/>
              <a:cs typeface="Arial"/>
            </a:rPr>
            <a:t>incremental revenue enabled by the solution.  Not all projects will have credibly quantifiable revenue impacts.  Revenue impacts can be difficult to accurately assess.  Research, analysis, and supplemental modeling is likely needed to credibly estimate true revenue impacts.  One key is to target (at a detailed level) precisely what portion of revenue is likely to be impacted and how the solution is enabling the revenue increase (the driver).  This model assumes the initiative will enable a one-time revenue increase (the same annual revenue benefit throughout the life of the solution).</a:t>
          </a:r>
        </a:p>
        <a:p>
          <a:pPr marL="0" marR="0" indent="0" algn="l" defTabSz="914400" rtl="0" eaLnBrk="1" fontAlgn="auto" latinLnBrk="0" hangingPunct="1">
            <a:lnSpc>
              <a:spcPct val="100000"/>
            </a:lnSpc>
            <a:spcBef>
              <a:spcPts val="0"/>
            </a:spcBef>
            <a:spcAft>
              <a:spcPts val="0"/>
            </a:spcAft>
            <a:buClrTx/>
            <a:buSzTx/>
            <a:buFontTx/>
            <a:buNone/>
            <a:tabLst/>
            <a:defRPr sz="1000"/>
          </a:pPr>
          <a:r>
            <a:rPr kumimoji="0" lang="en-US" sz="1000" b="0" i="0" u="none" strike="noStrike" kern="0" cap="none" spc="0" normalizeH="0" baseline="0" noProof="0">
              <a:ln>
                <a:noFill/>
              </a:ln>
              <a:solidFill>
                <a:srgbClr val="000000"/>
              </a:solidFill>
              <a:effectLst/>
              <a:uLnTx/>
              <a:uFillTx/>
              <a:latin typeface="Arial"/>
              <a:ea typeface="+mn-ea"/>
              <a:cs typeface="Arial"/>
            </a:rPr>
            <a:t>Note that the benefit is the marginal profit on the incremental revenue, not the revenue itself.  We recommend using net operating profit, not gross margin:  in the long run, on average, fixed costs tend to increase at the same rate as revenue growth.</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000" b="0" i="0" strike="noStrike">
            <a:solidFill>
              <a:srgbClr val="000000"/>
            </a:solidFill>
            <a:latin typeface="Arial"/>
            <a:cs typeface="Arial"/>
          </a:endParaRPr>
        </a:p>
      </xdr:txBody>
    </xdr:sp>
    <xdr:clientData/>
  </xdr:oneCellAnchor>
  <xdr:twoCellAnchor>
    <xdr:from>
      <xdr:col>6</xdr:col>
      <xdr:colOff>438150</xdr:colOff>
      <xdr:row>14</xdr:row>
      <xdr:rowOff>19051</xdr:rowOff>
    </xdr:from>
    <xdr:to>
      <xdr:col>8</xdr:col>
      <xdr:colOff>1304925</xdr:colOff>
      <xdr:row>28</xdr:row>
      <xdr:rowOff>104775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171449</xdr:colOff>
      <xdr:row>15</xdr:row>
      <xdr:rowOff>9526</xdr:rowOff>
    </xdr:from>
    <xdr:ext cx="10410825" cy="200024"/>
    <xdr:sp macro="" textlink="">
      <xdr:nvSpPr>
        <xdr:cNvPr id="4" name="Text Box 14"/>
        <xdr:cNvSpPr txBox="1">
          <a:spLocks noChangeArrowheads="1"/>
        </xdr:cNvSpPr>
      </xdr:nvSpPr>
      <xdr:spPr bwMode="auto">
        <a:xfrm>
          <a:off x="171449" y="6067426"/>
          <a:ext cx="10410825" cy="200024"/>
        </a:xfrm>
        <a:prstGeom prst="rect">
          <a:avLst/>
        </a:prstGeom>
        <a:noFill/>
        <a:ln w="25400" cap="flat" cmpd="sng" algn="ctr">
          <a:noFill/>
          <a:prstDash val="solid"/>
          <a:miter lim="800000"/>
          <a:headEnd type="none" w="med" len="med"/>
          <a:tailEnd type="none" w="med" len="med"/>
        </a:ln>
        <a:effectLst/>
      </xdr:spPr>
      <xdr:txBody>
        <a:bodyPr vertOverflow="clip" wrap="square" lIns="25400" tIns="0" rIns="2540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strike="noStrike">
              <a:solidFill>
                <a:srgbClr val="000000"/>
              </a:solidFill>
              <a:latin typeface="Arial"/>
              <a:cs typeface="Arial"/>
            </a:rPr>
            <a:t>The table</a:t>
          </a:r>
          <a:r>
            <a:rPr lang="en-US" sz="1000" b="0" i="0" strike="noStrike" baseline="0">
              <a:solidFill>
                <a:srgbClr val="000000"/>
              </a:solidFill>
              <a:latin typeface="Arial"/>
              <a:cs typeface="Arial"/>
            </a:rPr>
            <a:t> and graph below summarize the annual profit on the revenue gain (the benefit).</a:t>
          </a:r>
          <a:endParaRPr lang="en-US" sz="1000" b="0" i="0" strike="noStrike">
            <a:solidFill>
              <a:srgbClr val="000000"/>
            </a:solidFill>
            <a:latin typeface="Arial"/>
            <a:cs typeface="Arial"/>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6</xdr:col>
      <xdr:colOff>247650</xdr:colOff>
      <xdr:row>31</xdr:row>
      <xdr:rowOff>333375</xdr:rowOff>
    </xdr:from>
    <xdr:to>
      <xdr:col>10</xdr:col>
      <xdr:colOff>3002491</xdr:colOff>
      <xdr:row>47</xdr:row>
      <xdr:rowOff>57150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1057</xdr:colOff>
      <xdr:row>1</xdr:row>
      <xdr:rowOff>57151</xdr:rowOff>
    </xdr:from>
    <xdr:to>
      <xdr:col>10</xdr:col>
      <xdr:colOff>2817282</xdr:colOff>
      <xdr:row>1</xdr:row>
      <xdr:rowOff>1873251</xdr:rowOff>
    </xdr:to>
    <xdr:sp macro="" textlink="">
      <xdr:nvSpPr>
        <xdr:cNvPr id="4" name="Text Box 4"/>
        <xdr:cNvSpPr txBox="1">
          <a:spLocks noChangeArrowheads="1"/>
        </xdr:cNvSpPr>
      </xdr:nvSpPr>
      <xdr:spPr bwMode="auto">
        <a:xfrm>
          <a:off x="180974" y="395818"/>
          <a:ext cx="10106025" cy="1816100"/>
        </a:xfrm>
        <a:prstGeom prst="rect">
          <a:avLst/>
        </a:prstGeom>
        <a:noFill/>
        <a:ln w="25400">
          <a:noFill/>
          <a:miter lim="800000"/>
          <a:headEnd/>
          <a:tailEnd/>
        </a:ln>
      </xdr:spPr>
      <xdr:txBody>
        <a:bodyPr vertOverflow="clip" wrap="square" lIns="27432" tIns="18288" rIns="0" bIns="0" anchor="t" upright="1"/>
        <a:lstStyle/>
        <a:p>
          <a:pPr marL="0" indent="0" algn="l" rtl="0">
            <a:defRPr sz="1000"/>
          </a:pPr>
          <a:r>
            <a:rPr lang="en-US" sz="1050" b="0" i="0" strike="noStrike">
              <a:solidFill>
                <a:srgbClr val="000000"/>
              </a:solidFill>
              <a:latin typeface="Arial" pitchFamily="34" charset="0"/>
              <a:ea typeface="Verdana"/>
              <a:cs typeface="Arial" pitchFamily="34" charset="0"/>
            </a:rPr>
            <a:t>Not all benefits can credibly be translated into financial ($) benefit terms.  These are sometimes referred to as intangible benefits.  This worksheet provides a structure (one of many) to estimate how the initiative may impact non-financial KPIs.  </a:t>
          </a:r>
        </a:p>
        <a:p>
          <a:pPr marL="0" indent="0" algn="l" rtl="0">
            <a:defRPr sz="1000"/>
          </a:pPr>
          <a:endParaRPr lang="en-US" sz="1050" b="0" i="0" strike="noStrike">
            <a:solidFill>
              <a:srgbClr val="000000"/>
            </a:solidFill>
            <a:latin typeface="Arial" pitchFamily="34" charset="0"/>
            <a:ea typeface="Verdana"/>
            <a:cs typeface="Arial" pitchFamily="34" charset="0"/>
          </a:endParaRPr>
        </a:p>
        <a:p>
          <a:pPr marL="0" indent="0" algn="l" rtl="0">
            <a:defRPr sz="1000"/>
          </a:pPr>
          <a:r>
            <a:rPr lang="en-US" sz="1050" b="0" i="0" strike="noStrike">
              <a:solidFill>
                <a:srgbClr val="000000"/>
              </a:solidFill>
              <a:latin typeface="Arial" pitchFamily="34" charset="0"/>
              <a:ea typeface="Verdana"/>
              <a:cs typeface="Arial" pitchFamily="34" charset="0"/>
            </a:rPr>
            <a:t>The percentiles</a:t>
          </a:r>
          <a:r>
            <a:rPr lang="en-US" sz="1050" b="0" i="0" strike="noStrike" baseline="0">
              <a:solidFill>
                <a:srgbClr val="000000"/>
              </a:solidFill>
              <a:latin typeface="Arial" pitchFamily="34" charset="0"/>
              <a:ea typeface="Verdana"/>
              <a:cs typeface="Arial" pitchFamily="34" charset="0"/>
            </a:rPr>
            <a:t> shown are how the organization's KPI performance compares to others in the industry.  0% represents worst performance in the industry (laggard); 50% is average performance; 100% is best in the industry (world class performance).  For example, being at the 20th percentile implies that 80% of the other organizations in the industry perform better.  The "Improvement" indicates how much the organization is expected to improve KPI performance due to the solutions selected.  The model assumes a linear relationship between KPI performance and industry percentile -- a simplifying assumption.</a:t>
          </a:r>
        </a:p>
        <a:p>
          <a:pPr marL="0" indent="0" algn="l" rtl="0">
            <a:defRPr sz="1000"/>
          </a:pPr>
          <a:endParaRPr lang="en-US" sz="1050" b="0" i="0" strike="noStrike" baseline="0">
            <a:solidFill>
              <a:srgbClr val="000000"/>
            </a:solidFill>
            <a:latin typeface="Arial" pitchFamily="34" charset="0"/>
            <a:ea typeface="Verdana"/>
            <a:cs typeface="Arial" pitchFamily="34" charset="0"/>
          </a:endParaRPr>
        </a:p>
        <a:p>
          <a:pPr marL="0" indent="0" algn="l" rtl="0">
            <a:defRPr sz="1000"/>
          </a:pPr>
          <a:r>
            <a:rPr lang="en-US" sz="1050" b="0" i="0" strike="noStrike" baseline="0">
              <a:solidFill>
                <a:srgbClr val="000000"/>
              </a:solidFill>
              <a:latin typeface="Arial" pitchFamily="34" charset="0"/>
              <a:ea typeface="Verdana"/>
              <a:cs typeface="Arial" pitchFamily="34" charset="0"/>
            </a:rPr>
            <a:t>Select "Business Objectives" and KPIs that are important to your business and are expected to be significantly impacted by the solution.  Estimate "Laggard" and "World Class" KPI values in your industry.  Next determine what percentile your organization is currently performing at (the as-is KPI value is calculated).  Next determine to what percentile you expect the initiative will take you to.  The to-be KPI value (and % improvement) are calculated.  </a:t>
          </a:r>
        </a:p>
        <a:p>
          <a:pPr marL="0" indent="0" algn="l" rtl="0">
            <a:defRPr sz="1000"/>
          </a:pPr>
          <a:endParaRPr lang="en-US" sz="1050" b="0" i="0" strike="noStrike">
            <a:solidFill>
              <a:srgbClr val="000000"/>
            </a:solidFill>
            <a:latin typeface="Arial" pitchFamily="34" charset="0"/>
            <a:ea typeface="Verdana"/>
            <a:cs typeface="Arial" pitchFamily="34" charset="0"/>
          </a:endParaRPr>
        </a:p>
      </xdr:txBody>
    </xdr:sp>
    <xdr:clientData/>
  </xdr:twoCellAnchor>
  <xdr:twoCellAnchor editAs="oneCell">
    <xdr:from>
      <xdr:col>1</xdr:col>
      <xdr:colOff>9525</xdr:colOff>
      <xdr:row>31</xdr:row>
      <xdr:rowOff>9526</xdr:rowOff>
    </xdr:from>
    <xdr:to>
      <xdr:col>10</xdr:col>
      <xdr:colOff>2826808</xdr:colOff>
      <xdr:row>31</xdr:row>
      <xdr:rowOff>377825</xdr:rowOff>
    </xdr:to>
    <xdr:sp macro="" textlink="">
      <xdr:nvSpPr>
        <xdr:cNvPr id="5" name="Text Box 4"/>
        <xdr:cNvSpPr txBox="1">
          <a:spLocks noChangeArrowheads="1"/>
        </xdr:cNvSpPr>
      </xdr:nvSpPr>
      <xdr:spPr bwMode="auto">
        <a:xfrm>
          <a:off x="190500" y="12087226"/>
          <a:ext cx="10106025" cy="371474"/>
        </a:xfrm>
        <a:prstGeom prst="rect">
          <a:avLst/>
        </a:prstGeom>
        <a:noFill/>
        <a:ln w="25400">
          <a:noFill/>
          <a:miter lim="800000"/>
          <a:headEnd/>
          <a:tailEnd/>
        </a:ln>
      </xdr:spPr>
      <xdr:txBody>
        <a:bodyPr vertOverflow="clip" wrap="square" lIns="27432" tIns="18288" rIns="0" bIns="0" anchor="t" upright="1"/>
        <a:lstStyle/>
        <a:p>
          <a:pPr marL="0" indent="0" algn="l" rtl="0">
            <a:defRPr sz="1000"/>
          </a:pPr>
          <a:r>
            <a:rPr lang="en-US" sz="1050" b="0" i="0" strike="noStrike" baseline="0">
              <a:solidFill>
                <a:srgbClr val="000000"/>
              </a:solidFill>
              <a:latin typeface="Arial" pitchFamily="34" charset="0"/>
              <a:ea typeface="Verdana"/>
              <a:cs typeface="Arial" pitchFamily="34" charset="0"/>
            </a:rPr>
            <a:t>The category as-is, to-be, and improvement average percentiles are summarized below.  Note:  the improvement (Imp.) is not the KPI value % improvement, it shows the percentile point improvement.</a:t>
          </a:r>
        </a:p>
      </xdr:txBody>
    </xdr:sp>
    <xdr:clientData/>
  </xdr:twoCellAnchor>
</xdr:wsDr>
</file>

<file path=xl/drawings/drawing14.xml><?xml version="1.0" encoding="utf-8"?>
<c:userShapes xmlns:c="http://schemas.openxmlformats.org/drawingml/2006/chart">
  <cdr:relSizeAnchor xmlns:cdr="http://schemas.openxmlformats.org/drawingml/2006/chartDrawing">
    <cdr:from>
      <cdr:x>0</cdr:x>
      <cdr:y>0.07507</cdr:y>
    </cdr:from>
    <cdr:to>
      <cdr:x>0.14842</cdr:x>
      <cdr:y>0.21922</cdr:y>
    </cdr:to>
    <cdr:sp macro="" textlink="">
      <cdr:nvSpPr>
        <cdr:cNvPr id="2" name="TextBox 1"/>
        <cdr:cNvSpPr txBox="1"/>
      </cdr:nvSpPr>
      <cdr:spPr>
        <a:xfrm xmlns:a="http://schemas.openxmlformats.org/drawingml/2006/main">
          <a:off x="0" y="238115"/>
          <a:ext cx="700095" cy="457219"/>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n-US" sz="1100" b="1"/>
            <a:t>World</a:t>
          </a:r>
          <a:r>
            <a:rPr lang="en-US" sz="1100" b="1" baseline="0"/>
            <a:t> Class</a:t>
          </a:r>
          <a:endParaRPr lang="en-US" sz="1100" b="1"/>
        </a:p>
      </cdr:txBody>
    </cdr:sp>
  </cdr:relSizeAnchor>
  <cdr:relSizeAnchor xmlns:cdr="http://schemas.openxmlformats.org/drawingml/2006/chartDrawing">
    <cdr:from>
      <cdr:x>0</cdr:x>
      <cdr:y>0.72072</cdr:y>
    </cdr:from>
    <cdr:to>
      <cdr:x>0.14842</cdr:x>
      <cdr:y>0.86486</cdr:y>
    </cdr:to>
    <cdr:sp macro="" textlink="">
      <cdr:nvSpPr>
        <cdr:cNvPr id="3" name="TextBox 2"/>
        <cdr:cNvSpPr txBox="1"/>
      </cdr:nvSpPr>
      <cdr:spPr>
        <a:xfrm xmlns:a="http://schemas.openxmlformats.org/drawingml/2006/main">
          <a:off x="0" y="2286007"/>
          <a:ext cx="700096" cy="457187"/>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n-US" sz="1100" b="1"/>
            <a:t>Laggard</a:t>
          </a:r>
        </a:p>
      </cdr:txBody>
    </cdr:sp>
  </cdr:relSizeAnchor>
</c:userShapes>
</file>

<file path=xl/drawings/drawing15.xml><?xml version="1.0" encoding="utf-8"?>
<xdr:wsDr xmlns:xdr="http://schemas.openxmlformats.org/drawingml/2006/spreadsheetDrawing" xmlns:a="http://schemas.openxmlformats.org/drawingml/2006/main">
  <xdr:twoCellAnchor>
    <xdr:from>
      <xdr:col>7</xdr:col>
      <xdr:colOff>119064</xdr:colOff>
      <xdr:row>4</xdr:row>
      <xdr:rowOff>0</xdr:rowOff>
    </xdr:from>
    <xdr:to>
      <xdr:col>11</xdr:col>
      <xdr:colOff>409575</xdr:colOff>
      <xdr:row>15</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133350</xdr:colOff>
      <xdr:row>172</xdr:row>
      <xdr:rowOff>95250</xdr:rowOff>
    </xdr:from>
    <xdr:to>
      <xdr:col>5</xdr:col>
      <xdr:colOff>38100</xdr:colOff>
      <xdr:row>187</xdr:row>
      <xdr:rowOff>28575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142873</xdr:colOff>
      <xdr:row>21</xdr:row>
      <xdr:rowOff>66675</xdr:rowOff>
    </xdr:from>
    <xdr:to>
      <xdr:col>5</xdr:col>
      <xdr:colOff>762000</xdr:colOff>
      <xdr:row>40</xdr:row>
      <xdr:rowOff>123825</xdr:rowOff>
    </xdr:to>
    <xdr:graphicFrame macro="">
      <xdr:nvGraphicFramePr>
        <xdr:cNvPr id="17" name="Chart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214313</xdr:colOff>
      <xdr:row>21</xdr:row>
      <xdr:rowOff>76200</xdr:rowOff>
    </xdr:from>
    <xdr:to>
      <xdr:col>11</xdr:col>
      <xdr:colOff>559593</xdr:colOff>
      <xdr:row>40</xdr:row>
      <xdr:rowOff>123825</xdr:rowOff>
    </xdr:to>
    <xdr:graphicFrame macro="">
      <xdr:nvGraphicFramePr>
        <xdr:cNvPr id="18" name="Chart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742951</xdr:colOff>
      <xdr:row>252</xdr:row>
      <xdr:rowOff>85725</xdr:rowOff>
    </xdr:from>
    <xdr:to>
      <xdr:col>11</xdr:col>
      <xdr:colOff>638175</xdr:colOff>
      <xdr:row>274</xdr:row>
      <xdr:rowOff>38100</xdr:rowOff>
    </xdr:to>
    <xdr:graphicFrame macro="">
      <xdr:nvGraphicFramePr>
        <xdr:cNvPr id="20"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0</xdr:colOff>
      <xdr:row>311</xdr:row>
      <xdr:rowOff>104775</xdr:rowOff>
    </xdr:from>
    <xdr:to>
      <xdr:col>5</xdr:col>
      <xdr:colOff>638175</xdr:colOff>
      <xdr:row>336</xdr:row>
      <xdr:rowOff>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2380</xdr:colOff>
      <xdr:row>347</xdr:row>
      <xdr:rowOff>95250</xdr:rowOff>
    </xdr:from>
    <xdr:to>
      <xdr:col>5</xdr:col>
      <xdr:colOff>583406</xdr:colOff>
      <xdr:row>368</xdr:row>
      <xdr:rowOff>19050</xdr:rowOff>
    </xdr:to>
    <xdr:graphicFrame macro="">
      <xdr:nvGraphicFramePr>
        <xdr:cNvPr id="23" name="Chart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0</xdr:colOff>
      <xdr:row>381</xdr:row>
      <xdr:rowOff>114300</xdr:rowOff>
    </xdr:from>
    <xdr:to>
      <xdr:col>7</xdr:col>
      <xdr:colOff>28575</xdr:colOff>
      <xdr:row>403</xdr:row>
      <xdr:rowOff>9525</xdr:rowOff>
    </xdr:to>
    <xdr:graphicFrame macro="">
      <xdr:nvGraphicFramePr>
        <xdr:cNvPr id="24" name="Chart 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130970</xdr:colOff>
      <xdr:row>252</xdr:row>
      <xdr:rowOff>95250</xdr:rowOff>
    </xdr:from>
    <xdr:to>
      <xdr:col>4</xdr:col>
      <xdr:colOff>642939</xdr:colOff>
      <xdr:row>274</xdr:row>
      <xdr:rowOff>11906</xdr:rowOff>
    </xdr:to>
    <xdr:graphicFrame macro="">
      <xdr:nvGraphicFramePr>
        <xdr:cNvPr id="2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11907</xdr:colOff>
      <xdr:row>214</xdr:row>
      <xdr:rowOff>107156</xdr:rowOff>
    </xdr:from>
    <xdr:to>
      <xdr:col>8</xdr:col>
      <xdr:colOff>285750</xdr:colOff>
      <xdr:row>237</xdr:row>
      <xdr:rowOff>35718</xdr:rowOff>
    </xdr:to>
    <xdr:graphicFrame macro="">
      <xdr:nvGraphicFramePr>
        <xdr:cNvPr id="3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0</xdr:colOff>
      <xdr:row>276</xdr:row>
      <xdr:rowOff>85726</xdr:rowOff>
    </xdr:from>
    <xdr:to>
      <xdr:col>7</xdr:col>
      <xdr:colOff>609600</xdr:colOff>
      <xdr:row>292</xdr:row>
      <xdr:rowOff>142876</xdr:rowOff>
    </xdr:to>
    <xdr:graphicFrame macro="">
      <xdr:nvGraphicFramePr>
        <xdr:cNvPr id="22" name="Chart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104775</xdr:colOff>
      <xdr:row>75</xdr:row>
      <xdr:rowOff>28575</xdr:rowOff>
    </xdr:from>
    <xdr:to>
      <xdr:col>7</xdr:col>
      <xdr:colOff>447674</xdr:colOff>
      <xdr:row>99</xdr:row>
      <xdr:rowOff>61385</xdr:rowOff>
    </xdr:to>
    <xdr:graphicFrame macro="">
      <xdr:nvGraphicFramePr>
        <xdr:cNvPr id="25" name="Chart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123825</xdr:colOff>
      <xdr:row>45</xdr:row>
      <xdr:rowOff>76200</xdr:rowOff>
    </xdr:from>
    <xdr:to>
      <xdr:col>11</xdr:col>
      <xdr:colOff>647700</xdr:colOff>
      <xdr:row>70</xdr:row>
      <xdr:rowOff>152400</xdr:rowOff>
    </xdr:to>
    <xdr:graphicFrame macro="">
      <xdr:nvGraphicFramePr>
        <xdr:cNvPr id="32" name="Chart 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1</xdr:col>
      <xdr:colOff>57150</xdr:colOff>
      <xdr:row>99</xdr:row>
      <xdr:rowOff>114300</xdr:rowOff>
    </xdr:from>
    <xdr:to>
      <xdr:col>7</xdr:col>
      <xdr:colOff>392642</xdr:colOff>
      <xdr:row>116</xdr:row>
      <xdr:rowOff>140758</xdr:rowOff>
    </xdr:to>
    <xdr:pic>
      <xdr:nvPicPr>
        <xdr:cNvPr id="16" name="Picture 15"/>
        <xdr:cNvPicPr/>
      </xdr:nvPicPr>
      <xdr:blipFill>
        <a:blip xmlns:r="http://schemas.openxmlformats.org/officeDocument/2006/relationships" r:embed="rId14"/>
        <a:srcRect/>
        <a:stretch>
          <a:fillRect/>
        </a:stretch>
      </xdr:blipFill>
      <xdr:spPr bwMode="auto">
        <a:xfrm>
          <a:off x="257175" y="20821650"/>
          <a:ext cx="5240867" cy="2779183"/>
        </a:xfrm>
        <a:prstGeom prst="rect">
          <a:avLst/>
        </a:prstGeom>
        <a:noFill/>
        <a:ln w="9525">
          <a:noFill/>
          <a:miter lim="800000"/>
          <a:headEnd/>
          <a:tailEnd/>
        </a:ln>
      </xdr:spPr>
    </xdr:pic>
    <xdr:clientData/>
  </xdr:twoCellAnchor>
  <xdr:twoCellAnchor>
    <xdr:from>
      <xdr:col>3</xdr:col>
      <xdr:colOff>0</xdr:colOff>
      <xdr:row>415</xdr:row>
      <xdr:rowOff>0</xdr:rowOff>
    </xdr:from>
    <xdr:to>
      <xdr:col>7</xdr:col>
      <xdr:colOff>97366</xdr:colOff>
      <xdr:row>434</xdr:row>
      <xdr:rowOff>95250</xdr:rowOff>
    </xdr:to>
    <xdr:graphicFrame macro="">
      <xdr:nvGraphicFramePr>
        <xdr:cNvPr id="26" name="Chart 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0.19782</cdr:x>
      <cdr:y>0.22725</cdr:y>
    </cdr:from>
    <cdr:to>
      <cdr:x>0.97641</cdr:x>
      <cdr:y>0.30916</cdr:y>
    </cdr:to>
    <cdr:sp macro="" textlink="">
      <cdr:nvSpPr>
        <cdr:cNvPr id="2" name="TextBox 13"/>
        <cdr:cNvSpPr txBox="1"/>
      </cdr:nvSpPr>
      <cdr:spPr>
        <a:xfrm xmlns:a="http://schemas.openxmlformats.org/drawingml/2006/main">
          <a:off x="1038225" y="819150"/>
          <a:ext cx="4086223" cy="295275"/>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lang="en-US" sz="1000" b="0"/>
            <a:t>Infant</a:t>
          </a:r>
          <a:r>
            <a:rPr lang="en-US" sz="1000" b="0" baseline="0"/>
            <a:t>	Child	Teenager	Adult	Sage</a:t>
          </a:r>
          <a:endParaRPr lang="en-US" sz="1000" b="0"/>
        </a:p>
      </cdr:txBody>
    </cdr:sp>
  </cdr:relSizeAnchor>
</c:userShapes>
</file>

<file path=xl/drawings/drawing17.xml><?xml version="1.0" encoding="utf-8"?>
<c:userShapes xmlns:c="http://schemas.openxmlformats.org/drawingml/2006/chart">
  <cdr:relSizeAnchor xmlns:cdr="http://schemas.openxmlformats.org/drawingml/2006/chartDrawing">
    <cdr:from>
      <cdr:x>0</cdr:x>
      <cdr:y>0.07507</cdr:y>
    </cdr:from>
    <cdr:to>
      <cdr:x>0.14842</cdr:x>
      <cdr:y>0.21922</cdr:y>
    </cdr:to>
    <cdr:sp macro="" textlink="">
      <cdr:nvSpPr>
        <cdr:cNvPr id="2" name="TextBox 1"/>
        <cdr:cNvSpPr txBox="1"/>
      </cdr:nvSpPr>
      <cdr:spPr>
        <a:xfrm xmlns:a="http://schemas.openxmlformats.org/drawingml/2006/main">
          <a:off x="0" y="238115"/>
          <a:ext cx="700095" cy="457219"/>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n-US" sz="1100" b="1"/>
            <a:t>World</a:t>
          </a:r>
          <a:r>
            <a:rPr lang="en-US" sz="1100" b="1" baseline="0"/>
            <a:t> Class</a:t>
          </a:r>
          <a:endParaRPr lang="en-US" sz="1100" b="1"/>
        </a:p>
      </cdr:txBody>
    </cdr:sp>
  </cdr:relSizeAnchor>
  <cdr:relSizeAnchor xmlns:cdr="http://schemas.openxmlformats.org/drawingml/2006/chartDrawing">
    <cdr:from>
      <cdr:x>0</cdr:x>
      <cdr:y>0.72072</cdr:y>
    </cdr:from>
    <cdr:to>
      <cdr:x>0.14842</cdr:x>
      <cdr:y>0.86486</cdr:y>
    </cdr:to>
    <cdr:sp macro="" textlink="">
      <cdr:nvSpPr>
        <cdr:cNvPr id="3" name="TextBox 2"/>
        <cdr:cNvSpPr txBox="1"/>
      </cdr:nvSpPr>
      <cdr:spPr>
        <a:xfrm xmlns:a="http://schemas.openxmlformats.org/drawingml/2006/main">
          <a:off x="0" y="2286007"/>
          <a:ext cx="700096" cy="457187"/>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r>
            <a:rPr lang="en-US" sz="1100" b="1"/>
            <a:t>Laggard</a:t>
          </a:r>
        </a:p>
      </cdr:txBody>
    </cdr:sp>
  </cdr:relSizeAnchor>
</c:userShapes>
</file>

<file path=xl/drawings/drawing2.xml><?xml version="1.0" encoding="utf-8"?>
<xdr:wsDr xmlns:xdr="http://schemas.openxmlformats.org/drawingml/2006/spreadsheetDrawing" xmlns:a="http://schemas.openxmlformats.org/drawingml/2006/main">
  <xdr:twoCellAnchor>
    <xdr:from>
      <xdr:col>10</xdr:col>
      <xdr:colOff>76200</xdr:colOff>
      <xdr:row>13</xdr:row>
      <xdr:rowOff>222251</xdr:rowOff>
    </xdr:from>
    <xdr:to>
      <xdr:col>14</xdr:col>
      <xdr:colOff>506730</xdr:colOff>
      <xdr:row>19</xdr:row>
      <xdr:rowOff>542925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76200</xdr:colOff>
      <xdr:row>19</xdr:row>
      <xdr:rowOff>619125</xdr:rowOff>
    </xdr:from>
    <xdr:to>
      <xdr:col>14</xdr:col>
      <xdr:colOff>506730</xdr:colOff>
      <xdr:row>29</xdr:row>
      <xdr:rowOff>104775</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76200</xdr:colOff>
      <xdr:row>30</xdr:row>
      <xdr:rowOff>1</xdr:rowOff>
    </xdr:from>
    <xdr:to>
      <xdr:col>14</xdr:col>
      <xdr:colOff>506730</xdr:colOff>
      <xdr:row>39</xdr:row>
      <xdr:rowOff>48474</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17</xdr:col>
      <xdr:colOff>104775</xdr:colOff>
      <xdr:row>0</xdr:row>
      <xdr:rowOff>0</xdr:rowOff>
    </xdr:from>
    <xdr:to>
      <xdr:col>20</xdr:col>
      <xdr:colOff>531495</xdr:colOff>
      <xdr:row>1</xdr:row>
      <xdr:rowOff>502920</xdr:rowOff>
    </xdr:to>
    <xdr:pic>
      <xdr:nvPicPr>
        <xdr:cNvPr id="8" name="Picture 7"/>
        <xdr:cNvPicPr/>
      </xdr:nvPicPr>
      <xdr:blipFill>
        <a:blip xmlns:r="http://schemas.openxmlformats.org/officeDocument/2006/relationships" r:embed="rId4"/>
        <a:srcRect/>
        <a:stretch>
          <a:fillRect/>
        </a:stretch>
      </xdr:blipFill>
      <xdr:spPr bwMode="auto">
        <a:xfrm>
          <a:off x="10858500" y="0"/>
          <a:ext cx="2255520" cy="845820"/>
        </a:xfrm>
        <a:prstGeom prst="rect">
          <a:avLst/>
        </a:prstGeom>
        <a:noFill/>
      </xdr:spPr>
    </xdr:pic>
    <xdr:clientData/>
  </xdr:twoCellAnchor>
  <xdr:twoCellAnchor editAs="oneCell">
    <xdr:from>
      <xdr:col>5</xdr:col>
      <xdr:colOff>572558</xdr:colOff>
      <xdr:row>93</xdr:row>
      <xdr:rowOff>120649</xdr:rowOff>
    </xdr:from>
    <xdr:to>
      <xdr:col>14</xdr:col>
      <xdr:colOff>88900</xdr:colOff>
      <xdr:row>107</xdr:row>
      <xdr:rowOff>23282</xdr:rowOff>
    </xdr:to>
    <xdr:pic>
      <xdr:nvPicPr>
        <xdr:cNvPr id="9" name="Picture 8"/>
        <xdr:cNvPicPr/>
      </xdr:nvPicPr>
      <xdr:blipFill>
        <a:blip xmlns:r="http://schemas.openxmlformats.org/officeDocument/2006/relationships" r:embed="rId5"/>
        <a:srcRect/>
        <a:stretch>
          <a:fillRect/>
        </a:stretch>
      </xdr:blipFill>
      <xdr:spPr bwMode="auto">
        <a:xfrm>
          <a:off x="4973108" y="26028649"/>
          <a:ext cx="5240867" cy="2779183"/>
        </a:xfrm>
        <a:prstGeom prst="rect">
          <a:avLst/>
        </a:prstGeom>
        <a:noFill/>
        <a:ln w="9525">
          <a:noFill/>
          <a:miter lim="800000"/>
          <a:headEnd/>
          <a:tailEnd/>
        </a:ln>
      </xdr:spPr>
    </xdr:pic>
    <xdr:clientData/>
  </xdr:twoCellAnchor>
  <xdr:twoCellAnchor>
    <xdr:from>
      <xdr:col>2</xdr:col>
      <xdr:colOff>533400</xdr:colOff>
      <xdr:row>85</xdr:row>
      <xdr:rowOff>57150</xdr:rowOff>
    </xdr:from>
    <xdr:to>
      <xdr:col>4</xdr:col>
      <xdr:colOff>95251</xdr:colOff>
      <xdr:row>85</xdr:row>
      <xdr:rowOff>619125</xdr:rowOff>
    </xdr:to>
    <xdr:sp macro="" textlink="">
      <xdr:nvSpPr>
        <xdr:cNvPr id="10" name="TextBox 9"/>
        <xdr:cNvSpPr txBox="1"/>
      </xdr:nvSpPr>
      <xdr:spPr>
        <a:xfrm>
          <a:off x="819150" y="22298025"/>
          <a:ext cx="2981326" cy="561975"/>
        </a:xfrm>
        <a:prstGeom prst="rect">
          <a:avLst/>
        </a:prstGeom>
        <a:ln/>
      </xdr:spPr>
      <xdr:style>
        <a:lnRef idx="1">
          <a:schemeClr val="accent1"/>
        </a:lnRef>
        <a:fillRef idx="2">
          <a:schemeClr val="accent1"/>
        </a:fillRef>
        <a:effectRef idx="1">
          <a:schemeClr val="accent1"/>
        </a:effectRef>
        <a:fontRef idx="minor">
          <a:schemeClr val="dk1"/>
        </a:fontRef>
      </xdr:style>
      <xdr:txBody>
        <a:bodyPr wrap="square" rtlCol="0" anchor="t"/>
        <a:lstStyle/>
        <a:p>
          <a:pPr algn="ctr"/>
          <a:r>
            <a:rPr lang="en-US" sz="1400" b="1" u="sng"/>
            <a:t>Key</a:t>
          </a:r>
          <a:endParaRPr lang="en-US" sz="1100"/>
        </a:p>
        <a:p>
          <a:r>
            <a:rPr lang="en-US" sz="1100" baseline="0"/>
            <a:t>1 = Infant; 2=Child; 3=Teenager; 4=Adult; 5=Sage</a:t>
          </a:r>
        </a:p>
      </xdr:txBody>
    </xdr:sp>
    <xdr:clientData/>
  </xdr:twoCellAnchor>
  <xdr:twoCellAnchor>
    <xdr:from>
      <xdr:col>5</xdr:col>
      <xdr:colOff>570443</xdr:colOff>
      <xdr:row>85</xdr:row>
      <xdr:rowOff>96306</xdr:rowOff>
    </xdr:from>
    <xdr:to>
      <xdr:col>14</xdr:col>
      <xdr:colOff>94192</xdr:colOff>
      <xdr:row>93</xdr:row>
      <xdr:rowOff>33866</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635001</xdr:colOff>
      <xdr:row>58</xdr:row>
      <xdr:rowOff>74087</xdr:rowOff>
    </xdr:from>
    <xdr:to>
      <xdr:col>14</xdr:col>
      <xdr:colOff>508000</xdr:colOff>
      <xdr:row>63</xdr:row>
      <xdr:rowOff>84668</xdr:rowOff>
    </xdr:to>
    <xdr:sp macro="" textlink="">
      <xdr:nvSpPr>
        <xdr:cNvPr id="12" name="TextBox 11"/>
        <xdr:cNvSpPr txBox="1"/>
      </xdr:nvSpPr>
      <xdr:spPr>
        <a:xfrm>
          <a:off x="6455834" y="15472837"/>
          <a:ext cx="4201583" cy="1957914"/>
        </a:xfrm>
        <a:prstGeom prst="rect">
          <a:avLst/>
        </a:prstGeom>
        <a:ln/>
      </xdr:spPr>
      <xdr:style>
        <a:lnRef idx="1">
          <a:schemeClr val="accent1"/>
        </a:lnRef>
        <a:fillRef idx="2">
          <a:schemeClr val="accent1"/>
        </a:fillRef>
        <a:effectRef idx="1">
          <a:schemeClr val="accent1"/>
        </a:effectRef>
        <a:fontRef idx="minor">
          <a:schemeClr val="dk1"/>
        </a:fontRef>
      </xdr:style>
      <xdr:txBody>
        <a:bodyPr wrap="square" rtlCol="0" anchor="t"/>
        <a:lstStyle/>
        <a:p>
          <a:pPr algn="ctr"/>
          <a:r>
            <a:rPr lang="en-US" sz="1400" b="1" u="sng"/>
            <a:t>*Initiative Investment</a:t>
          </a:r>
          <a:r>
            <a:rPr lang="en-US" sz="1400" b="1" u="sng" baseline="0"/>
            <a:t> Level </a:t>
          </a:r>
          <a:r>
            <a:rPr lang="en-US" sz="1400" b="1" u="sng"/>
            <a:t>Key</a:t>
          </a:r>
        </a:p>
        <a:p>
          <a:r>
            <a:rPr lang="en-US" sz="1100"/>
            <a:t>0</a:t>
          </a:r>
          <a:r>
            <a:rPr lang="en-US" sz="1100" baseline="0"/>
            <a:t> = No investment simulated</a:t>
          </a:r>
        </a:p>
        <a:p>
          <a:r>
            <a:rPr lang="en-US" sz="1100" baseline="0"/>
            <a:t>1 = Minor enhancement/upgrade</a:t>
          </a:r>
        </a:p>
        <a:p>
          <a:r>
            <a:rPr lang="en-US" sz="1100" baseline="0"/>
            <a:t>2 = Moderate improvement</a:t>
          </a:r>
        </a:p>
        <a:p>
          <a:r>
            <a:rPr lang="en-US" sz="1100" baseline="0"/>
            <a:t>3 = Substantial improvement / major overhaul</a:t>
          </a:r>
        </a:p>
        <a:p>
          <a:endParaRPr lang="en-US" sz="1100" baseline="0"/>
        </a:p>
        <a:p>
          <a:pPr algn="ctr"/>
          <a:r>
            <a:rPr lang="en-US" sz="1400" b="1" u="sng">
              <a:solidFill>
                <a:schemeClr val="dk1"/>
              </a:solidFill>
              <a:latin typeface="+mn-lt"/>
              <a:ea typeface="+mn-ea"/>
              <a:cs typeface="+mn-cs"/>
            </a:rPr>
            <a:t>**Capability</a:t>
          </a:r>
          <a:r>
            <a:rPr lang="en-US" sz="1400" b="1" u="sng" baseline="0">
              <a:solidFill>
                <a:schemeClr val="dk1"/>
              </a:solidFill>
              <a:latin typeface="+mn-lt"/>
              <a:ea typeface="+mn-ea"/>
              <a:cs typeface="+mn-cs"/>
            </a:rPr>
            <a:t> Investment Importance Key</a:t>
          </a:r>
          <a:endParaRPr lang="en-US" sz="1400"/>
        </a:p>
        <a:p>
          <a:r>
            <a:rPr lang="en-US" sz="1100" baseline="0">
              <a:solidFill>
                <a:schemeClr val="dk1"/>
              </a:solidFill>
              <a:latin typeface="+mn-lt"/>
              <a:ea typeface="+mn-ea"/>
              <a:cs typeface="+mn-cs"/>
            </a:rPr>
            <a:t>0 = Not important; will not impact business performance</a:t>
          </a:r>
        </a:p>
        <a:p>
          <a:r>
            <a:rPr lang="en-US" sz="1100" baseline="0">
              <a:solidFill>
                <a:schemeClr val="dk1"/>
              </a:solidFill>
              <a:latin typeface="+mn-lt"/>
              <a:ea typeface="+mn-ea"/>
              <a:cs typeface="+mn-cs"/>
            </a:rPr>
            <a:t>5 = Moderate business impact</a:t>
          </a:r>
        </a:p>
        <a:p>
          <a:r>
            <a:rPr lang="en-US" sz="1100" baseline="0">
              <a:solidFill>
                <a:schemeClr val="dk1"/>
              </a:solidFill>
              <a:latin typeface="+mn-lt"/>
              <a:ea typeface="+mn-ea"/>
              <a:cs typeface="+mn-cs"/>
            </a:rPr>
            <a:t>10 = Most significant impact on business performance</a:t>
          </a:r>
          <a:endParaRPr lang="en-US" sz="1100" baseline="0"/>
        </a:p>
      </xdr:txBody>
    </xdr:sp>
    <xdr:clientData/>
  </xdr:twoCellAnchor>
  <xdr:twoCellAnchor>
    <xdr:from>
      <xdr:col>7</xdr:col>
      <xdr:colOff>148167</xdr:colOff>
      <xdr:row>64</xdr:row>
      <xdr:rowOff>10583</xdr:rowOff>
    </xdr:from>
    <xdr:to>
      <xdr:col>14</xdr:col>
      <xdr:colOff>518583</xdr:colOff>
      <xdr:row>81</xdr:row>
      <xdr:rowOff>84667</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12</xdr:col>
      <xdr:colOff>304800</xdr:colOff>
      <xdr:row>1</xdr:row>
      <xdr:rowOff>209550</xdr:rowOff>
    </xdr:from>
    <xdr:to>
      <xdr:col>14</xdr:col>
      <xdr:colOff>290858</xdr:colOff>
      <xdr:row>1</xdr:row>
      <xdr:rowOff>535554</xdr:rowOff>
    </xdr:to>
    <xdr:pic>
      <xdr:nvPicPr>
        <xdr:cNvPr id="15" name="Picture 14"/>
        <xdr:cNvPicPr/>
      </xdr:nvPicPr>
      <xdr:blipFill>
        <a:blip xmlns:r="http://schemas.openxmlformats.org/officeDocument/2006/relationships" r:embed="rId8"/>
        <a:srcRect/>
        <a:stretch>
          <a:fillRect/>
        </a:stretch>
      </xdr:blipFill>
      <xdr:spPr bwMode="auto">
        <a:xfrm>
          <a:off x="9144000" y="552450"/>
          <a:ext cx="1271933" cy="326004"/>
        </a:xfrm>
        <a:prstGeom prst="rect">
          <a:avLst/>
        </a:prstGeom>
        <a:noFill/>
        <a:ln w="9525">
          <a:noFill/>
          <a:miter lim="800000"/>
          <a:headEnd/>
          <a:tailEnd/>
        </a:ln>
      </xdr:spPr>
    </xdr:pic>
    <xdr:clientData/>
  </xdr:twoCellAnchor>
</xdr:wsDr>
</file>

<file path=xl/drawings/drawing3.xml><?xml version="1.0" encoding="utf-8"?>
<c:userShapes xmlns:c="http://schemas.openxmlformats.org/drawingml/2006/chart">
  <cdr:relSizeAnchor xmlns:cdr="http://schemas.openxmlformats.org/drawingml/2006/chartDrawing">
    <cdr:from>
      <cdr:x>0.19782</cdr:x>
      <cdr:y>0.22725</cdr:y>
    </cdr:from>
    <cdr:to>
      <cdr:x>0.97641</cdr:x>
      <cdr:y>0.30916</cdr:y>
    </cdr:to>
    <cdr:sp macro="" textlink="">
      <cdr:nvSpPr>
        <cdr:cNvPr id="2" name="TextBox 13"/>
        <cdr:cNvSpPr txBox="1"/>
      </cdr:nvSpPr>
      <cdr:spPr>
        <a:xfrm xmlns:a="http://schemas.openxmlformats.org/drawingml/2006/main">
          <a:off x="1038225" y="819150"/>
          <a:ext cx="4086223" cy="295275"/>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lang="en-US" sz="1000" b="0"/>
            <a:t>Infant</a:t>
          </a:r>
          <a:r>
            <a:rPr lang="en-US" sz="1000" b="0" baseline="0"/>
            <a:t>	Child	Teenager	Adult	Sage</a:t>
          </a:r>
          <a:endParaRPr lang="en-US" sz="1000" b="0"/>
        </a:p>
      </cdr:txBody>
    </cdr:sp>
  </cdr:relSizeAnchor>
</c:userShapes>
</file>

<file path=xl/drawings/drawing4.xml><?xml version="1.0" encoding="utf-8"?>
<xdr:wsDr xmlns:xdr="http://schemas.openxmlformats.org/drawingml/2006/spreadsheetDrawing" xmlns:a="http://schemas.openxmlformats.org/drawingml/2006/main">
  <xdr:twoCellAnchor>
    <xdr:from>
      <xdr:col>19</xdr:col>
      <xdr:colOff>57150</xdr:colOff>
      <xdr:row>4</xdr:row>
      <xdr:rowOff>0</xdr:rowOff>
    </xdr:from>
    <xdr:to>
      <xdr:col>23</xdr:col>
      <xdr:colOff>361950</xdr:colOff>
      <xdr:row>11</xdr:row>
      <xdr:rowOff>9525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197</xdr:row>
      <xdr:rowOff>0</xdr:rowOff>
    </xdr:from>
    <xdr:to>
      <xdr:col>7</xdr:col>
      <xdr:colOff>647700</xdr:colOff>
      <xdr:row>216</xdr:row>
      <xdr:rowOff>95250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123825</xdr:colOff>
      <xdr:row>197</xdr:row>
      <xdr:rowOff>0</xdr:rowOff>
    </xdr:from>
    <xdr:to>
      <xdr:col>13</xdr:col>
      <xdr:colOff>1389529</xdr:colOff>
      <xdr:row>232</xdr:row>
      <xdr:rowOff>142875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78441</xdr:colOff>
      <xdr:row>1</xdr:row>
      <xdr:rowOff>56027</xdr:rowOff>
    </xdr:from>
    <xdr:to>
      <xdr:col>13</xdr:col>
      <xdr:colOff>1243853</xdr:colOff>
      <xdr:row>2</xdr:row>
      <xdr:rowOff>28575</xdr:rowOff>
    </xdr:to>
    <xdr:sp macro="" textlink="">
      <xdr:nvSpPr>
        <xdr:cNvPr id="6" name="TextBox 5"/>
        <xdr:cNvSpPr txBox="1"/>
      </xdr:nvSpPr>
      <xdr:spPr>
        <a:xfrm>
          <a:off x="259416" y="398927"/>
          <a:ext cx="9356912" cy="1086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a:t>This worksheet provides</a:t>
          </a:r>
          <a:r>
            <a:rPr lang="en-US" sz="1100" baseline="0"/>
            <a:t> an adoption assessment of the 4 categories of BI capabilities:  BI Applications, Source System Inclusion ar Integration, DW Platform Enhancements and BI Platform Enhancements.  For each capability, edit the extent of "current adoption (As-is)" and the desired "Simulated Adoption (To-be)".  Also determine the relative importance to your organization (this impacts the benefits) and  relative implementation complexity  (this impacts the costs).  For Source System Inclusion /Integration, also estimate the amount of raw data that would be beneficial to have in the DW.  Defaults values are from the "Profile" worksheet.  Results are summarized at the bottom. </a:t>
          </a:r>
        </a:p>
        <a:p>
          <a:r>
            <a:rPr lang="en-US" sz="1100" baseline="0"/>
            <a:t>This assessment drives all of the default cost, benefit, and maturity estimates throughout the model.   The greater the gap between as-is and to-be, the greater the costs and benefits.</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85725</xdr:colOff>
      <xdr:row>1</xdr:row>
      <xdr:rowOff>28576</xdr:rowOff>
    </xdr:from>
    <xdr:to>
      <xdr:col>9</xdr:col>
      <xdr:colOff>1904999</xdr:colOff>
      <xdr:row>1</xdr:row>
      <xdr:rowOff>447675</xdr:rowOff>
    </xdr:to>
    <xdr:sp macro="" textlink="">
      <xdr:nvSpPr>
        <xdr:cNvPr id="2" name="TextBox 1"/>
        <xdr:cNvSpPr txBox="1"/>
      </xdr:nvSpPr>
      <xdr:spPr>
        <a:xfrm>
          <a:off x="85725" y="371476"/>
          <a:ext cx="10115549" cy="4190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aseline="0">
              <a:solidFill>
                <a:schemeClr val="dk1"/>
              </a:solidFill>
              <a:latin typeface="+mn-lt"/>
              <a:ea typeface="+mn-ea"/>
              <a:cs typeface="+mn-cs"/>
            </a:rPr>
            <a:t>This worksheet estimates "as-is" and "to-be" maturity levels.  Default values are based on the "Initiative Assessment".  Verify/edit "As-Is maturity levels.  A summary of results is provided at the bottom.  This assessment does not impact the costs and benefit calculations</a:t>
          </a:r>
          <a:endParaRPr lang="en-US" sz="1100" baseline="0">
            <a:latin typeface="Arial" pitchFamily="34" charset="0"/>
            <a:cs typeface="Arial" pitchFamily="34" charset="0"/>
          </a:endParaRPr>
        </a:p>
      </xdr:txBody>
    </xdr:sp>
    <xdr:clientData/>
  </xdr:twoCellAnchor>
  <xdr:twoCellAnchor>
    <xdr:from>
      <xdr:col>5</xdr:col>
      <xdr:colOff>219075</xdr:colOff>
      <xdr:row>59</xdr:row>
      <xdr:rowOff>38100</xdr:rowOff>
    </xdr:from>
    <xdr:to>
      <xdr:col>9</xdr:col>
      <xdr:colOff>1962149</xdr:colOff>
      <xdr:row>78</xdr:row>
      <xdr:rowOff>89960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0.20508</cdr:x>
      <cdr:y>0.22989</cdr:y>
    </cdr:from>
    <cdr:to>
      <cdr:x>0.98367</cdr:x>
      <cdr:y>0.3118</cdr:y>
    </cdr:to>
    <cdr:sp macro="" textlink="">
      <cdr:nvSpPr>
        <cdr:cNvPr id="2" name="TextBox 13"/>
        <cdr:cNvSpPr txBox="1"/>
      </cdr:nvSpPr>
      <cdr:spPr>
        <a:xfrm xmlns:a="http://schemas.openxmlformats.org/drawingml/2006/main">
          <a:off x="1076325" y="828675"/>
          <a:ext cx="4086223" cy="295275"/>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lang="en-US" sz="1000" b="0"/>
            <a:t>Infant</a:t>
          </a:r>
          <a:r>
            <a:rPr lang="en-US" sz="1000" b="0" baseline="0"/>
            <a:t>	Child	Teenager	Adult	Sage</a:t>
          </a:r>
          <a:endParaRPr lang="en-US" sz="1000" b="0"/>
        </a:p>
      </cdr:txBody>
    </cdr:sp>
  </cdr:relSizeAnchor>
</c:userShapes>
</file>

<file path=xl/drawings/drawing7.xml><?xml version="1.0" encoding="utf-8"?>
<xdr:wsDr xmlns:xdr="http://schemas.openxmlformats.org/drawingml/2006/spreadsheetDrawing" xmlns:a="http://schemas.openxmlformats.org/drawingml/2006/main">
  <xdr:twoCellAnchor>
    <xdr:from>
      <xdr:col>2</xdr:col>
      <xdr:colOff>809625</xdr:colOff>
      <xdr:row>50</xdr:row>
      <xdr:rowOff>171450</xdr:rowOff>
    </xdr:from>
    <xdr:to>
      <xdr:col>9</xdr:col>
      <xdr:colOff>266700</xdr:colOff>
      <xdr:row>72</xdr:row>
      <xdr:rowOff>104775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xdr:row>
      <xdr:rowOff>0</xdr:rowOff>
    </xdr:from>
    <xdr:to>
      <xdr:col>14</xdr:col>
      <xdr:colOff>654049</xdr:colOff>
      <xdr:row>2</xdr:row>
      <xdr:rowOff>71967</xdr:rowOff>
    </xdr:to>
    <xdr:sp macro="" textlink="">
      <xdr:nvSpPr>
        <xdr:cNvPr id="4" name="TextBox 3"/>
        <xdr:cNvSpPr txBox="1"/>
      </xdr:nvSpPr>
      <xdr:spPr>
        <a:xfrm>
          <a:off x="222250" y="338667"/>
          <a:ext cx="10115549" cy="495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aseline="0">
              <a:solidFill>
                <a:schemeClr val="dk1"/>
              </a:solidFill>
              <a:latin typeface="+mn-lt"/>
              <a:ea typeface="+mn-ea"/>
              <a:cs typeface="+mn-cs"/>
            </a:rPr>
            <a:t>This worksheet estimates Labor needed to implement and support the initiatives.  Defaults are based on scope, scale, and complexity of initiatves selected.</a:t>
          </a:r>
          <a:endParaRPr lang="en-US" sz="1100" baseline="0">
            <a:latin typeface="Arial" pitchFamily="34" charset="0"/>
            <a:cs typeface="Arial"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0</xdr:colOff>
      <xdr:row>60</xdr:row>
      <xdr:rowOff>38101</xdr:rowOff>
    </xdr:from>
    <xdr:to>
      <xdr:col>12</xdr:col>
      <xdr:colOff>0</xdr:colOff>
      <xdr:row>64</xdr:row>
      <xdr:rowOff>9525</xdr:rowOff>
    </xdr:to>
    <xdr:sp macro="" textlink="">
      <xdr:nvSpPr>
        <xdr:cNvPr id="2" name="TextBox 1"/>
        <xdr:cNvSpPr txBox="1"/>
      </xdr:nvSpPr>
      <xdr:spPr>
        <a:xfrm>
          <a:off x="419100" y="9944101"/>
          <a:ext cx="8782050" cy="457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latin typeface="+mn-lt"/>
              <a:ea typeface="+mn-ea"/>
              <a:cs typeface="+mn-cs"/>
            </a:rPr>
            <a:t>The default estimates above use very basic rules-of-thumb to estimate costs.  Actual costs may differ significantly. </a:t>
          </a:r>
        </a:p>
        <a:p>
          <a:pPr marL="0" marR="0" indent="0" defTabSz="914400" eaLnBrk="1" fontAlgn="auto" latinLnBrk="0" hangingPunct="1">
            <a:lnSpc>
              <a:spcPct val="100000"/>
            </a:lnSpc>
            <a:spcBef>
              <a:spcPts val="0"/>
            </a:spcBef>
            <a:spcAft>
              <a:spcPts val="0"/>
            </a:spcAft>
            <a:buClrTx/>
            <a:buSzTx/>
            <a:buFontTx/>
            <a:buNone/>
            <a:tabLst/>
            <a:defRPr/>
          </a:pPr>
          <a:r>
            <a:rPr lang="en-US" sz="1000" baseline="0"/>
            <a:t>Licensing costs may be based on total # of processors,  total # of cores, or other methods.  If based only on # of users, see below.  Some software only requires licenses for production servers; others require licenses for redundant, test, and/or development servers.</a:t>
          </a:r>
        </a:p>
      </xdr:txBody>
    </xdr:sp>
    <xdr:clientData/>
  </xdr:twoCellAnchor>
  <xdr:twoCellAnchor>
    <xdr:from>
      <xdr:col>4</xdr:col>
      <xdr:colOff>438150</xdr:colOff>
      <xdr:row>92</xdr:row>
      <xdr:rowOff>142875</xdr:rowOff>
    </xdr:from>
    <xdr:to>
      <xdr:col>12</xdr:col>
      <xdr:colOff>76200</xdr:colOff>
      <xdr:row>115</xdr:row>
      <xdr:rowOff>38100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581024</xdr:colOff>
      <xdr:row>162</xdr:row>
      <xdr:rowOff>114299</xdr:rowOff>
    </xdr:from>
    <xdr:to>
      <xdr:col>9</xdr:col>
      <xdr:colOff>685799</xdr:colOff>
      <xdr:row>193</xdr:row>
      <xdr:rowOff>114299</xdr:rowOff>
    </xdr:to>
    <xdr:graphicFrame macro="">
      <xdr:nvGraphicFramePr>
        <xdr:cNvPr id="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1</xdr:row>
      <xdr:rowOff>0</xdr:rowOff>
    </xdr:from>
    <xdr:to>
      <xdr:col>13</xdr:col>
      <xdr:colOff>206374</xdr:colOff>
      <xdr:row>2</xdr:row>
      <xdr:rowOff>71967</xdr:rowOff>
    </xdr:to>
    <xdr:sp macro="" textlink="">
      <xdr:nvSpPr>
        <xdr:cNvPr id="6" name="TextBox 5"/>
        <xdr:cNvSpPr txBox="1"/>
      </xdr:nvSpPr>
      <xdr:spPr>
        <a:xfrm>
          <a:off x="104775" y="342900"/>
          <a:ext cx="10074274" cy="6720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aseline="0">
              <a:solidFill>
                <a:schemeClr val="dk1"/>
              </a:solidFill>
              <a:latin typeface="+mn-lt"/>
              <a:ea typeface="+mn-ea"/>
              <a:cs typeface="+mn-cs"/>
            </a:rPr>
            <a:t>This worksheet estimates hardware and software costs needed to implement and support the initiatives.  Defaults are based on scope, scale, and complexity of initiatves selected.</a:t>
          </a:r>
        </a:p>
        <a:p>
          <a:r>
            <a:rPr lang="en-US" sz="1100" baseline="0">
              <a:solidFill>
                <a:schemeClr val="dk1"/>
              </a:solidFill>
              <a:latin typeface="+mn-lt"/>
              <a:ea typeface="+mn-ea"/>
              <a:cs typeface="+mn-cs"/>
            </a:rPr>
            <a:t>Total costs (including labor) are summarized at the bottom.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130177</xdr:colOff>
      <xdr:row>35</xdr:row>
      <xdr:rowOff>66675</xdr:rowOff>
    </xdr:from>
    <xdr:to>
      <xdr:col>4</xdr:col>
      <xdr:colOff>28576</xdr:colOff>
      <xdr:row>56</xdr:row>
      <xdr:rowOff>19050</xdr:rowOff>
    </xdr:to>
    <xdr:graphicFrame macro="">
      <xdr:nvGraphicFramePr>
        <xdr:cNvPr id="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95249</xdr:colOff>
      <xdr:row>35</xdr:row>
      <xdr:rowOff>66675</xdr:rowOff>
    </xdr:from>
    <xdr:to>
      <xdr:col>11</xdr:col>
      <xdr:colOff>0</xdr:colOff>
      <xdr:row>56</xdr:row>
      <xdr:rowOff>19050</xdr:rowOff>
    </xdr:to>
    <xdr:graphicFrame macro="">
      <xdr:nvGraphicFramePr>
        <xdr:cNvPr id="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190500</xdr:colOff>
      <xdr:row>1</xdr:row>
      <xdr:rowOff>0</xdr:rowOff>
    </xdr:from>
    <xdr:ext cx="10496550" cy="990600"/>
    <xdr:sp macro="" textlink="">
      <xdr:nvSpPr>
        <xdr:cNvPr id="9" name="Text Box 14"/>
        <xdr:cNvSpPr txBox="1">
          <a:spLocks noChangeArrowheads="1"/>
        </xdr:cNvSpPr>
      </xdr:nvSpPr>
      <xdr:spPr bwMode="auto">
        <a:xfrm>
          <a:off x="190500" y="342900"/>
          <a:ext cx="10496550" cy="990600"/>
        </a:xfrm>
        <a:prstGeom prst="rect">
          <a:avLst/>
        </a:prstGeom>
        <a:noFill/>
        <a:ln w="25400" cap="flat" cmpd="sng" algn="ctr">
          <a:noFill/>
          <a:prstDash val="solid"/>
          <a:miter lim="800000"/>
          <a:headEnd type="none" w="med" len="med"/>
          <a:tailEnd type="none" w="med" len="med"/>
        </a:ln>
        <a:effectLst/>
      </xdr:spPr>
      <xdr:txBody>
        <a:bodyPr vertOverflow="clip" wrap="square" lIns="25400" tIns="0" rIns="25400" bIns="0" anchor="t" upright="1"/>
        <a:lstStyle/>
        <a:p>
          <a:pPr algn="l" rtl="0">
            <a:defRPr sz="1000"/>
          </a:pPr>
          <a:r>
            <a:rPr lang="en-US" sz="1000" b="0" i="0" strike="noStrike">
              <a:solidFill>
                <a:srgbClr val="000000"/>
              </a:solidFill>
              <a:latin typeface="Arial"/>
              <a:cs typeface="Arial"/>
            </a:rPr>
            <a:t>This</a:t>
          </a:r>
          <a:r>
            <a:rPr lang="en-US" sz="1000" b="0" i="0" strike="noStrike" baseline="0">
              <a:solidFill>
                <a:srgbClr val="000000"/>
              </a:solidFill>
              <a:latin typeface="Arial"/>
              <a:cs typeface="Arial"/>
            </a:rPr>
            <a:t> worksheet estimates IT Labor TCO by estimating/allocating labor effort across common IT staff activities (as a % of total by category).  The number of FTEs (full-time equivalents) the calculated.  Then the likely % reduction in effort (for existing activities only) enabled by the solution is estimated.  All increases in labor (required to implement/support new initiatives/capabilities) are included in the "Costs" worksheets.  As-is (current) and To-be (after the solution is fully implemented) TCO is calculated on displayed in bar charts.  The benefit is any annual on-going TCO savings enabled by the initiative.</a:t>
          </a:r>
        </a:p>
        <a:p>
          <a:pPr algn="l" rtl="0">
            <a:defRPr sz="1000"/>
          </a:pPr>
          <a:r>
            <a:rPr lang="en-US" sz="1000" b="0" i="0" strike="noStrike" baseline="0">
              <a:solidFill>
                <a:srgbClr val="000000"/>
              </a:solidFill>
              <a:latin typeface="Arial"/>
              <a:cs typeface="Arial"/>
            </a:rPr>
            <a:t>The on-going BI IT labor benefits and costs are summarized at the bottom of this worksheet.</a:t>
          </a:r>
        </a:p>
        <a:p>
          <a:pPr algn="l" rtl="0">
            <a:defRPr sz="1000"/>
          </a:pPr>
          <a:r>
            <a:rPr lang="en-US" sz="1000" b="0" i="0" strike="noStrike" baseline="0">
              <a:solidFill>
                <a:srgbClr val="000000"/>
              </a:solidFill>
              <a:latin typeface="Arial"/>
              <a:cs typeface="Arial"/>
            </a:rPr>
            <a:t>TCO (Total Cost of Ownership) is the annual on-going/recurring cost to support the environment.</a:t>
          </a:r>
          <a:endParaRPr lang="en-US" sz="1000" b="0" i="0" strike="noStrike">
            <a:solidFill>
              <a:srgbClr val="000000"/>
            </a:solidFill>
            <a:latin typeface="Arial"/>
            <a:cs typeface="Arial"/>
          </a:endParaRPr>
        </a:p>
      </xdr:txBody>
    </xdr:sp>
    <xdr:clientData/>
  </xdr:oneCellAnchor>
  <xdr:twoCellAnchor>
    <xdr:from>
      <xdr:col>3</xdr:col>
      <xdr:colOff>666750</xdr:colOff>
      <xdr:row>67</xdr:row>
      <xdr:rowOff>142876</xdr:rowOff>
    </xdr:from>
    <xdr:to>
      <xdr:col>8</xdr:col>
      <xdr:colOff>1190625</xdr:colOff>
      <xdr:row>85</xdr:row>
      <xdr:rowOff>161926</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printerSettings/printerSettings10.bin" Type="http://schemas.openxmlformats.org/officeDocument/2006/relationships/printerSettings"/>
<Relationship Id="rId2" Target="../drawings/drawing12.xml" Type="http://schemas.openxmlformats.org/officeDocument/2006/relationships/drawing"/>
</Relationships>

</file>

<file path=xl/worksheets/_rels/sheet11.xml.rels><?xml version="1.0" encoding="UTF-8" standalone="no"?>
<Relationships xmlns="http://schemas.openxmlformats.org/package/2006/relationships">
<Relationship Id="rId1" Target="../printerSettings/printerSettings11.bin" Type="http://schemas.openxmlformats.org/officeDocument/2006/relationships/printerSettings"/>
<Relationship Id="rId2" Target="../drawings/drawing13.xml" Type="http://schemas.openxmlformats.org/officeDocument/2006/relationships/drawing"/>
</Relationships>

</file>

<file path=xl/worksheets/_rels/sheet12.xml.rels><?xml version="1.0" encoding="UTF-8" standalone="no"?>
<Relationships xmlns="http://schemas.openxmlformats.org/package/2006/relationships">
<Relationship Id="rId1" Target="http://www.hallcr.com/" TargetMode="External" Type="http://schemas.openxmlformats.org/officeDocument/2006/relationships/hyperlink"/>
<Relationship Id="rId2" Target="../printerSettings/printerSettings12.bin" Type="http://schemas.openxmlformats.org/officeDocument/2006/relationships/printerSettings"/>
<Relationship Id="rId3" Target="../drawings/drawing15.xml" Type="http://schemas.openxmlformats.org/officeDocument/2006/relationships/drawing"/>
</Relationships>

</file>

<file path=xl/worksheets/_rels/sheet13.xml.rels><?xml version="1.0" encoding="UTF-8" standalone="no"?>
<Relationships xmlns="http://schemas.openxmlformats.org/package/2006/relationships">
<Relationship Id="rId1" Target="../printerSettings/printerSettings13.bin" Type="http://schemas.openxmlformats.org/officeDocument/2006/relationships/printerSettings"/>
</Relationships>

</file>

<file path=xl/worksheets/_rels/sheet14.xml.rels><?xml version="1.0" encoding="UTF-8" standalone="no"?>
<Relationships xmlns="http://schemas.openxmlformats.org/package/2006/relationships">
<Relationship Id="rId1" Target="http://www.hallcr.com/" TargetMode="External" Type="http://schemas.openxmlformats.org/officeDocument/2006/relationships/hyperlink"/>
<Relationship Id="rId2" Target="../printerSettings/printerSettings14.bin" Type="http://schemas.openxmlformats.org/officeDocument/2006/relationships/printerSettings"/>
</Relationships>

</file>

<file path=xl/worksheets/_rels/sheet2.xml.rels><?xml version="1.0" encoding="UTF-8" standalone="no"?>
<Relationships xmlns="http://schemas.openxmlformats.org/package/2006/relationships">
<Relationship Id="rId1" Target="http://www.hallcr.com/" TargetMode="External" Type="http://schemas.openxmlformats.org/officeDocument/2006/relationships/hyperlink"/>
<Relationship Id="rId2" Target="../printerSettings/printerSettings2.bin" Type="http://schemas.openxmlformats.org/officeDocument/2006/relationships/printerSettings"/>
<Relationship Id="rId3"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 Id="rId2" Target="../drawings/drawing4.xml" Type="http://schemas.openxmlformats.org/officeDocument/2006/relationships/drawing"/>
</Relationships>

</file>

<file path=xl/worksheets/_rels/sheet4.xml.rels><?xml version="1.0" encoding="UTF-8" standalone="no"?>
<Relationships xmlns="http://schemas.openxmlformats.org/package/2006/relationships">
<Relationship Id="rId1" Target="../printerSettings/printerSettings4.bin" Type="http://schemas.openxmlformats.org/officeDocument/2006/relationships/printerSettings"/>
<Relationship Id="rId2" Target="../drawings/drawing5.xml" Type="http://schemas.openxmlformats.org/officeDocument/2006/relationships/drawing"/>
</Relationships>

</file>

<file path=xl/worksheets/_rels/sheet5.xml.rels><?xml version="1.0" encoding="UTF-8" standalone="no"?>
<Relationships xmlns="http://schemas.openxmlformats.org/package/2006/relationships">
<Relationship Id="rId1" Target="../printerSettings/printerSettings5.bin" Type="http://schemas.openxmlformats.org/officeDocument/2006/relationships/printerSettings"/>
<Relationship Id="rId2" Target="../drawings/drawing7.xml" Type="http://schemas.openxmlformats.org/officeDocument/2006/relationships/drawing"/>
</Relationships>

</file>

<file path=xl/worksheets/_rels/sheet6.xml.rels><?xml version="1.0" encoding="UTF-8" standalone="no"?>
<Relationships xmlns="http://schemas.openxmlformats.org/package/2006/relationships">
<Relationship Id="rId1" Target="../printerSettings/printerSettings6.bin" Type="http://schemas.openxmlformats.org/officeDocument/2006/relationships/printerSettings"/>
<Relationship Id="rId2" Target="../drawings/drawing8.xml" Type="http://schemas.openxmlformats.org/officeDocument/2006/relationships/drawing"/>
</Relationships>

</file>

<file path=xl/worksheets/_rels/sheet7.xml.rels><?xml version="1.0" encoding="UTF-8" standalone="no"?>
<Relationships xmlns="http://schemas.openxmlformats.org/package/2006/relationships">
<Relationship Id="rId1" Target="../printerSettings/printerSettings7.bin" Type="http://schemas.openxmlformats.org/officeDocument/2006/relationships/printerSettings"/>
<Relationship Id="rId2" Target="../drawings/drawing9.xml" Type="http://schemas.openxmlformats.org/officeDocument/2006/relationships/drawing"/>
</Relationships>

</file>

<file path=xl/worksheets/_rels/sheet8.xml.rels><?xml version="1.0" encoding="UTF-8" standalone="no"?>
<Relationships xmlns="http://schemas.openxmlformats.org/package/2006/relationships">
<Relationship Id="rId1" Target="../printerSettings/printerSettings8.bin" Type="http://schemas.openxmlformats.org/officeDocument/2006/relationships/printerSettings"/>
<Relationship Id="rId2" Target="../drawings/drawing10.xml" Type="http://schemas.openxmlformats.org/officeDocument/2006/relationships/drawing"/>
</Relationships>

</file>

<file path=xl/worksheets/_rels/sheet9.xml.rels><?xml version="1.0" encoding="UTF-8" standalone="no"?>
<Relationships xmlns="http://schemas.openxmlformats.org/package/2006/relationships">
<Relationship Id="rId1" Target="../printerSettings/printerSettings9.bin" Type="http://schemas.openxmlformats.org/officeDocument/2006/relationships/printerSettings"/>
<Relationship Id="rId2" Target="../drawings/drawing1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sheetPr codeName="Sheet1">
    <tabColor rgb="FFFFC000"/>
  </sheetPr>
  <dimension ref="B1:I124"/>
  <sheetViews>
    <sheetView showGridLines="0" topLeftCell="A22" workbookViewId="0">
      <selection activeCell="C12" sqref="C12:F12"/>
    </sheetView>
  </sheetViews>
  <sheetFormatPr defaultColWidth="9.109375" defaultRowHeight="13.2"/>
  <cols>
    <col min="1" max="1" width="1.5546875" style="74" customWidth="1"/>
    <col min="2" max="2" width="6" style="74" customWidth="1"/>
    <col min="3" max="3" width="3.6640625" style="74" customWidth="1"/>
    <col min="4" max="4" width="12.5546875" style="74" customWidth="1"/>
    <col min="5" max="5" width="35.6640625" style="74" customWidth="1"/>
    <col min="6" max="6" width="75.33203125" style="74" customWidth="1"/>
    <col min="7" max="7" width="2.109375" style="74" customWidth="1"/>
    <col min="8" max="8" width="1" style="74" customWidth="1"/>
    <col min="9" max="9" width="10.5546875" style="74" bestFit="1" customWidth="1"/>
    <col min="10" max="16384" width="9.109375" style="74"/>
  </cols>
  <sheetData>
    <row r="1" spans="2:9" ht="5.25" customHeight="1" thickBot="1"/>
    <row r="2" spans="2:9" ht="39.6" thickBot="1">
      <c r="B2" s="515" t="s">
        <v>1192</v>
      </c>
      <c r="C2" s="516"/>
      <c r="D2" s="516"/>
      <c r="E2" s="516"/>
      <c r="F2" s="516"/>
      <c r="G2" s="517"/>
      <c r="I2" s="265" t="s">
        <v>1189</v>
      </c>
    </row>
    <row r="3" spans="2:9">
      <c r="B3" s="170"/>
      <c r="C3" s="171"/>
      <c r="D3" s="171"/>
      <c r="E3" s="171"/>
      <c r="F3" s="171"/>
      <c r="G3" s="172"/>
    </row>
    <row r="4" spans="2:9" s="265" customFormat="1" ht="102.75" customHeight="1">
      <c r="B4" s="173"/>
      <c r="C4" s="519" t="s">
        <v>1191</v>
      </c>
      <c r="D4" s="519"/>
      <c r="E4" s="519"/>
      <c r="F4" s="519"/>
      <c r="G4" s="162"/>
    </row>
    <row r="5" spans="2:9">
      <c r="B5" s="173"/>
      <c r="C5" s="75"/>
      <c r="D5" s="75"/>
      <c r="E5" s="75"/>
      <c r="F5" s="75"/>
      <c r="G5" s="162"/>
    </row>
    <row r="6" spans="2:9" ht="17.399999999999999">
      <c r="B6" s="174" t="s">
        <v>41</v>
      </c>
      <c r="C6" s="75"/>
      <c r="D6" s="75"/>
      <c r="E6" s="75"/>
      <c r="F6" s="75"/>
      <c r="G6" s="162"/>
    </row>
    <row r="7" spans="2:9">
      <c r="B7" s="175"/>
      <c r="C7" s="518" t="str">
        <f>B15</f>
        <v>Workbook Table of Contents</v>
      </c>
      <c r="D7" s="518"/>
      <c r="E7" s="518"/>
      <c r="F7" s="518"/>
      <c r="G7" s="162"/>
    </row>
    <row r="8" spans="2:9">
      <c r="B8" s="173"/>
      <c r="C8" s="518" t="str">
        <f>B30</f>
        <v>Key Features</v>
      </c>
      <c r="D8" s="518"/>
      <c r="E8" s="518"/>
      <c r="F8" s="518"/>
      <c r="G8" s="162"/>
    </row>
    <row r="9" spans="2:9">
      <c r="B9" s="173"/>
      <c r="C9" s="518" t="str">
        <f>B33</f>
        <v>Model Components / Flowchart</v>
      </c>
      <c r="D9" s="518"/>
      <c r="E9" s="518"/>
      <c r="F9" s="518"/>
      <c r="G9" s="162"/>
    </row>
    <row r="10" spans="2:9">
      <c r="B10" s="173"/>
      <c r="C10" s="518" t="str">
        <f>B96</f>
        <v>Instructions</v>
      </c>
      <c r="D10" s="518"/>
      <c r="E10" s="518"/>
      <c r="F10" s="518"/>
      <c r="G10" s="162"/>
    </row>
    <row r="11" spans="2:9">
      <c r="B11" s="173"/>
      <c r="C11" s="518" t="str">
        <f>B99</f>
        <v>Disclaimer</v>
      </c>
      <c r="D11" s="518"/>
      <c r="E11" s="518"/>
      <c r="F11" s="518"/>
      <c r="G11" s="162"/>
    </row>
    <row r="12" spans="2:9">
      <c r="B12" s="175"/>
      <c r="C12" s="518" t="str">
        <f>B102</f>
        <v>Terms of Use / End-User License Agreement (EULA)</v>
      </c>
      <c r="D12" s="518"/>
      <c r="E12" s="518"/>
      <c r="F12" s="518"/>
      <c r="G12" s="162"/>
    </row>
    <row r="13" spans="2:9">
      <c r="B13" s="175"/>
      <c r="C13" s="518" t="str">
        <f>B105</f>
        <v>Support</v>
      </c>
      <c r="D13" s="518"/>
      <c r="E13" s="518"/>
      <c r="F13" s="518"/>
      <c r="G13" s="162"/>
    </row>
    <row r="14" spans="2:9" ht="7.5" customHeight="1">
      <c r="B14" s="175"/>
      <c r="C14" s="176"/>
      <c r="D14" s="75"/>
      <c r="E14" s="75"/>
      <c r="F14" s="75"/>
      <c r="G14" s="162"/>
    </row>
    <row r="15" spans="2:9" ht="17.399999999999999">
      <c r="B15" s="174" t="s">
        <v>16</v>
      </c>
      <c r="C15" s="75"/>
      <c r="D15" s="75"/>
      <c r="E15" s="75"/>
      <c r="F15" s="75"/>
      <c r="G15" s="162"/>
    </row>
    <row r="16" spans="2:9" ht="26.4">
      <c r="B16" s="173"/>
      <c r="C16" s="75"/>
      <c r="D16" s="139" t="s">
        <v>299</v>
      </c>
      <c r="E16" s="139" t="s">
        <v>17</v>
      </c>
      <c r="F16" s="139" t="s">
        <v>77</v>
      </c>
      <c r="G16" s="162"/>
    </row>
    <row r="17" spans="2:7" ht="66">
      <c r="B17" s="173"/>
      <c r="C17" s="75"/>
      <c r="D17" s="143" t="s">
        <v>22</v>
      </c>
      <c r="E17" s="140" t="s">
        <v>18</v>
      </c>
      <c r="F17" s="140" t="s">
        <v>1161</v>
      </c>
      <c r="G17" s="162"/>
    </row>
    <row r="18" spans="2:7" ht="39.6">
      <c r="B18" s="173"/>
      <c r="C18" s="75"/>
      <c r="D18" s="143" t="s">
        <v>325</v>
      </c>
      <c r="E18" s="140" t="s">
        <v>918</v>
      </c>
      <c r="F18" s="140" t="s">
        <v>1162</v>
      </c>
      <c r="G18" s="162"/>
    </row>
    <row r="19" spans="2:7" ht="39.6">
      <c r="B19" s="173"/>
      <c r="C19" s="75"/>
      <c r="D19" s="143" t="s">
        <v>680</v>
      </c>
      <c r="E19" s="140" t="s">
        <v>1173</v>
      </c>
      <c r="F19" s="140" t="s">
        <v>1174</v>
      </c>
      <c r="G19" s="162"/>
    </row>
    <row r="20" spans="2:7" s="265" customFormat="1" ht="39.6">
      <c r="B20" s="173"/>
      <c r="C20" s="75"/>
      <c r="D20" s="144" t="s">
        <v>1163</v>
      </c>
      <c r="E20" s="140" t="str">
        <f>'Costs - Labor'!A1</f>
        <v>Implementation Costs - Labor</v>
      </c>
      <c r="F20" s="140" t="s">
        <v>1166</v>
      </c>
      <c r="G20" s="162"/>
    </row>
    <row r="21" spans="2:7" ht="26.4">
      <c r="B21" s="173"/>
      <c r="C21" s="75"/>
      <c r="D21" s="144" t="s">
        <v>1164</v>
      </c>
      <c r="E21" s="140" t="str">
        <f>'Costs - HWSW'!A1</f>
        <v>Implementation Costs - Hardware &amp; Software</v>
      </c>
      <c r="F21" s="140" t="s">
        <v>1165</v>
      </c>
      <c r="G21" s="162"/>
    </row>
    <row r="22" spans="2:7" ht="39.6">
      <c r="B22" s="173"/>
      <c r="C22" s="75"/>
      <c r="D22" s="145" t="s">
        <v>910</v>
      </c>
      <c r="E22" s="140" t="s">
        <v>722</v>
      </c>
      <c r="F22" s="140" t="s">
        <v>1167</v>
      </c>
      <c r="G22" s="162"/>
    </row>
    <row r="23" spans="2:7" ht="66">
      <c r="B23" s="173"/>
      <c r="C23" s="75"/>
      <c r="D23" s="145" t="s">
        <v>72</v>
      </c>
      <c r="E23" s="140" t="s">
        <v>283</v>
      </c>
      <c r="F23" s="140" t="s">
        <v>1168</v>
      </c>
      <c r="G23" s="162"/>
    </row>
    <row r="24" spans="2:7" ht="39.6">
      <c r="B24" s="173"/>
      <c r="C24" s="75"/>
      <c r="D24" s="145" t="s">
        <v>99</v>
      </c>
      <c r="E24" s="140" t="s">
        <v>104</v>
      </c>
      <c r="F24" s="140" t="s">
        <v>1169</v>
      </c>
      <c r="G24" s="162"/>
    </row>
    <row r="25" spans="2:7" ht="26.4">
      <c r="B25" s="173"/>
      <c r="C25" s="75"/>
      <c r="D25" s="145" t="s">
        <v>101</v>
      </c>
      <c r="E25" s="140" t="s">
        <v>102</v>
      </c>
      <c r="F25" s="140" t="s">
        <v>1170</v>
      </c>
      <c r="G25" s="162"/>
    </row>
    <row r="26" spans="2:7" ht="39.6">
      <c r="B26" s="173"/>
      <c r="C26" s="75"/>
      <c r="D26" s="146" t="s">
        <v>301</v>
      </c>
      <c r="E26" s="140" t="s">
        <v>327</v>
      </c>
      <c r="F26" s="140" t="s">
        <v>1171</v>
      </c>
      <c r="G26" s="162"/>
    </row>
    <row r="27" spans="2:7" ht="26.4">
      <c r="B27" s="173"/>
      <c r="C27" s="75"/>
      <c r="D27" s="180" t="s">
        <v>21</v>
      </c>
      <c r="E27" s="140" t="s">
        <v>1172</v>
      </c>
      <c r="F27" s="140" t="s">
        <v>300</v>
      </c>
      <c r="G27" s="162"/>
    </row>
    <row r="28" spans="2:7">
      <c r="B28" s="173"/>
      <c r="C28" s="75"/>
      <c r="D28" s="75"/>
      <c r="E28" s="75"/>
      <c r="F28" s="75"/>
      <c r="G28" s="162"/>
    </row>
    <row r="29" spans="2:7">
      <c r="B29" s="173"/>
      <c r="C29" s="75"/>
      <c r="D29" s="75"/>
      <c r="E29" s="75"/>
      <c r="F29" s="75"/>
      <c r="G29" s="162"/>
    </row>
    <row r="30" spans="2:7" ht="17.399999999999999">
      <c r="B30" s="174" t="s">
        <v>326</v>
      </c>
      <c r="C30" s="75"/>
      <c r="D30" s="75"/>
      <c r="E30" s="75"/>
      <c r="F30" s="75"/>
      <c r="G30" s="162"/>
    </row>
    <row r="31" spans="2:7" s="265" customFormat="1" ht="360.75" customHeight="1">
      <c r="B31" s="173"/>
      <c r="C31" s="519" t="s">
        <v>1182</v>
      </c>
      <c r="D31" s="519"/>
      <c r="E31" s="519"/>
      <c r="F31" s="519"/>
      <c r="G31" s="162"/>
    </row>
    <row r="32" spans="2:7">
      <c r="B32" s="173"/>
      <c r="C32" s="75"/>
      <c r="D32" s="75"/>
      <c r="E32" s="75"/>
      <c r="F32" s="75"/>
      <c r="G32" s="162"/>
    </row>
    <row r="33" spans="2:7" ht="17.399999999999999">
      <c r="B33" s="174" t="s">
        <v>328</v>
      </c>
      <c r="C33" s="75"/>
      <c r="D33" s="75"/>
      <c r="E33" s="75"/>
      <c r="F33" s="75"/>
      <c r="G33" s="162"/>
    </row>
    <row r="34" spans="2:7" s="265" customFormat="1" ht="19.5" customHeight="1">
      <c r="B34" s="173"/>
      <c r="C34" s="519" t="s">
        <v>1186</v>
      </c>
      <c r="D34" s="519"/>
      <c r="E34" s="519"/>
      <c r="F34" s="519"/>
      <c r="G34" s="162"/>
    </row>
    <row r="35" spans="2:7">
      <c r="B35" s="173"/>
      <c r="C35" s="75"/>
      <c r="D35" s="75"/>
      <c r="E35" s="75"/>
      <c r="F35" s="75"/>
      <c r="G35" s="162"/>
    </row>
    <row r="36" spans="2:7">
      <c r="B36" s="173"/>
      <c r="C36" s="75"/>
      <c r="D36" s="75"/>
      <c r="E36" s="75"/>
      <c r="F36" s="75"/>
      <c r="G36" s="162"/>
    </row>
    <row r="37" spans="2:7" s="265" customFormat="1">
      <c r="B37" s="173"/>
      <c r="C37" s="75"/>
      <c r="D37" s="75"/>
      <c r="E37" s="75"/>
      <c r="F37" s="75"/>
      <c r="G37" s="162"/>
    </row>
    <row r="38" spans="2:7" s="265" customFormat="1">
      <c r="B38" s="173"/>
      <c r="C38" s="75"/>
      <c r="D38" s="75"/>
      <c r="E38" s="75"/>
      <c r="F38" s="75"/>
      <c r="G38" s="162"/>
    </row>
    <row r="39" spans="2:7" s="265" customFormat="1">
      <c r="B39" s="173"/>
      <c r="C39" s="75"/>
      <c r="D39" s="75"/>
      <c r="E39" s="75"/>
      <c r="F39" s="75"/>
      <c r="G39" s="162"/>
    </row>
    <row r="40" spans="2:7" s="265" customFormat="1">
      <c r="B40" s="173"/>
      <c r="C40" s="75"/>
      <c r="D40" s="75"/>
      <c r="E40" s="75"/>
      <c r="F40" s="75"/>
      <c r="G40" s="162"/>
    </row>
    <row r="41" spans="2:7" s="265" customFormat="1">
      <c r="B41" s="173"/>
      <c r="C41" s="75"/>
      <c r="D41" s="75"/>
      <c r="E41" s="75"/>
      <c r="F41" s="75"/>
      <c r="G41" s="162"/>
    </row>
    <row r="42" spans="2:7" s="265" customFormat="1">
      <c r="B42" s="173"/>
      <c r="C42" s="75"/>
      <c r="D42" s="75"/>
      <c r="E42" s="75"/>
      <c r="F42" s="75"/>
      <c r="G42" s="162"/>
    </row>
    <row r="43" spans="2:7" s="265" customFormat="1">
      <c r="B43" s="173"/>
      <c r="C43" s="75"/>
      <c r="D43" s="75"/>
      <c r="E43" s="75"/>
      <c r="F43" s="75"/>
      <c r="G43" s="162"/>
    </row>
    <row r="44" spans="2:7" s="265" customFormat="1">
      <c r="B44" s="173"/>
      <c r="C44" s="75"/>
      <c r="D44" s="75"/>
      <c r="E44" s="75"/>
      <c r="F44" s="75"/>
      <c r="G44" s="162"/>
    </row>
    <row r="45" spans="2:7" s="265" customFormat="1">
      <c r="B45" s="173"/>
      <c r="C45" s="75"/>
      <c r="D45" s="75"/>
      <c r="E45" s="75"/>
      <c r="F45" s="75"/>
      <c r="G45" s="162"/>
    </row>
    <row r="46" spans="2:7" s="265" customFormat="1">
      <c r="B46" s="173"/>
      <c r="C46" s="75"/>
      <c r="D46" s="75"/>
      <c r="E46" s="75"/>
      <c r="F46" s="75"/>
      <c r="G46" s="162"/>
    </row>
    <row r="47" spans="2:7" s="265" customFormat="1">
      <c r="B47" s="173"/>
      <c r="C47" s="75"/>
      <c r="D47" s="75"/>
      <c r="E47" s="75"/>
      <c r="F47" s="75"/>
      <c r="G47" s="162"/>
    </row>
    <row r="48" spans="2:7" s="265" customFormat="1">
      <c r="B48" s="173"/>
      <c r="C48" s="75"/>
      <c r="D48" s="75"/>
      <c r="E48" s="75"/>
      <c r="F48" s="75"/>
      <c r="G48" s="162"/>
    </row>
    <row r="49" spans="2:7" s="265" customFormat="1">
      <c r="B49" s="173"/>
      <c r="C49" s="75"/>
      <c r="D49" s="75"/>
      <c r="E49" s="75"/>
      <c r="F49" s="75"/>
      <c r="G49" s="162"/>
    </row>
    <row r="50" spans="2:7" s="265" customFormat="1">
      <c r="B50" s="173"/>
      <c r="C50" s="75"/>
      <c r="D50" s="75"/>
      <c r="E50" s="75"/>
      <c r="F50" s="75"/>
      <c r="G50" s="162"/>
    </row>
    <row r="51" spans="2:7" s="265" customFormat="1">
      <c r="B51" s="173"/>
      <c r="C51" s="75"/>
      <c r="D51" s="75"/>
      <c r="E51" s="75"/>
      <c r="F51" s="75"/>
      <c r="G51" s="162"/>
    </row>
    <row r="52" spans="2:7">
      <c r="B52" s="173"/>
      <c r="C52" s="75"/>
      <c r="D52" s="75"/>
      <c r="E52" s="75"/>
      <c r="F52" s="75"/>
      <c r="G52" s="162"/>
    </row>
    <row r="53" spans="2:7">
      <c r="B53" s="173"/>
      <c r="C53" s="75"/>
      <c r="D53" s="75"/>
      <c r="E53" s="75"/>
      <c r="F53" s="75"/>
      <c r="G53" s="162"/>
    </row>
    <row r="54" spans="2:7">
      <c r="B54" s="173"/>
      <c r="C54" s="75"/>
      <c r="D54" s="75"/>
      <c r="E54" s="75"/>
      <c r="F54" s="75"/>
      <c r="G54" s="162"/>
    </row>
    <row r="55" spans="2:7" s="265" customFormat="1">
      <c r="B55" s="173"/>
      <c r="C55" s="75"/>
      <c r="D55" s="75"/>
      <c r="E55" s="75"/>
      <c r="F55" s="75"/>
      <c r="G55" s="162"/>
    </row>
    <row r="56" spans="2:7" s="265" customFormat="1">
      <c r="B56" s="173"/>
      <c r="C56" s="75"/>
      <c r="D56" s="75"/>
      <c r="E56" s="75"/>
      <c r="F56" s="75"/>
      <c r="G56" s="162"/>
    </row>
    <row r="57" spans="2:7" s="265" customFormat="1">
      <c r="B57" s="173"/>
      <c r="C57" s="75"/>
      <c r="D57" s="75"/>
      <c r="E57" s="75"/>
      <c r="F57" s="75"/>
      <c r="G57" s="162"/>
    </row>
    <row r="58" spans="2:7" s="265" customFormat="1">
      <c r="B58" s="173"/>
      <c r="C58" s="75"/>
      <c r="D58" s="75"/>
      <c r="E58" s="75"/>
      <c r="F58" s="75"/>
      <c r="G58" s="162"/>
    </row>
    <row r="59" spans="2:7" s="265" customFormat="1">
      <c r="B59" s="173"/>
      <c r="C59" s="75"/>
      <c r="D59" s="75"/>
      <c r="E59" s="75"/>
      <c r="F59" s="75"/>
      <c r="G59" s="162"/>
    </row>
    <row r="60" spans="2:7" s="265" customFormat="1">
      <c r="B60" s="173"/>
      <c r="C60" s="75"/>
      <c r="D60" s="75"/>
      <c r="E60" s="75"/>
      <c r="F60" s="75"/>
      <c r="G60" s="162"/>
    </row>
    <row r="61" spans="2:7" s="265" customFormat="1">
      <c r="B61" s="173"/>
      <c r="C61" s="75"/>
      <c r="D61" s="75"/>
      <c r="E61" s="75"/>
      <c r="F61" s="75"/>
      <c r="G61" s="162"/>
    </row>
    <row r="62" spans="2:7" s="265" customFormat="1">
      <c r="B62" s="173"/>
      <c r="C62" s="75"/>
      <c r="D62" s="75"/>
      <c r="E62" s="75"/>
      <c r="F62" s="75"/>
      <c r="G62" s="162"/>
    </row>
    <row r="63" spans="2:7" s="265" customFormat="1">
      <c r="B63" s="173"/>
      <c r="C63" s="75"/>
      <c r="D63" s="75"/>
      <c r="E63" s="75"/>
      <c r="F63" s="75"/>
      <c r="G63" s="162"/>
    </row>
    <row r="64" spans="2:7">
      <c r="B64" s="173"/>
      <c r="C64" s="75"/>
      <c r="D64" s="75"/>
      <c r="E64" s="75"/>
      <c r="F64" s="75"/>
      <c r="G64" s="162"/>
    </row>
    <row r="65" spans="2:7">
      <c r="B65" s="173"/>
      <c r="C65" s="75"/>
      <c r="D65" s="75"/>
      <c r="E65" s="75"/>
      <c r="F65" s="75"/>
      <c r="G65" s="162"/>
    </row>
    <row r="66" spans="2:7">
      <c r="B66" s="173"/>
      <c r="C66" s="75"/>
      <c r="D66" s="75"/>
      <c r="E66" s="75"/>
      <c r="F66" s="75"/>
      <c r="G66" s="162"/>
    </row>
    <row r="67" spans="2:7" s="265" customFormat="1" ht="17.399999999999999">
      <c r="B67" s="174" t="s">
        <v>1177</v>
      </c>
      <c r="C67" s="75"/>
      <c r="D67" s="75"/>
      <c r="E67" s="75"/>
      <c r="F67" s="75"/>
      <c r="G67" s="162"/>
    </row>
    <row r="68" spans="2:7" s="265" customFormat="1" ht="215.25" customHeight="1">
      <c r="B68" s="173"/>
      <c r="C68" s="519" t="s">
        <v>1188</v>
      </c>
      <c r="D68" s="519"/>
      <c r="E68" s="519"/>
      <c r="F68" s="519"/>
      <c r="G68" s="162"/>
    </row>
    <row r="69" spans="2:7" s="265" customFormat="1">
      <c r="B69" s="173"/>
      <c r="C69" s="75"/>
      <c r="D69" s="75"/>
      <c r="E69" s="75"/>
      <c r="F69" s="75"/>
      <c r="G69" s="162"/>
    </row>
    <row r="70" spans="2:7" s="265" customFormat="1" ht="17.399999999999999">
      <c r="B70" s="174" t="s">
        <v>1178</v>
      </c>
      <c r="C70" s="75"/>
      <c r="D70" s="75"/>
      <c r="E70" s="75"/>
      <c r="F70" s="75"/>
      <c r="G70" s="162"/>
    </row>
    <row r="71" spans="2:7" s="265" customFormat="1" ht="60.75" customHeight="1">
      <c r="B71" s="173"/>
      <c r="C71" s="519" t="s">
        <v>1179</v>
      </c>
      <c r="D71" s="519"/>
      <c r="E71" s="519"/>
      <c r="F71" s="519"/>
      <c r="G71" s="162"/>
    </row>
    <row r="72" spans="2:7" s="265" customFormat="1">
      <c r="B72" s="173"/>
      <c r="C72" s="75"/>
      <c r="D72" s="75"/>
      <c r="E72" s="75"/>
      <c r="F72" s="75"/>
      <c r="G72" s="162"/>
    </row>
    <row r="73" spans="2:7" s="265" customFormat="1">
      <c r="B73" s="173"/>
      <c r="C73" s="75"/>
      <c r="D73" s="75"/>
      <c r="E73" s="75"/>
      <c r="F73" s="75"/>
      <c r="G73" s="162"/>
    </row>
    <row r="74" spans="2:7" s="265" customFormat="1">
      <c r="B74" s="173"/>
      <c r="C74" s="75"/>
      <c r="D74" s="75"/>
      <c r="E74" s="75"/>
      <c r="F74" s="75"/>
      <c r="G74" s="162"/>
    </row>
    <row r="75" spans="2:7" s="265" customFormat="1">
      <c r="B75" s="173"/>
      <c r="C75" s="75"/>
      <c r="D75" s="75"/>
      <c r="E75" s="75"/>
      <c r="F75" s="75"/>
      <c r="G75" s="162"/>
    </row>
    <row r="76" spans="2:7" s="265" customFormat="1">
      <c r="B76" s="173"/>
      <c r="C76" s="75"/>
      <c r="D76" s="75"/>
      <c r="E76" s="75"/>
      <c r="F76" s="75"/>
      <c r="G76" s="162"/>
    </row>
    <row r="77" spans="2:7" s="265" customFormat="1">
      <c r="B77" s="173"/>
      <c r="C77" s="75"/>
      <c r="D77" s="75"/>
      <c r="E77" s="75"/>
      <c r="F77" s="75"/>
      <c r="G77" s="162"/>
    </row>
    <row r="78" spans="2:7" s="265" customFormat="1">
      <c r="B78" s="173"/>
      <c r="C78" s="75"/>
      <c r="D78" s="75"/>
      <c r="E78" s="75"/>
      <c r="F78" s="75"/>
      <c r="G78" s="162"/>
    </row>
    <row r="79" spans="2:7" s="265" customFormat="1">
      <c r="B79" s="173"/>
      <c r="C79" s="75"/>
      <c r="D79" s="75"/>
      <c r="E79" s="75"/>
      <c r="F79" s="75"/>
      <c r="G79" s="162"/>
    </row>
    <row r="80" spans="2:7" s="265" customFormat="1">
      <c r="B80" s="173"/>
      <c r="C80" s="75"/>
      <c r="D80" s="75"/>
      <c r="E80" s="75"/>
      <c r="F80" s="75"/>
      <c r="G80" s="162"/>
    </row>
    <row r="81" spans="2:7" s="265" customFormat="1">
      <c r="B81" s="173"/>
      <c r="C81" s="75"/>
      <c r="D81" s="75"/>
      <c r="E81" s="75"/>
      <c r="F81" s="75"/>
      <c r="G81" s="162"/>
    </row>
    <row r="82" spans="2:7" s="265" customFormat="1" ht="172.5" customHeight="1">
      <c r="B82" s="173"/>
      <c r="C82" s="519" t="s">
        <v>1180</v>
      </c>
      <c r="D82" s="519"/>
      <c r="E82" s="519"/>
      <c r="F82" s="519"/>
      <c r="G82" s="162"/>
    </row>
    <row r="83" spans="2:7" s="265" customFormat="1">
      <c r="B83" s="173"/>
      <c r="C83" s="75"/>
      <c r="D83" s="75"/>
      <c r="E83" s="75"/>
      <c r="F83" s="75"/>
      <c r="G83" s="162"/>
    </row>
    <row r="84" spans="2:7" s="265" customFormat="1">
      <c r="B84" s="173"/>
      <c r="C84" s="75"/>
      <c r="D84" s="75"/>
      <c r="E84" s="75"/>
      <c r="F84" s="75"/>
      <c r="G84" s="162"/>
    </row>
    <row r="85" spans="2:7" s="265" customFormat="1">
      <c r="B85" s="173"/>
      <c r="C85" s="75"/>
      <c r="D85" s="75"/>
      <c r="E85" s="75"/>
      <c r="F85" s="75"/>
      <c r="G85" s="162"/>
    </row>
    <row r="86" spans="2:7" s="265" customFormat="1">
      <c r="B86" s="173"/>
      <c r="C86" s="75"/>
      <c r="D86" s="75"/>
      <c r="E86" s="75"/>
      <c r="F86" s="75"/>
      <c r="G86" s="162"/>
    </row>
    <row r="87" spans="2:7" s="265" customFormat="1">
      <c r="B87" s="173"/>
      <c r="C87" s="75"/>
      <c r="D87" s="75"/>
      <c r="E87" s="75"/>
      <c r="F87" s="75"/>
      <c r="G87" s="162"/>
    </row>
    <row r="88" spans="2:7" s="265" customFormat="1">
      <c r="B88" s="173"/>
      <c r="C88" s="75"/>
      <c r="D88" s="75"/>
      <c r="E88" s="75"/>
      <c r="F88" s="75"/>
      <c r="G88" s="162"/>
    </row>
    <row r="89" spans="2:7" s="265" customFormat="1">
      <c r="B89" s="173"/>
      <c r="C89" s="75"/>
      <c r="D89" s="75"/>
      <c r="E89" s="75"/>
      <c r="F89" s="75"/>
      <c r="G89" s="162"/>
    </row>
    <row r="90" spans="2:7" s="265" customFormat="1">
      <c r="B90" s="173"/>
      <c r="C90" s="75"/>
      <c r="D90" s="75"/>
      <c r="E90" s="75"/>
      <c r="F90" s="75"/>
      <c r="G90" s="162"/>
    </row>
    <row r="91" spans="2:7" s="265" customFormat="1">
      <c r="B91" s="173"/>
      <c r="C91" s="75"/>
      <c r="D91" s="75"/>
      <c r="E91" s="75"/>
      <c r="F91" s="75"/>
      <c r="G91" s="162"/>
    </row>
    <row r="92" spans="2:7" s="265" customFormat="1">
      <c r="B92" s="173"/>
      <c r="C92" s="75"/>
      <c r="D92" s="75"/>
      <c r="E92" s="75"/>
      <c r="F92" s="75"/>
      <c r="G92" s="162"/>
    </row>
    <row r="93" spans="2:7" s="265" customFormat="1">
      <c r="B93" s="173"/>
      <c r="C93" s="75"/>
      <c r="D93" s="75"/>
      <c r="E93" s="75"/>
      <c r="F93" s="75"/>
      <c r="G93" s="162"/>
    </row>
    <row r="94" spans="2:7" s="265" customFormat="1">
      <c r="B94" s="173"/>
      <c r="C94" s="75"/>
      <c r="D94" s="75"/>
      <c r="E94" s="75"/>
      <c r="F94" s="75"/>
      <c r="G94" s="162"/>
    </row>
    <row r="95" spans="2:7" s="265" customFormat="1">
      <c r="B95" s="173"/>
      <c r="C95" s="75"/>
      <c r="D95" s="75"/>
      <c r="E95" s="75"/>
      <c r="F95" s="75"/>
      <c r="G95" s="162"/>
    </row>
    <row r="96" spans="2:7" ht="17.399999999999999">
      <c r="B96" s="174" t="s">
        <v>100</v>
      </c>
      <c r="C96" s="75"/>
      <c r="D96" s="75"/>
      <c r="E96" s="75"/>
      <c r="F96" s="75"/>
      <c r="G96" s="162"/>
    </row>
    <row r="97" spans="2:7" s="265" customFormat="1" ht="207" customHeight="1">
      <c r="B97" s="173"/>
      <c r="C97" s="519" t="s">
        <v>1183</v>
      </c>
      <c r="D97" s="519"/>
      <c r="E97" s="519"/>
      <c r="F97" s="519"/>
      <c r="G97" s="162"/>
    </row>
    <row r="98" spans="2:7">
      <c r="B98" s="173"/>
      <c r="C98" s="75"/>
      <c r="D98" s="75"/>
      <c r="E98" s="75"/>
      <c r="F98" s="75"/>
      <c r="G98" s="162"/>
    </row>
    <row r="99" spans="2:7" ht="17.399999999999999">
      <c r="B99" s="174" t="s">
        <v>44</v>
      </c>
      <c r="C99" s="75"/>
      <c r="D99" s="75"/>
      <c r="E99" s="75"/>
      <c r="F99" s="75"/>
      <c r="G99" s="162"/>
    </row>
    <row r="100" spans="2:7" s="265" customFormat="1" ht="120.75" customHeight="1">
      <c r="B100" s="173"/>
      <c r="C100" s="519" t="s">
        <v>1184</v>
      </c>
      <c r="D100" s="519"/>
      <c r="E100" s="519"/>
      <c r="F100" s="519"/>
      <c r="G100" s="162"/>
    </row>
    <row r="101" spans="2:7">
      <c r="B101" s="173"/>
      <c r="C101" s="75"/>
      <c r="D101" s="75"/>
      <c r="E101" s="75"/>
      <c r="F101" s="75"/>
      <c r="G101" s="162"/>
    </row>
    <row r="102" spans="2:7" ht="17.399999999999999">
      <c r="B102" s="174" t="s">
        <v>1181</v>
      </c>
      <c r="C102" s="75"/>
      <c r="D102" s="75"/>
      <c r="E102" s="75"/>
      <c r="F102" s="75"/>
      <c r="G102" s="162"/>
    </row>
    <row r="103" spans="2:7" s="265" customFormat="1" ht="129.75" customHeight="1">
      <c r="B103" s="173"/>
      <c r="C103" s="519" t="s">
        <v>1187</v>
      </c>
      <c r="D103" s="519"/>
      <c r="E103" s="519"/>
      <c r="F103" s="519"/>
      <c r="G103" s="162"/>
    </row>
    <row r="104" spans="2:7">
      <c r="B104" s="173"/>
      <c r="C104" s="75"/>
      <c r="D104" s="75"/>
      <c r="E104" s="75"/>
      <c r="F104" s="75"/>
      <c r="G104" s="162"/>
    </row>
    <row r="105" spans="2:7" ht="17.399999999999999">
      <c r="B105" s="174" t="s">
        <v>98</v>
      </c>
      <c r="C105" s="75"/>
      <c r="D105" s="75"/>
      <c r="E105" s="75"/>
      <c r="F105" s="75"/>
      <c r="G105" s="162"/>
    </row>
    <row r="106" spans="2:7" s="265" customFormat="1" ht="41.25" customHeight="1">
      <c r="B106" s="173"/>
      <c r="C106" s="519" t="s">
        <v>1185</v>
      </c>
      <c r="D106" s="519"/>
      <c r="E106" s="519"/>
      <c r="F106" s="519"/>
      <c r="G106" s="162"/>
    </row>
    <row r="107" spans="2:7">
      <c r="B107" s="173"/>
      <c r="C107" s="75"/>
      <c r="D107" s="75"/>
      <c r="E107" s="75"/>
      <c r="F107" s="75"/>
      <c r="G107" s="162"/>
    </row>
    <row r="108" spans="2:7" s="265" customFormat="1" ht="17.399999999999999">
      <c r="B108" s="174"/>
      <c r="C108" s="75"/>
      <c r="D108" s="75"/>
      <c r="E108" s="75"/>
      <c r="F108" s="75"/>
      <c r="G108" s="162"/>
    </row>
    <row r="109" spans="2:7" s="265" customFormat="1" ht="41.25" customHeight="1">
      <c r="B109" s="173"/>
      <c r="C109" s="519"/>
      <c r="D109" s="519"/>
      <c r="E109" s="519"/>
      <c r="F109" s="519"/>
      <c r="G109" s="162"/>
    </row>
    <row r="110" spans="2:7" ht="13.8" thickBot="1">
      <c r="B110" s="177"/>
      <c r="C110" s="178"/>
      <c r="D110" s="178"/>
      <c r="E110" s="178"/>
      <c r="F110" s="178"/>
      <c r="G110" s="179"/>
    </row>
    <row r="111" spans="2:7" ht="6.75" customHeight="1"/>
    <row r="112" spans="2:7">
      <c r="C112" s="397"/>
      <c r="D112" s="397"/>
      <c r="E112" s="397"/>
      <c r="F112" s="397"/>
    </row>
    <row r="113" spans="3:9">
      <c r="C113" s="141"/>
    </row>
    <row r="114" spans="3:9">
      <c r="C114" s="35"/>
    </row>
    <row r="115" spans="3:9">
      <c r="G115" s="142"/>
      <c r="H115" s="142"/>
      <c r="I115" s="142"/>
    </row>
    <row r="116" spans="3:9">
      <c r="H116" s="142"/>
      <c r="I116" s="142"/>
    </row>
    <row r="117" spans="3:9">
      <c r="H117" s="142"/>
      <c r="I117" s="142"/>
    </row>
    <row r="118" spans="3:9">
      <c r="H118" s="142"/>
      <c r="I118" s="142"/>
    </row>
    <row r="119" spans="3:9">
      <c r="H119" s="142"/>
      <c r="I119" s="142"/>
    </row>
    <row r="120" spans="3:9">
      <c r="H120" s="142"/>
      <c r="I120" s="142"/>
    </row>
    <row r="121" spans="3:9">
      <c r="H121" s="142"/>
      <c r="I121" s="142"/>
    </row>
    <row r="122" spans="3:9">
      <c r="H122" s="142"/>
      <c r="I122" s="142"/>
    </row>
    <row r="123" spans="3:9">
      <c r="H123" s="142"/>
      <c r="I123" s="142"/>
    </row>
    <row r="124" spans="3:9">
      <c r="H124" s="142"/>
      <c r="I124" s="142"/>
    </row>
  </sheetData>
  <sheetProtection selectLockedCells="1"/>
  <mergeCells count="19">
    <mergeCell ref="C106:F106"/>
    <mergeCell ref="C109:F109"/>
    <mergeCell ref="C34:F34"/>
    <mergeCell ref="C4:F4"/>
    <mergeCell ref="C71:F71"/>
    <mergeCell ref="C82:F82"/>
    <mergeCell ref="C103:F103"/>
    <mergeCell ref="C68:F68"/>
    <mergeCell ref="C31:F31"/>
    <mergeCell ref="C97:F97"/>
    <mergeCell ref="C100:F100"/>
    <mergeCell ref="C11:F11"/>
    <mergeCell ref="C12:F12"/>
    <mergeCell ref="C13:F13"/>
    <mergeCell ref="B2:G2"/>
    <mergeCell ref="C7:F7"/>
    <mergeCell ref="C8:F8"/>
    <mergeCell ref="C9:F9"/>
    <mergeCell ref="C10:F10"/>
  </mergeCells>
  <hyperlinks>
    <hyperlink ref="C7" location="'User Guide'!A19" display="'User Guide'!A19"/>
    <hyperlink ref="C12" location="'User Guide'!A84" display="'User Guide'!A84"/>
    <hyperlink ref="C8" location="'User Guide'!A32" display="'User Guide'!A32"/>
    <hyperlink ref="C13" location="'User Guide'!A91" display="'User Guide'!A91"/>
    <hyperlink ref="C11" location="'User Guide'!A72" display="'User Guide'!A72"/>
    <hyperlink ref="C10" location="'User Guide'!A64" display="'User Guide'!A64"/>
    <hyperlink ref="D17" location="Profile!A1" display="Profile"/>
    <hyperlink ref="D18" location="Initiatives!A1" display="Initiatives"/>
    <hyperlink ref="D21" location="'Costs - HWSW'!A1" display="Costs - HwSw"/>
    <hyperlink ref="D25" location="'Direct Savings'!A1" display="Direct Savings"/>
    <hyperlink ref="D23" location="Productivity!A1" display="Productivity"/>
    <hyperlink ref="D24" location="Revenue!A1" display="Revenue"/>
    <hyperlink ref="D26" location="KPIs!A1" display="KPIs"/>
    <hyperlink ref="D27" location="ROI!A1" display="ROI"/>
    <hyperlink ref="C9" location="'User Guide'!A49" display="'User Guide'!A49"/>
    <hyperlink ref="C11:F11" location="'User Guide'!A100" display="'User Guide'!A100"/>
    <hyperlink ref="C12:F12" location="'User Guide'!A103" display="'User Guide'!A103"/>
    <hyperlink ref="C13:F13" location="'User Guide'!A106" display="'User Guide'!A106"/>
    <hyperlink ref="D19" location="Maturity!A1" display="Maturity"/>
    <hyperlink ref="D22" location="'IT Labor'!A1" display="IT Labor"/>
    <hyperlink ref="D20" location="'Costs - Labor'!A1" display="Costs - Labor"/>
    <hyperlink ref="C8:F8" location="'User Guide'!A31" display="'User Guide'!A31"/>
    <hyperlink ref="C9:F9" location="'User Guide'!A34" display="'User Guide'!A34"/>
    <hyperlink ref="C10:F10" location="'User Guide'!A97" display="'User Guide'!A97"/>
  </hyperlinks>
  <pageMargins left="0.25" right="0.25" top="0.75" bottom="0.75" header="0.3" footer="0.3"/>
  <pageSetup scale="75" fitToHeight="10" orientation="portrait" horizontalDpi="300" verticalDpi="300" r:id="rId1"/>
  <headerFooter>
    <oddFooter>&amp;LTDWI Business Intelligence ROI Calculator&amp;C&amp;A Worksheet&amp;R&amp;P of &amp;N</oddFooter>
  </headerFooter>
  <rowBreaks count="3" manualBreakCount="3">
    <brk id="29" max="7" man="1"/>
    <brk id="66" max="7" man="1"/>
    <brk id="95" max="7" man="1"/>
  </rowBreaks>
  <drawing r:id="rId2"/>
</worksheet>
</file>

<file path=xl/worksheets/sheet10.xml><?xml version="1.0" encoding="utf-8"?>
<worksheet xmlns="http://schemas.openxmlformats.org/spreadsheetml/2006/main" xmlns:r="http://schemas.openxmlformats.org/officeDocument/2006/relationships">
  <sheetPr codeName="Sheet18">
    <tabColor rgb="FF00B050"/>
    <pageSetUpPr fitToPage="1"/>
  </sheetPr>
  <dimension ref="A1:N33"/>
  <sheetViews>
    <sheetView showGridLines="0" topLeftCell="A19" workbookViewId="0">
      <selection activeCell="E37" sqref="E37"/>
    </sheetView>
  </sheetViews>
  <sheetFormatPr defaultRowHeight="13.2"/>
  <cols>
    <col min="1" max="1" width="2.5546875" style="103" customWidth="1"/>
    <col min="2" max="2" width="20.88671875" style="103" customWidth="1"/>
    <col min="3" max="3" width="25.88671875" style="103" customWidth="1"/>
    <col min="4" max="4" width="10.88671875" style="103" customWidth="1"/>
    <col min="5" max="5" width="13.5546875" style="103" customWidth="1"/>
    <col min="6" max="6" width="12.44140625" style="103" customWidth="1"/>
    <col min="7" max="7" width="10" style="103" customWidth="1"/>
    <col min="8" max="8" width="41.5546875" style="103" customWidth="1"/>
    <col min="9" max="9" width="26" style="103" customWidth="1"/>
    <col min="10" max="10" width="2.5546875" style="103" customWidth="1"/>
    <col min="11" max="11" width="9.44140625" style="103" hidden="1" customWidth="1"/>
    <col min="12" max="12" width="10" style="103" hidden="1" customWidth="1"/>
    <col min="13" max="13" width="13.33203125" style="103" bestFit="1" customWidth="1"/>
    <col min="14" max="14" width="32.6640625" style="103" customWidth="1"/>
    <col min="15" max="15" width="1.44140625" customWidth="1"/>
  </cols>
  <sheetData>
    <row r="1" spans="1:14" ht="27.6">
      <c r="A1" s="2" t="s">
        <v>104</v>
      </c>
      <c r="D1" s="29"/>
      <c r="E1" s="29"/>
      <c r="F1" s="29"/>
      <c r="G1" s="29"/>
      <c r="H1" s="29"/>
      <c r="I1" s="29"/>
      <c r="J1" s="29"/>
      <c r="K1" s="416"/>
      <c r="L1" s="416"/>
      <c r="M1" s="29"/>
    </row>
    <row r="2" spans="1:14" ht="90" customHeight="1">
      <c r="K2" s="417"/>
      <c r="L2" s="417"/>
    </row>
    <row r="3" spans="1:14" s="400" customFormat="1" ht="27" customHeight="1">
      <c r="C3" s="532" t="s">
        <v>1031</v>
      </c>
      <c r="D3" s="532"/>
      <c r="E3" s="532"/>
      <c r="F3" s="532" t="s">
        <v>1030</v>
      </c>
      <c r="G3" s="532"/>
      <c r="H3" s="532"/>
      <c r="K3" s="417"/>
      <c r="L3" s="417"/>
    </row>
    <row r="4" spans="1:14" ht="53.4" thickBot="1">
      <c r="B4" s="341" t="s">
        <v>947</v>
      </c>
      <c r="C4" s="341" t="s">
        <v>949</v>
      </c>
      <c r="D4" s="341" t="s">
        <v>948</v>
      </c>
      <c r="E4" s="341" t="s">
        <v>236</v>
      </c>
      <c r="F4" s="341" t="s">
        <v>950</v>
      </c>
      <c r="G4" s="341" t="s">
        <v>946</v>
      </c>
      <c r="H4" s="401" t="s">
        <v>976</v>
      </c>
      <c r="I4" s="341" t="s">
        <v>6</v>
      </c>
      <c r="K4" s="418" t="s">
        <v>1032</v>
      </c>
      <c r="L4" s="418" t="s">
        <v>1033</v>
      </c>
    </row>
    <row r="5" spans="1:14" ht="27.6" thickTop="1" thickBot="1">
      <c r="B5" s="345" t="s">
        <v>239</v>
      </c>
      <c r="C5" s="40" t="s">
        <v>942</v>
      </c>
      <c r="D5" s="185">
        <v>0.1</v>
      </c>
      <c r="E5" s="199">
        <f t="shared" ref="E5:E11" si="0">D5*E$12</f>
        <v>392480.52072159102</v>
      </c>
      <c r="F5" s="185">
        <f ca="1">L5</f>
        <v>1.2864700644282648E-2</v>
      </c>
      <c r="G5" s="199">
        <f ca="1">E5*F5</f>
        <v>5049.1444077954411</v>
      </c>
      <c r="H5" s="79" t="str">
        <f ca="1">ImpCalc!BP84</f>
        <v>Marketing / Sales Data Integration (43%); Marketing / Sales Apps (37%); Enhance BI Platform (18%)</v>
      </c>
      <c r="I5" s="344"/>
      <c r="K5" s="398">
        <v>0.04</v>
      </c>
      <c r="L5" s="105">
        <f ca="1">ImpCalc!D84*K5</f>
        <v>1.2864700644282648E-2</v>
      </c>
    </row>
    <row r="6" spans="1:14" s="62" customFormat="1" ht="27.6" thickTop="1" thickBot="1">
      <c r="A6" s="103"/>
      <c r="B6" s="345" t="s">
        <v>240</v>
      </c>
      <c r="C6" s="40" t="s">
        <v>943</v>
      </c>
      <c r="D6" s="185">
        <v>0.05</v>
      </c>
      <c r="E6" s="199">
        <f t="shared" si="0"/>
        <v>196240.26036079551</v>
      </c>
      <c r="F6" s="398">
        <f t="shared" ref="F6:F11" ca="1" si="1">L6</f>
        <v>1.2864700644282648E-2</v>
      </c>
      <c r="G6" s="346">
        <f t="shared" ref="G6:G11" ca="1" si="2">E6*F6</f>
        <v>2524.5722038977206</v>
      </c>
      <c r="H6" s="79" t="str">
        <f ca="1">ImpCalc!BP85</f>
        <v>Marketing / Sales Data Integration (43%); Marketing / Sales Apps (37%); Enhance BI Platform (18%)</v>
      </c>
      <c r="I6" s="344"/>
      <c r="K6" s="398">
        <v>0.04</v>
      </c>
      <c r="L6" s="105">
        <f ca="1">ImpCalc!D85*K6</f>
        <v>1.2864700644282648E-2</v>
      </c>
    </row>
    <row r="7" spans="1:14" s="62" customFormat="1" ht="40.799999999999997" thickTop="1" thickBot="1">
      <c r="A7" s="103"/>
      <c r="B7" s="345" t="s">
        <v>238</v>
      </c>
      <c r="C7" s="40" t="s">
        <v>944</v>
      </c>
      <c r="D7" s="185">
        <v>0.05</v>
      </c>
      <c r="E7" s="199">
        <f t="shared" si="0"/>
        <v>196240.26036079551</v>
      </c>
      <c r="F7" s="398">
        <f t="shared" ca="1" si="1"/>
        <v>2.7392385865058901E-2</v>
      </c>
      <c r="G7" s="346">
        <f t="shared" ca="1" si="2"/>
        <v>5375.4889340625332</v>
      </c>
      <c r="H7" s="79" t="str">
        <f ca="1">ImpCalc!BP86</f>
        <v>Supply Chain / Ops Data Integration (56%); Supply / Operations Apps (26%); Marketing / Sales Data Integration (7%); Enhance BI Platform (5%); Marketing / Sales Apps (5%)</v>
      </c>
      <c r="I7" s="344"/>
      <c r="K7" s="398">
        <v>0.06</v>
      </c>
      <c r="L7" s="105">
        <f ca="1">ImpCalc!D86*K7</f>
        <v>2.7392385865058901E-2</v>
      </c>
    </row>
    <row r="8" spans="1:14" s="62" customFormat="1" ht="40.799999999999997" thickTop="1" thickBot="1">
      <c r="A8" s="103"/>
      <c r="B8" s="345" t="s">
        <v>937</v>
      </c>
      <c r="C8" s="40" t="s">
        <v>941</v>
      </c>
      <c r="D8" s="185">
        <v>0.02</v>
      </c>
      <c r="E8" s="199">
        <f t="shared" si="0"/>
        <v>78496.104144318204</v>
      </c>
      <c r="F8" s="398">
        <f t="shared" ca="1" si="1"/>
        <v>3.0984827862067431E-2</v>
      </c>
      <c r="G8" s="346">
        <f t="shared" ca="1" si="2"/>
        <v>2432.1882747546174</v>
      </c>
      <c r="H8" s="79" t="str">
        <f ca="1">ImpCalc!BP87</f>
        <v>Marketing / Sales Data Integration (52%); Marketing / Sales Apps (27%); Enhance BI Platform (19%)</v>
      </c>
      <c r="I8" s="344"/>
      <c r="K8" s="398">
        <v>0.09</v>
      </c>
      <c r="L8" s="105">
        <f ca="1">ImpCalc!D87*K8</f>
        <v>3.0984827862067431E-2</v>
      </c>
    </row>
    <row r="9" spans="1:14" s="62" customFormat="1" ht="40.799999999999997" thickTop="1" thickBot="1">
      <c r="A9" s="103"/>
      <c r="B9" s="345" t="s">
        <v>287</v>
      </c>
      <c r="C9" s="40" t="s">
        <v>940</v>
      </c>
      <c r="D9" s="185">
        <v>0.05</v>
      </c>
      <c r="E9" s="199">
        <f t="shared" si="0"/>
        <v>196240.26036079551</v>
      </c>
      <c r="F9" s="398">
        <f t="shared" ca="1" si="1"/>
        <v>1.351393243033785E-2</v>
      </c>
      <c r="G9" s="346">
        <f t="shared" ca="1" si="2"/>
        <v>2651.9776186276977</v>
      </c>
      <c r="H9" s="79" t="str">
        <f ca="1">ImpCalc!BP88</f>
        <v>Marketing / Sales Data Integration (48%); Marketing / Sales Apps (33%); Enhance BI Platform (18%)</v>
      </c>
      <c r="I9" s="344"/>
      <c r="K9" s="398">
        <v>0.04</v>
      </c>
      <c r="L9" s="105">
        <f ca="1">ImpCalc!D88*K9</f>
        <v>1.351393243033785E-2</v>
      </c>
    </row>
    <row r="10" spans="1:14" s="62" customFormat="1" ht="40.799999999999997" thickTop="1" thickBot="1">
      <c r="A10" s="103"/>
      <c r="B10" s="345" t="s">
        <v>241</v>
      </c>
      <c r="C10" s="40" t="s">
        <v>945</v>
      </c>
      <c r="D10" s="185">
        <v>0.02</v>
      </c>
      <c r="E10" s="199">
        <f t="shared" si="0"/>
        <v>78496.104144318204</v>
      </c>
      <c r="F10" s="398">
        <f t="shared" ca="1" si="1"/>
        <v>2.6905969974043598E-2</v>
      </c>
      <c r="G10" s="346">
        <f t="shared" ca="1" si="2"/>
        <v>2112.0138211864246</v>
      </c>
      <c r="H10" s="79" t="str">
        <f ca="1">ImpCalc!BP89</f>
        <v>Supply Chain / Ops Data Integration (53%); Supply / Operations Apps (28%); Enhance BI Platform (12%)</v>
      </c>
      <c r="I10" s="344"/>
      <c r="K10" s="398">
        <v>0.06</v>
      </c>
      <c r="L10" s="105">
        <f ca="1">ImpCalc!D89*K10</f>
        <v>2.6905969974043598E-2</v>
      </c>
    </row>
    <row r="11" spans="1:14" s="62" customFormat="1" ht="15" thickTop="1" thickBot="1">
      <c r="A11" s="103"/>
      <c r="B11" s="81" t="s">
        <v>1</v>
      </c>
      <c r="C11" s="40"/>
      <c r="D11" s="185">
        <v>0</v>
      </c>
      <c r="E11" s="199">
        <f t="shared" si="0"/>
        <v>0</v>
      </c>
      <c r="F11" s="398">
        <f t="shared" si="1"/>
        <v>0</v>
      </c>
      <c r="G11" s="346">
        <f t="shared" si="2"/>
        <v>0</v>
      </c>
      <c r="H11" s="79"/>
      <c r="I11" s="344"/>
      <c r="K11" s="398">
        <v>0</v>
      </c>
      <c r="L11" s="105">
        <f>ImpCalc!D91*K11</f>
        <v>0</v>
      </c>
    </row>
    <row r="12" spans="1:14" s="62" customFormat="1" ht="13.8" thickTop="1">
      <c r="A12" s="103"/>
      <c r="B12" s="103"/>
      <c r="C12" s="182" t="s">
        <v>0</v>
      </c>
      <c r="D12" s="96"/>
      <c r="E12" s="200">
        <f>Revenue*1000</f>
        <v>3924805.2072159098</v>
      </c>
      <c r="F12" s="419">
        <f ca="1">G12/E12</f>
        <v>5.1328369681344563E-3</v>
      </c>
      <c r="G12" s="200">
        <f ca="1">SUM(G5:G11)</f>
        <v>20145.385260324438</v>
      </c>
      <c r="J12" s="103"/>
      <c r="K12" s="343"/>
      <c r="L12" s="343"/>
      <c r="N12" s="103"/>
    </row>
    <row r="13" spans="1:14">
      <c r="D13" s="96"/>
      <c r="K13" s="343"/>
      <c r="L13" s="343"/>
    </row>
    <row r="14" spans="1:14" s="103" customFormat="1">
      <c r="D14" s="96"/>
    </row>
    <row r="15" spans="1:14" ht="21">
      <c r="A15" s="1" t="s">
        <v>33</v>
      </c>
      <c r="G15" s="343"/>
      <c r="H15" s="343"/>
      <c r="I15" s="343"/>
      <c r="J15" s="343"/>
    </row>
    <row r="16" spans="1:14" s="103" customFormat="1" ht="18" customHeight="1">
      <c r="A16" s="6"/>
      <c r="G16" s="343"/>
      <c r="H16" s="343"/>
      <c r="I16" s="343"/>
      <c r="J16" s="343"/>
    </row>
    <row r="17" spans="1:14" ht="42.75" customHeight="1" thickBot="1">
      <c r="D17" s="341" t="s">
        <v>103</v>
      </c>
      <c r="E17" s="341" t="s">
        <v>939</v>
      </c>
      <c r="F17" s="341" t="s">
        <v>872</v>
      </c>
      <c r="H17" s="343"/>
      <c r="I17" s="343"/>
      <c r="J17" s="343"/>
    </row>
    <row r="18" spans="1:14" ht="15" thickTop="1" thickBot="1">
      <c r="B18" s="572" t="str">
        <f t="shared" ref="B18:B24" si="3">B5</f>
        <v>Improved Sales Effectiveness</v>
      </c>
      <c r="C18" s="572"/>
      <c r="D18" s="185">
        <f t="shared" ref="D18:D25" si="4">Margin</f>
        <v>0.10327868852459017</v>
      </c>
      <c r="E18" s="346">
        <f ca="1">D18*G5</f>
        <v>521.4690126083816</v>
      </c>
      <c r="F18" s="346">
        <f t="shared" ref="F18" ca="1" si="5">E18/BIs*1000</f>
        <v>130.3672531520954</v>
      </c>
      <c r="H18" s="343"/>
      <c r="I18" s="343"/>
      <c r="J18" s="343"/>
    </row>
    <row r="19" spans="1:14" s="62" customFormat="1" ht="15" customHeight="1" thickTop="1" thickBot="1">
      <c r="A19" s="103"/>
      <c r="B19" s="572" t="str">
        <f t="shared" si="3"/>
        <v>Improved Marketing Effectiveness</v>
      </c>
      <c r="C19" s="572"/>
      <c r="D19" s="185">
        <f t="shared" si="4"/>
        <v>0.10327868852459017</v>
      </c>
      <c r="E19" s="346">
        <f t="shared" ref="E19:E24" ca="1" si="6">D19*G6</f>
        <v>260.7345063041908</v>
      </c>
      <c r="F19" s="346">
        <f t="shared" ref="F19:F24" ca="1" si="7">E19/BIs*1000</f>
        <v>65.1836265760477</v>
      </c>
      <c r="H19" s="343"/>
      <c r="I19" s="343"/>
      <c r="J19" s="343"/>
      <c r="K19" s="103"/>
      <c r="L19" s="103"/>
      <c r="M19" s="103"/>
      <c r="N19" s="103"/>
    </row>
    <row r="20" spans="1:14" s="62" customFormat="1" ht="15" customHeight="1" thickTop="1" thickBot="1">
      <c r="A20" s="103"/>
      <c r="B20" s="572" t="str">
        <f t="shared" si="3"/>
        <v>Improved Customer Service</v>
      </c>
      <c r="C20" s="572"/>
      <c r="D20" s="185">
        <f t="shared" si="4"/>
        <v>0.10327868852459017</v>
      </c>
      <c r="E20" s="346">
        <f t="shared" ca="1" si="6"/>
        <v>555.17344728842556</v>
      </c>
      <c r="F20" s="346">
        <f t="shared" ca="1" si="7"/>
        <v>138.79336182210639</v>
      </c>
      <c r="H20" s="343"/>
      <c r="I20" s="343"/>
      <c r="J20" s="343"/>
      <c r="K20" s="103"/>
      <c r="L20" s="103"/>
      <c r="M20" s="103"/>
      <c r="N20" s="103"/>
    </row>
    <row r="21" spans="1:14" s="62" customFormat="1" ht="25.5" customHeight="1" thickTop="1" thickBot="1">
      <c r="A21" s="103"/>
      <c r="B21" s="572" t="str">
        <f t="shared" si="3"/>
        <v>New/Expanded Channels or Geographies</v>
      </c>
      <c r="C21" s="572"/>
      <c r="D21" s="185">
        <f t="shared" si="4"/>
        <v>0.10327868852459017</v>
      </c>
      <c r="E21" s="346">
        <f t="shared" ca="1" si="6"/>
        <v>251.19321526154246</v>
      </c>
      <c r="F21" s="346">
        <f t="shared" ca="1" si="7"/>
        <v>62.798303815385623</v>
      </c>
      <c r="H21" s="343"/>
      <c r="I21" s="343"/>
      <c r="J21" s="343"/>
      <c r="K21" s="103"/>
      <c r="L21" s="103"/>
      <c r="M21" s="103"/>
      <c r="N21" s="103"/>
    </row>
    <row r="22" spans="1:14" s="62" customFormat="1" ht="15" customHeight="1" thickTop="1" thickBot="1">
      <c r="A22" s="103"/>
      <c r="B22" s="572" t="str">
        <f t="shared" si="3"/>
        <v>New/Enhanced Products/Services</v>
      </c>
      <c r="C22" s="572"/>
      <c r="D22" s="185">
        <f t="shared" si="4"/>
        <v>0.10327868852459017</v>
      </c>
      <c r="E22" s="346">
        <f t="shared" ca="1" si="6"/>
        <v>273.89277044843436</v>
      </c>
      <c r="F22" s="346">
        <f t="shared" ca="1" si="7"/>
        <v>68.473192612108591</v>
      </c>
      <c r="H22" s="343"/>
      <c r="I22" s="343"/>
      <c r="J22" s="343"/>
      <c r="K22" s="103"/>
      <c r="L22" s="103"/>
      <c r="M22" s="103"/>
      <c r="N22" s="103"/>
    </row>
    <row r="23" spans="1:14" s="62" customFormat="1" ht="25.5" customHeight="1" thickTop="1" thickBot="1">
      <c r="A23" s="103"/>
      <c r="B23" s="572" t="str">
        <f t="shared" si="3"/>
        <v>Improved Product Availability (fill rate, up-time)</v>
      </c>
      <c r="C23" s="572"/>
      <c r="D23" s="185">
        <f t="shared" si="4"/>
        <v>0.10327868852459017</v>
      </c>
      <c r="E23" s="346">
        <f t="shared" ca="1" si="6"/>
        <v>218.12601759794222</v>
      </c>
      <c r="F23" s="346">
        <f t="shared" ca="1" si="7"/>
        <v>54.531504399485556</v>
      </c>
      <c r="H23" s="343"/>
      <c r="I23" s="343"/>
      <c r="J23" s="343"/>
      <c r="K23" s="103"/>
      <c r="L23" s="103"/>
      <c r="M23" s="103"/>
      <c r="N23" s="103"/>
    </row>
    <row r="24" spans="1:14" ht="15" thickTop="1" thickBot="1">
      <c r="B24" s="572" t="str">
        <f t="shared" si="3"/>
        <v>Other</v>
      </c>
      <c r="C24" s="572"/>
      <c r="D24" s="185">
        <f t="shared" si="4"/>
        <v>0.10327868852459017</v>
      </c>
      <c r="E24" s="346">
        <f t="shared" si="6"/>
        <v>0</v>
      </c>
      <c r="F24" s="346">
        <f t="shared" si="7"/>
        <v>0</v>
      </c>
      <c r="H24" s="343"/>
      <c r="I24" s="343"/>
      <c r="J24" s="343"/>
    </row>
    <row r="25" spans="1:14" s="62" customFormat="1" ht="15" thickTop="1" thickBot="1">
      <c r="A25" s="103"/>
      <c r="B25" s="572" t="s">
        <v>237</v>
      </c>
      <c r="C25" s="572"/>
      <c r="D25" s="185">
        <f t="shared" si="4"/>
        <v>0.10327868852459017</v>
      </c>
      <c r="E25" s="347">
        <f ca="1">SUM(E18:E24)</f>
        <v>2080.5889695089172</v>
      </c>
      <c r="F25" s="347">
        <f ca="1">SUM(F18:F24)</f>
        <v>520.1472423772293</v>
      </c>
      <c r="H25" s="343"/>
      <c r="I25" s="343"/>
      <c r="J25" s="343"/>
      <c r="K25" s="103"/>
      <c r="L25" s="103"/>
      <c r="M25" s="103"/>
      <c r="N25" s="103"/>
    </row>
    <row r="26" spans="1:14" s="62" customFormat="1" ht="13.8" thickTop="1">
      <c r="A26" s="103"/>
      <c r="B26" s="572" t="str">
        <f>"Total ("&amp;Duration&amp;"-Year)"</f>
        <v>Total (5-Year)</v>
      </c>
      <c r="C26" s="572"/>
      <c r="E26" s="347">
        <f ca="1">E25*Duration</f>
        <v>10402.944847544586</v>
      </c>
      <c r="F26" s="347">
        <f ca="1">F25*Duration</f>
        <v>2600.7362118861465</v>
      </c>
      <c r="H26" s="343"/>
      <c r="I26" s="343"/>
      <c r="J26" s="343"/>
      <c r="K26" s="103"/>
      <c r="L26" s="103"/>
      <c r="M26" s="103"/>
      <c r="N26" s="103"/>
    </row>
    <row r="27" spans="1:14">
      <c r="G27" s="343"/>
      <c r="H27" s="343"/>
      <c r="I27" s="343"/>
      <c r="J27" s="343"/>
    </row>
    <row r="28" spans="1:14">
      <c r="G28" s="343"/>
      <c r="H28" s="343"/>
      <c r="I28" s="343"/>
      <c r="J28" s="343"/>
    </row>
    <row r="29" spans="1:14">
      <c r="G29" s="343"/>
      <c r="H29" s="343"/>
      <c r="I29" s="343"/>
      <c r="J29" s="343"/>
    </row>
    <row r="30" spans="1:14">
      <c r="G30" s="343"/>
      <c r="H30" s="343"/>
      <c r="I30" s="343"/>
      <c r="J30" s="343"/>
    </row>
    <row r="31" spans="1:14">
      <c r="B31" s="403"/>
      <c r="C31" s="403"/>
      <c r="D31" s="403"/>
      <c r="E31" s="403"/>
      <c r="F31" s="403"/>
      <c r="G31" s="403"/>
    </row>
    <row r="32" spans="1:14">
      <c r="G32" s="343"/>
      <c r="H32" s="343"/>
      <c r="I32" s="343"/>
      <c r="J32" s="343"/>
    </row>
    <row r="33" spans="1:14" s="62" customFormat="1">
      <c r="A33" s="103"/>
      <c r="B33" s="103"/>
      <c r="C33" s="103"/>
      <c r="D33" s="103"/>
      <c r="E33" s="103"/>
      <c r="F33" s="103"/>
      <c r="G33" s="103"/>
      <c r="H33" s="103"/>
      <c r="I33" s="103"/>
      <c r="J33" s="103"/>
      <c r="K33" s="103"/>
      <c r="L33" s="103"/>
      <c r="M33" s="103"/>
      <c r="N33" s="103"/>
    </row>
  </sheetData>
  <sheetProtection selectLockedCells="1" selectUnlockedCells="1"/>
  <mergeCells count="11">
    <mergeCell ref="B26:C26"/>
    <mergeCell ref="B20:C20"/>
    <mergeCell ref="B21:C21"/>
    <mergeCell ref="B22:C22"/>
    <mergeCell ref="B23:C23"/>
    <mergeCell ref="B24:C24"/>
    <mergeCell ref="C3:E3"/>
    <mergeCell ref="F3:H3"/>
    <mergeCell ref="B18:C18"/>
    <mergeCell ref="B19:C19"/>
    <mergeCell ref="B25:C25"/>
  </mergeCells>
  <pageMargins left="0.25" right="0.25" top="0.75" bottom="0.75" header="0.3" footer="0.3"/>
  <pageSetup scale="63" fitToHeight="10" orientation="portrait" horizontalDpi="300" verticalDpi="300" r:id="rId1"/>
  <headerFooter>
    <oddFooter>&amp;LTDWI Business Intelligence ROI Calculator&amp;C&amp;A Worksheet&amp;R&amp;P of &amp;N</oddFooter>
  </headerFooter>
  <drawing r:id="rId2"/>
</worksheet>
</file>

<file path=xl/worksheets/sheet11.xml><?xml version="1.0" encoding="utf-8"?>
<worksheet xmlns="http://schemas.openxmlformats.org/spreadsheetml/2006/main" xmlns:r="http://schemas.openxmlformats.org/officeDocument/2006/relationships">
  <sheetPr codeName="Sheet11">
    <tabColor rgb="FF92D050"/>
    <pageSetUpPr fitToPage="1"/>
  </sheetPr>
  <dimension ref="A1:O49"/>
  <sheetViews>
    <sheetView showGridLines="0" topLeftCell="A37" workbookViewId="0">
      <selection activeCell="F49" sqref="B49:F49"/>
    </sheetView>
  </sheetViews>
  <sheetFormatPr defaultColWidth="9.109375" defaultRowHeight="13.2"/>
  <cols>
    <col min="1" max="1" width="2.6640625" style="103" customWidth="1"/>
    <col min="2" max="2" width="24.88671875" style="103" customWidth="1"/>
    <col min="3" max="3" width="31.5546875" style="103" customWidth="1"/>
    <col min="4" max="4" width="8.5546875" style="103" bestFit="1" customWidth="1"/>
    <col min="5" max="5" width="7.88671875" style="103" customWidth="1"/>
    <col min="6" max="6" width="7" style="103" customWidth="1"/>
    <col min="7" max="7" width="7.109375" style="103" customWidth="1"/>
    <col min="8" max="8" width="6.5546875" style="103" bestFit="1" customWidth="1"/>
    <col min="9" max="9" width="6.6640625" style="103" bestFit="1" customWidth="1"/>
    <col min="10" max="10" width="9" style="103" bestFit="1" customWidth="1"/>
    <col min="11" max="11" width="52.88671875" style="103" customWidth="1"/>
    <col min="12" max="12" width="2.33203125" customWidth="1"/>
    <col min="13" max="13" width="9.109375" style="28" hidden="1" customWidth="1"/>
    <col min="14" max="15" width="0" style="28" hidden="1" customWidth="1"/>
    <col min="16" max="16384" width="9.109375" style="28"/>
  </cols>
  <sheetData>
    <row r="1" spans="1:15" ht="27.6">
      <c r="A1" s="2" t="s">
        <v>732</v>
      </c>
      <c r="C1" s="29"/>
      <c r="D1" s="29"/>
      <c r="E1" s="29"/>
      <c r="F1" s="29"/>
      <c r="G1" s="29"/>
      <c r="H1" s="29"/>
      <c r="I1" s="29"/>
      <c r="M1" s="32" t="s">
        <v>52</v>
      </c>
      <c r="N1" s="32" t="s">
        <v>52</v>
      </c>
      <c r="O1" s="32" t="s">
        <v>52</v>
      </c>
    </row>
    <row r="2" spans="1:15" s="103" customFormat="1" ht="150" customHeight="1">
      <c r="C2" s="29"/>
      <c r="D2" s="29"/>
      <c r="E2" s="29"/>
      <c r="F2" s="29"/>
      <c r="G2" s="29"/>
      <c r="H2" s="29"/>
      <c r="I2" s="29"/>
      <c r="M2" s="32"/>
      <c r="N2" s="32"/>
      <c r="O2" s="32"/>
    </row>
    <row r="3" spans="1:15">
      <c r="D3" s="532" t="s">
        <v>538</v>
      </c>
      <c r="E3" s="532"/>
      <c r="F3" s="532" t="s">
        <v>537</v>
      </c>
      <c r="G3" s="532"/>
      <c r="H3" s="532"/>
      <c r="I3" s="532"/>
      <c r="J3" s="532"/>
    </row>
    <row r="4" spans="1:15">
      <c r="D4" s="532"/>
      <c r="E4" s="532"/>
      <c r="F4" s="532" t="s">
        <v>57</v>
      </c>
      <c r="G4" s="532"/>
      <c r="H4" s="532" t="s">
        <v>58</v>
      </c>
      <c r="I4" s="532"/>
      <c r="J4" s="532"/>
    </row>
    <row r="5" spans="1:15" ht="26.4">
      <c r="B5" s="183" t="s">
        <v>59</v>
      </c>
      <c r="C5" s="183" t="s">
        <v>53</v>
      </c>
      <c r="D5" s="183" t="s">
        <v>60</v>
      </c>
      <c r="E5" s="183" t="s">
        <v>61</v>
      </c>
      <c r="F5" s="183" t="s">
        <v>34</v>
      </c>
      <c r="G5" s="183" t="s">
        <v>54</v>
      </c>
      <c r="H5" s="183" t="s">
        <v>34</v>
      </c>
      <c r="I5" s="183" t="s">
        <v>54</v>
      </c>
      <c r="J5" s="183" t="s">
        <v>93</v>
      </c>
      <c r="K5" s="401" t="s">
        <v>976</v>
      </c>
      <c r="M5" s="64" t="s">
        <v>91</v>
      </c>
      <c r="N5" s="64" t="s">
        <v>1013</v>
      </c>
      <c r="O5" s="64" t="s">
        <v>1014</v>
      </c>
    </row>
    <row r="6" spans="1:15" s="62" customFormat="1" ht="15.6" thickBot="1">
      <c r="A6" s="6" t="s">
        <v>249</v>
      </c>
      <c r="B6" s="34"/>
      <c r="C6" s="35"/>
      <c r="D6" s="36"/>
      <c r="E6" s="36"/>
      <c r="F6" s="74"/>
      <c r="G6" s="74"/>
      <c r="H6" s="74"/>
      <c r="I6" s="74"/>
      <c r="J6" s="36"/>
      <c r="K6" s="74"/>
      <c r="M6" s="31"/>
      <c r="N6" s="265"/>
      <c r="O6" s="265"/>
    </row>
    <row r="7" spans="1:15" ht="40.799999999999997" thickTop="1" thickBot="1">
      <c r="B7" s="109" t="s">
        <v>62</v>
      </c>
      <c r="C7" s="40" t="s">
        <v>253</v>
      </c>
      <c r="D7" s="46">
        <v>10</v>
      </c>
      <c r="E7" s="46">
        <v>5</v>
      </c>
      <c r="F7" s="186">
        <f>0.5-(0.5-(Initiatives!$H$169+Initiatives!$H$175)/2)*0.3</f>
        <v>0.40249999999999997</v>
      </c>
      <c r="G7" s="283">
        <f ca="1">F7+(1-F7)*N7*O7</f>
        <v>0.49290668839111873</v>
      </c>
      <c r="H7" s="42">
        <f t="shared" ref="H7:I12" si="0">$D7-($D7-$E7)*F7</f>
        <v>7.9875000000000007</v>
      </c>
      <c r="I7" s="42">
        <f t="shared" ca="1" si="0"/>
        <v>7.5354665580444067</v>
      </c>
      <c r="J7" s="43">
        <f t="shared" ref="J7:J12" ca="1" si="1">(I7-H7)/H7*M7</f>
        <v>5.6592606191623658E-2</v>
      </c>
      <c r="K7" s="79" t="str">
        <f ca="1">ImpCalc!BP93</f>
        <v>Workflow and Collaboration (26%); Scorecards / Dashboards (18%); Analytical Tools (18%); BI Applications (14%); Reporting (12%); Source System Inclusion / Integration (11%)</v>
      </c>
      <c r="M7" s="45">
        <f t="shared" ref="M7:M12" si="2">IF(D7&gt;E7,-1,1)</f>
        <v>-1</v>
      </c>
      <c r="N7" s="399">
        <v>0.3</v>
      </c>
      <c r="O7" s="43">
        <f ca="1">ImpCalc!D93</f>
        <v>0.50436088363246157</v>
      </c>
    </row>
    <row r="8" spans="1:15" s="33" customFormat="1" ht="40.799999999999997" thickTop="1" thickBot="1">
      <c r="A8" s="103"/>
      <c r="B8" s="109" t="s">
        <v>30</v>
      </c>
      <c r="C8" s="40" t="s">
        <v>49</v>
      </c>
      <c r="D8" s="186">
        <v>0.15</v>
      </c>
      <c r="E8" s="186">
        <v>0.75</v>
      </c>
      <c r="F8" s="186">
        <f>F$7</f>
        <v>0.40249999999999997</v>
      </c>
      <c r="G8" s="399">
        <f t="shared" ref="G8:G12" ca="1" si="3">F8+(1-F8)*N8*O8</f>
        <v>0.63052233730393326</v>
      </c>
      <c r="H8" s="41">
        <f t="shared" si="0"/>
        <v>0.39149999999999996</v>
      </c>
      <c r="I8" s="41">
        <f t="shared" ca="1" si="0"/>
        <v>0.52831340238235991</v>
      </c>
      <c r="J8" s="43">
        <f t="shared" ca="1" si="1"/>
        <v>0.34945952077231152</v>
      </c>
      <c r="K8" s="79" t="str">
        <f ca="1">ImpCalc!BP94</f>
        <v>Source System Inclusion / Integration (24%); Scorecards / Dashboards (24%); Reporting (19%); BI Applications (15%); Workflow and Collaboration (9%); Analytical Tools (8%)</v>
      </c>
      <c r="M8" s="45">
        <f t="shared" si="2"/>
        <v>1</v>
      </c>
      <c r="N8" s="399">
        <v>0.8</v>
      </c>
      <c r="O8" s="43">
        <f ca="1">ImpCalc!D94</f>
        <v>0.47703417846011137</v>
      </c>
    </row>
    <row r="9" spans="1:15" s="33" customFormat="1" ht="27.6" thickTop="1" thickBot="1">
      <c r="A9" s="103"/>
      <c r="B9" s="109" t="s">
        <v>31</v>
      </c>
      <c r="C9" s="40" t="s">
        <v>50</v>
      </c>
      <c r="D9" s="186">
        <v>0.15</v>
      </c>
      <c r="E9" s="186">
        <v>0.75</v>
      </c>
      <c r="F9" s="399">
        <f t="shared" ref="F9:F12" si="4">F$7</f>
        <v>0.40249999999999997</v>
      </c>
      <c r="G9" s="399">
        <f t="shared" ca="1" si="3"/>
        <v>0.53049219659967539</v>
      </c>
      <c r="H9" s="41">
        <f t="shared" si="0"/>
        <v>0.39149999999999996</v>
      </c>
      <c r="I9" s="41">
        <f t="shared" ca="1" si="0"/>
        <v>0.46829531795980517</v>
      </c>
      <c r="J9" s="43">
        <f t="shared" ca="1" si="1"/>
        <v>0.19615662314126492</v>
      </c>
      <c r="K9" s="79" t="str">
        <f ca="1">ImpCalc!BP95</f>
        <v>Scorecards / Dashboards (59%); Workflow and Collaboration (24%); Reporting (5%); BI Applications (5%)</v>
      </c>
      <c r="M9" s="45">
        <f t="shared" si="2"/>
        <v>1</v>
      </c>
      <c r="N9" s="399">
        <v>0.4</v>
      </c>
      <c r="O9" s="43">
        <f ca="1">ImpCalc!D95</f>
        <v>0.53553220334592211</v>
      </c>
    </row>
    <row r="10" spans="1:15" s="33" customFormat="1" ht="31.8" thickTop="1" thickBot="1">
      <c r="A10" s="103"/>
      <c r="B10" s="109" t="s">
        <v>27</v>
      </c>
      <c r="C10" s="40" t="s">
        <v>47</v>
      </c>
      <c r="D10" s="186">
        <v>0.65</v>
      </c>
      <c r="E10" s="186">
        <v>0.75</v>
      </c>
      <c r="F10" s="399">
        <f t="shared" si="4"/>
        <v>0.40249999999999997</v>
      </c>
      <c r="G10" s="399">
        <f t="shared" ca="1" si="3"/>
        <v>0.49593638004323143</v>
      </c>
      <c r="H10" s="41">
        <f t="shared" si="0"/>
        <v>0.69025000000000003</v>
      </c>
      <c r="I10" s="41">
        <f t="shared" ca="1" si="0"/>
        <v>0.69959363800432317</v>
      </c>
      <c r="J10" s="43">
        <f t="shared" ca="1" si="1"/>
        <v>1.3536599788950584E-2</v>
      </c>
      <c r="K10" s="79" t="str">
        <f ca="1">ImpCalc!BP96</f>
        <v>Scorecards / Dashboards (25%); Analytical Tools (25%); BI Applications (16%); Workflow and Collaboration (15%); Reporting (10%); Source System Inclusion / Integration (9%)</v>
      </c>
      <c r="M10" s="45">
        <f t="shared" si="2"/>
        <v>1</v>
      </c>
      <c r="N10" s="399">
        <v>0.3</v>
      </c>
      <c r="O10" s="43">
        <f ca="1">ImpCalc!D96</f>
        <v>0.52126292911147254</v>
      </c>
    </row>
    <row r="11" spans="1:15" s="33" customFormat="1" ht="31.8" thickTop="1" thickBot="1">
      <c r="A11" s="103"/>
      <c r="B11" s="109" t="s">
        <v>63</v>
      </c>
      <c r="C11" s="40" t="s">
        <v>64</v>
      </c>
      <c r="D11" s="186">
        <v>0.3</v>
      </c>
      <c r="E11" s="186">
        <v>0.6</v>
      </c>
      <c r="F11" s="399">
        <f t="shared" si="4"/>
        <v>0.40249999999999997</v>
      </c>
      <c r="G11" s="399">
        <f t="shared" ca="1" si="3"/>
        <v>0.61417685761283558</v>
      </c>
      <c r="H11" s="41">
        <f t="shared" si="0"/>
        <v>0.42074999999999996</v>
      </c>
      <c r="I11" s="41">
        <f t="shared" ca="1" si="0"/>
        <v>0.48425305728385065</v>
      </c>
      <c r="J11" s="43">
        <f t="shared" ca="1" si="1"/>
        <v>0.15092824072216446</v>
      </c>
      <c r="K11" s="79" t="str">
        <f ca="1">ImpCalc!BP97</f>
        <v>Source System Inclusion / Integration (34%); BI Applications (19%); Scorecards / Dashboards (15%); Reporting (12%); Workflow and Collaboration (12%); Analytical Tools (5%)</v>
      </c>
      <c r="M11" s="45">
        <f t="shared" si="2"/>
        <v>1</v>
      </c>
      <c r="N11" s="399">
        <v>0.8</v>
      </c>
      <c r="O11" s="43">
        <f ca="1">ImpCalc!D97</f>
        <v>0.44283861425279414</v>
      </c>
    </row>
    <row r="12" spans="1:15" s="33" customFormat="1" ht="27.6" thickTop="1" thickBot="1">
      <c r="A12" s="103"/>
      <c r="B12" s="109" t="s">
        <v>65</v>
      </c>
      <c r="C12" s="40" t="s">
        <v>66</v>
      </c>
      <c r="D12" s="186">
        <v>0.3</v>
      </c>
      <c r="E12" s="186">
        <v>0.75</v>
      </c>
      <c r="F12" s="399">
        <f t="shared" si="4"/>
        <v>0.40249999999999997</v>
      </c>
      <c r="G12" s="399">
        <f t="shared" ca="1" si="3"/>
        <v>0.47515120992278326</v>
      </c>
      <c r="H12" s="41">
        <f t="shared" si="0"/>
        <v>0.48112499999999997</v>
      </c>
      <c r="I12" s="41">
        <f t="shared" ca="1" si="0"/>
        <v>0.51381804446525248</v>
      </c>
      <c r="J12" s="43">
        <f t="shared" ca="1" si="1"/>
        <v>6.7951248563788022E-2</v>
      </c>
      <c r="K12" s="79" t="str">
        <f ca="1">ImpCalc!BP98</f>
        <v>Source System Inclusion / Integration (43%); Data Management (21%); Data Integration/ETL (17%); Architecture Standards &amp; Adherence (13%)</v>
      </c>
      <c r="M12" s="45">
        <f t="shared" si="2"/>
        <v>1</v>
      </c>
      <c r="N12" s="399">
        <v>0.9</v>
      </c>
      <c r="O12" s="43">
        <f ca="1">ImpCalc!D98</f>
        <v>0.13510220348262808</v>
      </c>
    </row>
    <row r="13" spans="1:15" ht="16.2" thickTop="1" thickBot="1">
      <c r="A13" s="6" t="s">
        <v>248</v>
      </c>
      <c r="B13" s="34"/>
      <c r="C13" s="35"/>
      <c r="D13" s="36"/>
      <c r="E13" s="36"/>
      <c r="F13" s="74"/>
      <c r="G13" s="74"/>
      <c r="H13" s="74"/>
      <c r="I13" s="74"/>
      <c r="J13" s="36"/>
      <c r="K13" s="74"/>
      <c r="M13" s="30"/>
      <c r="N13" s="265"/>
      <c r="O13" s="265"/>
    </row>
    <row r="14" spans="1:15" s="33" customFormat="1" ht="27.6" thickTop="1" thickBot="1">
      <c r="A14" s="103"/>
      <c r="B14" s="109" t="s">
        <v>23</v>
      </c>
      <c r="C14" s="40" t="s">
        <v>251</v>
      </c>
      <c r="D14" s="186">
        <v>0.15</v>
      </c>
      <c r="E14" s="186">
        <v>0.19</v>
      </c>
      <c r="F14" s="399">
        <f>0.5-(0.5-(Initiatives!$H$166+Initiatives!$H$172)/2)*0.3</f>
        <v>0.53</v>
      </c>
      <c r="G14" s="399">
        <f t="shared" ref="G14:G16" ca="1" si="5">F14+(1-F14)*N14*O14</f>
        <v>0.55175413032764054</v>
      </c>
      <c r="H14" s="41">
        <f t="shared" ref="H14:I16" si="6">$D14-($D14-$E14)*F14</f>
        <v>0.17119999999999999</v>
      </c>
      <c r="I14" s="41">
        <f t="shared" ca="1" si="6"/>
        <v>0.17207016521310561</v>
      </c>
      <c r="J14" s="43">
        <f ca="1">(I14-H14)/H14*M14</f>
        <v>5.0827407307571411E-3</v>
      </c>
      <c r="K14" s="79" t="str">
        <f ca="1">ImpCalc!BP100</f>
        <v>Marketing / Sales Apps (58%); Marketing / Sales Data Integration (42%)</v>
      </c>
      <c r="M14" s="45">
        <f>IF(D14&gt;E14,-1,1)</f>
        <v>1</v>
      </c>
      <c r="N14" s="399">
        <v>0.15</v>
      </c>
      <c r="O14" s="43">
        <f ca="1">ImpCalc!D100</f>
        <v>0.30856922450553925</v>
      </c>
    </row>
    <row r="15" spans="1:15" s="33" customFormat="1" ht="31.8" thickTop="1" thickBot="1">
      <c r="A15" s="103"/>
      <c r="B15" s="109" t="s">
        <v>24</v>
      </c>
      <c r="C15" s="40" t="s">
        <v>252</v>
      </c>
      <c r="D15" s="186">
        <v>0.12</v>
      </c>
      <c r="E15" s="186">
        <v>0.1</v>
      </c>
      <c r="F15" s="399">
        <f>F$14</f>
        <v>0.53</v>
      </c>
      <c r="G15" s="399">
        <f t="shared" ca="1" si="5"/>
        <v>0.5647564034544349</v>
      </c>
      <c r="H15" s="41">
        <f t="shared" si="6"/>
        <v>0.1094</v>
      </c>
      <c r="I15" s="41">
        <f t="shared" ca="1" si="6"/>
        <v>0.1087048719309113</v>
      </c>
      <c r="J15" s="43">
        <f ca="1">(I15-H15)/H15*M15</f>
        <v>6.3540042878308623E-3</v>
      </c>
      <c r="K15" s="79" t="str">
        <f ca="1">ImpCalc!BP101</f>
        <v>Supply Chain / Ops Data Integration (26%); Customer service analysis (22%); Marketing / Sales Apps (15%); Enhance BI Platform (14%); Supply / Operations Apps (12%); Marketing / Sales Data Integration (11%)</v>
      </c>
      <c r="M15" s="45">
        <f>IF(D15&gt;E15,-1,1)</f>
        <v>-1</v>
      </c>
      <c r="N15" s="399">
        <v>0.2</v>
      </c>
      <c r="O15" s="43">
        <f ca="1">ImpCalc!D101</f>
        <v>0.36974897291951969</v>
      </c>
    </row>
    <row r="16" spans="1:15" s="62" customFormat="1" ht="31.8" thickTop="1" thickBot="1">
      <c r="A16" s="103"/>
      <c r="B16" s="109" t="s">
        <v>254</v>
      </c>
      <c r="C16" s="40" t="s">
        <v>255</v>
      </c>
      <c r="D16" s="186">
        <v>0.3</v>
      </c>
      <c r="E16" s="186">
        <v>0.95</v>
      </c>
      <c r="F16" s="399">
        <f>F$14</f>
        <v>0.53</v>
      </c>
      <c r="G16" s="399">
        <f t="shared" ca="1" si="5"/>
        <v>0.56696613881890712</v>
      </c>
      <c r="H16" s="41">
        <f t="shared" si="6"/>
        <v>0.64449999999999996</v>
      </c>
      <c r="I16" s="41">
        <f t="shared" ca="1" si="6"/>
        <v>0.66852799023228959</v>
      </c>
      <c r="J16" s="43">
        <f ca="1">(I16-H16)/H16*M16</f>
        <v>3.7281598498509906E-2</v>
      </c>
      <c r="K16" s="79" t="str">
        <f ca="1">ImpCalc!BP102</f>
        <v>Supply Chain / Ops Data Integration (33%); Supply / Operations Apps (21%); Customer service analysis (18%); Enhance BI Platform (15%); Marketing / Sales Data Integration (6%)</v>
      </c>
      <c r="M16" s="45">
        <f>IF(D16&gt;E16,-1,1)</f>
        <v>1</v>
      </c>
      <c r="N16" s="399">
        <v>0.2</v>
      </c>
      <c r="O16" s="43">
        <f ca="1">ImpCalc!D102</f>
        <v>0.39325679594581958</v>
      </c>
    </row>
    <row r="17" spans="1:15" ht="16.2" thickTop="1" thickBot="1">
      <c r="A17" s="6" t="s">
        <v>955</v>
      </c>
      <c r="K17" s="188"/>
      <c r="N17" s="400"/>
      <c r="O17" s="400"/>
    </row>
    <row r="18" spans="1:15" s="62" customFormat="1" ht="42" thickTop="1" thickBot="1">
      <c r="A18" s="103"/>
      <c r="B18" s="109" t="s">
        <v>219</v>
      </c>
      <c r="C18" s="40" t="s">
        <v>220</v>
      </c>
      <c r="D18" s="186">
        <v>0.3</v>
      </c>
      <c r="E18" s="186">
        <v>0.7</v>
      </c>
      <c r="F18" s="399">
        <f>0.5-(0.5-(Initiatives!$H$167+Initiatives!$H$173)/2)*0.3</f>
        <v>0.40249999999999997</v>
      </c>
      <c r="G18" s="399">
        <f t="shared" ref="G18:G24" ca="1" si="7">F18+(1-F18)*N18*O18</f>
        <v>0.42685092967189198</v>
      </c>
      <c r="H18" s="41">
        <f t="shared" ref="H18:I24" si="8">$D18-($D18-$E18)*F18</f>
        <v>0.46099999999999997</v>
      </c>
      <c r="I18" s="41">
        <f t="shared" ca="1" si="8"/>
        <v>0.47074037186875672</v>
      </c>
      <c r="J18" s="43">
        <f t="shared" ref="J18:J21" ca="1" si="9">(I18-H18)/H18*M18</f>
        <v>2.1128789303159999E-2</v>
      </c>
      <c r="K18" s="79" t="str">
        <f ca="1">ImpCalc!BP104</f>
        <v>R&amp;D / prod development apps (17%); R&amp;D data (14%); Business process/activity monitoring (BAM) (12%); Enhance BI Platform (10%); Competitive intelligence analysis (9%); Support / services data (9%); Manufacturing data (6%)</v>
      </c>
      <c r="M18" s="45">
        <f t="shared" ref="M18:M21" si="10">IF(D18&gt;E18,-1,1)</f>
        <v>1</v>
      </c>
      <c r="N18" s="399">
        <v>0.08</v>
      </c>
      <c r="O18" s="43">
        <f ca="1">ImpCalc!D104</f>
        <v>0.50943367514418447</v>
      </c>
    </row>
    <row r="19" spans="1:15" s="62" customFormat="1" ht="42" thickTop="1" thickBot="1">
      <c r="A19" s="103"/>
      <c r="B19" s="109" t="s">
        <v>221</v>
      </c>
      <c r="C19" s="40" t="s">
        <v>222</v>
      </c>
      <c r="D19" s="46">
        <v>45</v>
      </c>
      <c r="E19" s="46">
        <v>2</v>
      </c>
      <c r="F19" s="399">
        <f>F$18</f>
        <v>0.40249999999999997</v>
      </c>
      <c r="G19" s="399">
        <f t="shared" ca="1" si="7"/>
        <v>0.43714943814446239</v>
      </c>
      <c r="H19" s="42">
        <f t="shared" si="8"/>
        <v>27.692500000000003</v>
      </c>
      <c r="I19" s="42">
        <f t="shared" ca="1" si="8"/>
        <v>26.202574159788117</v>
      </c>
      <c r="J19" s="43">
        <f t="shared" ca="1" si="9"/>
        <v>5.3802503934707417E-2</v>
      </c>
      <c r="K19" s="79" t="str">
        <f ca="1">ImpCalc!BP105</f>
        <v>Manufacturing data (20%); Support / services data (16%); Business process/activity monitoring (BAM) (15%); Production and inventory analysis (13%); Logistics, warehousing, distribution data (12%); Enhance BI Platform (11%); Purchasing data (8%)</v>
      </c>
      <c r="M19" s="45">
        <f t="shared" si="10"/>
        <v>-1</v>
      </c>
      <c r="N19" s="399">
        <v>0.12</v>
      </c>
      <c r="O19" s="43">
        <f ca="1">ImpCalc!D105</f>
        <v>0.48325576212639393</v>
      </c>
    </row>
    <row r="20" spans="1:15" s="33" customFormat="1" ht="42" thickTop="1" thickBot="1">
      <c r="A20" s="103"/>
      <c r="B20" s="109" t="s">
        <v>28</v>
      </c>
      <c r="C20" s="40" t="s">
        <v>951</v>
      </c>
      <c r="D20" s="186">
        <v>0.9</v>
      </c>
      <c r="E20" s="186">
        <v>0.94500000000000006</v>
      </c>
      <c r="F20" s="399">
        <f t="shared" ref="F20:F24" si="11">F$18</f>
        <v>0.40249999999999997</v>
      </c>
      <c r="G20" s="399">
        <f t="shared" ca="1" si="7"/>
        <v>0.44544759570597242</v>
      </c>
      <c r="H20" s="41">
        <f t="shared" si="8"/>
        <v>0.9181125</v>
      </c>
      <c r="I20" s="41">
        <f t="shared" ca="1" si="8"/>
        <v>0.92004514180676877</v>
      </c>
      <c r="J20" s="43">
        <f t="shared" ca="1" si="9"/>
        <v>2.1050163316246925E-3</v>
      </c>
      <c r="K20" s="79" t="str">
        <f ca="1">ImpCalc!BP106</f>
        <v>R&amp;D / prod development apps (17%); Logistics, warehousing, distribution data (15%); Manufacturing data (12%); Supply chain analytics/optimization (11%); Support / services data (10%); Purchasing data (7%); Production and inventory analysis (6%)</v>
      </c>
      <c r="M20" s="45">
        <f t="shared" si="10"/>
        <v>1</v>
      </c>
      <c r="N20" s="399">
        <v>0.15</v>
      </c>
      <c r="O20" s="43">
        <f ca="1">ImpCalc!D106</f>
        <v>0.47919214176817226</v>
      </c>
    </row>
    <row r="21" spans="1:15" s="33" customFormat="1" ht="27.6" thickTop="1" thickBot="1">
      <c r="A21" s="103"/>
      <c r="B21" s="109" t="s">
        <v>68</v>
      </c>
      <c r="C21" s="40" t="s">
        <v>69</v>
      </c>
      <c r="D21" s="186">
        <v>0.5</v>
      </c>
      <c r="E21" s="186">
        <v>0.7</v>
      </c>
      <c r="F21" s="399">
        <f t="shared" si="11"/>
        <v>0.40249999999999997</v>
      </c>
      <c r="G21" s="399">
        <f t="shared" ca="1" si="7"/>
        <v>0.47489060147577283</v>
      </c>
      <c r="H21" s="41">
        <f t="shared" si="8"/>
        <v>0.58050000000000002</v>
      </c>
      <c r="I21" s="41">
        <f t="shared" ca="1" si="8"/>
        <v>0.59497812029515451</v>
      </c>
      <c r="J21" s="43">
        <f t="shared" ca="1" si="9"/>
        <v>2.4940775702247193E-2</v>
      </c>
      <c r="K21" s="79" t="str">
        <f ca="1">ImpCalc!BP107</f>
        <v>Workflow and Collaboration (39%); Scorecards / Dashboards (22%); Analytical Tools (18%); BI Applications (8%); Source System Inclusion / Integration (8%)</v>
      </c>
      <c r="M21" s="45">
        <f t="shared" si="10"/>
        <v>1</v>
      </c>
      <c r="N21" s="399">
        <v>0.22</v>
      </c>
      <c r="O21" s="43">
        <f ca="1">ImpCalc!D107</f>
        <v>0.55070826531588324</v>
      </c>
    </row>
    <row r="22" spans="1:15" s="33" customFormat="1" ht="31.8" thickTop="1" thickBot="1">
      <c r="A22" s="103"/>
      <c r="B22" s="109" t="s">
        <v>92</v>
      </c>
      <c r="C22" s="40" t="s">
        <v>256</v>
      </c>
      <c r="D22" s="186">
        <v>0.3</v>
      </c>
      <c r="E22" s="186">
        <v>0.95</v>
      </c>
      <c r="F22" s="399">
        <f t="shared" si="11"/>
        <v>0.40249999999999997</v>
      </c>
      <c r="G22" s="399">
        <f t="shared" ca="1" si="7"/>
        <v>0.47937718087511483</v>
      </c>
      <c r="H22" s="41">
        <f t="shared" si="8"/>
        <v>0.56162499999999993</v>
      </c>
      <c r="I22" s="41">
        <f t="shared" ca="1" si="8"/>
        <v>0.61159516756882459</v>
      </c>
      <c r="J22" s="43">
        <f ca="1">(I22-H22)/H22*M22</f>
        <v>8.8974257856798883E-2</v>
      </c>
      <c r="K22" s="79" t="str">
        <f ca="1">ImpCalc!BP108</f>
        <v>BI Applications (25%); Analytical Tools (23%); Workflow and Collaboration (22%); Scorecards / Dashboards (14%); Source System Inclusion / Integration (11%)</v>
      </c>
      <c r="M22" s="45">
        <f>IF(D22&gt;E22,-1,1)</f>
        <v>1</v>
      </c>
      <c r="N22" s="399">
        <v>0.25</v>
      </c>
      <c r="O22" s="43">
        <f ca="1">ImpCalc!D108</f>
        <v>0.51465895146520413</v>
      </c>
    </row>
    <row r="23" spans="1:15" s="33" customFormat="1" ht="27.6" thickTop="1" thickBot="1">
      <c r="A23" s="103"/>
      <c r="B23" s="109" t="s">
        <v>15</v>
      </c>
      <c r="C23" s="40" t="s">
        <v>67</v>
      </c>
      <c r="D23" s="46">
        <v>50</v>
      </c>
      <c r="E23" s="46">
        <v>20</v>
      </c>
      <c r="F23" s="399">
        <f t="shared" si="11"/>
        <v>0.40249999999999997</v>
      </c>
      <c r="G23" s="399">
        <f t="shared" ca="1" si="7"/>
        <v>0.41257505146533974</v>
      </c>
      <c r="H23" s="42">
        <f t="shared" si="8"/>
        <v>37.924999999999997</v>
      </c>
      <c r="I23" s="42">
        <f t="shared" ca="1" si="8"/>
        <v>37.622748456039808</v>
      </c>
      <c r="J23" s="43">
        <f ca="1">(I23-H23)/H23*M23</f>
        <v>7.9697177049489511E-3</v>
      </c>
      <c r="K23" s="79" t="str">
        <f ca="1">ImpCalc!BP109</f>
        <v>Business activity monitoring (35%); Robust security (31%); Governance (17%); Architecture (10%)</v>
      </c>
      <c r="M23" s="45">
        <f>IF(D23&gt;E23,-1,1)</f>
        <v>-1</v>
      </c>
      <c r="N23" s="399">
        <v>0.12</v>
      </c>
      <c r="O23" s="43">
        <f ca="1">ImpCalc!D109</f>
        <v>0.14051675683876955</v>
      </c>
    </row>
    <row r="24" spans="1:15" s="62" customFormat="1" ht="40.799999999999997" thickTop="1" thickBot="1">
      <c r="A24" s="103"/>
      <c r="B24" s="109" t="s">
        <v>250</v>
      </c>
      <c r="C24" s="40" t="s">
        <v>1016</v>
      </c>
      <c r="D24" s="46">
        <v>3</v>
      </c>
      <c r="E24" s="46">
        <v>0.2</v>
      </c>
      <c r="F24" s="399">
        <f t="shared" si="11"/>
        <v>0.40249999999999997</v>
      </c>
      <c r="G24" s="399">
        <f t="shared" ca="1" si="7"/>
        <v>0.43014074938804614</v>
      </c>
      <c r="H24" s="42">
        <f t="shared" si="8"/>
        <v>1.8730000000000002</v>
      </c>
      <c r="I24" s="42">
        <f t="shared" ca="1" si="8"/>
        <v>1.7956059017134709</v>
      </c>
      <c r="J24" s="43">
        <f ca="1">(I24-H24)/H24*M24</f>
        <v>4.1320928076096802E-2</v>
      </c>
      <c r="K24" s="79" t="str">
        <f ca="1">ImpCalc!BP110</f>
        <v>DW refresh rate (30%); Architecture Standards &amp; Adherence (21%); High performance/reliability infrastructure (20%)</v>
      </c>
      <c r="M24" s="45">
        <f>IF(D24&gt;E24,-1,1)</f>
        <v>-1</v>
      </c>
      <c r="N24" s="399">
        <v>0.8</v>
      </c>
      <c r="O24" s="43">
        <f ca="1">ImpCalc!D110</f>
        <v>5.7825835539845508E-2</v>
      </c>
    </row>
    <row r="25" spans="1:15" ht="16.2" thickTop="1" thickBot="1">
      <c r="A25" s="6" t="s">
        <v>954</v>
      </c>
      <c r="K25" s="188"/>
      <c r="N25" s="400"/>
      <c r="O25" s="400"/>
    </row>
    <row r="26" spans="1:15" s="33" customFormat="1" ht="21.6" thickTop="1" thickBot="1">
      <c r="A26" s="103"/>
      <c r="B26" s="109" t="s">
        <v>29</v>
      </c>
      <c r="C26" s="40" t="s">
        <v>48</v>
      </c>
      <c r="D26" s="186">
        <v>0.25</v>
      </c>
      <c r="E26" s="186">
        <v>0.125</v>
      </c>
      <c r="F26" s="399">
        <f>0.5-(0.5-(Initiatives!$H$168+Initiatives!$H$178)/2)*0.3</f>
        <v>0.49249999999999999</v>
      </c>
      <c r="G26" s="399">
        <f t="shared" ref="G26:G29" ca="1" si="12">F26+(1-F26)*N26*O26</f>
        <v>0.60861575007361979</v>
      </c>
      <c r="H26" s="41">
        <f t="shared" ref="H26:I29" si="13">$D26-($D26-$E26)*F26</f>
        <v>0.18843750000000001</v>
      </c>
      <c r="I26" s="41">
        <f t="shared" ca="1" si="13"/>
        <v>0.17392303124079753</v>
      </c>
      <c r="J26" s="43">
        <f ca="1">(I26-H26)/H26*M26</f>
        <v>7.7025373183164075E-2</v>
      </c>
      <c r="K26" s="79" t="str">
        <f ca="1">ImpCalc!BP112</f>
        <v>Financial planning (39%); Source System Inclusion / Integration (25%); Financial analysis (22%); Demand forecasting/planning (7%)</v>
      </c>
      <c r="M26" s="45">
        <f>IF(D26&gt;E26,-1,1)</f>
        <v>-1</v>
      </c>
      <c r="N26" s="399">
        <v>0.5</v>
      </c>
      <c r="O26" s="43">
        <f ca="1">ImpCalc!D112</f>
        <v>0.45759901506845257</v>
      </c>
    </row>
    <row r="27" spans="1:15" s="352" customFormat="1" ht="40.799999999999997" thickTop="1" thickBot="1">
      <c r="B27" s="109" t="s">
        <v>956</v>
      </c>
      <c r="C27" s="40" t="s">
        <v>957</v>
      </c>
      <c r="D27" s="46">
        <v>30</v>
      </c>
      <c r="E27" s="46">
        <v>24</v>
      </c>
      <c r="F27" s="399">
        <f>F$26</f>
        <v>0.49249999999999999</v>
      </c>
      <c r="G27" s="399">
        <f t="shared" ca="1" si="12"/>
        <v>0.72808396365330375</v>
      </c>
      <c r="H27" s="42">
        <f t="shared" si="13"/>
        <v>27.045000000000002</v>
      </c>
      <c r="I27" s="42">
        <f t="shared" ca="1" si="13"/>
        <v>25.631496218080176</v>
      </c>
      <c r="J27" s="43">
        <f ca="1">(I27-H27)/H27*M27</f>
        <v>5.2264883783317624E-2</v>
      </c>
      <c r="K27" s="79" t="str">
        <f ca="1">ImpCalc!BP113</f>
        <v>Workflow and Collaboration (20%); Analytical Tools (20%); Scorecards / Dashboards (17%); BI Applications (15%); Reporting (14%); Source System Inclusion / Integration (13%)</v>
      </c>
      <c r="M27" s="45">
        <f>IF(D27&gt;E27,-1,1)</f>
        <v>-1</v>
      </c>
      <c r="N27" s="399">
        <v>0.9</v>
      </c>
      <c r="O27" s="43">
        <f ca="1">ImpCalc!D113</f>
        <v>0.51578317165474263</v>
      </c>
    </row>
    <row r="28" spans="1:15" s="33" customFormat="1" ht="21.6" thickTop="1" thickBot="1">
      <c r="A28" s="103"/>
      <c r="B28" s="109" t="s">
        <v>25</v>
      </c>
      <c r="C28" s="40" t="s">
        <v>51</v>
      </c>
      <c r="D28" s="46">
        <v>30</v>
      </c>
      <c r="E28" s="46">
        <v>24</v>
      </c>
      <c r="F28" s="399">
        <f t="shared" ref="F28:F29" si="14">F$26</f>
        <v>0.49249999999999999</v>
      </c>
      <c r="G28" s="399">
        <f t="shared" ca="1" si="12"/>
        <v>0.54061708474780923</v>
      </c>
      <c r="H28" s="42">
        <f t="shared" si="13"/>
        <v>27.045000000000002</v>
      </c>
      <c r="I28" s="42">
        <f t="shared" ca="1" si="13"/>
        <v>26.756297491513145</v>
      </c>
      <c r="J28" s="43">
        <f ca="1">(I28-H28)/H28*M28</f>
        <v>1.0674894009497388E-2</v>
      </c>
      <c r="K28" s="79" t="str">
        <f ca="1">ImpCalc!BP114</f>
        <v>Workflow and Collaboration (53%); BI Applications (22%); Source System Inclusion / Integration (22%)</v>
      </c>
      <c r="M28" s="45">
        <f>IF(D28&gt;E28,-1,1)</f>
        <v>-1</v>
      </c>
      <c r="N28" s="399">
        <v>0.2</v>
      </c>
      <c r="O28" s="43">
        <f ca="1">ImpCalc!D114</f>
        <v>0.47405994825427827</v>
      </c>
    </row>
    <row r="29" spans="1:15" s="33" customFormat="1" ht="31.8" thickTop="1" thickBot="1">
      <c r="A29" s="103"/>
      <c r="B29" s="109" t="s">
        <v>952</v>
      </c>
      <c r="C29" s="40" t="s">
        <v>953</v>
      </c>
      <c r="D29" s="186">
        <v>0.3</v>
      </c>
      <c r="E29" s="186">
        <v>0.99</v>
      </c>
      <c r="F29" s="399">
        <f t="shared" si="14"/>
        <v>0.49249999999999999</v>
      </c>
      <c r="G29" s="399">
        <f t="shared" ca="1" si="12"/>
        <v>0.54925548610960906</v>
      </c>
      <c r="H29" s="41">
        <f t="shared" si="13"/>
        <v>0.63982499999999998</v>
      </c>
      <c r="I29" s="41">
        <f t="shared" ca="1" si="13"/>
        <v>0.67898628541563022</v>
      </c>
      <c r="J29" s="43">
        <f t="shared" ref="J29" ca="1" si="15">(I29-H29)/H29*M29</f>
        <v>6.1206244544414867E-2</v>
      </c>
      <c r="K29" s="79" t="str">
        <f ca="1">ImpCalc!BP115</f>
        <v>Compliance mgmt analysis (47%); Source System Inclusion / Integration (18%); Enhance BI Platform (14%); Financial Apps (13%); Architecture Standards &amp; Adherence (5%)</v>
      </c>
      <c r="M29" s="45">
        <f t="shared" ref="M29" si="16">IF(D29&gt;E29,-1,1)</f>
        <v>1</v>
      </c>
      <c r="N29" s="399">
        <v>0.25</v>
      </c>
      <c r="O29" s="43">
        <f ca="1">ImpCalc!D115</f>
        <v>0.44733388066686908</v>
      </c>
    </row>
    <row r="30" spans="1:15" ht="13.8" thickTop="1"/>
    <row r="31" spans="1:15" ht="15">
      <c r="A31" s="6" t="s">
        <v>33</v>
      </c>
      <c r="L31" s="28"/>
    </row>
    <row r="32" spans="1:15" s="103" customFormat="1" ht="33.75" customHeight="1">
      <c r="A32" s="6"/>
    </row>
    <row r="33" spans="1:13" s="103" customFormat="1" ht="15">
      <c r="A33" s="6"/>
      <c r="D33" s="532" t="s">
        <v>57</v>
      </c>
      <c r="E33" s="532"/>
      <c r="F33" s="532"/>
      <c r="L33"/>
      <c r="M33" s="28"/>
    </row>
    <row r="34" spans="1:13" ht="55.5" customHeight="1">
      <c r="D34" s="364" t="s">
        <v>535</v>
      </c>
      <c r="E34" s="364" t="s">
        <v>1015</v>
      </c>
      <c r="F34" s="364" t="s">
        <v>324</v>
      </c>
    </row>
    <row r="35" spans="1:13" s="62" customFormat="1" ht="12.75" customHeight="1">
      <c r="A35" s="103"/>
      <c r="C35" s="410" t="s">
        <v>249</v>
      </c>
      <c r="D35" s="43">
        <f>AVERAGE(F7:F12)</f>
        <v>0.40249999999999991</v>
      </c>
      <c r="E35" s="43">
        <f ca="1">AVERAGE(G7:G12)</f>
        <v>0.53986427831226302</v>
      </c>
      <c r="F35" s="43">
        <f ca="1">E35-D35</f>
        <v>0.13736427831226311</v>
      </c>
      <c r="G35" s="400"/>
      <c r="H35" s="400"/>
      <c r="I35" s="103"/>
      <c r="J35" s="103"/>
      <c r="K35" s="103"/>
    </row>
    <row r="36" spans="1:13" ht="12.75" customHeight="1">
      <c r="C36" s="410" t="s">
        <v>248</v>
      </c>
      <c r="D36" s="43">
        <f>AVERAGE(F14:F16)</f>
        <v>0.53</v>
      </c>
      <c r="E36" s="43">
        <f ca="1">AVERAGE(G14:G16)</f>
        <v>0.56115889086699411</v>
      </c>
      <c r="F36" s="43">
        <f ca="1">E36-D36</f>
        <v>3.1158890866994082E-2</v>
      </c>
      <c r="G36" s="400"/>
      <c r="H36" s="400"/>
    </row>
    <row r="37" spans="1:13" s="62" customFormat="1" ht="12.75" customHeight="1">
      <c r="A37" s="103"/>
      <c r="C37" s="410" t="s">
        <v>247</v>
      </c>
      <c r="D37" s="43">
        <f>AVERAGE(F18:F24)</f>
        <v>0.40249999999999991</v>
      </c>
      <c r="E37" s="43">
        <f ca="1">AVERAGE(G18:G24)</f>
        <v>0.44377593524665715</v>
      </c>
      <c r="F37" s="43">
        <f ca="1">E37-D37</f>
        <v>4.1275935246657236E-2</v>
      </c>
      <c r="G37" s="400"/>
      <c r="H37" s="400"/>
      <c r="I37" s="103"/>
      <c r="J37" s="103"/>
      <c r="K37" s="103"/>
    </row>
    <row r="38" spans="1:13" s="62" customFormat="1" ht="13.5" customHeight="1" thickBot="1">
      <c r="A38" s="103"/>
      <c r="C38" s="410" t="str">
        <f>A25</f>
        <v>Financial Management Performance</v>
      </c>
      <c r="D38" s="43">
        <f>AVERAGE(F26:F29)</f>
        <v>0.49249999999999999</v>
      </c>
      <c r="E38" s="43">
        <f ca="1">AVERAGE(G26:G29)</f>
        <v>0.60664307114608551</v>
      </c>
      <c r="F38" s="43">
        <f ca="1">E38-D38</f>
        <v>0.11414307114608552</v>
      </c>
      <c r="G38" s="400"/>
      <c r="H38" s="400"/>
      <c r="I38" s="103"/>
      <c r="J38" s="103"/>
      <c r="K38" s="103"/>
    </row>
    <row r="39" spans="1:13" s="62" customFormat="1" ht="13.8" thickTop="1">
      <c r="A39" s="103"/>
      <c r="C39" s="411" t="s">
        <v>257</v>
      </c>
      <c r="D39" s="55">
        <f>AVERAGE(D36:D38)</f>
        <v>0.47499999999999992</v>
      </c>
      <c r="E39" s="55">
        <f ca="1">AVERAGE(E36:E38)</f>
        <v>0.53719263241991222</v>
      </c>
      <c r="F39" s="55">
        <f ca="1">AVERAGE(F36:F38)</f>
        <v>6.2192632419912276E-2</v>
      </c>
      <c r="G39" s="400"/>
      <c r="H39" s="400"/>
      <c r="I39" s="103"/>
      <c r="J39" s="103"/>
      <c r="K39" s="103"/>
    </row>
    <row r="49" spans="2:6">
      <c r="B49" s="403"/>
      <c r="C49" s="403"/>
      <c r="D49" s="403"/>
      <c r="E49" s="403"/>
      <c r="F49" s="403"/>
    </row>
  </sheetData>
  <sheetProtection selectLockedCells="1" selectUnlockedCells="1"/>
  <mergeCells count="5">
    <mergeCell ref="D3:E4"/>
    <mergeCell ref="F4:G4"/>
    <mergeCell ref="F3:J3"/>
    <mergeCell ref="H4:J4"/>
    <mergeCell ref="D33:F33"/>
  </mergeCells>
  <pageMargins left="0.25" right="0.25" top="0.75" bottom="0.75" header="0.3" footer="0.3"/>
  <pageSetup scale="63" fitToHeight="10" orientation="portrait" horizontalDpi="300" verticalDpi="300" r:id="rId1"/>
  <headerFooter>
    <oddFooter>&amp;LTDWI Business Intelligence ROI Calculator&amp;C&amp;A Worksheet&amp;R&amp;P of &amp;N</oddFooter>
  </headerFooter>
  <rowBreaks count="1" manualBreakCount="1">
    <brk id="30" max="11" man="1"/>
  </rowBreaks>
  <drawing r:id="rId2"/>
</worksheet>
</file>

<file path=xl/worksheets/sheet12.xml><?xml version="1.0" encoding="utf-8"?>
<worksheet xmlns="http://schemas.openxmlformats.org/spreadsheetml/2006/main" xmlns:r="http://schemas.openxmlformats.org/officeDocument/2006/relationships">
  <sheetPr codeName="Sheet8">
    <tabColor rgb="FF0033CC"/>
  </sheetPr>
  <dimension ref="A1:L448"/>
  <sheetViews>
    <sheetView showGridLines="0" tabSelected="1" workbookViewId="0">
      <selection activeCell="F118" sqref="F118"/>
    </sheetView>
  </sheetViews>
  <sheetFormatPr defaultColWidth="9.109375" defaultRowHeight="13.2"/>
  <cols>
    <col min="1" max="1" width="3" style="82" customWidth="1"/>
    <col min="2" max="3" width="2.109375" style="103" customWidth="1"/>
    <col min="4" max="4" width="35.5546875" style="82" customWidth="1"/>
    <col min="5" max="5" width="11.6640625" style="82" customWidth="1"/>
    <col min="6" max="6" width="11.88671875" style="82" customWidth="1"/>
    <col min="7" max="7" width="10.109375" style="82" customWidth="1"/>
    <col min="8" max="8" width="12" style="82" customWidth="1"/>
    <col min="9" max="9" width="11.109375" style="82" customWidth="1"/>
    <col min="10" max="10" width="11.5546875" style="82" customWidth="1"/>
    <col min="11" max="11" width="11.88671875" style="82" bestFit="1" customWidth="1"/>
    <col min="12" max="12" width="11.88671875" style="82" customWidth="1"/>
    <col min="13" max="13" width="1.109375" style="82" customWidth="1"/>
    <col min="14" max="16384" width="9.109375" style="82"/>
  </cols>
  <sheetData>
    <row r="1" spans="1:12" ht="27.6">
      <c r="A1" s="2" t="s">
        <v>1159</v>
      </c>
      <c r="B1" s="2"/>
      <c r="C1" s="2"/>
    </row>
    <row r="2" spans="1:12" ht="13.8">
      <c r="B2" s="581" t="s">
        <v>1190</v>
      </c>
      <c r="C2" s="582"/>
      <c r="D2" s="582"/>
      <c r="E2" s="582"/>
      <c r="F2" s="582"/>
      <c r="G2" s="582"/>
      <c r="H2" s="582"/>
      <c r="I2" s="582"/>
      <c r="J2" s="582"/>
      <c r="K2" s="582"/>
      <c r="L2" s="582"/>
    </row>
    <row r="3" spans="1:12" ht="21">
      <c r="A3" s="95" t="s">
        <v>42</v>
      </c>
      <c r="B3" s="95"/>
      <c r="C3" s="95"/>
    </row>
    <row r="4" spans="1:12" ht="34.5" customHeight="1">
      <c r="A4" s="91"/>
      <c r="B4" s="484"/>
      <c r="C4" s="573" t="s">
        <v>1157</v>
      </c>
      <c r="D4" s="574"/>
      <c r="E4" s="574"/>
      <c r="F4" s="574"/>
      <c r="G4" s="574"/>
      <c r="H4" s="574"/>
      <c r="I4" s="574"/>
      <c r="J4" s="574"/>
      <c r="K4" s="574"/>
      <c r="L4" s="575"/>
    </row>
    <row r="5" spans="1:12">
      <c r="A5" s="91"/>
      <c r="B5" s="485"/>
      <c r="C5" s="91"/>
      <c r="D5" s="91"/>
      <c r="E5" s="91"/>
      <c r="F5" s="91"/>
      <c r="G5" s="91"/>
      <c r="H5" s="91"/>
      <c r="I5" s="91"/>
      <c r="J5" s="91"/>
      <c r="K5" s="91"/>
      <c r="L5" s="486"/>
    </row>
    <row r="6" spans="1:12" ht="25.5" customHeight="1">
      <c r="B6" s="485"/>
      <c r="C6" s="91"/>
      <c r="D6" s="91"/>
      <c r="E6" s="482" t="s">
        <v>849</v>
      </c>
      <c r="F6" s="556" t="s">
        <v>311</v>
      </c>
      <c r="G6" s="556"/>
      <c r="H6" s="91"/>
      <c r="I6" s="91"/>
      <c r="J6" s="91"/>
      <c r="K6" s="91"/>
      <c r="L6" s="486"/>
    </row>
    <row r="7" spans="1:12">
      <c r="B7" s="485"/>
      <c r="C7" s="91"/>
      <c r="D7" s="120" t="str">
        <f>"Costs ("&amp;Duration&amp;"-Yr)"</f>
        <v>Costs (5-Yr)</v>
      </c>
      <c r="E7" s="483">
        <f ca="1">G127</f>
        <v>1936.5755577319103</v>
      </c>
      <c r="F7" s="578">
        <f ca="1">E7*BIs/1000</f>
        <v>7746.3022309276412</v>
      </c>
      <c r="G7" s="578"/>
      <c r="H7" s="91"/>
      <c r="I7" s="91"/>
      <c r="J7" s="75"/>
      <c r="K7" s="91"/>
      <c r="L7" s="486"/>
    </row>
    <row r="8" spans="1:12">
      <c r="B8" s="485"/>
      <c r="C8" s="91"/>
      <c r="D8" s="120" t="str">
        <f>"Benefits ("&amp;Duration&amp;"-Yr)"</f>
        <v>Benefits (5-Yr)</v>
      </c>
      <c r="E8" s="483">
        <f ca="1">G138</f>
        <v>6863.1351718720234</v>
      </c>
      <c r="F8" s="578">
        <f ca="1">E8*BIs/1000</f>
        <v>27452.540687488094</v>
      </c>
      <c r="G8" s="578"/>
      <c r="H8" s="91"/>
      <c r="I8" s="91"/>
      <c r="J8" s="75"/>
      <c r="K8" s="91"/>
      <c r="L8" s="486"/>
    </row>
    <row r="9" spans="1:12">
      <c r="B9" s="485"/>
      <c r="C9" s="91"/>
      <c r="D9" s="120" t="s">
        <v>43</v>
      </c>
      <c r="E9" s="483">
        <f ca="1">E8-E7</f>
        <v>4926.5596141401129</v>
      </c>
      <c r="F9" s="578">
        <f ca="1">E9*BIs/1000</f>
        <v>19706.238456560452</v>
      </c>
      <c r="G9" s="578"/>
      <c r="H9" s="91"/>
      <c r="I9" s="91"/>
      <c r="J9" s="75"/>
      <c r="K9" s="91"/>
      <c r="L9" s="486"/>
    </row>
    <row r="10" spans="1:12">
      <c r="B10" s="485"/>
      <c r="C10" s="91"/>
      <c r="D10" s="120" t="s">
        <v>267</v>
      </c>
      <c r="E10" s="483">
        <f ca="1">L164</f>
        <v>3455.697502154886</v>
      </c>
      <c r="F10" s="578">
        <f ca="1">E10*BIs/1000</f>
        <v>13822.790008619542</v>
      </c>
      <c r="G10" s="578"/>
      <c r="H10" s="91"/>
      <c r="I10" s="91"/>
      <c r="J10" s="91"/>
      <c r="K10" s="91"/>
      <c r="L10" s="486"/>
    </row>
    <row r="11" spans="1:12" ht="26.4">
      <c r="B11" s="485"/>
      <c r="C11" s="91"/>
      <c r="D11" s="120" t="s">
        <v>269</v>
      </c>
      <c r="E11" s="576">
        <f ca="1">E9/E7</f>
        <v>2.543954246696178</v>
      </c>
      <c r="F11" s="576"/>
      <c r="G11" s="576"/>
      <c r="H11" s="91"/>
      <c r="I11" s="91"/>
      <c r="J11" s="91"/>
      <c r="K11" s="91"/>
      <c r="L11" s="486"/>
    </row>
    <row r="12" spans="1:12">
      <c r="B12" s="485"/>
      <c r="C12" s="91"/>
      <c r="D12" s="120" t="s">
        <v>268</v>
      </c>
      <c r="E12" s="576">
        <f ca="1">IRR(E164:J164)</f>
        <v>1.0216585989163551</v>
      </c>
      <c r="F12" s="576"/>
      <c r="G12" s="576"/>
      <c r="H12" s="91"/>
      <c r="I12" s="91"/>
      <c r="J12" s="91"/>
      <c r="K12" s="91"/>
      <c r="L12" s="486"/>
    </row>
    <row r="13" spans="1:12">
      <c r="B13" s="485"/>
      <c r="C13" s="91"/>
      <c r="D13" s="120" t="s">
        <v>270</v>
      </c>
      <c r="E13" s="577" t="str">
        <f ca="1">E166&amp;" Months"</f>
        <v>11 Months</v>
      </c>
      <c r="F13" s="577"/>
      <c r="G13" s="577"/>
      <c r="H13" s="91"/>
      <c r="I13" s="91"/>
      <c r="J13" s="91"/>
      <c r="K13" s="91"/>
      <c r="L13" s="486"/>
    </row>
    <row r="14" spans="1:12">
      <c r="B14" s="485"/>
      <c r="C14" s="91"/>
      <c r="D14" s="120" t="s">
        <v>911</v>
      </c>
      <c r="E14" s="577">
        <f>BIs</f>
        <v>4000</v>
      </c>
      <c r="F14" s="577"/>
      <c r="G14" s="577"/>
      <c r="H14" s="91"/>
      <c r="I14" s="91"/>
      <c r="J14" s="91"/>
      <c r="K14" s="91"/>
      <c r="L14" s="486"/>
    </row>
    <row r="15" spans="1:12">
      <c r="B15" s="485"/>
      <c r="C15" s="91"/>
      <c r="D15" s="91"/>
      <c r="E15" s="91"/>
      <c r="F15" s="91"/>
      <c r="G15" s="91"/>
      <c r="H15" s="91"/>
      <c r="I15" s="91"/>
      <c r="J15" s="91"/>
      <c r="K15" s="91"/>
      <c r="L15" s="486"/>
    </row>
    <row r="16" spans="1:12" s="103" customFormat="1">
      <c r="B16" s="485"/>
      <c r="C16" s="91"/>
      <c r="D16" s="91"/>
      <c r="E16" s="91"/>
      <c r="F16" s="91"/>
      <c r="G16" s="91"/>
      <c r="H16" s="91"/>
      <c r="I16" s="91"/>
      <c r="J16" s="91"/>
      <c r="K16" s="91"/>
      <c r="L16" s="486"/>
    </row>
    <row r="17" spans="1:12">
      <c r="B17" s="485"/>
      <c r="C17" s="91"/>
      <c r="D17" s="164"/>
      <c r="E17" s="91"/>
      <c r="F17" s="91"/>
      <c r="G17" s="91"/>
      <c r="H17" s="91"/>
      <c r="I17" s="91"/>
      <c r="J17" s="91"/>
      <c r="K17" s="91"/>
      <c r="L17" s="486"/>
    </row>
    <row r="18" spans="1:12" s="103" customFormat="1" ht="12.75" customHeight="1">
      <c r="B18" s="485"/>
      <c r="C18" s="91"/>
      <c r="D18" s="91"/>
      <c r="E18" s="583" t="s">
        <v>285</v>
      </c>
      <c r="F18" s="584"/>
      <c r="G18" s="585"/>
      <c r="H18" s="583" t="s">
        <v>284</v>
      </c>
      <c r="I18" s="584"/>
      <c r="J18" s="585"/>
      <c r="K18" s="91"/>
      <c r="L18" s="486"/>
    </row>
    <row r="19" spans="1:12" s="103" customFormat="1" ht="26.4">
      <c r="B19" s="485"/>
      <c r="C19" s="165"/>
      <c r="D19" s="91"/>
      <c r="E19" s="482" t="s">
        <v>95</v>
      </c>
      <c r="F19" s="482" t="s">
        <v>258</v>
      </c>
      <c r="G19" s="482" t="str">
        <f>Duration&amp;"-Year Total"</f>
        <v>5-Year Total</v>
      </c>
      <c r="H19" s="482" t="s">
        <v>95</v>
      </c>
      <c r="I19" s="482" t="s">
        <v>258</v>
      </c>
      <c r="J19" s="482" t="str">
        <f>Duration&amp;"-Year Total"</f>
        <v>5-Year Total</v>
      </c>
      <c r="K19" s="91"/>
      <c r="L19" s="486"/>
    </row>
    <row r="20" spans="1:12">
      <c r="A20" s="62"/>
      <c r="B20" s="485"/>
      <c r="C20" s="91"/>
      <c r="D20" s="122" t="s">
        <v>19</v>
      </c>
      <c r="E20" s="123">
        <f ca="1">SUM(E195:E196,E199:E200,E203:E206,E209:E211)</f>
        <v>1195.5490681672541</v>
      </c>
      <c r="F20" s="123">
        <f ca="1">SUM(F195:F196,F199:F200,F203:F206,F209:F211)</f>
        <v>148.20529791293126</v>
      </c>
      <c r="G20" s="123">
        <f ca="1">E20+F20*Duration</f>
        <v>1936.5755577319103</v>
      </c>
      <c r="H20" s="123">
        <f ca="1">SUM(H195:H196,H199:H200,H203:H206,H209:H211)</f>
        <v>4782.1962726690163</v>
      </c>
      <c r="I20" s="123">
        <f ca="1">SUM(I195:I196,I199:I200,I203:I206,I209:I211)</f>
        <v>592.82119165172503</v>
      </c>
      <c r="J20" s="123">
        <f ca="1">H20+I20*Duration</f>
        <v>7746.3022309276412</v>
      </c>
      <c r="K20" s="91"/>
      <c r="L20" s="486"/>
    </row>
    <row r="21" spans="1:12">
      <c r="A21" s="62"/>
      <c r="B21" s="485"/>
      <c r="C21" s="91"/>
      <c r="D21" s="122" t="s">
        <v>20</v>
      </c>
      <c r="E21" s="123">
        <f ca="1">E138</f>
        <v>40.211483474725</v>
      </c>
      <c r="F21" s="123">
        <f t="shared" ref="F21:J21" ca="1" si="0">F138</f>
        <v>1364.5847376794597</v>
      </c>
      <c r="G21" s="123">
        <f t="shared" ca="1" si="0"/>
        <v>6863.1351718720234</v>
      </c>
      <c r="H21" s="123">
        <f t="shared" ca="1" si="0"/>
        <v>160.8459338989</v>
      </c>
      <c r="I21" s="123">
        <f t="shared" ca="1" si="0"/>
        <v>5458.338950717839</v>
      </c>
      <c r="J21" s="123">
        <f t="shared" ca="1" si="0"/>
        <v>27452.540687488094</v>
      </c>
      <c r="K21" s="166"/>
      <c r="L21" s="487"/>
    </row>
    <row r="22" spans="1:12" s="103" customFormat="1">
      <c r="B22" s="485"/>
      <c r="C22" s="91"/>
      <c r="D22" s="164"/>
      <c r="E22" s="91"/>
      <c r="F22" s="91"/>
      <c r="G22" s="91"/>
      <c r="H22" s="91"/>
      <c r="I22" s="91"/>
      <c r="J22" s="91"/>
      <c r="K22" s="91"/>
      <c r="L22" s="486"/>
    </row>
    <row r="23" spans="1:12" s="103" customFormat="1">
      <c r="B23" s="485"/>
      <c r="C23" s="91"/>
      <c r="D23" s="164"/>
      <c r="E23" s="91"/>
      <c r="F23" s="91"/>
      <c r="G23" s="91"/>
      <c r="H23" s="91"/>
      <c r="I23" s="91"/>
      <c r="J23" s="91"/>
      <c r="K23" s="91"/>
      <c r="L23" s="486"/>
    </row>
    <row r="24" spans="1:12" s="103" customFormat="1">
      <c r="B24" s="485"/>
      <c r="C24" s="91"/>
      <c r="D24" s="164"/>
      <c r="E24" s="91"/>
      <c r="F24" s="91"/>
      <c r="G24" s="91"/>
      <c r="H24" s="91"/>
      <c r="I24" s="91"/>
      <c r="J24" s="91"/>
      <c r="K24" s="91"/>
      <c r="L24" s="486"/>
    </row>
    <row r="25" spans="1:12" s="103" customFormat="1">
      <c r="B25" s="485"/>
      <c r="C25" s="91"/>
      <c r="D25" s="164"/>
      <c r="E25" s="91"/>
      <c r="F25" s="91"/>
      <c r="G25" s="91"/>
      <c r="H25" s="91"/>
      <c r="I25" s="91"/>
      <c r="J25" s="91"/>
      <c r="K25" s="91"/>
      <c r="L25" s="486"/>
    </row>
    <row r="26" spans="1:12" s="103" customFormat="1">
      <c r="B26" s="485"/>
      <c r="C26" s="91"/>
      <c r="D26" s="164"/>
      <c r="E26" s="91"/>
      <c r="F26" s="91"/>
      <c r="G26" s="91"/>
      <c r="H26" s="91"/>
      <c r="I26" s="91"/>
      <c r="J26" s="91"/>
      <c r="K26" s="91"/>
      <c r="L26" s="486"/>
    </row>
    <row r="27" spans="1:12" s="103" customFormat="1">
      <c r="B27" s="485"/>
      <c r="C27" s="91"/>
      <c r="D27" s="164"/>
      <c r="E27" s="91"/>
      <c r="F27" s="91"/>
      <c r="G27" s="91"/>
      <c r="H27" s="91"/>
      <c r="I27" s="91"/>
      <c r="J27" s="91"/>
      <c r="K27" s="91"/>
      <c r="L27" s="486"/>
    </row>
    <row r="28" spans="1:12" s="103" customFormat="1">
      <c r="B28" s="485"/>
      <c r="C28" s="91"/>
      <c r="D28" s="164"/>
      <c r="E28" s="91"/>
      <c r="F28" s="91"/>
      <c r="G28" s="91"/>
      <c r="H28" s="91"/>
      <c r="I28" s="91"/>
      <c r="J28" s="91"/>
      <c r="K28" s="91"/>
      <c r="L28" s="486"/>
    </row>
    <row r="29" spans="1:12" s="103" customFormat="1">
      <c r="B29" s="485"/>
      <c r="C29" s="91"/>
      <c r="D29" s="164"/>
      <c r="E29" s="91"/>
      <c r="F29" s="91"/>
      <c r="G29" s="91"/>
      <c r="H29" s="91"/>
      <c r="I29" s="91"/>
      <c r="J29" s="91"/>
      <c r="K29" s="91"/>
      <c r="L29" s="486"/>
    </row>
    <row r="30" spans="1:12" s="103" customFormat="1">
      <c r="B30" s="485"/>
      <c r="C30" s="91"/>
      <c r="D30" s="164"/>
      <c r="E30" s="91"/>
      <c r="F30" s="91"/>
      <c r="G30" s="91"/>
      <c r="H30" s="91"/>
      <c r="I30" s="91"/>
      <c r="J30" s="91"/>
      <c r="K30" s="91"/>
      <c r="L30" s="486"/>
    </row>
    <row r="31" spans="1:12" s="103" customFormat="1">
      <c r="B31" s="485"/>
      <c r="C31" s="91"/>
      <c r="D31" s="164"/>
      <c r="E31" s="91"/>
      <c r="F31" s="91"/>
      <c r="G31" s="91"/>
      <c r="H31" s="91"/>
      <c r="I31" s="91"/>
      <c r="J31" s="91"/>
      <c r="K31" s="91"/>
      <c r="L31" s="486"/>
    </row>
    <row r="32" spans="1:12" s="103" customFormat="1">
      <c r="B32" s="485"/>
      <c r="C32" s="91"/>
      <c r="D32" s="164"/>
      <c r="E32" s="91"/>
      <c r="F32" s="91"/>
      <c r="G32" s="91"/>
      <c r="H32" s="91"/>
      <c r="I32" s="91"/>
      <c r="J32" s="91"/>
      <c r="K32" s="91"/>
      <c r="L32" s="486"/>
    </row>
    <row r="33" spans="1:12" s="103" customFormat="1">
      <c r="B33" s="485"/>
      <c r="C33" s="91"/>
      <c r="D33" s="164"/>
      <c r="E33" s="91"/>
      <c r="F33" s="91"/>
      <c r="G33" s="91"/>
      <c r="H33" s="91"/>
      <c r="I33" s="91"/>
      <c r="J33" s="91"/>
      <c r="K33" s="91"/>
      <c r="L33" s="486"/>
    </row>
    <row r="34" spans="1:12" s="103" customFormat="1">
      <c r="B34" s="485"/>
      <c r="C34" s="91"/>
      <c r="D34" s="164"/>
      <c r="E34" s="91"/>
      <c r="F34" s="91"/>
      <c r="G34" s="91"/>
      <c r="H34" s="91"/>
      <c r="I34" s="91"/>
      <c r="J34" s="91"/>
      <c r="K34" s="91"/>
      <c r="L34" s="486"/>
    </row>
    <row r="35" spans="1:12" s="103" customFormat="1">
      <c r="B35" s="485"/>
      <c r="C35" s="91"/>
      <c r="D35" s="164"/>
      <c r="E35" s="91"/>
      <c r="F35" s="91"/>
      <c r="G35" s="91"/>
      <c r="H35" s="91"/>
      <c r="I35" s="91"/>
      <c r="J35" s="91"/>
      <c r="K35" s="91"/>
      <c r="L35" s="486"/>
    </row>
    <row r="36" spans="1:12" s="103" customFormat="1">
      <c r="B36" s="485"/>
      <c r="C36" s="91"/>
      <c r="D36" s="164"/>
      <c r="E36" s="91"/>
      <c r="F36" s="91"/>
      <c r="G36" s="91"/>
      <c r="H36" s="91"/>
      <c r="I36" s="91"/>
      <c r="J36" s="91"/>
      <c r="K36" s="91"/>
      <c r="L36" s="486"/>
    </row>
    <row r="37" spans="1:12" s="103" customFormat="1">
      <c r="B37" s="485"/>
      <c r="C37" s="91"/>
      <c r="D37" s="164"/>
      <c r="E37" s="91"/>
      <c r="F37" s="91"/>
      <c r="G37" s="91"/>
      <c r="H37" s="91"/>
      <c r="I37" s="91"/>
      <c r="J37" s="91"/>
      <c r="K37" s="91"/>
      <c r="L37" s="486"/>
    </row>
    <row r="38" spans="1:12" s="103" customFormat="1">
      <c r="B38" s="485"/>
      <c r="C38" s="91"/>
      <c r="D38" s="164"/>
      <c r="E38" s="91"/>
      <c r="F38" s="91"/>
      <c r="G38" s="91"/>
      <c r="H38" s="91"/>
      <c r="I38" s="91"/>
      <c r="J38" s="91"/>
      <c r="K38" s="91"/>
      <c r="L38" s="486"/>
    </row>
    <row r="39" spans="1:12" s="103" customFormat="1">
      <c r="B39" s="485"/>
      <c r="C39" s="91"/>
      <c r="D39" s="164"/>
      <c r="E39" s="91"/>
      <c r="F39" s="91"/>
      <c r="G39" s="91"/>
      <c r="H39" s="91"/>
      <c r="I39" s="91"/>
      <c r="J39" s="91"/>
      <c r="K39" s="91"/>
      <c r="L39" s="486"/>
    </row>
    <row r="40" spans="1:12" s="103" customFormat="1">
      <c r="B40" s="485"/>
      <c r="C40" s="91"/>
      <c r="D40" s="164"/>
      <c r="E40" s="91"/>
      <c r="F40" s="91"/>
      <c r="G40" s="91"/>
      <c r="H40" s="91"/>
      <c r="I40" s="91"/>
      <c r="J40" s="91"/>
      <c r="K40" s="91"/>
      <c r="L40" s="486"/>
    </row>
    <row r="41" spans="1:12" s="103" customFormat="1">
      <c r="B41" s="485"/>
      <c r="C41" s="91"/>
      <c r="D41" s="164"/>
      <c r="E41" s="91"/>
      <c r="F41" s="91"/>
      <c r="G41" s="91"/>
      <c r="H41" s="91"/>
      <c r="I41" s="91"/>
      <c r="J41" s="91"/>
      <c r="K41" s="91"/>
      <c r="L41" s="486"/>
    </row>
    <row r="42" spans="1:12" s="103" customFormat="1">
      <c r="B42" s="488"/>
      <c r="C42" s="489"/>
      <c r="D42" s="490"/>
      <c r="E42" s="489"/>
      <c r="F42" s="489"/>
      <c r="G42" s="489"/>
      <c r="H42" s="489"/>
      <c r="I42" s="489"/>
      <c r="J42" s="489"/>
      <c r="K42" s="489"/>
      <c r="L42" s="491"/>
    </row>
    <row r="43" spans="1:12" s="103" customFormat="1">
      <c r="B43" s="73"/>
      <c r="C43" s="73"/>
      <c r="D43" s="121"/>
      <c r="E43" s="73"/>
      <c r="F43" s="73"/>
      <c r="G43" s="73"/>
      <c r="H43" s="73"/>
      <c r="I43" s="73"/>
      <c r="J43" s="73"/>
      <c r="K43" s="73"/>
      <c r="L43" s="73"/>
    </row>
    <row r="44" spans="1:12" s="480" customFormat="1" ht="21">
      <c r="A44" s="95" t="s">
        <v>1175</v>
      </c>
      <c r="B44" s="73"/>
      <c r="C44" s="73"/>
      <c r="D44" s="121"/>
      <c r="E44" s="73"/>
      <c r="F44" s="73"/>
      <c r="G44" s="73"/>
      <c r="H44" s="73"/>
      <c r="I44" s="73"/>
      <c r="J44" s="73"/>
      <c r="K44" s="73"/>
      <c r="L44" s="73"/>
    </row>
    <row r="45" spans="1:12" s="457" customFormat="1" ht="72.75" customHeight="1">
      <c r="B45" s="492"/>
      <c r="C45" s="573" t="s">
        <v>1156</v>
      </c>
      <c r="D45" s="574"/>
      <c r="E45" s="574"/>
      <c r="F45" s="574"/>
      <c r="G45" s="574"/>
      <c r="H45" s="574"/>
      <c r="I45" s="574"/>
      <c r="J45" s="574"/>
      <c r="K45" s="574"/>
      <c r="L45" s="575"/>
    </row>
    <row r="46" spans="1:12" s="457" customFormat="1" ht="39.6">
      <c r="B46" s="493"/>
      <c r="C46" s="478"/>
      <c r="D46" s="479"/>
      <c r="E46" s="482" t="str">
        <f>Initiatives!H164</f>
        <v>Current Adoption (As-Is)</v>
      </c>
      <c r="F46" s="482" t="s">
        <v>1154</v>
      </c>
      <c r="G46" s="482" t="str">
        <f>Initiatives!I164</f>
        <v>Simulated Adoption (To-Be)</v>
      </c>
      <c r="H46" s="479"/>
      <c r="I46" s="479"/>
      <c r="J46" s="479"/>
      <c r="K46" s="479"/>
      <c r="L46" s="494"/>
    </row>
    <row r="47" spans="1:12" s="457" customFormat="1" ht="15">
      <c r="B47" s="493"/>
      <c r="C47" s="6" t="str">
        <f>Initiatives!E165</f>
        <v>BI Applications</v>
      </c>
      <c r="D47" s="73"/>
      <c r="E47" s="73"/>
      <c r="F47" s="73"/>
      <c r="G47" s="73"/>
      <c r="H47" s="73"/>
      <c r="I47" s="73"/>
      <c r="J47" s="73"/>
      <c r="K47" s="73"/>
      <c r="L47" s="495"/>
    </row>
    <row r="48" spans="1:12" s="457" customFormat="1">
      <c r="B48" s="493"/>
      <c r="C48" s="73"/>
      <c r="D48" s="496" t="str">
        <f>Initiatives!F166</f>
        <v>Marketing / Sales Apps</v>
      </c>
      <c r="E48" s="424">
        <f>Initiatives!H166</f>
        <v>0.65</v>
      </c>
      <c r="F48" s="497" t="str">
        <f>CHOOSE(Profile!E62+1,"None","Minor","Moderate","Major")</f>
        <v>Major</v>
      </c>
      <c r="G48" s="424">
        <f>Initiatives!I166</f>
        <v>0.92999999999999994</v>
      </c>
      <c r="H48" s="73"/>
      <c r="I48" s="73"/>
      <c r="J48" s="73"/>
      <c r="K48" s="73"/>
      <c r="L48" s="495"/>
    </row>
    <row r="49" spans="2:12" s="457" customFormat="1">
      <c r="B49" s="493"/>
      <c r="C49" s="73"/>
      <c r="D49" s="496" t="str">
        <f>Initiatives!F167</f>
        <v>Supply / Operations Apps</v>
      </c>
      <c r="E49" s="424">
        <f>Initiatives!H167</f>
        <v>0.19999999999999998</v>
      </c>
      <c r="F49" s="497" t="str">
        <f>CHOOSE(Profile!E63+1,"None","Minor","Moderate","Major")</f>
        <v>Moderate</v>
      </c>
      <c r="G49" s="424">
        <f>Initiatives!I167</f>
        <v>0.52</v>
      </c>
      <c r="H49" s="73"/>
      <c r="I49" s="73"/>
      <c r="J49" s="73"/>
      <c r="K49" s="73"/>
      <c r="L49" s="495"/>
    </row>
    <row r="50" spans="2:12" s="457" customFormat="1">
      <c r="B50" s="493"/>
      <c r="C50" s="73"/>
      <c r="D50" s="496" t="str">
        <f>Initiatives!F168</f>
        <v>Financial Apps</v>
      </c>
      <c r="E50" s="424">
        <f>Initiatives!H168</f>
        <v>0.3</v>
      </c>
      <c r="F50" s="497" t="str">
        <f>CHOOSE(Profile!E64+1,"None","Minor","Moderate","Major")</f>
        <v>Major</v>
      </c>
      <c r="G50" s="424">
        <f>Initiatives!I168</f>
        <v>0.85999999999999965</v>
      </c>
      <c r="H50" s="73"/>
      <c r="I50" s="73"/>
      <c r="J50" s="73"/>
      <c r="K50" s="73"/>
      <c r="L50" s="495"/>
    </row>
    <row r="51" spans="2:12" s="457" customFormat="1" ht="13.8" thickBot="1">
      <c r="B51" s="493"/>
      <c r="C51" s="73"/>
      <c r="D51" s="496" t="str">
        <f>Initiatives!F169</f>
        <v>Other / General Mgmt Apps</v>
      </c>
      <c r="E51" s="424">
        <f>Initiatives!H169</f>
        <v>0.15</v>
      </c>
      <c r="F51" s="497" t="str">
        <f>CHOOSE(Profile!E65+1,"None","Minor","Moderate","Major")</f>
        <v>Major</v>
      </c>
      <c r="G51" s="424">
        <f>Initiatives!I169</f>
        <v>0.83000000000000007</v>
      </c>
      <c r="H51" s="73"/>
      <c r="I51" s="73"/>
      <c r="J51" s="73"/>
      <c r="K51" s="73"/>
      <c r="L51" s="495"/>
    </row>
    <row r="52" spans="2:12" s="457" customFormat="1" ht="13.8" thickTop="1">
      <c r="B52" s="493"/>
      <c r="C52" s="73"/>
      <c r="D52" s="476" t="str">
        <f>Initiatives!F170</f>
        <v>BI Applications</v>
      </c>
      <c r="E52" s="498">
        <f>Initiatives!H170</f>
        <v>0.34166666666666662</v>
      </c>
      <c r="F52" s="499"/>
      <c r="G52" s="498">
        <f>Initiatives!I170</f>
        <v>0.79722222222222205</v>
      </c>
      <c r="H52" s="73"/>
      <c r="I52" s="73"/>
      <c r="J52" s="73"/>
      <c r="K52" s="73"/>
      <c r="L52" s="495"/>
    </row>
    <row r="53" spans="2:12" s="457" customFormat="1" ht="15">
      <c r="B53" s="493"/>
      <c r="C53" s="6" t="str">
        <f>Initiatives!E171</f>
        <v>Source System Inclusion / Integration</v>
      </c>
      <c r="D53" s="73"/>
      <c r="E53" s="73"/>
      <c r="F53" s="500"/>
      <c r="G53" s="73"/>
      <c r="H53" s="73"/>
      <c r="I53" s="73"/>
      <c r="J53" s="73"/>
      <c r="K53" s="73"/>
      <c r="L53" s="495"/>
    </row>
    <row r="54" spans="2:12" s="457" customFormat="1">
      <c r="B54" s="493"/>
      <c r="C54" s="73"/>
      <c r="D54" s="496" t="str">
        <f>Initiatives!F172</f>
        <v>Marketing / Sales Data Integration</v>
      </c>
      <c r="E54" s="424">
        <f>Initiatives!H172</f>
        <v>0.55000000000000004</v>
      </c>
      <c r="F54" s="497" t="str">
        <f>CHOOSE(Profile!E67+1,"None","Minor","Moderate","Major")</f>
        <v>Major</v>
      </c>
      <c r="G54" s="424">
        <f>Initiatives!I172</f>
        <v>0.91000000000000014</v>
      </c>
      <c r="H54" s="73"/>
      <c r="I54" s="73"/>
      <c r="J54" s="73"/>
      <c r="K54" s="73"/>
      <c r="L54" s="495"/>
    </row>
    <row r="55" spans="2:12" s="457" customFormat="1">
      <c r="B55" s="493"/>
      <c r="C55" s="73"/>
      <c r="D55" s="496" t="str">
        <f>Initiatives!F173</f>
        <v>Supply Chain / Ops Data Integration</v>
      </c>
      <c r="E55" s="424">
        <f>Initiatives!H173</f>
        <v>0.15</v>
      </c>
      <c r="F55" s="497" t="str">
        <f>CHOOSE(Profile!E68+1,"None","Minor","Moderate","Major")</f>
        <v>Major</v>
      </c>
      <c r="G55" s="424">
        <f>Initiatives!I173</f>
        <v>0.83000000000000018</v>
      </c>
      <c r="H55" s="73"/>
      <c r="I55" s="73"/>
      <c r="J55" s="73"/>
      <c r="K55" s="73"/>
      <c r="L55" s="495"/>
    </row>
    <row r="56" spans="2:12" s="457" customFormat="1">
      <c r="B56" s="493"/>
      <c r="C56" s="73"/>
      <c r="D56" s="496" t="str">
        <f>Initiatives!F174</f>
        <v>Financial Data Integration</v>
      </c>
      <c r="E56" s="424">
        <f>Initiatives!H174</f>
        <v>0.64999999999999991</v>
      </c>
      <c r="F56" s="497" t="str">
        <f>CHOOSE(Profile!E69+1,"None","Minor","Moderate","Major")</f>
        <v>Major</v>
      </c>
      <c r="G56" s="424">
        <f>Initiatives!I174</f>
        <v>0.92999999999999949</v>
      </c>
      <c r="H56" s="73"/>
      <c r="I56" s="73"/>
      <c r="J56" s="73"/>
      <c r="K56" s="73"/>
      <c r="L56" s="495"/>
    </row>
    <row r="57" spans="2:12" s="457" customFormat="1" ht="13.8" thickBot="1">
      <c r="B57" s="493"/>
      <c r="C57" s="73"/>
      <c r="D57" s="496" t="str">
        <f>Initiatives!F175</f>
        <v>Other Data Integration</v>
      </c>
      <c r="E57" s="424">
        <f>Initiatives!H175</f>
        <v>0.2</v>
      </c>
      <c r="F57" s="497" t="str">
        <f>CHOOSE(Profile!E70+1,"None","Minor","Moderate","Major")</f>
        <v>Major</v>
      </c>
      <c r="G57" s="424">
        <f>Initiatives!I175</f>
        <v>0.84000000000000008</v>
      </c>
      <c r="H57" s="73"/>
      <c r="I57" s="73"/>
      <c r="J57" s="73"/>
      <c r="K57" s="73"/>
      <c r="L57" s="495"/>
    </row>
    <row r="58" spans="2:12" s="457" customFormat="1" ht="13.8" thickTop="1">
      <c r="B58" s="493"/>
      <c r="C58" s="73"/>
      <c r="D58" s="476" t="str">
        <f>Initiatives!F176</f>
        <v>Source System Inclusion / Integration</v>
      </c>
      <c r="E58" s="498">
        <f>Initiatives!H176</f>
        <v>0.43181818181818177</v>
      </c>
      <c r="F58" s="500"/>
      <c r="G58" s="498">
        <f>Initiatives!I176</f>
        <v>0.88636363636363613</v>
      </c>
      <c r="H58" s="73"/>
      <c r="I58" s="73"/>
      <c r="J58" s="73"/>
      <c r="K58" s="73"/>
      <c r="L58" s="495"/>
    </row>
    <row r="59" spans="2:12" s="457" customFormat="1" ht="15">
      <c r="B59" s="493"/>
      <c r="C59" s="6" t="str">
        <f>Initiatives!E177</f>
        <v>Enhance DW Platform</v>
      </c>
      <c r="D59" s="73"/>
      <c r="E59" s="73"/>
      <c r="F59" s="500"/>
      <c r="G59" s="73"/>
      <c r="H59" s="73"/>
      <c r="I59" s="73"/>
      <c r="J59" s="73"/>
      <c r="K59" s="73"/>
      <c r="L59" s="495"/>
    </row>
    <row r="60" spans="2:12" s="457" customFormat="1">
      <c r="B60" s="493"/>
      <c r="C60" s="73"/>
      <c r="D60" s="496" t="str">
        <f>Initiatives!F178</f>
        <v>Architecture Standards &amp; Adherence</v>
      </c>
      <c r="E60" s="424">
        <f>Initiatives!H178</f>
        <v>0.65</v>
      </c>
      <c r="F60" s="497" t="str">
        <f>CHOOSE(Profile!E72+1,"None","Minor","Moderate","Major")</f>
        <v>Moderate</v>
      </c>
      <c r="G60" s="424">
        <f>Initiatives!I178</f>
        <v>0.79000000000000015</v>
      </c>
      <c r="H60" s="73"/>
      <c r="I60" s="73"/>
      <c r="J60" s="73"/>
      <c r="K60" s="73"/>
      <c r="L60" s="495"/>
    </row>
    <row r="61" spans="2:12" s="457" customFormat="1">
      <c r="B61" s="493"/>
      <c r="C61" s="73"/>
      <c r="D61" s="496" t="str">
        <f>Initiatives!F179</f>
        <v>Data Management</v>
      </c>
      <c r="E61" s="424">
        <f>Initiatives!H179</f>
        <v>0.75</v>
      </c>
      <c r="F61" s="497" t="str">
        <f>CHOOSE(Profile!E73+1,"None","Minor","Moderate","Major")</f>
        <v>Moderate</v>
      </c>
      <c r="G61" s="424">
        <f>Initiatives!I179</f>
        <v>0.85</v>
      </c>
      <c r="H61" s="73"/>
      <c r="I61" s="73"/>
      <c r="J61" s="73"/>
      <c r="K61" s="73"/>
      <c r="L61" s="495"/>
    </row>
    <row r="62" spans="2:12" s="457" customFormat="1">
      <c r="B62" s="493"/>
      <c r="C62" s="73"/>
      <c r="D62" s="496" t="str">
        <f>Initiatives!F180</f>
        <v>Data Integration/ETL</v>
      </c>
      <c r="E62" s="424">
        <f>Initiatives!H180</f>
        <v>0.75</v>
      </c>
      <c r="F62" s="497" t="str">
        <f>CHOOSE(Profile!E74+1,"None","Minor","Moderate","Major")</f>
        <v>Moderate</v>
      </c>
      <c r="G62" s="424">
        <f>Initiatives!I180</f>
        <v>0.85</v>
      </c>
      <c r="H62" s="73"/>
      <c r="I62" s="73"/>
      <c r="J62" s="73"/>
      <c r="K62" s="73"/>
      <c r="L62" s="495"/>
    </row>
    <row r="63" spans="2:12" s="457" customFormat="1">
      <c r="B63" s="493"/>
      <c r="C63" s="73"/>
      <c r="D63" s="496" t="str">
        <f>Initiatives!F181</f>
        <v>Data Warehouse / Data Marts</v>
      </c>
      <c r="E63" s="424">
        <f>Initiatives!H181</f>
        <v>0.8</v>
      </c>
      <c r="F63" s="497" t="str">
        <f>CHOOSE(Profile!E75+1,"None","Minor","Moderate","Major")</f>
        <v>Minor</v>
      </c>
      <c r="G63" s="424">
        <f>Initiatives!I181</f>
        <v>0.83000000000000007</v>
      </c>
      <c r="H63" s="73"/>
      <c r="I63" s="73"/>
      <c r="J63" s="73"/>
      <c r="K63" s="73"/>
      <c r="L63" s="495"/>
    </row>
    <row r="64" spans="2:12" s="457" customFormat="1" ht="13.8" thickBot="1">
      <c r="B64" s="493"/>
      <c r="C64" s="73"/>
      <c r="D64" s="496" t="str">
        <f>Initiatives!F182</f>
        <v>Development</v>
      </c>
      <c r="E64" s="424">
        <f>Initiatives!H182</f>
        <v>0.9</v>
      </c>
      <c r="F64" s="497" t="str">
        <f>CHOOSE(Profile!E76+1,"None","Minor","Moderate","Major")</f>
        <v>Minor</v>
      </c>
      <c r="G64" s="424">
        <f>Initiatives!I182</f>
        <v>0.91500000000000015</v>
      </c>
      <c r="H64" s="73"/>
      <c r="I64" s="73"/>
      <c r="J64" s="73"/>
      <c r="K64" s="73"/>
      <c r="L64" s="495"/>
    </row>
    <row r="65" spans="1:12" s="457" customFormat="1" ht="13.8" thickTop="1">
      <c r="B65" s="493"/>
      <c r="C65" s="73"/>
      <c r="D65" s="476" t="str">
        <f>Initiatives!F183</f>
        <v>Enhance DW Platform</v>
      </c>
      <c r="E65" s="498">
        <f>Initiatives!H183</f>
        <v>0.77</v>
      </c>
      <c r="F65" s="500"/>
      <c r="G65" s="498">
        <f>Initiatives!I183</f>
        <v>0.8470000000000002</v>
      </c>
      <c r="H65" s="73"/>
      <c r="I65" s="73"/>
      <c r="J65" s="73"/>
      <c r="K65" s="73"/>
      <c r="L65" s="495"/>
    </row>
    <row r="66" spans="1:12" s="457" customFormat="1" ht="15">
      <c r="B66" s="493"/>
      <c r="C66" s="6" t="str">
        <f>Initiatives!E184</f>
        <v>Enhance BI Platform</v>
      </c>
      <c r="D66" s="73"/>
      <c r="E66" s="73"/>
      <c r="F66" s="500"/>
      <c r="G66" s="73"/>
      <c r="H66" s="73"/>
      <c r="I66" s="73"/>
      <c r="J66" s="73"/>
      <c r="K66" s="73"/>
      <c r="L66" s="495"/>
    </row>
    <row r="67" spans="1:12" s="457" customFormat="1">
      <c r="B67" s="493"/>
      <c r="C67" s="73"/>
      <c r="D67" s="496" t="str">
        <f>Initiatives!F185</f>
        <v>Reporting</v>
      </c>
      <c r="E67" s="424">
        <f>Initiatives!H185</f>
        <v>0.4</v>
      </c>
      <c r="F67" s="497" t="str">
        <f>CHOOSE(Profile!E78+1,"None","Minor","Moderate","Major")</f>
        <v>Major</v>
      </c>
      <c r="G67" s="424">
        <f>Initiatives!I185</f>
        <v>0.88</v>
      </c>
      <c r="H67" s="73"/>
      <c r="I67" s="73"/>
      <c r="J67" s="73"/>
      <c r="K67" s="73"/>
      <c r="L67" s="495"/>
    </row>
    <row r="68" spans="1:12" s="457" customFormat="1">
      <c r="B68" s="493"/>
      <c r="C68" s="73"/>
      <c r="D68" s="496" t="str">
        <f>Initiatives!F186</f>
        <v>Scorecards / Dashboards</v>
      </c>
      <c r="E68" s="424">
        <f>Initiatives!H186</f>
        <v>0.25</v>
      </c>
      <c r="F68" s="497" t="str">
        <f>CHOOSE(Profile!E79+1,"None","Minor","Moderate","Major")</f>
        <v>Major</v>
      </c>
      <c r="G68" s="424">
        <f>Initiatives!I186</f>
        <v>0.85</v>
      </c>
      <c r="H68" s="73"/>
      <c r="I68" s="73"/>
      <c r="J68" s="73"/>
      <c r="K68" s="73"/>
      <c r="L68" s="495"/>
    </row>
    <row r="69" spans="1:12" s="457" customFormat="1">
      <c r="B69" s="493"/>
      <c r="C69" s="73"/>
      <c r="D69" s="496" t="str">
        <f>Initiatives!F187</f>
        <v>Analytical Tools</v>
      </c>
      <c r="E69" s="424">
        <f>Initiatives!H187</f>
        <v>0.25</v>
      </c>
      <c r="F69" s="497" t="str">
        <f>CHOOSE(Profile!E80+1,"None","Minor","Moderate","Major")</f>
        <v>Major</v>
      </c>
      <c r="G69" s="424">
        <f>Initiatives!I187</f>
        <v>0.85</v>
      </c>
      <c r="H69" s="73"/>
      <c r="I69" s="73"/>
      <c r="J69" s="73"/>
      <c r="K69" s="73"/>
      <c r="L69" s="495"/>
    </row>
    <row r="70" spans="1:12" s="457" customFormat="1" ht="13.8" thickBot="1">
      <c r="B70" s="493"/>
      <c r="C70" s="73"/>
      <c r="D70" s="496" t="str">
        <f>Initiatives!F188</f>
        <v>Workflow and Collaboration</v>
      </c>
      <c r="E70" s="424">
        <f>Initiatives!H188</f>
        <v>0.1</v>
      </c>
      <c r="F70" s="497" t="str">
        <f>CHOOSE(Profile!E81+1,"None","Minor","Moderate","Major")</f>
        <v>Major</v>
      </c>
      <c r="G70" s="424">
        <f>Initiatives!I188</f>
        <v>0.82000000000000006</v>
      </c>
      <c r="H70" s="73"/>
      <c r="I70" s="73"/>
      <c r="J70" s="73"/>
      <c r="K70" s="73"/>
      <c r="L70" s="495"/>
    </row>
    <row r="71" spans="1:12" s="457" customFormat="1" ht="13.8" thickTop="1">
      <c r="B71" s="493"/>
      <c r="C71" s="73"/>
      <c r="D71" s="476" t="str">
        <f>Initiatives!F189</f>
        <v>Enhance BI Platform</v>
      </c>
      <c r="E71" s="498">
        <f>Initiatives!H189</f>
        <v>0.25</v>
      </c>
      <c r="F71" s="73"/>
      <c r="G71" s="498">
        <f>Initiatives!I189</f>
        <v>0.85</v>
      </c>
      <c r="H71" s="73"/>
      <c r="I71" s="73"/>
      <c r="J71" s="73"/>
      <c r="K71" s="73"/>
      <c r="L71" s="495"/>
    </row>
    <row r="72" spans="1:12" s="457" customFormat="1">
      <c r="B72" s="501"/>
      <c r="C72" s="502"/>
      <c r="D72" s="503"/>
      <c r="E72" s="502"/>
      <c r="F72" s="502"/>
      <c r="G72" s="502"/>
      <c r="H72" s="502"/>
      <c r="I72" s="502"/>
      <c r="J72" s="502"/>
      <c r="K72" s="502"/>
      <c r="L72" s="504"/>
    </row>
    <row r="73" spans="1:12" s="457" customFormat="1">
      <c r="B73" s="73"/>
      <c r="C73" s="73"/>
      <c r="D73" s="121"/>
      <c r="E73" s="73"/>
      <c r="F73" s="73"/>
      <c r="G73" s="73"/>
      <c r="H73" s="73"/>
      <c r="I73" s="73"/>
      <c r="J73" s="73"/>
      <c r="K73" s="73"/>
      <c r="L73" s="73"/>
    </row>
    <row r="74" spans="1:12" s="457" customFormat="1" ht="21">
      <c r="A74" s="95" t="s">
        <v>1160</v>
      </c>
      <c r="B74" s="95"/>
      <c r="C74" s="95"/>
    </row>
    <row r="75" spans="1:12" s="473" customFormat="1" ht="56.25" customHeight="1">
      <c r="B75" s="492"/>
      <c r="C75" s="573" t="s">
        <v>1176</v>
      </c>
      <c r="D75" s="574"/>
      <c r="E75" s="574"/>
      <c r="F75" s="574"/>
      <c r="G75" s="574"/>
      <c r="H75" s="574"/>
      <c r="I75" s="574"/>
      <c r="J75" s="574"/>
      <c r="K75" s="574"/>
      <c r="L75" s="575"/>
    </row>
    <row r="76" spans="1:12" s="457" customFormat="1">
      <c r="B76" s="493"/>
      <c r="C76" s="73"/>
      <c r="D76" s="121"/>
      <c r="E76" s="73"/>
      <c r="F76" s="73"/>
      <c r="G76" s="73"/>
      <c r="H76" s="73"/>
      <c r="I76" s="73"/>
      <c r="J76" s="73"/>
      <c r="K76" s="73"/>
      <c r="L76" s="495"/>
    </row>
    <row r="77" spans="1:12" s="457" customFormat="1">
      <c r="B77" s="493"/>
      <c r="C77" s="73"/>
      <c r="D77" s="121"/>
      <c r="E77" s="73"/>
      <c r="F77" s="73"/>
      <c r="G77" s="73"/>
      <c r="H77" s="73"/>
      <c r="I77" s="73"/>
      <c r="J77" s="73"/>
      <c r="K77" s="73"/>
      <c r="L77" s="495"/>
    </row>
    <row r="78" spans="1:12" s="457" customFormat="1">
      <c r="B78" s="493"/>
      <c r="C78" s="73"/>
      <c r="D78" s="121"/>
      <c r="E78" s="73"/>
      <c r="F78" s="73"/>
      <c r="G78" s="73"/>
      <c r="H78" s="73"/>
      <c r="I78" s="73"/>
      <c r="J78" s="73"/>
      <c r="K78" s="73"/>
      <c r="L78" s="495"/>
    </row>
    <row r="79" spans="1:12" s="457" customFormat="1">
      <c r="B79" s="493"/>
      <c r="C79" s="73"/>
      <c r="D79" s="121"/>
      <c r="E79" s="73"/>
      <c r="F79" s="73"/>
      <c r="G79" s="73"/>
      <c r="H79" s="73"/>
      <c r="I79" s="73"/>
      <c r="J79" s="73"/>
      <c r="K79" s="73"/>
      <c r="L79" s="495"/>
    </row>
    <row r="80" spans="1:12" s="457" customFormat="1">
      <c r="B80" s="493"/>
      <c r="C80" s="73"/>
      <c r="D80" s="121"/>
      <c r="E80" s="73"/>
      <c r="F80" s="73"/>
      <c r="G80" s="73"/>
      <c r="H80" s="73"/>
      <c r="I80" s="73"/>
      <c r="J80" s="73"/>
      <c r="K80" s="73"/>
      <c r="L80" s="495"/>
    </row>
    <row r="81" spans="2:12" s="457" customFormat="1">
      <c r="B81" s="493"/>
      <c r="C81" s="73"/>
      <c r="D81" s="121"/>
      <c r="E81" s="73"/>
      <c r="F81" s="73"/>
      <c r="G81" s="73"/>
      <c r="H81" s="73"/>
      <c r="I81" s="73"/>
      <c r="J81" s="73"/>
      <c r="K81" s="73"/>
      <c r="L81" s="495"/>
    </row>
    <row r="82" spans="2:12" s="457" customFormat="1">
      <c r="B82" s="493"/>
      <c r="C82" s="73"/>
      <c r="D82" s="121"/>
      <c r="E82" s="73"/>
      <c r="F82" s="73"/>
      <c r="G82" s="73"/>
      <c r="H82" s="73"/>
      <c r="I82" s="73"/>
      <c r="J82" s="73"/>
      <c r="K82" s="73"/>
      <c r="L82" s="495"/>
    </row>
    <row r="83" spans="2:12" s="457" customFormat="1">
      <c r="B83" s="493"/>
      <c r="C83" s="73"/>
      <c r="D83" s="121"/>
      <c r="E83" s="73"/>
      <c r="F83" s="73"/>
      <c r="G83" s="73"/>
      <c r="H83" s="73"/>
      <c r="I83" s="73"/>
      <c r="J83" s="73"/>
      <c r="K83" s="73"/>
      <c r="L83" s="495"/>
    </row>
    <row r="84" spans="2:12" s="457" customFormat="1">
      <c r="B84" s="493"/>
      <c r="C84" s="73"/>
      <c r="D84" s="121"/>
      <c r="E84" s="73"/>
      <c r="F84" s="73"/>
      <c r="G84" s="73"/>
      <c r="H84" s="73"/>
      <c r="I84" s="73"/>
      <c r="J84" s="73"/>
      <c r="K84" s="73"/>
      <c r="L84" s="495"/>
    </row>
    <row r="85" spans="2:12" s="457" customFormat="1">
      <c r="B85" s="493"/>
      <c r="C85" s="73"/>
      <c r="D85" s="121"/>
      <c r="E85" s="73"/>
      <c r="F85" s="73"/>
      <c r="G85" s="73"/>
      <c r="H85" s="73"/>
      <c r="I85" s="73"/>
      <c r="J85" s="73"/>
      <c r="K85" s="73"/>
      <c r="L85" s="495"/>
    </row>
    <row r="86" spans="2:12" s="457" customFormat="1">
      <c r="B86" s="493"/>
      <c r="C86" s="73"/>
      <c r="D86" s="121"/>
      <c r="E86" s="73"/>
      <c r="F86" s="73"/>
      <c r="G86" s="73"/>
      <c r="H86" s="73"/>
      <c r="I86" s="73"/>
      <c r="J86" s="73"/>
      <c r="K86" s="73"/>
      <c r="L86" s="495"/>
    </row>
    <row r="87" spans="2:12" s="457" customFormat="1">
      <c r="B87" s="493"/>
      <c r="C87" s="73"/>
      <c r="D87" s="121"/>
      <c r="E87" s="73"/>
      <c r="F87" s="73"/>
      <c r="G87" s="73"/>
      <c r="H87" s="73"/>
      <c r="I87" s="73"/>
      <c r="J87" s="73"/>
      <c r="K87" s="73"/>
      <c r="L87" s="495"/>
    </row>
    <row r="88" spans="2:12" s="457" customFormat="1">
      <c r="B88" s="493"/>
      <c r="C88" s="73"/>
      <c r="D88" s="121"/>
      <c r="E88" s="73"/>
      <c r="F88" s="73"/>
      <c r="G88" s="73"/>
      <c r="H88" s="73"/>
      <c r="I88" s="73"/>
      <c r="J88" s="73"/>
      <c r="K88" s="73"/>
      <c r="L88" s="495"/>
    </row>
    <row r="89" spans="2:12" s="457" customFormat="1">
      <c r="B89" s="493"/>
      <c r="C89" s="73"/>
      <c r="D89" s="121"/>
      <c r="E89" s="73"/>
      <c r="F89" s="73"/>
      <c r="G89" s="73"/>
      <c r="H89" s="73"/>
      <c r="I89" s="73"/>
      <c r="J89" s="73"/>
      <c r="K89" s="73"/>
      <c r="L89" s="495"/>
    </row>
    <row r="90" spans="2:12" s="457" customFormat="1">
      <c r="B90" s="493"/>
      <c r="C90" s="73"/>
      <c r="D90" s="121"/>
      <c r="E90" s="73"/>
      <c r="F90" s="73"/>
      <c r="G90" s="73"/>
      <c r="H90" s="73"/>
      <c r="I90" s="73"/>
      <c r="J90" s="73"/>
      <c r="K90" s="73"/>
      <c r="L90" s="495"/>
    </row>
    <row r="91" spans="2:12" s="457" customFormat="1">
      <c r="B91" s="493"/>
      <c r="C91" s="73"/>
      <c r="D91" s="121"/>
      <c r="E91" s="73"/>
      <c r="F91" s="73"/>
      <c r="G91" s="73"/>
      <c r="H91" s="73"/>
      <c r="I91" s="73"/>
      <c r="J91" s="73"/>
      <c r="K91" s="73"/>
      <c r="L91" s="495"/>
    </row>
    <row r="92" spans="2:12" s="457" customFormat="1">
      <c r="B92" s="493"/>
      <c r="C92" s="73"/>
      <c r="D92" s="121"/>
      <c r="E92" s="73"/>
      <c r="F92" s="73"/>
      <c r="G92" s="73"/>
      <c r="H92" s="73"/>
      <c r="I92" s="73"/>
      <c r="J92" s="73"/>
      <c r="K92" s="73"/>
      <c r="L92" s="495"/>
    </row>
    <row r="93" spans="2:12" s="457" customFormat="1">
      <c r="B93" s="493"/>
      <c r="C93" s="73"/>
      <c r="D93" s="121"/>
      <c r="E93" s="73"/>
      <c r="F93" s="73"/>
      <c r="G93" s="73"/>
      <c r="H93" s="73"/>
      <c r="I93" s="73"/>
      <c r="J93" s="73"/>
      <c r="K93" s="73"/>
      <c r="L93" s="495"/>
    </row>
    <row r="94" spans="2:12" s="457" customFormat="1">
      <c r="B94" s="493"/>
      <c r="C94" s="73"/>
      <c r="D94" s="121"/>
      <c r="E94" s="73"/>
      <c r="F94" s="73"/>
      <c r="G94" s="73"/>
      <c r="H94" s="73"/>
      <c r="I94" s="73"/>
      <c r="J94" s="73"/>
      <c r="K94" s="73"/>
      <c r="L94" s="495"/>
    </row>
    <row r="95" spans="2:12" s="457" customFormat="1">
      <c r="B95" s="493"/>
      <c r="C95" s="73"/>
      <c r="D95" s="121"/>
      <c r="E95" s="73"/>
      <c r="F95" s="73"/>
      <c r="G95" s="73"/>
      <c r="H95" s="73"/>
      <c r="I95" s="73"/>
      <c r="J95" s="73"/>
      <c r="K95" s="73"/>
      <c r="L95" s="495"/>
    </row>
    <row r="96" spans="2:12" s="457" customFormat="1">
      <c r="B96" s="493"/>
      <c r="C96" s="73"/>
      <c r="D96" s="121"/>
      <c r="E96" s="73"/>
      <c r="F96" s="73"/>
      <c r="G96" s="73"/>
      <c r="H96" s="73"/>
      <c r="I96" s="73"/>
      <c r="J96" s="73"/>
      <c r="K96" s="73"/>
      <c r="L96" s="495"/>
    </row>
    <row r="97" spans="2:12" s="457" customFormat="1">
      <c r="B97" s="493"/>
      <c r="C97" s="73"/>
      <c r="D97" s="121"/>
      <c r="E97" s="73"/>
      <c r="F97" s="73"/>
      <c r="G97" s="73"/>
      <c r="H97" s="73"/>
      <c r="I97" s="73"/>
      <c r="J97" s="73"/>
      <c r="K97" s="73"/>
      <c r="L97" s="495"/>
    </row>
    <row r="98" spans="2:12" s="457" customFormat="1">
      <c r="B98" s="493"/>
      <c r="C98" s="73"/>
      <c r="D98" s="121"/>
      <c r="E98" s="73"/>
      <c r="F98" s="73"/>
      <c r="G98" s="73"/>
      <c r="H98" s="73"/>
      <c r="I98" s="73"/>
      <c r="J98" s="73"/>
      <c r="K98" s="73"/>
      <c r="L98" s="495"/>
    </row>
    <row r="99" spans="2:12" s="457" customFormat="1">
      <c r="B99" s="493"/>
      <c r="C99" s="73"/>
      <c r="D99" s="121"/>
      <c r="E99" s="73"/>
      <c r="F99" s="73"/>
      <c r="G99" s="73"/>
      <c r="H99" s="73"/>
      <c r="I99" s="73"/>
      <c r="J99" s="73"/>
      <c r="K99" s="73"/>
      <c r="L99" s="495"/>
    </row>
    <row r="100" spans="2:12" s="457" customFormat="1">
      <c r="B100" s="493"/>
      <c r="C100" s="73"/>
      <c r="D100" s="121"/>
      <c r="E100" s="73"/>
      <c r="F100" s="73"/>
      <c r="G100" s="73"/>
      <c r="H100" s="73"/>
      <c r="I100" s="73"/>
      <c r="J100" s="73"/>
      <c r="K100" s="73"/>
      <c r="L100" s="495"/>
    </row>
    <row r="101" spans="2:12" s="457" customFormat="1">
      <c r="B101" s="493"/>
      <c r="C101" s="73"/>
      <c r="D101" s="121"/>
      <c r="E101" s="73"/>
      <c r="F101" s="73"/>
      <c r="G101" s="73"/>
      <c r="H101" s="73"/>
      <c r="I101" s="73"/>
      <c r="J101" s="73"/>
      <c r="K101" s="73"/>
      <c r="L101" s="495"/>
    </row>
    <row r="102" spans="2:12" s="457" customFormat="1">
      <c r="B102" s="493"/>
      <c r="C102" s="73"/>
      <c r="D102" s="121"/>
      <c r="E102" s="73"/>
      <c r="F102" s="73"/>
      <c r="G102" s="73"/>
      <c r="H102" s="73"/>
      <c r="I102" s="73"/>
      <c r="J102" s="73"/>
      <c r="K102" s="73"/>
      <c r="L102" s="495"/>
    </row>
    <row r="103" spans="2:12" s="457" customFormat="1">
      <c r="B103" s="493"/>
      <c r="C103" s="73"/>
      <c r="D103" s="121"/>
      <c r="E103" s="73"/>
      <c r="F103" s="73"/>
      <c r="G103" s="73"/>
      <c r="H103" s="73"/>
      <c r="I103" s="73"/>
      <c r="J103" s="73"/>
      <c r="K103" s="73"/>
      <c r="L103" s="495"/>
    </row>
    <row r="104" spans="2:12" s="457" customFormat="1">
      <c r="B104" s="493"/>
      <c r="C104" s="73"/>
      <c r="D104" s="121"/>
      <c r="E104" s="73"/>
      <c r="F104" s="73"/>
      <c r="G104" s="73"/>
      <c r="H104" s="73"/>
      <c r="I104" s="73"/>
      <c r="J104" s="73"/>
      <c r="K104" s="73"/>
      <c r="L104" s="495"/>
    </row>
    <row r="105" spans="2:12" s="457" customFormat="1">
      <c r="B105" s="493"/>
      <c r="C105" s="73"/>
      <c r="D105" s="121"/>
      <c r="E105" s="73"/>
      <c r="F105" s="73"/>
      <c r="G105" s="73"/>
      <c r="H105" s="73"/>
      <c r="I105" s="73"/>
      <c r="J105" s="73"/>
      <c r="K105" s="73"/>
      <c r="L105" s="495"/>
    </row>
    <row r="106" spans="2:12" s="457" customFormat="1">
      <c r="B106" s="493"/>
      <c r="C106" s="73"/>
      <c r="D106" s="121"/>
      <c r="E106" s="73"/>
      <c r="F106" s="73"/>
      <c r="G106" s="73"/>
      <c r="H106" s="73"/>
      <c r="I106" s="73"/>
      <c r="J106" s="73"/>
      <c r="K106" s="73"/>
      <c r="L106" s="495"/>
    </row>
    <row r="107" spans="2:12" s="480" customFormat="1">
      <c r="B107" s="493"/>
      <c r="C107" s="73"/>
      <c r="D107" s="121"/>
      <c r="E107" s="73"/>
      <c r="F107" s="73"/>
      <c r="G107" s="73"/>
      <c r="H107" s="73"/>
      <c r="I107" s="73"/>
      <c r="J107" s="73"/>
      <c r="K107" s="73"/>
      <c r="L107" s="495"/>
    </row>
    <row r="108" spans="2:12" s="480" customFormat="1">
      <c r="B108" s="493"/>
      <c r="C108" s="73"/>
      <c r="D108" s="121"/>
      <c r="E108" s="73"/>
      <c r="F108" s="73"/>
      <c r="G108" s="73"/>
      <c r="H108" s="73"/>
      <c r="I108" s="73"/>
      <c r="J108" s="73"/>
      <c r="K108" s="73"/>
      <c r="L108" s="495"/>
    </row>
    <row r="109" spans="2:12" s="480" customFormat="1">
      <c r="B109" s="493"/>
      <c r="C109" s="73"/>
      <c r="D109" s="121"/>
      <c r="E109" s="73"/>
      <c r="F109" s="73"/>
      <c r="G109" s="73"/>
      <c r="H109" s="73"/>
      <c r="I109" s="73"/>
      <c r="J109" s="73"/>
      <c r="K109" s="73"/>
      <c r="L109" s="495"/>
    </row>
    <row r="110" spans="2:12" s="480" customFormat="1">
      <c r="B110" s="493"/>
      <c r="C110" s="73"/>
      <c r="D110" s="121"/>
      <c r="E110" s="73"/>
      <c r="F110" s="73"/>
      <c r="G110" s="73"/>
      <c r="H110" s="73"/>
      <c r="I110" s="73"/>
      <c r="J110" s="73"/>
      <c r="K110" s="73"/>
      <c r="L110" s="495"/>
    </row>
    <row r="111" spans="2:12" s="480" customFormat="1">
      <c r="B111" s="493"/>
      <c r="C111" s="73"/>
      <c r="D111" s="121"/>
      <c r="E111" s="73"/>
      <c r="F111" s="73"/>
      <c r="G111" s="73"/>
      <c r="H111" s="73"/>
      <c r="I111" s="73"/>
      <c r="J111" s="73"/>
      <c r="K111" s="73"/>
      <c r="L111" s="495"/>
    </row>
    <row r="112" spans="2:12" s="480" customFormat="1">
      <c r="B112" s="493"/>
      <c r="C112" s="73"/>
      <c r="D112" s="121"/>
      <c r="E112" s="73"/>
      <c r="F112" s="73"/>
      <c r="G112" s="73"/>
      <c r="H112" s="73"/>
      <c r="I112" s="73"/>
      <c r="J112" s="73"/>
      <c r="K112" s="73"/>
      <c r="L112" s="495"/>
    </row>
    <row r="113" spans="1:12" s="457" customFormat="1">
      <c r="B113" s="493"/>
      <c r="C113" s="73"/>
      <c r="D113" s="121"/>
      <c r="E113" s="73"/>
      <c r="F113" s="73"/>
      <c r="G113" s="73"/>
      <c r="H113" s="73"/>
      <c r="I113" s="73"/>
      <c r="J113" s="73"/>
      <c r="K113" s="73"/>
      <c r="L113" s="495"/>
    </row>
    <row r="114" spans="1:12" s="457" customFormat="1">
      <c r="B114" s="493"/>
      <c r="C114" s="73"/>
      <c r="D114" s="121"/>
      <c r="E114" s="73"/>
      <c r="F114" s="73"/>
      <c r="G114" s="73"/>
      <c r="H114" s="73"/>
      <c r="I114" s="73"/>
      <c r="J114" s="73"/>
      <c r="K114" s="73"/>
      <c r="L114" s="495"/>
    </row>
    <row r="115" spans="1:12" s="457" customFormat="1">
      <c r="B115" s="493"/>
      <c r="C115" s="73"/>
      <c r="D115" s="121"/>
      <c r="E115" s="73"/>
      <c r="F115" s="73"/>
      <c r="G115" s="73"/>
      <c r="H115" s="73"/>
      <c r="I115" s="73"/>
      <c r="J115" s="73"/>
      <c r="K115" s="73"/>
      <c r="L115" s="495"/>
    </row>
    <row r="116" spans="1:12" s="457" customFormat="1">
      <c r="B116" s="493"/>
      <c r="C116" s="73"/>
      <c r="D116" s="121"/>
      <c r="E116" s="73"/>
      <c r="F116" s="73"/>
      <c r="G116" s="73"/>
      <c r="H116" s="73"/>
      <c r="I116" s="73"/>
      <c r="J116" s="73"/>
      <c r="K116" s="73"/>
      <c r="L116" s="495"/>
    </row>
    <row r="117" spans="1:12" s="457" customFormat="1">
      <c r="B117" s="501"/>
      <c r="C117" s="502"/>
      <c r="D117" s="503"/>
      <c r="E117" s="502"/>
      <c r="F117" s="502"/>
      <c r="G117" s="502"/>
      <c r="H117" s="502"/>
      <c r="I117" s="502"/>
      <c r="J117" s="502"/>
      <c r="K117" s="502"/>
      <c r="L117" s="504"/>
    </row>
    <row r="118" spans="1:12" s="457" customFormat="1">
      <c r="B118" s="73"/>
      <c r="C118" s="73"/>
      <c r="D118" s="121"/>
      <c r="E118" s="73"/>
      <c r="F118" s="73"/>
      <c r="G118" s="73"/>
      <c r="H118" s="73"/>
      <c r="I118" s="73"/>
      <c r="J118" s="73"/>
      <c r="K118" s="73"/>
      <c r="L118" s="73"/>
    </row>
    <row r="119" spans="1:12" ht="21">
      <c r="A119" s="95" t="s">
        <v>314</v>
      </c>
      <c r="B119" s="95"/>
      <c r="C119" s="95"/>
    </row>
    <row r="120" spans="1:12" ht="38.25" customHeight="1">
      <c r="B120" s="484"/>
      <c r="C120" s="573" t="s">
        <v>1153</v>
      </c>
      <c r="D120" s="574"/>
      <c r="E120" s="574"/>
      <c r="F120" s="574"/>
      <c r="G120" s="574"/>
      <c r="H120" s="574"/>
      <c r="I120" s="574"/>
      <c r="J120" s="574"/>
      <c r="K120" s="574"/>
      <c r="L120" s="575"/>
    </row>
    <row r="121" spans="1:12" ht="12.75" customHeight="1">
      <c r="A121" s="92"/>
      <c r="B121" s="485"/>
      <c r="C121" s="91"/>
      <c r="D121" s="91"/>
      <c r="E121" s="583" t="str">
        <f>E$192</f>
        <v>Costs ($ per PC)</v>
      </c>
      <c r="F121" s="584"/>
      <c r="G121" s="585"/>
      <c r="H121" s="583" t="str">
        <f>H$192</f>
        <v>Costs ($000)</v>
      </c>
      <c r="I121" s="584"/>
      <c r="J121" s="585"/>
      <c r="K121" s="91"/>
      <c r="L121" s="486"/>
    </row>
    <row r="122" spans="1:12" ht="26.4">
      <c r="B122" s="485"/>
      <c r="C122" s="165"/>
      <c r="D122" s="91"/>
      <c r="E122" s="482" t="s">
        <v>95</v>
      </c>
      <c r="F122" s="482" t="s">
        <v>258</v>
      </c>
      <c r="G122" s="482" t="str">
        <f>Duration&amp;"-Year Total"</f>
        <v>5-Year Total</v>
      </c>
      <c r="H122" s="482" t="s">
        <v>95</v>
      </c>
      <c r="I122" s="482" t="s">
        <v>258</v>
      </c>
      <c r="J122" s="482" t="str">
        <f>Duration&amp;"-Year Total"</f>
        <v>5-Year Total</v>
      </c>
      <c r="K122" s="91"/>
      <c r="L122" s="486"/>
    </row>
    <row r="123" spans="1:12">
      <c r="A123" s="62"/>
      <c r="B123" s="485"/>
      <c r="C123" s="91"/>
      <c r="D123" s="122" t="str">
        <f>C194</f>
        <v>Hardware</v>
      </c>
      <c r="E123" s="123">
        <f t="shared" ref="E123:J123" ca="1" si="1">E197</f>
        <v>83.513423757130681</v>
      </c>
      <c r="F123" s="123">
        <f t="shared" ca="1" si="1"/>
        <v>6.6810739005704542</v>
      </c>
      <c r="G123" s="123">
        <f t="shared" ca="1" si="1"/>
        <v>116.91879325998295</v>
      </c>
      <c r="H123" s="123">
        <f t="shared" ca="1" si="1"/>
        <v>334.05369502852272</v>
      </c>
      <c r="I123" s="123">
        <f t="shared" ca="1" si="1"/>
        <v>26.724295602281813</v>
      </c>
      <c r="J123" s="123">
        <f t="shared" ca="1" si="1"/>
        <v>467.67517303993174</v>
      </c>
      <c r="K123" s="91"/>
      <c r="L123" s="486"/>
    </row>
    <row r="124" spans="1:12">
      <c r="A124" s="62"/>
      <c r="B124" s="485"/>
      <c r="C124" s="91"/>
      <c r="D124" s="122" t="str">
        <f>C198</f>
        <v>Software</v>
      </c>
      <c r="E124" s="123">
        <f t="shared" ref="E124:J124" ca="1" si="2">E201</f>
        <v>410.00845440975127</v>
      </c>
      <c r="F124" s="123">
        <f t="shared" ca="1" si="2"/>
        <v>82.001690881950253</v>
      </c>
      <c r="G124" s="123">
        <f t="shared" ca="1" si="2"/>
        <v>820.01690881950253</v>
      </c>
      <c r="H124" s="123">
        <f t="shared" ca="1" si="2"/>
        <v>1640.0338176390051</v>
      </c>
      <c r="I124" s="123">
        <f t="shared" ca="1" si="2"/>
        <v>328.00676352780101</v>
      </c>
      <c r="J124" s="123">
        <f t="shared" ca="1" si="2"/>
        <v>3280.0676352780101</v>
      </c>
      <c r="K124" s="91"/>
      <c r="L124" s="486"/>
    </row>
    <row r="125" spans="1:12">
      <c r="A125" s="62"/>
      <c r="B125" s="485"/>
      <c r="C125" s="91"/>
      <c r="D125" s="122" t="str">
        <f>C202</f>
        <v>IT Labor/Services</v>
      </c>
      <c r="E125" s="123">
        <f t="shared" ref="E125:J125" si="3">E207</f>
        <v>348.10263372119965</v>
      </c>
      <c r="F125" s="123">
        <f t="shared" si="3"/>
        <v>42.309267307055329</v>
      </c>
      <c r="G125" s="123">
        <f t="shared" si="3"/>
        <v>559.64897025647633</v>
      </c>
      <c r="H125" s="123">
        <f t="shared" si="3"/>
        <v>1392.4105348847986</v>
      </c>
      <c r="I125" s="123">
        <f t="shared" si="3"/>
        <v>169.23706922822132</v>
      </c>
      <c r="J125" s="123">
        <f t="shared" si="3"/>
        <v>2238.5958810259053</v>
      </c>
      <c r="K125" s="91"/>
      <c r="L125" s="486"/>
    </row>
    <row r="126" spans="1:12" ht="13.8" thickBot="1">
      <c r="A126" s="62"/>
      <c r="B126" s="485"/>
      <c r="C126" s="91"/>
      <c r="D126" s="122" t="str">
        <f>C208</f>
        <v>Training &amp; User Labor</v>
      </c>
      <c r="E126" s="123">
        <f t="shared" ref="E126:J126" si="4">E212</f>
        <v>353.92455627917241</v>
      </c>
      <c r="F126" s="123">
        <f t="shared" si="4"/>
        <v>17.213265823355215</v>
      </c>
      <c r="G126" s="123">
        <f t="shared" si="4"/>
        <v>439.99088539594845</v>
      </c>
      <c r="H126" s="123">
        <f t="shared" si="4"/>
        <v>1415.6982251166896</v>
      </c>
      <c r="I126" s="123">
        <f t="shared" si="4"/>
        <v>68.85306329342086</v>
      </c>
      <c r="J126" s="123">
        <f t="shared" si="4"/>
        <v>1759.9635415837938</v>
      </c>
      <c r="K126" s="91"/>
      <c r="L126" s="486"/>
    </row>
    <row r="127" spans="1:12" ht="13.8" thickTop="1">
      <c r="A127" s="62"/>
      <c r="B127" s="485"/>
      <c r="C127" s="91"/>
      <c r="D127" s="124" t="s">
        <v>0</v>
      </c>
      <c r="E127" s="125">
        <f t="shared" ref="E127:J127" ca="1" si="5">SUM(E123:E126)</f>
        <v>1195.5490681672541</v>
      </c>
      <c r="F127" s="125">
        <f t="shared" ca="1" si="5"/>
        <v>148.20529791293126</v>
      </c>
      <c r="G127" s="125">
        <f t="shared" ca="1" si="5"/>
        <v>1936.5755577319103</v>
      </c>
      <c r="H127" s="125">
        <f t="shared" ca="1" si="5"/>
        <v>4782.1962726690163</v>
      </c>
      <c r="I127" s="125">
        <f t="shared" ca="1" si="5"/>
        <v>592.82119165172503</v>
      </c>
      <c r="J127" s="125">
        <f t="shared" ca="1" si="5"/>
        <v>7746.3022309276412</v>
      </c>
      <c r="K127" s="91"/>
      <c r="L127" s="486"/>
    </row>
    <row r="128" spans="1:12">
      <c r="B128" s="488"/>
      <c r="C128" s="489"/>
      <c r="D128" s="489"/>
      <c r="E128" s="489"/>
      <c r="F128" s="489"/>
      <c r="G128" s="489"/>
      <c r="H128" s="489"/>
      <c r="I128" s="489"/>
      <c r="J128" s="489"/>
      <c r="K128" s="489"/>
      <c r="L128" s="491"/>
    </row>
    <row r="129" spans="1:12" s="103" customFormat="1">
      <c r="B129" s="73"/>
      <c r="C129" s="73"/>
      <c r="D129" s="73"/>
      <c r="E129" s="73"/>
      <c r="F129" s="73"/>
      <c r="G129" s="73"/>
      <c r="H129" s="73"/>
      <c r="I129" s="73"/>
      <c r="J129" s="73"/>
      <c r="K129" s="73"/>
      <c r="L129" s="73"/>
    </row>
    <row r="130" spans="1:12" ht="21">
      <c r="A130" s="95" t="s">
        <v>313</v>
      </c>
      <c r="B130" s="95"/>
      <c r="C130" s="95"/>
    </row>
    <row r="131" spans="1:12" ht="28.5" customHeight="1">
      <c r="A131" s="91"/>
      <c r="B131" s="484"/>
      <c r="C131" s="573" t="s">
        <v>1158</v>
      </c>
      <c r="D131" s="574"/>
      <c r="E131" s="574"/>
      <c r="F131" s="574"/>
      <c r="G131" s="574"/>
      <c r="H131" s="574"/>
      <c r="I131" s="574"/>
      <c r="J131" s="574"/>
      <c r="K131" s="574"/>
      <c r="L131" s="575"/>
    </row>
    <row r="132" spans="1:12">
      <c r="A132" s="103"/>
      <c r="B132" s="485"/>
      <c r="C132" s="91"/>
      <c r="D132" s="91"/>
      <c r="E132" s="583" t="s">
        <v>319</v>
      </c>
      <c r="F132" s="584"/>
      <c r="G132" s="585"/>
      <c r="H132" s="583" t="s">
        <v>320</v>
      </c>
      <c r="I132" s="584"/>
      <c r="J132" s="585"/>
      <c r="K132" s="91"/>
      <c r="L132" s="486"/>
    </row>
    <row r="133" spans="1:12" s="103" customFormat="1" ht="26.4">
      <c r="A133" s="92"/>
      <c r="B133" s="505" t="s">
        <v>312</v>
      </c>
      <c r="C133" s="91"/>
      <c r="D133" s="91"/>
      <c r="E133" s="482" t="s">
        <v>95</v>
      </c>
      <c r="F133" s="482" t="s">
        <v>258</v>
      </c>
      <c r="G133" s="482" t="str">
        <f>Duration&amp;"-Year Total"</f>
        <v>5-Year Total</v>
      </c>
      <c r="H133" s="482" t="s">
        <v>95</v>
      </c>
      <c r="I133" s="482" t="s">
        <v>258</v>
      </c>
      <c r="J133" s="482" t="str">
        <f>Duration&amp;"-Year Total"</f>
        <v>5-Year Total</v>
      </c>
      <c r="K133" s="91"/>
      <c r="L133" s="486"/>
    </row>
    <row r="134" spans="1:12" s="103" customFormat="1">
      <c r="A134" s="62"/>
      <c r="B134" s="485"/>
      <c r="C134" s="91"/>
      <c r="D134" s="122" t="str">
        <f>B242</f>
        <v>IT Labor/Services TCO Savings</v>
      </c>
      <c r="E134" s="123">
        <f t="shared" ref="E134:J134" si="6">E252</f>
        <v>0</v>
      </c>
      <c r="F134" s="123">
        <f t="shared" ca="1" si="6"/>
        <v>27.871511053955913</v>
      </c>
      <c r="G134" s="123">
        <f t="shared" ca="1" si="6"/>
        <v>139.35755526977957</v>
      </c>
      <c r="H134" s="123">
        <f t="shared" si="6"/>
        <v>0</v>
      </c>
      <c r="I134" s="123">
        <f t="shared" ca="1" si="6"/>
        <v>111.48604421582365</v>
      </c>
      <c r="J134" s="123">
        <f t="shared" ca="1" si="6"/>
        <v>557.43022107911827</v>
      </c>
      <c r="K134" s="91"/>
      <c r="L134" s="486"/>
    </row>
    <row r="135" spans="1:12" s="103" customFormat="1">
      <c r="A135" s="62"/>
      <c r="B135" s="485"/>
      <c r="C135" s="91"/>
      <c r="D135" s="122" t="str">
        <f>B295</f>
        <v>Other Direct Cost Savings</v>
      </c>
      <c r="E135" s="123">
        <f t="shared" ref="E135:J135" ca="1" si="7">E304+E309</f>
        <v>40.211483474725</v>
      </c>
      <c r="F135" s="123">
        <f t="shared" ca="1" si="7"/>
        <v>104.53759042353386</v>
      </c>
      <c r="G135" s="123">
        <f t="shared" ca="1" si="7"/>
        <v>562.89943559239418</v>
      </c>
      <c r="H135" s="123">
        <f t="shared" ca="1" si="7"/>
        <v>160.8459338989</v>
      </c>
      <c r="I135" s="123">
        <f t="shared" ca="1" si="7"/>
        <v>418.15036169413543</v>
      </c>
      <c r="J135" s="123">
        <f t="shared" ca="1" si="7"/>
        <v>2251.5977423695767</v>
      </c>
      <c r="K135" s="91"/>
      <c r="L135" s="486"/>
    </row>
    <row r="136" spans="1:12" s="103" customFormat="1">
      <c r="A136" s="62"/>
      <c r="B136" s="485"/>
      <c r="C136" s="91"/>
      <c r="D136" s="122" t="str">
        <f>B338</f>
        <v>User Productivity Benefits</v>
      </c>
      <c r="E136" s="123">
        <f>E153</f>
        <v>0</v>
      </c>
      <c r="F136" s="123">
        <f t="shared" ref="F136:J136" ca="1" si="8">F153</f>
        <v>712.02839382474065</v>
      </c>
      <c r="G136" s="123">
        <f t="shared" ca="1" si="8"/>
        <v>3560.1419691237033</v>
      </c>
      <c r="H136" s="123">
        <f t="shared" si="8"/>
        <v>0</v>
      </c>
      <c r="I136" s="123">
        <f t="shared" ca="1" si="8"/>
        <v>2848.1135752989626</v>
      </c>
      <c r="J136" s="123">
        <f t="shared" ca="1" si="8"/>
        <v>14240.567876494813</v>
      </c>
      <c r="K136" s="91"/>
      <c r="L136" s="486"/>
    </row>
    <row r="137" spans="1:12" s="103" customFormat="1" ht="13.8" thickBot="1">
      <c r="A137" s="62"/>
      <c r="B137" s="485"/>
      <c r="C137" s="91"/>
      <c r="D137" s="122" t="str">
        <f>B371</f>
        <v>Revenue Growth (Profit on)</v>
      </c>
      <c r="E137" s="123">
        <f t="shared" ref="E137:J137" si="9">E381</f>
        <v>0</v>
      </c>
      <c r="F137" s="123">
        <f t="shared" ca="1" si="9"/>
        <v>520.1472423772293</v>
      </c>
      <c r="G137" s="123">
        <f t="shared" ca="1" si="9"/>
        <v>2600.7362118861461</v>
      </c>
      <c r="H137" s="123">
        <f t="shared" si="9"/>
        <v>0</v>
      </c>
      <c r="I137" s="123">
        <f t="shared" ca="1" si="9"/>
        <v>2080.5889695089172</v>
      </c>
      <c r="J137" s="123">
        <f t="shared" ca="1" si="9"/>
        <v>10402.944847544584</v>
      </c>
      <c r="K137" s="91"/>
      <c r="L137" s="486"/>
    </row>
    <row r="138" spans="1:12" s="103" customFormat="1" ht="13.8" thickTop="1">
      <c r="A138" s="92"/>
      <c r="B138" s="485"/>
      <c r="C138" s="91"/>
      <c r="D138" s="124" t="s">
        <v>0</v>
      </c>
      <c r="E138" s="125">
        <f t="shared" ref="E138:J138" ca="1" si="10">SUM(E134:E137)</f>
        <v>40.211483474725</v>
      </c>
      <c r="F138" s="125">
        <f t="shared" ca="1" si="10"/>
        <v>1364.5847376794597</v>
      </c>
      <c r="G138" s="125">
        <f t="shared" ca="1" si="10"/>
        <v>6863.1351718720234</v>
      </c>
      <c r="H138" s="125">
        <f t="shared" ca="1" si="10"/>
        <v>160.8459338989</v>
      </c>
      <c r="I138" s="125">
        <f t="shared" ca="1" si="10"/>
        <v>5458.338950717839</v>
      </c>
      <c r="J138" s="125">
        <f t="shared" ca="1" si="10"/>
        <v>27452.540687488094</v>
      </c>
      <c r="K138" s="91"/>
      <c r="L138" s="486"/>
    </row>
    <row r="139" spans="1:12" s="103" customFormat="1">
      <c r="A139" s="62"/>
      <c r="B139" s="485"/>
      <c r="C139" s="91"/>
      <c r="D139" s="91"/>
      <c r="E139" s="156"/>
      <c r="F139" s="156"/>
      <c r="G139" s="156"/>
      <c r="H139" s="156"/>
      <c r="I139" s="156"/>
      <c r="J139" s="156"/>
      <c r="K139" s="91"/>
      <c r="L139" s="486"/>
    </row>
    <row r="140" spans="1:12" s="103" customFormat="1" ht="15">
      <c r="A140" s="62"/>
      <c r="B140" s="505" t="s">
        <v>316</v>
      </c>
      <c r="C140" s="91"/>
      <c r="D140" s="91"/>
      <c r="E140" s="156"/>
      <c r="F140" s="156"/>
      <c r="G140" s="156"/>
      <c r="H140" s="156"/>
      <c r="I140" s="156"/>
      <c r="J140" s="156"/>
      <c r="K140" s="91"/>
      <c r="L140" s="486"/>
    </row>
    <row r="141" spans="1:12" s="103" customFormat="1" ht="13.8">
      <c r="A141" s="62"/>
      <c r="B141" s="485"/>
      <c r="C141" s="161" t="str">
        <f>B242</f>
        <v>IT Labor/Services TCO Savings</v>
      </c>
      <c r="D141" s="91"/>
      <c r="E141" s="123">
        <f t="shared" ref="E141:J141" si="11">E252</f>
        <v>0</v>
      </c>
      <c r="F141" s="123">
        <f t="shared" ca="1" si="11"/>
        <v>27.871511053955913</v>
      </c>
      <c r="G141" s="123">
        <f t="shared" ca="1" si="11"/>
        <v>139.35755526977957</v>
      </c>
      <c r="H141" s="123">
        <f t="shared" si="11"/>
        <v>0</v>
      </c>
      <c r="I141" s="123">
        <f t="shared" ca="1" si="11"/>
        <v>111.48604421582365</v>
      </c>
      <c r="J141" s="123">
        <f t="shared" ca="1" si="11"/>
        <v>557.43022107911827</v>
      </c>
      <c r="K141" s="91"/>
      <c r="L141" s="486"/>
    </row>
    <row r="142" spans="1:12" s="103" customFormat="1" ht="13.8">
      <c r="A142" s="62"/>
      <c r="B142" s="485"/>
      <c r="C142" s="161" t="str">
        <f>B295</f>
        <v>Other Direct Cost Savings</v>
      </c>
      <c r="D142" s="91"/>
      <c r="E142" s="156"/>
      <c r="F142" s="156"/>
      <c r="G142" s="156"/>
      <c r="H142" s="156"/>
      <c r="I142" s="156"/>
      <c r="J142" s="156"/>
      <c r="K142" s="91"/>
      <c r="L142" s="486"/>
    </row>
    <row r="143" spans="1:12" s="103" customFormat="1">
      <c r="A143" s="62"/>
      <c r="B143" s="485"/>
      <c r="C143" s="91"/>
      <c r="D143" s="122" t="str">
        <f>C298</f>
        <v>IT Savings</v>
      </c>
      <c r="E143" s="123">
        <f t="shared" ref="E143:J143" ca="1" si="12">E304</f>
        <v>40.211483474725</v>
      </c>
      <c r="F143" s="123">
        <f t="shared" ca="1" si="12"/>
        <v>60.331711438415134</v>
      </c>
      <c r="G143" s="123">
        <f t="shared" ca="1" si="12"/>
        <v>341.87004066680066</v>
      </c>
      <c r="H143" s="123">
        <f t="shared" ca="1" si="12"/>
        <v>160.8459338989</v>
      </c>
      <c r="I143" s="123">
        <f t="shared" ca="1" si="12"/>
        <v>241.32684575366054</v>
      </c>
      <c r="J143" s="123">
        <f t="shared" ca="1" si="12"/>
        <v>1367.4801626672026</v>
      </c>
      <c r="K143" s="91"/>
      <c r="L143" s="486"/>
    </row>
    <row r="144" spans="1:12" s="103" customFormat="1" ht="13.8" thickBot="1">
      <c r="A144" s="62"/>
      <c r="B144" s="485"/>
      <c r="C144" s="91"/>
      <c r="D144" s="122" t="str">
        <f>C305</f>
        <v>Business Savings</v>
      </c>
      <c r="E144" s="123">
        <f t="shared" ref="E144:J144" si="13">E309</f>
        <v>0</v>
      </c>
      <c r="F144" s="123">
        <f t="shared" ca="1" si="13"/>
        <v>44.205878985118716</v>
      </c>
      <c r="G144" s="123">
        <f t="shared" ca="1" si="13"/>
        <v>221.02939492559358</v>
      </c>
      <c r="H144" s="123">
        <f t="shared" si="13"/>
        <v>0</v>
      </c>
      <c r="I144" s="123">
        <f t="shared" ca="1" si="13"/>
        <v>176.82351594047486</v>
      </c>
      <c r="J144" s="123">
        <f t="shared" ca="1" si="13"/>
        <v>884.11757970237431</v>
      </c>
      <c r="K144" s="91"/>
      <c r="L144" s="486"/>
    </row>
    <row r="145" spans="1:12" s="103" customFormat="1" ht="13.8" thickTop="1">
      <c r="A145" s="92"/>
      <c r="B145" s="485"/>
      <c r="C145" s="91"/>
      <c r="D145" s="124" t="s">
        <v>0</v>
      </c>
      <c r="E145" s="125">
        <f t="shared" ref="E145:J145" ca="1" si="14">SUM(E143:E144)</f>
        <v>40.211483474725</v>
      </c>
      <c r="F145" s="125">
        <f t="shared" ca="1" si="14"/>
        <v>104.53759042353386</v>
      </c>
      <c r="G145" s="125">
        <f t="shared" ca="1" si="14"/>
        <v>562.89943559239418</v>
      </c>
      <c r="H145" s="125">
        <f t="shared" ca="1" si="14"/>
        <v>160.8459338989</v>
      </c>
      <c r="I145" s="125">
        <f t="shared" ca="1" si="14"/>
        <v>418.15036169413543</v>
      </c>
      <c r="J145" s="125">
        <f t="shared" ca="1" si="14"/>
        <v>2251.5977423695767</v>
      </c>
      <c r="K145" s="91"/>
      <c r="L145" s="486"/>
    </row>
    <row r="146" spans="1:12" s="103" customFormat="1" ht="13.8">
      <c r="A146" s="62"/>
      <c r="B146" s="485"/>
      <c r="C146" s="161" t="str">
        <f>B338</f>
        <v>User Productivity Benefits</v>
      </c>
      <c r="D146" s="91"/>
      <c r="E146" s="156"/>
      <c r="F146" s="156"/>
      <c r="G146" s="156"/>
      <c r="H146" s="156"/>
      <c r="I146" s="156"/>
      <c r="J146" s="156"/>
      <c r="K146" s="91"/>
      <c r="L146" s="486"/>
    </row>
    <row r="147" spans="1:12" s="103" customFormat="1">
      <c r="A147" s="62"/>
      <c r="B147" s="485"/>
      <c r="C147" s="91"/>
      <c r="D147" s="122" t="str">
        <f>Productivity!B50</f>
        <v>Information Access &amp; Analysis</v>
      </c>
      <c r="E147" s="123">
        <f>E341</f>
        <v>0</v>
      </c>
      <c r="F147" s="123">
        <f t="shared" ref="F147:J147" ca="1" si="15">F341</f>
        <v>509.01230521421888</v>
      </c>
      <c r="G147" s="123">
        <f t="shared" ca="1" si="15"/>
        <v>2545.0615260710942</v>
      </c>
      <c r="H147" s="123">
        <f t="shared" si="15"/>
        <v>0</v>
      </c>
      <c r="I147" s="123">
        <f t="shared" ca="1" si="15"/>
        <v>2036.0492208568755</v>
      </c>
      <c r="J147" s="123">
        <f t="shared" ca="1" si="15"/>
        <v>10180.246104284377</v>
      </c>
      <c r="K147" s="91"/>
      <c r="L147" s="486"/>
    </row>
    <row r="148" spans="1:12" s="343" customFormat="1">
      <c r="B148" s="485"/>
      <c r="C148" s="91"/>
      <c r="D148" s="122" t="str">
        <f>Productivity!B54</f>
        <v xml:space="preserve">Performance Management </v>
      </c>
      <c r="E148" s="123">
        <f t="shared" ref="E148:J148" si="16">E342</f>
        <v>0</v>
      </c>
      <c r="F148" s="123">
        <f t="shared" ca="1" si="16"/>
        <v>33.928400976616878</v>
      </c>
      <c r="G148" s="123">
        <f t="shared" ca="1" si="16"/>
        <v>169.64200488308438</v>
      </c>
      <c r="H148" s="123">
        <f t="shared" si="16"/>
        <v>0</v>
      </c>
      <c r="I148" s="123">
        <f t="shared" ca="1" si="16"/>
        <v>135.71360390646751</v>
      </c>
      <c r="J148" s="123">
        <f t="shared" ca="1" si="16"/>
        <v>678.56801953233753</v>
      </c>
      <c r="K148" s="91"/>
      <c r="L148" s="486"/>
    </row>
    <row r="149" spans="1:12" s="343" customFormat="1">
      <c r="B149" s="485"/>
      <c r="C149" s="91"/>
      <c r="D149" s="122" t="str">
        <f>Productivity!B51</f>
        <v>Business Process Automation</v>
      </c>
      <c r="E149" s="123">
        <f t="shared" ref="E149:J149" si="17">E343</f>
        <v>0</v>
      </c>
      <c r="F149" s="123">
        <f t="shared" ca="1" si="17"/>
        <v>89.92608662323255</v>
      </c>
      <c r="G149" s="123">
        <f t="shared" ca="1" si="17"/>
        <v>449.63043311616275</v>
      </c>
      <c r="H149" s="123">
        <f t="shared" si="17"/>
        <v>0</v>
      </c>
      <c r="I149" s="123">
        <f t="shared" ca="1" si="17"/>
        <v>359.7043464929302</v>
      </c>
      <c r="J149" s="123">
        <f t="shared" ca="1" si="17"/>
        <v>1798.521732464651</v>
      </c>
      <c r="K149" s="91"/>
      <c r="L149" s="486"/>
    </row>
    <row r="150" spans="1:12" s="343" customFormat="1">
      <c r="B150" s="485"/>
      <c r="C150" s="91"/>
      <c r="D150" s="122" t="str">
        <f>Productivity!B55</f>
        <v>Performance, Reliability, and Security</v>
      </c>
      <c r="E150" s="123">
        <f t="shared" ref="E150:J150" si="18">E344</f>
        <v>0</v>
      </c>
      <c r="F150" s="123">
        <f t="shared" ca="1" si="18"/>
        <v>5.7372731240762587</v>
      </c>
      <c r="G150" s="123">
        <f t="shared" ca="1" si="18"/>
        <v>28.686365620381295</v>
      </c>
      <c r="H150" s="123">
        <f t="shared" si="18"/>
        <v>0</v>
      </c>
      <c r="I150" s="123">
        <f t="shared" ca="1" si="18"/>
        <v>22.949092496305035</v>
      </c>
      <c r="J150" s="123">
        <f t="shared" ca="1" si="18"/>
        <v>114.74546248152518</v>
      </c>
      <c r="K150" s="91"/>
      <c r="L150" s="486"/>
    </row>
    <row r="151" spans="1:12" s="103" customFormat="1">
      <c r="A151" s="62"/>
      <c r="B151" s="485"/>
      <c r="C151" s="91"/>
      <c r="D151" s="122" t="str">
        <f>Productivity!B52</f>
        <v>Communication &amp; Collaboration</v>
      </c>
      <c r="E151" s="123">
        <f t="shared" ref="E151:J151" si="19">E345</f>
        <v>0</v>
      </c>
      <c r="F151" s="123">
        <f t="shared" ca="1" si="19"/>
        <v>54.612433136399822</v>
      </c>
      <c r="G151" s="123">
        <f t="shared" ca="1" si="19"/>
        <v>273.06216568199909</v>
      </c>
      <c r="H151" s="123">
        <f t="shared" si="19"/>
        <v>0</v>
      </c>
      <c r="I151" s="123">
        <f t="shared" ca="1" si="19"/>
        <v>218.44973254559929</v>
      </c>
      <c r="J151" s="123">
        <f t="shared" ca="1" si="19"/>
        <v>1092.2486627279964</v>
      </c>
      <c r="K151" s="91"/>
      <c r="L151" s="486"/>
    </row>
    <row r="152" spans="1:12" s="103" customFormat="1" ht="13.8" thickBot="1">
      <c r="A152" s="62"/>
      <c r="B152" s="485"/>
      <c r="C152" s="91"/>
      <c r="D152" s="122" t="str">
        <f>Productivity!B53</f>
        <v>User Application Development</v>
      </c>
      <c r="E152" s="123">
        <f t="shared" ref="E152:J152" si="20">E346</f>
        <v>0</v>
      </c>
      <c r="F152" s="123">
        <f t="shared" ca="1" si="20"/>
        <v>18.81189475019632</v>
      </c>
      <c r="G152" s="123">
        <f t="shared" ca="1" si="20"/>
        <v>94.059473750981596</v>
      </c>
      <c r="H152" s="123">
        <f t="shared" si="20"/>
        <v>0</v>
      </c>
      <c r="I152" s="123">
        <f t="shared" ca="1" si="20"/>
        <v>75.247579000785279</v>
      </c>
      <c r="J152" s="123">
        <f t="shared" ca="1" si="20"/>
        <v>376.23789500392638</v>
      </c>
      <c r="K152" s="91"/>
      <c r="L152" s="486"/>
    </row>
    <row r="153" spans="1:12" s="103" customFormat="1" ht="13.8" thickTop="1">
      <c r="A153" s="92"/>
      <c r="B153" s="485"/>
      <c r="C153" s="91"/>
      <c r="D153" s="124" t="s">
        <v>0</v>
      </c>
      <c r="E153" s="125">
        <f t="shared" ref="E153:J153" si="21">SUM(E147:E152)</f>
        <v>0</v>
      </c>
      <c r="F153" s="125">
        <f t="shared" ca="1" si="21"/>
        <v>712.02839382474065</v>
      </c>
      <c r="G153" s="125">
        <f t="shared" ca="1" si="21"/>
        <v>3560.1419691237033</v>
      </c>
      <c r="H153" s="125">
        <f t="shared" si="21"/>
        <v>0</v>
      </c>
      <c r="I153" s="125">
        <f t="shared" ca="1" si="21"/>
        <v>2848.1135752989626</v>
      </c>
      <c r="J153" s="125">
        <f t="shared" ca="1" si="21"/>
        <v>14240.567876494813</v>
      </c>
      <c r="K153" s="91"/>
      <c r="L153" s="486"/>
    </row>
    <row r="154" spans="1:12" s="103" customFormat="1" ht="14.4" thickBot="1">
      <c r="A154" s="62"/>
      <c r="B154" s="485"/>
      <c r="C154" s="161" t="str">
        <f>B371</f>
        <v>Revenue Growth (Profit on)</v>
      </c>
      <c r="D154" s="91"/>
      <c r="E154" s="123">
        <f t="shared" ref="E154:J154" si="22">E381</f>
        <v>0</v>
      </c>
      <c r="F154" s="123">
        <f t="shared" ca="1" si="22"/>
        <v>520.1472423772293</v>
      </c>
      <c r="G154" s="123">
        <f t="shared" ca="1" si="22"/>
        <v>2600.7362118861461</v>
      </c>
      <c r="H154" s="123">
        <f t="shared" si="22"/>
        <v>0</v>
      </c>
      <c r="I154" s="123">
        <f t="shared" ca="1" si="22"/>
        <v>2080.5889695089172</v>
      </c>
      <c r="J154" s="123">
        <f t="shared" ca="1" si="22"/>
        <v>10402.944847544584</v>
      </c>
      <c r="K154" s="91"/>
      <c r="L154" s="486"/>
    </row>
    <row r="155" spans="1:12" s="103" customFormat="1" ht="14.4" thickTop="1">
      <c r="A155" s="62"/>
      <c r="B155" s="485"/>
      <c r="C155" s="161" t="s">
        <v>0</v>
      </c>
      <c r="D155" s="91"/>
      <c r="E155" s="125">
        <f t="shared" ref="E155:J155" ca="1" si="23">SUM(E141,E145,E154,E153)</f>
        <v>40.211483474725</v>
      </c>
      <c r="F155" s="125">
        <f t="shared" ca="1" si="23"/>
        <v>1364.5847376794597</v>
      </c>
      <c r="G155" s="125">
        <f t="shared" ca="1" si="23"/>
        <v>6863.1351718720234</v>
      </c>
      <c r="H155" s="125">
        <f t="shared" ca="1" si="23"/>
        <v>160.8459338989</v>
      </c>
      <c r="I155" s="125">
        <f t="shared" ca="1" si="23"/>
        <v>5458.338950717839</v>
      </c>
      <c r="J155" s="125">
        <f t="shared" ca="1" si="23"/>
        <v>27452.540687488094</v>
      </c>
      <c r="K155" s="91"/>
      <c r="L155" s="486"/>
    </row>
    <row r="156" spans="1:12" s="103" customFormat="1">
      <c r="A156" s="62"/>
      <c r="B156" s="485"/>
      <c r="C156" s="91"/>
      <c r="D156" s="91"/>
      <c r="E156" s="156"/>
      <c r="F156" s="156"/>
      <c r="G156" s="156"/>
      <c r="H156" s="156"/>
      <c r="I156" s="156"/>
      <c r="J156" s="156"/>
      <c r="K156" s="91"/>
      <c r="L156" s="486"/>
    </row>
    <row r="157" spans="1:12">
      <c r="B157" s="488"/>
      <c r="C157" s="489"/>
      <c r="D157" s="506"/>
      <c r="E157" s="507"/>
      <c r="F157" s="507"/>
      <c r="G157" s="507"/>
      <c r="H157" s="507"/>
      <c r="I157" s="507"/>
      <c r="J157" s="507"/>
      <c r="K157" s="508"/>
      <c r="L157" s="509"/>
    </row>
    <row r="158" spans="1:12" s="103" customFormat="1">
      <c r="B158" s="73"/>
      <c r="C158" s="73"/>
      <c r="D158" s="136"/>
      <c r="E158" s="131"/>
      <c r="F158" s="131"/>
      <c r="G158" s="131"/>
      <c r="H158" s="131"/>
      <c r="I158" s="131"/>
      <c r="J158" s="131"/>
      <c r="K158" s="126"/>
      <c r="L158" s="126"/>
    </row>
    <row r="159" spans="1:12" ht="21">
      <c r="A159" s="95" t="s">
        <v>273</v>
      </c>
      <c r="B159" s="95"/>
      <c r="C159" s="95"/>
    </row>
    <row r="160" spans="1:12" ht="38.25" customHeight="1">
      <c r="A160" s="91"/>
      <c r="B160" s="484"/>
      <c r="C160" s="573" t="s">
        <v>1152</v>
      </c>
      <c r="D160" s="574"/>
      <c r="E160" s="574"/>
      <c r="F160" s="574"/>
      <c r="G160" s="574"/>
      <c r="H160" s="574"/>
      <c r="I160" s="574"/>
      <c r="J160" s="574"/>
      <c r="K160" s="574"/>
      <c r="L160" s="575"/>
    </row>
    <row r="161" spans="1:12">
      <c r="B161" s="485"/>
      <c r="C161" s="91"/>
      <c r="D161" s="91"/>
      <c r="E161" s="482" t="s">
        <v>35</v>
      </c>
      <c r="F161" s="482" t="s">
        <v>36</v>
      </c>
      <c r="G161" s="482" t="s">
        <v>37</v>
      </c>
      <c r="H161" s="482" t="s">
        <v>38</v>
      </c>
      <c r="I161" s="482" t="s">
        <v>271</v>
      </c>
      <c r="J161" s="482" t="s">
        <v>272</v>
      </c>
      <c r="K161" s="482" t="s">
        <v>0</v>
      </c>
      <c r="L161" s="510" t="s">
        <v>40</v>
      </c>
    </row>
    <row r="162" spans="1:12" s="103" customFormat="1">
      <c r="B162" s="485"/>
      <c r="C162" s="91"/>
      <c r="D162" s="122" t="s">
        <v>19</v>
      </c>
      <c r="E162" s="123">
        <f ca="1">E127</f>
        <v>1195.5490681672541</v>
      </c>
      <c r="F162" s="123">
        <f ca="1">F127</f>
        <v>148.20529791293126</v>
      </c>
      <c r="G162" s="123">
        <f ca="1">IF(Duration&gt;1,F162,)</f>
        <v>148.20529791293126</v>
      </c>
      <c r="H162" s="123">
        <f ca="1">IF(Duration&gt;2,G162,)</f>
        <v>148.20529791293126</v>
      </c>
      <c r="I162" s="123">
        <f ca="1">IF(Duration&gt;3,H162,)</f>
        <v>148.20529791293126</v>
      </c>
      <c r="J162" s="123">
        <f ca="1">IF(Duration&gt;4,I162,)</f>
        <v>148.20529791293126</v>
      </c>
      <c r="K162" s="123">
        <f ca="1">SUM(E162:J162)</f>
        <v>1936.5755577319101</v>
      </c>
      <c r="L162" s="511">
        <f ca="1">E162+NPV(WACC,F162:J162)</f>
        <v>1757.3637506518312</v>
      </c>
    </row>
    <row r="163" spans="1:12" s="103" customFormat="1" ht="13.8" thickBot="1">
      <c r="B163" s="485"/>
      <c r="C163" s="91"/>
      <c r="D163" s="122" t="s">
        <v>20</v>
      </c>
      <c r="E163" s="123">
        <f ca="1">E138</f>
        <v>40.211483474725</v>
      </c>
      <c r="F163" s="123">
        <f ca="1">F138</f>
        <v>1364.5847376794597</v>
      </c>
      <c r="G163" s="123">
        <f ca="1">IF(Duration&gt;1,F163,)</f>
        <v>1364.5847376794597</v>
      </c>
      <c r="H163" s="123">
        <f ca="1">IF(Duration&gt;2,G163,)</f>
        <v>1364.5847376794597</v>
      </c>
      <c r="I163" s="123">
        <f ca="1">IF(Duration&gt;3,H163,)</f>
        <v>1364.5847376794597</v>
      </c>
      <c r="J163" s="123">
        <f ca="1">IF(Duration&gt;4,I163,)</f>
        <v>1364.5847376794597</v>
      </c>
      <c r="K163" s="123">
        <f ca="1">SUM(E163:J163)</f>
        <v>6863.1351718720243</v>
      </c>
      <c r="L163" s="511">
        <f ca="1">E163+NPV(WACC,F163:J163)</f>
        <v>5213.0612528067177</v>
      </c>
    </row>
    <row r="164" spans="1:12" ht="14.4" thickTop="1" thickBot="1">
      <c r="B164" s="485"/>
      <c r="C164" s="91"/>
      <c r="D164" s="120" t="s">
        <v>43</v>
      </c>
      <c r="E164" s="127">
        <f t="shared" ref="E164:J164" ca="1" si="24">E163-E162</f>
        <v>-1155.3375846925292</v>
      </c>
      <c r="F164" s="127">
        <f t="shared" ca="1" si="24"/>
        <v>1216.3794397665285</v>
      </c>
      <c r="G164" s="127">
        <f t="shared" ca="1" si="24"/>
        <v>1216.3794397665285</v>
      </c>
      <c r="H164" s="127">
        <f t="shared" ca="1" si="24"/>
        <v>1216.3794397665285</v>
      </c>
      <c r="I164" s="127">
        <f t="shared" ca="1" si="24"/>
        <v>1216.3794397665285</v>
      </c>
      <c r="J164" s="127">
        <f t="shared" ca="1" si="24"/>
        <v>1216.3794397665285</v>
      </c>
      <c r="K164" s="127">
        <f ca="1">SUM(E164:J164)</f>
        <v>4926.5596141401138</v>
      </c>
      <c r="L164" s="512">
        <f ca="1">E164+NPV(WACC,F164:J164)</f>
        <v>3455.697502154886</v>
      </c>
    </row>
    <row r="165" spans="1:12" ht="13.8" thickTop="1">
      <c r="B165" s="485"/>
      <c r="C165" s="91"/>
      <c r="D165" s="120" t="s">
        <v>274</v>
      </c>
      <c r="E165" s="127">
        <f ca="1">E164</f>
        <v>-1155.3375846925292</v>
      </c>
      <c r="F165" s="127">
        <f ca="1">F164+E165</f>
        <v>61.041855073999386</v>
      </c>
      <c r="G165" s="127">
        <f ca="1">G164+F165</f>
        <v>1277.4212948405279</v>
      </c>
      <c r="H165" s="127">
        <f ca="1">H164+G165</f>
        <v>2493.8007346070563</v>
      </c>
      <c r="I165" s="127">
        <f ca="1">I164+H165</f>
        <v>3710.180174373585</v>
      </c>
      <c r="J165" s="127">
        <f ca="1">J164+I165</f>
        <v>4926.5596141401138</v>
      </c>
      <c r="K165" s="91"/>
      <c r="L165" s="486"/>
    </row>
    <row r="166" spans="1:12">
      <c r="B166" s="485"/>
      <c r="C166" s="91"/>
      <c r="D166" s="120" t="s">
        <v>275</v>
      </c>
      <c r="E166" s="128">
        <f ca="1">IF(SUM(F167:J167)=0,"&gt;60",ROUND(SUM(F167:J167),0))</f>
        <v>11</v>
      </c>
      <c r="F166" s="91"/>
      <c r="G166" s="91"/>
      <c r="H166" s="91"/>
      <c r="I166" s="91"/>
      <c r="J166" s="91"/>
      <c r="K166" s="91"/>
      <c r="L166" s="486"/>
    </row>
    <row r="167" spans="1:12" hidden="1">
      <c r="A167" s="82" t="s">
        <v>276</v>
      </c>
      <c r="B167" s="485"/>
      <c r="C167" s="91"/>
      <c r="D167" s="129"/>
      <c r="E167" s="73"/>
      <c r="F167" s="93">
        <f ca="1">IF(AND(E165&lt;=0,F165&gt;0),-E165/(F165-E165)*12,"")</f>
        <v>11.397801181982665</v>
      </c>
      <c r="G167" s="93" t="str">
        <f ca="1">IF(AND(F165&lt;=0,G165&gt;0),-F165/(G165-F165)*12+12,"")</f>
        <v/>
      </c>
      <c r="H167" s="93" t="str">
        <f ca="1">IF(AND(G165&lt;=0,H165&gt;0),-G165/(H165-G165)*12+24,"")</f>
        <v/>
      </c>
      <c r="I167" s="93" t="str">
        <f ca="1">IF(AND(H165&lt;=0,I165&gt;0),-H165/(I165-H165)*12+36,"")</f>
        <v/>
      </c>
      <c r="J167" s="93" t="str">
        <f ca="1">IF(AND(I165&lt;=0,J165&gt;0),-I165/(J165-I165)*12+48,"")</f>
        <v/>
      </c>
      <c r="K167" s="73"/>
      <c r="L167" s="495"/>
    </row>
    <row r="168" spans="1:12" hidden="1">
      <c r="B168" s="485"/>
      <c r="C168" s="91"/>
      <c r="D168" s="129"/>
      <c r="E168" s="73"/>
      <c r="F168" s="73"/>
      <c r="G168" s="73">
        <v>2</v>
      </c>
      <c r="H168" s="73">
        <v>3</v>
      </c>
      <c r="I168" s="73">
        <v>4</v>
      </c>
      <c r="J168" s="73">
        <v>5</v>
      </c>
      <c r="K168" s="73"/>
      <c r="L168" s="495"/>
    </row>
    <row r="169" spans="1:12" hidden="1">
      <c r="B169" s="485"/>
      <c r="C169" s="91"/>
      <c r="D169" s="130" t="s">
        <v>277</v>
      </c>
      <c r="E169" s="131"/>
      <c r="F169" s="94">
        <v>1</v>
      </c>
      <c r="G169" s="94">
        <f>IF(Duration&gt;=G168,1,0)</f>
        <v>1</v>
      </c>
      <c r="H169" s="94">
        <f>IF(Duration&gt;=H168,1,0)</f>
        <v>1</v>
      </c>
      <c r="I169" s="94">
        <f>IF(Duration&gt;=I168,1,0)</f>
        <v>1</v>
      </c>
      <c r="J169" s="94">
        <f>IF(Duration&gt;=J168,1,0)</f>
        <v>1</v>
      </c>
      <c r="K169" s="73"/>
      <c r="L169" s="495"/>
    </row>
    <row r="170" spans="1:12" hidden="1">
      <c r="B170" s="485"/>
      <c r="C170" s="91"/>
      <c r="D170" s="129"/>
      <c r="E170" s="132">
        <v>0</v>
      </c>
      <c r="F170" s="132">
        <v>1</v>
      </c>
      <c r="G170" s="132">
        <v>2</v>
      </c>
      <c r="H170" s="132">
        <v>3</v>
      </c>
      <c r="I170" s="132">
        <v>4</v>
      </c>
      <c r="J170" s="132">
        <v>5</v>
      </c>
      <c r="K170" s="73"/>
      <c r="L170" s="495"/>
    </row>
    <row r="171" spans="1:12" hidden="1">
      <c r="B171" s="485"/>
      <c r="C171" s="91"/>
      <c r="D171" s="133" t="s">
        <v>278</v>
      </c>
      <c r="E171" s="131">
        <f t="shared" ref="E171:J171" ca="1" si="25">IF(E165&gt;=0,E165,)</f>
        <v>0</v>
      </c>
      <c r="F171" s="131">
        <f t="shared" ca="1" si="25"/>
        <v>61.041855073999386</v>
      </c>
      <c r="G171" s="131">
        <f t="shared" ca="1" si="25"/>
        <v>1277.4212948405279</v>
      </c>
      <c r="H171" s="131">
        <f t="shared" ca="1" si="25"/>
        <v>2493.8007346070563</v>
      </c>
      <c r="I171" s="131">
        <f t="shared" ca="1" si="25"/>
        <v>3710.180174373585</v>
      </c>
      <c r="J171" s="131">
        <f t="shared" ca="1" si="25"/>
        <v>4926.5596141401138</v>
      </c>
      <c r="K171" s="73"/>
      <c r="L171" s="495"/>
    </row>
    <row r="172" spans="1:12" hidden="1">
      <c r="B172" s="485"/>
      <c r="C172" s="91"/>
      <c r="D172" s="133" t="s">
        <v>279</v>
      </c>
      <c r="E172" s="131">
        <f t="shared" ref="E172:J172" ca="1" si="26">IF(E165&lt;0,E165,)</f>
        <v>-1155.3375846925292</v>
      </c>
      <c r="F172" s="131">
        <f t="shared" ca="1" si="26"/>
        <v>0</v>
      </c>
      <c r="G172" s="131">
        <f t="shared" ca="1" si="26"/>
        <v>0</v>
      </c>
      <c r="H172" s="131">
        <f t="shared" ca="1" si="26"/>
        <v>0</v>
      </c>
      <c r="I172" s="131">
        <f t="shared" ca="1" si="26"/>
        <v>0</v>
      </c>
      <c r="J172" s="131">
        <f t="shared" ca="1" si="26"/>
        <v>0</v>
      </c>
      <c r="K172" s="73"/>
      <c r="L172" s="495"/>
    </row>
    <row r="173" spans="1:12">
      <c r="B173" s="485"/>
      <c r="C173" s="91"/>
      <c r="D173" s="91"/>
      <c r="E173" s="91"/>
      <c r="F173" s="91"/>
      <c r="G173" s="91"/>
      <c r="H173" s="91"/>
      <c r="I173" s="91"/>
      <c r="J173" s="91"/>
      <c r="K173" s="91"/>
      <c r="L173" s="486"/>
    </row>
    <row r="174" spans="1:12">
      <c r="B174" s="485"/>
      <c r="C174" s="91"/>
      <c r="D174" s="91"/>
      <c r="E174" s="91"/>
      <c r="F174" s="91"/>
      <c r="G174" s="91"/>
      <c r="H174" s="91"/>
      <c r="I174" s="91"/>
      <c r="J174" s="91"/>
      <c r="K174" s="91"/>
      <c r="L174" s="486"/>
    </row>
    <row r="175" spans="1:12">
      <c r="B175" s="485"/>
      <c r="C175" s="91"/>
      <c r="D175" s="91"/>
      <c r="E175" s="91"/>
      <c r="F175" s="91"/>
      <c r="G175" s="91"/>
      <c r="H175" s="91"/>
      <c r="I175" s="91"/>
      <c r="J175" s="91"/>
      <c r="K175" s="91"/>
      <c r="L175" s="486"/>
    </row>
    <row r="176" spans="1:12">
      <c r="B176" s="485"/>
      <c r="C176" s="91"/>
      <c r="D176" s="91"/>
      <c r="E176" s="91"/>
      <c r="F176" s="91"/>
      <c r="G176" s="91"/>
      <c r="H176" s="91"/>
      <c r="I176" s="91"/>
      <c r="J176" s="91"/>
      <c r="K176" s="91"/>
      <c r="L176" s="486"/>
    </row>
    <row r="177" spans="1:12">
      <c r="B177" s="485"/>
      <c r="C177" s="91"/>
      <c r="D177" s="91"/>
      <c r="E177" s="91"/>
      <c r="F177" s="91"/>
      <c r="G177" s="91"/>
      <c r="H177" s="91"/>
      <c r="I177" s="91"/>
      <c r="J177" s="91"/>
      <c r="K177" s="91"/>
      <c r="L177" s="486"/>
    </row>
    <row r="178" spans="1:12">
      <c r="B178" s="485"/>
      <c r="C178" s="91"/>
      <c r="D178" s="91"/>
      <c r="E178" s="91"/>
      <c r="F178" s="91"/>
      <c r="G178" s="91"/>
      <c r="H178" s="91"/>
      <c r="I178" s="91"/>
      <c r="J178" s="91"/>
      <c r="K178" s="91"/>
      <c r="L178" s="486"/>
    </row>
    <row r="179" spans="1:12">
      <c r="B179" s="485"/>
      <c r="C179" s="91"/>
      <c r="D179" s="91"/>
      <c r="E179" s="91"/>
      <c r="F179" s="91"/>
      <c r="G179" s="91"/>
      <c r="H179" s="91"/>
      <c r="I179" s="91"/>
      <c r="J179" s="91"/>
      <c r="K179" s="91"/>
      <c r="L179" s="486"/>
    </row>
    <row r="180" spans="1:12">
      <c r="B180" s="485"/>
      <c r="C180" s="91"/>
      <c r="D180" s="91"/>
      <c r="E180" s="91"/>
      <c r="F180" s="91"/>
      <c r="G180" s="91"/>
      <c r="H180" s="91"/>
      <c r="I180" s="91"/>
      <c r="J180" s="91"/>
      <c r="K180" s="91"/>
      <c r="L180" s="486"/>
    </row>
    <row r="181" spans="1:12">
      <c r="B181" s="485"/>
      <c r="C181" s="91"/>
      <c r="D181" s="91"/>
      <c r="E181" s="91"/>
      <c r="F181" s="91"/>
      <c r="G181" s="91"/>
      <c r="H181" s="91"/>
      <c r="I181" s="91"/>
      <c r="J181" s="91"/>
      <c r="K181" s="91"/>
      <c r="L181" s="486"/>
    </row>
    <row r="182" spans="1:12">
      <c r="B182" s="485"/>
      <c r="C182" s="91"/>
      <c r="D182" s="91"/>
      <c r="E182" s="91"/>
      <c r="F182" s="91"/>
      <c r="G182" s="91"/>
      <c r="H182" s="91"/>
      <c r="I182" s="91"/>
      <c r="J182" s="91"/>
      <c r="K182" s="91"/>
      <c r="L182" s="486"/>
    </row>
    <row r="183" spans="1:12">
      <c r="B183" s="485"/>
      <c r="C183" s="91"/>
      <c r="D183" s="91"/>
      <c r="E183" s="91"/>
      <c r="F183" s="91"/>
      <c r="G183" s="91"/>
      <c r="H183" s="91"/>
      <c r="I183" s="91"/>
      <c r="J183" s="91"/>
      <c r="K183" s="91"/>
      <c r="L183" s="486"/>
    </row>
    <row r="184" spans="1:12">
      <c r="B184" s="485"/>
      <c r="C184" s="91"/>
      <c r="D184" s="91"/>
      <c r="E184" s="91"/>
      <c r="F184" s="91"/>
      <c r="G184" s="91"/>
      <c r="H184" s="91"/>
      <c r="I184" s="91"/>
      <c r="J184" s="91"/>
      <c r="K184" s="91"/>
      <c r="L184" s="486"/>
    </row>
    <row r="185" spans="1:12">
      <c r="B185" s="485"/>
      <c r="C185" s="91"/>
      <c r="D185" s="91"/>
      <c r="E185" s="91"/>
      <c r="F185" s="91"/>
      <c r="G185" s="91"/>
      <c r="H185" s="91"/>
      <c r="I185" s="91"/>
      <c r="J185" s="91"/>
      <c r="K185" s="91"/>
      <c r="L185" s="486"/>
    </row>
    <row r="186" spans="1:12">
      <c r="B186" s="485"/>
      <c r="C186" s="91"/>
      <c r="D186" s="91"/>
      <c r="E186" s="91"/>
      <c r="F186" s="91"/>
      <c r="G186" s="91"/>
      <c r="H186" s="91"/>
      <c r="I186" s="91"/>
      <c r="J186" s="91"/>
      <c r="K186" s="91"/>
      <c r="L186" s="486"/>
    </row>
    <row r="187" spans="1:12">
      <c r="B187" s="485"/>
      <c r="C187" s="91"/>
      <c r="D187" s="91"/>
      <c r="E187" s="91"/>
      <c r="F187" s="91"/>
      <c r="G187" s="91"/>
      <c r="H187" s="91"/>
      <c r="I187" s="91"/>
      <c r="J187" s="91"/>
      <c r="K187" s="91"/>
      <c r="L187" s="486"/>
    </row>
    <row r="188" spans="1:12">
      <c r="B188" s="488"/>
      <c r="C188" s="489"/>
      <c r="D188" s="489"/>
      <c r="E188" s="489"/>
      <c r="F188" s="489"/>
      <c r="G188" s="489"/>
      <c r="H188" s="489"/>
      <c r="I188" s="489"/>
      <c r="J188" s="489"/>
      <c r="K188" s="489"/>
      <c r="L188" s="491"/>
    </row>
    <row r="189" spans="1:12" s="103" customFormat="1">
      <c r="B189" s="73"/>
      <c r="C189" s="73"/>
      <c r="D189" s="73"/>
      <c r="E189" s="73"/>
      <c r="F189" s="73"/>
      <c r="G189" s="73"/>
      <c r="H189" s="73"/>
      <c r="I189" s="73"/>
      <c r="J189" s="73"/>
      <c r="K189" s="73"/>
      <c r="L189" s="73"/>
    </row>
    <row r="190" spans="1:12" ht="21">
      <c r="A190" s="95" t="s">
        <v>315</v>
      </c>
    </row>
    <row r="191" spans="1:12" ht="24.75" customHeight="1">
      <c r="B191" s="513"/>
      <c r="C191" s="574" t="s">
        <v>1151</v>
      </c>
      <c r="D191" s="574"/>
      <c r="E191" s="574"/>
      <c r="F191" s="574"/>
      <c r="G191" s="574"/>
      <c r="H191" s="574"/>
      <c r="I191" s="574"/>
      <c r="J191" s="574"/>
      <c r="K191" s="574"/>
      <c r="L191" s="575"/>
    </row>
    <row r="192" spans="1:12">
      <c r="A192" s="62"/>
      <c r="B192" s="485"/>
      <c r="C192" s="91"/>
      <c r="D192" s="91"/>
      <c r="E192" s="556" t="s">
        <v>317</v>
      </c>
      <c r="F192" s="556"/>
      <c r="G192" s="556"/>
      <c r="H192" s="556" t="s">
        <v>318</v>
      </c>
      <c r="I192" s="556"/>
      <c r="J192" s="556"/>
      <c r="K192" s="91"/>
      <c r="L192" s="486"/>
    </row>
    <row r="193" spans="1:12" ht="26.4">
      <c r="A193" s="62"/>
      <c r="B193" s="485"/>
      <c r="C193" s="91"/>
      <c r="D193" s="482" t="s">
        <v>217</v>
      </c>
      <c r="E193" s="482" t="s">
        <v>95</v>
      </c>
      <c r="F193" s="482" t="s">
        <v>258</v>
      </c>
      <c r="G193" s="482" t="str">
        <f>Duration&amp;"-Year Total"</f>
        <v>5-Year Total</v>
      </c>
      <c r="H193" s="482" t="s">
        <v>95</v>
      </c>
      <c r="I193" s="482" t="s">
        <v>258</v>
      </c>
      <c r="J193" s="482" t="str">
        <f>Duration&amp;"-Year Total"</f>
        <v>5-Year Total</v>
      </c>
      <c r="K193" s="91"/>
      <c r="L193" s="486"/>
    </row>
    <row r="194" spans="1:12" ht="13.8">
      <c r="A194" s="62"/>
      <c r="B194" s="485"/>
      <c r="C194" s="161" t="str">
        <f>'Costs - HWSW'!B122</f>
        <v>Hardware</v>
      </c>
      <c r="D194" s="167"/>
      <c r="E194" s="167"/>
      <c r="F194" s="167"/>
      <c r="G194" s="167"/>
      <c r="H194" s="167"/>
      <c r="I194" s="167"/>
      <c r="J194" s="167"/>
      <c r="K194" s="91"/>
      <c r="L194" s="486"/>
    </row>
    <row r="195" spans="1:12">
      <c r="A195" s="62"/>
      <c r="B195" s="485"/>
      <c r="C195" s="168"/>
      <c r="D195" s="134" t="str">
        <f>'Costs - HWSW'!C123</f>
        <v>Storage Hardware</v>
      </c>
      <c r="E195" s="123">
        <f ca="1">'Costs - HWSW'!D123</f>
        <v>20.208753986398055</v>
      </c>
      <c r="F195" s="123">
        <f ca="1">'Costs - HWSW'!F123</f>
        <v>1.6167003189118443</v>
      </c>
      <c r="G195" s="123">
        <f ca="1">E195+F195*Duration</f>
        <v>28.292255580957274</v>
      </c>
      <c r="H195" s="123">
        <f ca="1">E195*BIs/1000</f>
        <v>80.835015945592218</v>
      </c>
      <c r="I195" s="123">
        <f ca="1">F195*BIs/1000</f>
        <v>6.4668012756473772</v>
      </c>
      <c r="J195" s="123">
        <f ca="1">H195+I195*Duration</f>
        <v>113.1690223238291</v>
      </c>
      <c r="K195" s="91"/>
      <c r="L195" s="486"/>
    </row>
    <row r="196" spans="1:12" ht="13.8" thickBot="1">
      <c r="A196" s="62"/>
      <c r="B196" s="485"/>
      <c r="C196" s="168"/>
      <c r="D196" s="134" t="str">
        <f>'Costs - HWSW'!C124</f>
        <v>Server Hardware</v>
      </c>
      <c r="E196" s="123">
        <f ca="1">'Costs - HWSW'!D124</f>
        <v>63.304669770732623</v>
      </c>
      <c r="F196" s="123">
        <f ca="1">'Costs - HWSW'!F124</f>
        <v>5.06437358165861</v>
      </c>
      <c r="G196" s="123">
        <f ca="1">E196+F196*Duration</f>
        <v>88.626537679025674</v>
      </c>
      <c r="H196" s="123">
        <f ca="1">E196*BIs/1000</f>
        <v>253.21867908293049</v>
      </c>
      <c r="I196" s="123">
        <f ca="1">F196*BIs/1000</f>
        <v>20.257494326634436</v>
      </c>
      <c r="J196" s="123">
        <f ca="1">H196+I196*Duration</f>
        <v>354.50615071610264</v>
      </c>
      <c r="K196" s="91"/>
      <c r="L196" s="486"/>
    </row>
    <row r="197" spans="1:12" ht="13.8" thickTop="1">
      <c r="A197" s="62"/>
      <c r="B197" s="485"/>
      <c r="C197" s="168"/>
      <c r="D197" s="124" t="s">
        <v>0</v>
      </c>
      <c r="E197" s="125">
        <f t="shared" ref="E197:J197" ca="1" si="27">SUM(E195:E196)</f>
        <v>83.513423757130681</v>
      </c>
      <c r="F197" s="125">
        <f t="shared" ca="1" si="27"/>
        <v>6.6810739005704542</v>
      </c>
      <c r="G197" s="125">
        <f t="shared" ca="1" si="27"/>
        <v>116.91879325998295</v>
      </c>
      <c r="H197" s="125">
        <f t="shared" ca="1" si="27"/>
        <v>334.05369502852272</v>
      </c>
      <c r="I197" s="125">
        <f t="shared" ca="1" si="27"/>
        <v>26.724295602281813</v>
      </c>
      <c r="J197" s="125">
        <f t="shared" ca="1" si="27"/>
        <v>467.67517303993174</v>
      </c>
      <c r="K197" s="91"/>
      <c r="L197" s="486"/>
    </row>
    <row r="198" spans="1:12" ht="13.8">
      <c r="A198" s="62"/>
      <c r="B198" s="485"/>
      <c r="C198" s="161" t="str">
        <f>'Costs - HWSW'!B126</f>
        <v>Software</v>
      </c>
      <c r="D198" s="167"/>
      <c r="E198" s="169"/>
      <c r="F198" s="169"/>
      <c r="G198" s="169"/>
      <c r="H198" s="169"/>
      <c r="I198" s="169"/>
      <c r="J198" s="169"/>
      <c r="K198" s="91"/>
      <c r="L198" s="486"/>
    </row>
    <row r="199" spans="1:12">
      <c r="A199" s="62"/>
      <c r="B199" s="485"/>
      <c r="C199" s="168"/>
      <c r="D199" s="134" t="str">
        <f>'Costs - HWSW'!C127</f>
        <v>Server Software</v>
      </c>
      <c r="E199" s="123">
        <f ca="1">'Costs - HWSW'!D127</f>
        <v>192</v>
      </c>
      <c r="F199" s="123">
        <f ca="1">'Costs - HWSW'!F127</f>
        <v>38.400000000000006</v>
      </c>
      <c r="G199" s="123">
        <f ca="1">E199+F199*Duration</f>
        <v>384</v>
      </c>
      <c r="H199" s="123">
        <f ca="1">E199*BIs/1000</f>
        <v>768</v>
      </c>
      <c r="I199" s="123">
        <f ca="1">F199*BIs/1000</f>
        <v>153.60000000000002</v>
      </c>
      <c r="J199" s="123">
        <f ca="1">H199+I199*Duration</f>
        <v>1536</v>
      </c>
      <c r="K199" s="91"/>
      <c r="L199" s="486"/>
    </row>
    <row r="200" spans="1:12" ht="13.8" thickBot="1">
      <c r="A200" s="62"/>
      <c r="B200" s="485"/>
      <c r="C200" s="168"/>
      <c r="D200" s="134" t="str">
        <f>'Costs - HWSW'!C128</f>
        <v>Client Software</v>
      </c>
      <c r="E200" s="123">
        <f ca="1">'Costs - HWSW'!D128</f>
        <v>218.00845440975127</v>
      </c>
      <c r="F200" s="123">
        <f ca="1">'Costs - HWSW'!F128</f>
        <v>43.601690881950255</v>
      </c>
      <c r="G200" s="123">
        <f ca="1">E200+F200*Duration</f>
        <v>436.01690881950253</v>
      </c>
      <c r="H200" s="123">
        <f ca="1">E200*BIs/1000</f>
        <v>872.03381763900506</v>
      </c>
      <c r="I200" s="123">
        <f ca="1">F200*BIs/1000</f>
        <v>174.40676352780102</v>
      </c>
      <c r="J200" s="123">
        <f ca="1">H200+I200*Duration</f>
        <v>1744.0676352780101</v>
      </c>
      <c r="K200" s="91"/>
      <c r="L200" s="486"/>
    </row>
    <row r="201" spans="1:12" ht="13.8" thickTop="1">
      <c r="A201" s="62"/>
      <c r="B201" s="485"/>
      <c r="C201" s="168"/>
      <c r="D201" s="124" t="s">
        <v>0</v>
      </c>
      <c r="E201" s="125">
        <f t="shared" ref="E201:J201" ca="1" si="28">SUM(E199:E200)</f>
        <v>410.00845440975127</v>
      </c>
      <c r="F201" s="125">
        <f t="shared" ca="1" si="28"/>
        <v>82.001690881950253</v>
      </c>
      <c r="G201" s="125">
        <f t="shared" ca="1" si="28"/>
        <v>820.01690881950253</v>
      </c>
      <c r="H201" s="125">
        <f t="shared" ca="1" si="28"/>
        <v>1640.0338176390051</v>
      </c>
      <c r="I201" s="125">
        <f t="shared" ca="1" si="28"/>
        <v>328.00676352780101</v>
      </c>
      <c r="J201" s="125">
        <f t="shared" ca="1" si="28"/>
        <v>3280.0676352780101</v>
      </c>
      <c r="K201" s="91"/>
      <c r="L201" s="486"/>
    </row>
    <row r="202" spans="1:12" ht="13.8">
      <c r="A202" s="62"/>
      <c r="B202" s="485"/>
      <c r="C202" s="161" t="str">
        <f>'Costs - HWSW'!B130</f>
        <v>IT Labor/Services</v>
      </c>
      <c r="D202" s="167"/>
      <c r="E202" s="169"/>
      <c r="F202" s="169"/>
      <c r="G202" s="169"/>
      <c r="H202" s="169"/>
      <c r="I202" s="169"/>
      <c r="J202" s="169"/>
      <c r="K202" s="91"/>
      <c r="L202" s="486"/>
    </row>
    <row r="203" spans="1:12">
      <c r="A203" s="62"/>
      <c r="B203" s="485"/>
      <c r="C203" s="168"/>
      <c r="D203" s="134" t="str">
        <f>'Costs - HWSW'!C131</f>
        <v>BI Applications IT Labor</v>
      </c>
      <c r="E203" s="123">
        <f>'Costs - HWSW'!D131</f>
        <v>131.2914855712682</v>
      </c>
      <c r="F203" s="123">
        <f>'Costs - HWSW'!F131</f>
        <v>19.693722835690227</v>
      </c>
      <c r="G203" s="123">
        <f>E203+F203*Duration</f>
        <v>229.76009974971933</v>
      </c>
      <c r="H203" s="123">
        <f t="shared" ref="H203:I206" si="29">E203*BIs/1000</f>
        <v>525.16594228507279</v>
      </c>
      <c r="I203" s="123">
        <f t="shared" si="29"/>
        <v>78.77489134276091</v>
      </c>
      <c r="J203" s="123">
        <f>H203+I203*Duration</f>
        <v>919.04039899887732</v>
      </c>
      <c r="K203" s="91"/>
      <c r="L203" s="486"/>
    </row>
    <row r="204" spans="1:12">
      <c r="A204" s="62"/>
      <c r="B204" s="485"/>
      <c r="C204" s="168"/>
      <c r="D204" s="134" t="str">
        <f>'Costs - HWSW'!C132</f>
        <v>Source System Inclusion / Integration IT Labor</v>
      </c>
      <c r="E204" s="123">
        <f>'Costs - HWSW'!D132</f>
        <v>74.096120149518725</v>
      </c>
      <c r="F204" s="123">
        <f>'Costs - HWSW'!F132</f>
        <v>5.9276896119614984</v>
      </c>
      <c r="G204" s="123">
        <f>E204+F204*Duration</f>
        <v>103.73456820932621</v>
      </c>
      <c r="H204" s="123">
        <f t="shared" si="29"/>
        <v>296.3844805980749</v>
      </c>
      <c r="I204" s="123">
        <f t="shared" si="29"/>
        <v>23.710758447845993</v>
      </c>
      <c r="J204" s="123">
        <f>H204+I204*Duration</f>
        <v>414.93827283730485</v>
      </c>
      <c r="K204" s="91"/>
      <c r="L204" s="486"/>
    </row>
    <row r="205" spans="1:12">
      <c r="A205" s="62"/>
      <c r="B205" s="485"/>
      <c r="C205" s="168"/>
      <c r="D205" s="134" t="str">
        <f>'Costs - HWSW'!C133</f>
        <v>Enhance DW Platform IT Labor</v>
      </c>
      <c r="E205" s="123">
        <f>'Costs - HWSW'!D133</f>
        <v>21.897425032296006</v>
      </c>
      <c r="F205" s="123">
        <f>'Costs - HWSW'!F133</f>
        <v>2.1897425032296005</v>
      </c>
      <c r="G205" s="123">
        <f>E205+F205*Duration</f>
        <v>32.846137548444005</v>
      </c>
      <c r="H205" s="123">
        <f t="shared" si="29"/>
        <v>87.589700129184024</v>
      </c>
      <c r="I205" s="123">
        <f t="shared" si="29"/>
        <v>8.758970012918402</v>
      </c>
      <c r="J205" s="123">
        <f>H205+I205*Duration</f>
        <v>131.38455019377602</v>
      </c>
      <c r="K205" s="91"/>
      <c r="L205" s="486"/>
    </row>
    <row r="206" spans="1:12" ht="13.8" thickBot="1">
      <c r="A206" s="62"/>
      <c r="B206" s="485"/>
      <c r="C206" s="168"/>
      <c r="D206" s="134" t="str">
        <f>'Costs - HWSW'!C134</f>
        <v>Enhance BI Platform IT Labor</v>
      </c>
      <c r="E206" s="123">
        <f>'Costs - HWSW'!D134</f>
        <v>120.81760296811673</v>
      </c>
      <c r="F206" s="123">
        <f>'Costs - HWSW'!F134</f>
        <v>14.498112356174007</v>
      </c>
      <c r="G206" s="123">
        <f>E206+F206*Duration</f>
        <v>193.30816474898677</v>
      </c>
      <c r="H206" s="123">
        <f t="shared" si="29"/>
        <v>483.27041187246692</v>
      </c>
      <c r="I206" s="123">
        <f t="shared" si="29"/>
        <v>57.992449424696026</v>
      </c>
      <c r="J206" s="123">
        <f>H206+I206*Duration</f>
        <v>773.23265899594708</v>
      </c>
      <c r="K206" s="91"/>
      <c r="L206" s="486"/>
    </row>
    <row r="207" spans="1:12" ht="13.8" thickTop="1">
      <c r="A207" s="62"/>
      <c r="B207" s="485"/>
      <c r="C207" s="168"/>
      <c r="D207" s="124" t="s">
        <v>0</v>
      </c>
      <c r="E207" s="125">
        <f t="shared" ref="E207:J207" si="30">SUM(E203:E206)</f>
        <v>348.10263372119965</v>
      </c>
      <c r="F207" s="125">
        <f t="shared" si="30"/>
        <v>42.309267307055329</v>
      </c>
      <c r="G207" s="125">
        <f t="shared" si="30"/>
        <v>559.64897025647633</v>
      </c>
      <c r="H207" s="125">
        <f t="shared" si="30"/>
        <v>1392.4105348847986</v>
      </c>
      <c r="I207" s="125">
        <f t="shared" si="30"/>
        <v>169.23706922822132</v>
      </c>
      <c r="J207" s="125">
        <f t="shared" si="30"/>
        <v>2238.5958810259053</v>
      </c>
      <c r="K207" s="91"/>
      <c r="L207" s="486"/>
    </row>
    <row r="208" spans="1:12" ht="13.8">
      <c r="A208" s="62"/>
      <c r="B208" s="485"/>
      <c r="C208" s="161" t="str">
        <f>'Costs - HWSW'!B136</f>
        <v>Training &amp; User Labor</v>
      </c>
      <c r="D208" s="167"/>
      <c r="E208" s="169"/>
      <c r="F208" s="169"/>
      <c r="G208" s="169"/>
      <c r="H208" s="169"/>
      <c r="I208" s="169"/>
      <c r="J208" s="169"/>
      <c r="K208" s="91"/>
      <c r="L208" s="486"/>
    </row>
    <row r="209" spans="1:12">
      <c r="A209" s="62"/>
      <c r="B209" s="485"/>
      <c r="C209" s="168"/>
      <c r="D209" s="134" t="str">
        <f>'Costs - HWSW'!C137</f>
        <v>IT Training</v>
      </c>
      <c r="E209" s="123">
        <f>'Costs - HWSW'!D137</f>
        <v>15.19885219971113</v>
      </c>
      <c r="F209" s="123">
        <f>'Costs - HWSW'!F137</f>
        <v>1.519885219971113</v>
      </c>
      <c r="G209" s="123">
        <f>E209+F209*Duration</f>
        <v>22.798278299566697</v>
      </c>
      <c r="H209" s="123">
        <f t="shared" ref="H209:I211" si="31">E209*BIs/1000</f>
        <v>60.79540879884452</v>
      </c>
      <c r="I209" s="123">
        <f t="shared" si="31"/>
        <v>6.0795408798844521</v>
      </c>
      <c r="J209" s="123">
        <f>H209+I209*Duration</f>
        <v>91.193113198266786</v>
      </c>
      <c r="K209" s="91"/>
      <c r="L209" s="486"/>
    </row>
    <row r="210" spans="1:12" s="343" customFormat="1">
      <c r="B210" s="485"/>
      <c r="C210" s="168"/>
      <c r="D210" s="134" t="str">
        <f>'Costs - HWSW'!C138</f>
        <v>End-User Training</v>
      </c>
      <c r="E210" s="123">
        <f>'Costs - HWSW'!D138</f>
        <v>313.86761206768205</v>
      </c>
      <c r="F210" s="123">
        <f>'Costs - HWSW'!F138</f>
        <v>15.693380603384103</v>
      </c>
      <c r="G210" s="123">
        <f>E210+F210*Duration</f>
        <v>392.33451508460257</v>
      </c>
      <c r="H210" s="123">
        <f t="shared" si="31"/>
        <v>1255.4704482707282</v>
      </c>
      <c r="I210" s="123">
        <f t="shared" si="31"/>
        <v>62.773522413536412</v>
      </c>
      <c r="J210" s="123">
        <f>H210+I210*Duration</f>
        <v>1569.3380603384103</v>
      </c>
      <c r="K210" s="91"/>
      <c r="L210" s="486"/>
    </row>
    <row r="211" spans="1:12" ht="13.8" thickBot="1">
      <c r="A211" s="62"/>
      <c r="B211" s="485"/>
      <c r="C211" s="168"/>
      <c r="D211" s="134" t="str">
        <f>'Costs - HWSW'!C139</f>
        <v>End-User Labor</v>
      </c>
      <c r="E211" s="123">
        <f>'Costs - HWSW'!D139</f>
        <v>24.858092011779199</v>
      </c>
      <c r="F211" s="123">
        <f>'Costs - HWSW'!F139</f>
        <v>0</v>
      </c>
      <c r="G211" s="123">
        <f>E211+F211*Duration</f>
        <v>24.858092011779199</v>
      </c>
      <c r="H211" s="123">
        <f t="shared" si="31"/>
        <v>99.432368047116796</v>
      </c>
      <c r="I211" s="123">
        <f t="shared" si="31"/>
        <v>0</v>
      </c>
      <c r="J211" s="123">
        <f>H211+I211*Duration</f>
        <v>99.432368047116796</v>
      </c>
      <c r="K211" s="91"/>
      <c r="L211" s="486"/>
    </row>
    <row r="212" spans="1:12" ht="13.8" thickTop="1">
      <c r="A212" s="62"/>
      <c r="B212" s="485"/>
      <c r="C212" s="168"/>
      <c r="D212" s="124" t="s">
        <v>0</v>
      </c>
      <c r="E212" s="125">
        <f t="shared" ref="E212:J212" si="32">SUM(E209:E211)</f>
        <v>353.92455627917241</v>
      </c>
      <c r="F212" s="125">
        <f t="shared" si="32"/>
        <v>17.213265823355215</v>
      </c>
      <c r="G212" s="125">
        <f t="shared" si="32"/>
        <v>439.99088539594845</v>
      </c>
      <c r="H212" s="125">
        <f t="shared" si="32"/>
        <v>1415.6982251166896</v>
      </c>
      <c r="I212" s="125">
        <f t="shared" si="32"/>
        <v>68.85306329342086</v>
      </c>
      <c r="J212" s="125">
        <f t="shared" si="32"/>
        <v>1759.9635415837938</v>
      </c>
      <c r="K212" s="91"/>
      <c r="L212" s="486"/>
    </row>
    <row r="213" spans="1:12" ht="13.8" thickBot="1">
      <c r="A213" s="92"/>
      <c r="B213" s="485"/>
      <c r="C213" s="91"/>
      <c r="D213" s="91"/>
      <c r="E213" s="156"/>
      <c r="F213" s="156"/>
      <c r="G213" s="156"/>
      <c r="H213" s="156"/>
      <c r="I213" s="156"/>
      <c r="J213" s="156"/>
      <c r="K213" s="91"/>
      <c r="L213" s="486"/>
    </row>
    <row r="214" spans="1:12" ht="13.8" thickTop="1">
      <c r="A214" s="62"/>
      <c r="B214" s="485"/>
      <c r="C214" s="168"/>
      <c r="D214" s="135" t="s">
        <v>282</v>
      </c>
      <c r="E214" s="125">
        <f t="shared" ref="E214:J214" ca="1" si="33">SUM(E197,E201,E207,E212)</f>
        <v>1195.5490681672541</v>
      </c>
      <c r="F214" s="125">
        <f t="shared" ca="1" si="33"/>
        <v>148.20529791293126</v>
      </c>
      <c r="G214" s="125">
        <f t="shared" ca="1" si="33"/>
        <v>1936.5755577319103</v>
      </c>
      <c r="H214" s="125">
        <f t="shared" ca="1" si="33"/>
        <v>4782.1962726690163</v>
      </c>
      <c r="I214" s="125">
        <f t="shared" ca="1" si="33"/>
        <v>592.82119165172503</v>
      </c>
      <c r="J214" s="125">
        <f t="shared" ca="1" si="33"/>
        <v>7746.3022309276412</v>
      </c>
      <c r="K214" s="91"/>
      <c r="L214" s="486"/>
    </row>
    <row r="215" spans="1:12">
      <c r="A215" s="92"/>
      <c r="B215" s="485"/>
      <c r="C215" s="91"/>
      <c r="D215" s="91"/>
      <c r="E215" s="156"/>
      <c r="F215" s="156"/>
      <c r="G215" s="156"/>
      <c r="H215" s="156"/>
      <c r="I215" s="156"/>
      <c r="J215" s="156"/>
      <c r="K215" s="91"/>
      <c r="L215" s="486"/>
    </row>
    <row r="216" spans="1:12" s="103" customFormat="1">
      <c r="B216" s="485"/>
      <c r="C216" s="91"/>
      <c r="D216" s="91"/>
      <c r="E216" s="156"/>
      <c r="F216" s="156"/>
      <c r="G216" s="156"/>
      <c r="H216" s="156"/>
      <c r="I216" s="156"/>
      <c r="J216" s="156"/>
      <c r="K216" s="91"/>
      <c r="L216" s="486"/>
    </row>
    <row r="217" spans="1:12" s="103" customFormat="1">
      <c r="B217" s="485"/>
      <c r="C217" s="91"/>
      <c r="D217" s="91"/>
      <c r="E217" s="156"/>
      <c r="F217" s="156"/>
      <c r="G217" s="156"/>
      <c r="H217" s="156"/>
      <c r="I217" s="156"/>
      <c r="J217" s="156"/>
      <c r="K217" s="91"/>
      <c r="L217" s="486"/>
    </row>
    <row r="218" spans="1:12" s="103" customFormat="1">
      <c r="B218" s="485"/>
      <c r="C218" s="91"/>
      <c r="D218" s="91"/>
      <c r="E218" s="156"/>
      <c r="F218" s="156"/>
      <c r="G218" s="156"/>
      <c r="H218" s="156"/>
      <c r="I218" s="156"/>
      <c r="J218" s="156"/>
      <c r="K218" s="91"/>
      <c r="L218" s="486"/>
    </row>
    <row r="219" spans="1:12" s="103" customFormat="1">
      <c r="B219" s="485"/>
      <c r="C219" s="91"/>
      <c r="D219" s="91"/>
      <c r="E219" s="156"/>
      <c r="F219" s="156"/>
      <c r="G219" s="156"/>
      <c r="H219" s="156"/>
      <c r="I219" s="156"/>
      <c r="J219" s="156"/>
      <c r="K219" s="91"/>
      <c r="L219" s="486"/>
    </row>
    <row r="220" spans="1:12" s="103" customFormat="1">
      <c r="B220" s="485"/>
      <c r="C220" s="91"/>
      <c r="D220" s="91"/>
      <c r="E220" s="156"/>
      <c r="F220" s="156"/>
      <c r="G220" s="156"/>
      <c r="H220" s="156"/>
      <c r="I220" s="156"/>
      <c r="J220" s="156"/>
      <c r="K220" s="91"/>
      <c r="L220" s="486"/>
    </row>
    <row r="221" spans="1:12" s="103" customFormat="1">
      <c r="B221" s="485"/>
      <c r="C221" s="91"/>
      <c r="D221" s="91"/>
      <c r="E221" s="156"/>
      <c r="F221" s="156"/>
      <c r="G221" s="156"/>
      <c r="H221" s="156"/>
      <c r="I221" s="156"/>
      <c r="J221" s="156"/>
      <c r="K221" s="91"/>
      <c r="L221" s="486"/>
    </row>
    <row r="222" spans="1:12" s="103" customFormat="1">
      <c r="B222" s="485"/>
      <c r="C222" s="91"/>
      <c r="D222" s="91"/>
      <c r="E222" s="156"/>
      <c r="F222" s="156"/>
      <c r="G222" s="156"/>
      <c r="H222" s="156"/>
      <c r="I222" s="156"/>
      <c r="J222" s="156"/>
      <c r="K222" s="91"/>
      <c r="L222" s="486"/>
    </row>
    <row r="223" spans="1:12" s="103" customFormat="1">
      <c r="B223" s="485"/>
      <c r="C223" s="91"/>
      <c r="D223" s="91"/>
      <c r="E223" s="156"/>
      <c r="F223" s="156"/>
      <c r="G223" s="156"/>
      <c r="H223" s="156"/>
      <c r="I223" s="156"/>
      <c r="J223" s="156"/>
      <c r="K223" s="91"/>
      <c r="L223" s="486"/>
    </row>
    <row r="224" spans="1:12" s="103" customFormat="1">
      <c r="B224" s="485"/>
      <c r="C224" s="91"/>
      <c r="D224" s="91"/>
      <c r="E224" s="156"/>
      <c r="F224" s="156"/>
      <c r="G224" s="156"/>
      <c r="H224" s="156"/>
      <c r="I224" s="156"/>
      <c r="J224" s="156"/>
      <c r="K224" s="91"/>
      <c r="L224" s="486"/>
    </row>
    <row r="225" spans="1:12" s="103" customFormat="1">
      <c r="B225" s="485"/>
      <c r="C225" s="91"/>
      <c r="D225" s="91"/>
      <c r="E225" s="156"/>
      <c r="F225" s="156"/>
      <c r="G225" s="156"/>
      <c r="H225" s="156"/>
      <c r="I225" s="156"/>
      <c r="J225" s="156"/>
      <c r="K225" s="91"/>
      <c r="L225" s="486"/>
    </row>
    <row r="226" spans="1:12" s="103" customFormat="1">
      <c r="B226" s="485"/>
      <c r="C226" s="91"/>
      <c r="D226" s="91"/>
      <c r="E226" s="156"/>
      <c r="F226" s="156"/>
      <c r="G226" s="156"/>
      <c r="H226" s="156"/>
      <c r="I226" s="156"/>
      <c r="J226" s="156"/>
      <c r="K226" s="91"/>
      <c r="L226" s="486"/>
    </row>
    <row r="227" spans="1:12" s="103" customFormat="1">
      <c r="B227" s="485"/>
      <c r="C227" s="91"/>
      <c r="D227" s="91"/>
      <c r="E227" s="156"/>
      <c r="F227" s="156"/>
      <c r="G227" s="156"/>
      <c r="H227" s="156"/>
      <c r="I227" s="156"/>
      <c r="J227" s="156"/>
      <c r="K227" s="91"/>
      <c r="L227" s="486"/>
    </row>
    <row r="228" spans="1:12" s="103" customFormat="1">
      <c r="B228" s="485"/>
      <c r="C228" s="91"/>
      <c r="D228" s="91"/>
      <c r="E228" s="156"/>
      <c r="F228" s="156"/>
      <c r="G228" s="156"/>
      <c r="H228" s="156"/>
      <c r="I228" s="156"/>
      <c r="J228" s="156"/>
      <c r="K228" s="91"/>
      <c r="L228" s="486"/>
    </row>
    <row r="229" spans="1:12" s="103" customFormat="1">
      <c r="B229" s="485"/>
      <c r="C229" s="91"/>
      <c r="D229" s="91"/>
      <c r="E229" s="156"/>
      <c r="F229" s="156"/>
      <c r="G229" s="156"/>
      <c r="H229" s="156"/>
      <c r="I229" s="156"/>
      <c r="J229" s="156"/>
      <c r="K229" s="91"/>
      <c r="L229" s="486"/>
    </row>
    <row r="230" spans="1:12" s="103" customFormat="1">
      <c r="B230" s="485"/>
      <c r="C230" s="91"/>
      <c r="D230" s="91"/>
      <c r="E230" s="156"/>
      <c r="F230" s="156"/>
      <c r="G230" s="156"/>
      <c r="H230" s="156"/>
      <c r="I230" s="156"/>
      <c r="J230" s="156"/>
      <c r="K230" s="91"/>
      <c r="L230" s="486"/>
    </row>
    <row r="231" spans="1:12" s="103" customFormat="1">
      <c r="B231" s="485"/>
      <c r="C231" s="91"/>
      <c r="D231" s="91"/>
      <c r="E231" s="156"/>
      <c r="F231" s="156"/>
      <c r="G231" s="156"/>
      <c r="H231" s="156"/>
      <c r="I231" s="156"/>
      <c r="J231" s="156"/>
      <c r="K231" s="91"/>
      <c r="L231" s="486"/>
    </row>
    <row r="232" spans="1:12" s="103" customFormat="1">
      <c r="B232" s="485"/>
      <c r="C232" s="91"/>
      <c r="D232" s="91"/>
      <c r="E232" s="156"/>
      <c r="F232" s="156"/>
      <c r="G232" s="156"/>
      <c r="H232" s="156"/>
      <c r="I232" s="156"/>
      <c r="J232" s="156"/>
      <c r="K232" s="91"/>
      <c r="L232" s="486"/>
    </row>
    <row r="233" spans="1:12" s="103" customFormat="1">
      <c r="B233" s="485"/>
      <c r="C233" s="91"/>
      <c r="D233" s="91"/>
      <c r="E233" s="156"/>
      <c r="F233" s="156"/>
      <c r="G233" s="156"/>
      <c r="H233" s="156"/>
      <c r="I233" s="156"/>
      <c r="J233" s="156"/>
      <c r="K233" s="91"/>
      <c r="L233" s="486"/>
    </row>
    <row r="234" spans="1:12" s="103" customFormat="1">
      <c r="B234" s="485"/>
      <c r="C234" s="91"/>
      <c r="D234" s="91"/>
      <c r="E234" s="156"/>
      <c r="F234" s="156"/>
      <c r="G234" s="156"/>
      <c r="H234" s="156"/>
      <c r="I234" s="156"/>
      <c r="J234" s="156"/>
      <c r="K234" s="91"/>
      <c r="L234" s="486"/>
    </row>
    <row r="235" spans="1:12" s="103" customFormat="1">
      <c r="B235" s="485"/>
      <c r="C235" s="91"/>
      <c r="D235" s="91"/>
      <c r="E235" s="156"/>
      <c r="F235" s="156"/>
      <c r="G235" s="156"/>
      <c r="H235" s="156"/>
      <c r="I235" s="156"/>
      <c r="J235" s="156"/>
      <c r="K235" s="91"/>
      <c r="L235" s="486"/>
    </row>
    <row r="236" spans="1:12" s="103" customFormat="1">
      <c r="B236" s="485"/>
      <c r="C236" s="91"/>
      <c r="D236" s="91"/>
      <c r="E236" s="156"/>
      <c r="F236" s="156"/>
      <c r="G236" s="156"/>
      <c r="H236" s="156"/>
      <c r="I236" s="156"/>
      <c r="J236" s="156"/>
      <c r="K236" s="91"/>
      <c r="L236" s="486"/>
    </row>
    <row r="237" spans="1:12" s="103" customFormat="1">
      <c r="B237" s="485"/>
      <c r="C237" s="91"/>
      <c r="D237" s="91"/>
      <c r="E237" s="156"/>
      <c r="F237" s="156"/>
      <c r="G237" s="156"/>
      <c r="H237" s="156"/>
      <c r="I237" s="156"/>
      <c r="J237" s="156"/>
      <c r="K237" s="91"/>
      <c r="L237" s="486"/>
    </row>
    <row r="238" spans="1:12" s="103" customFormat="1">
      <c r="B238" s="488"/>
      <c r="C238" s="489"/>
      <c r="D238" s="489"/>
      <c r="E238" s="514"/>
      <c r="F238" s="514"/>
      <c r="G238" s="514"/>
      <c r="H238" s="514"/>
      <c r="I238" s="514"/>
      <c r="J238" s="514"/>
      <c r="K238" s="489"/>
      <c r="L238" s="491"/>
    </row>
    <row r="239" spans="1:12" s="103" customFormat="1">
      <c r="E239" s="76"/>
      <c r="F239" s="76"/>
      <c r="G239" s="76"/>
      <c r="H239" s="76"/>
      <c r="I239" s="76"/>
      <c r="J239" s="76"/>
    </row>
    <row r="240" spans="1:12" ht="21">
      <c r="A240" s="88" t="s">
        <v>321</v>
      </c>
      <c r="B240" s="82"/>
      <c r="C240" s="62"/>
      <c r="D240" s="89"/>
      <c r="E240" s="99"/>
      <c r="F240" s="99"/>
      <c r="G240" s="99"/>
      <c r="H240" s="99"/>
      <c r="I240" s="99"/>
      <c r="J240" s="99"/>
    </row>
    <row r="241" spans="1:12" s="103" customFormat="1" ht="24.75" customHeight="1">
      <c r="B241" s="484"/>
      <c r="C241" s="574" t="s">
        <v>1150</v>
      </c>
      <c r="D241" s="574"/>
      <c r="E241" s="574"/>
      <c r="F241" s="574"/>
      <c r="G241" s="574"/>
      <c r="H241" s="574"/>
      <c r="I241" s="574"/>
      <c r="J241" s="574"/>
      <c r="K241" s="574"/>
      <c r="L241" s="575"/>
    </row>
    <row r="242" spans="1:12" ht="15">
      <c r="A242" s="62"/>
      <c r="B242" s="505" t="s">
        <v>209</v>
      </c>
      <c r="C242" s="165"/>
      <c r="D242" s="91"/>
      <c r="E242" s="156"/>
      <c r="F242" s="156"/>
      <c r="G242" s="156"/>
      <c r="H242" s="156"/>
      <c r="I242" s="156"/>
      <c r="J242" s="156"/>
      <c r="K242" s="91"/>
      <c r="L242" s="486"/>
    </row>
    <row r="243" spans="1:12" s="103" customFormat="1" ht="12.75" customHeight="1">
      <c r="B243" s="485"/>
      <c r="C243" s="91"/>
      <c r="D243" s="91"/>
      <c r="E243" s="556" t="str">
        <f>$E$132</f>
        <v>Benefits ($ per PC)</v>
      </c>
      <c r="F243" s="556"/>
      <c r="G243" s="556"/>
      <c r="H243" s="556" t="str">
        <f>$H$132</f>
        <v>Benefits ($000)</v>
      </c>
      <c r="I243" s="556"/>
      <c r="J243" s="556"/>
      <c r="K243" s="91"/>
      <c r="L243" s="486"/>
    </row>
    <row r="244" spans="1:12" s="103" customFormat="1" ht="26.4">
      <c r="B244" s="485"/>
      <c r="C244" s="91"/>
      <c r="D244" s="91"/>
      <c r="E244" s="482" t="str">
        <f>$E$133</f>
        <v>One-Time</v>
      </c>
      <c r="F244" s="482" t="str">
        <f>$F$133</f>
        <v>Annual On-Going</v>
      </c>
      <c r="G244" s="482" t="str">
        <f>$G$133</f>
        <v>5-Year Total</v>
      </c>
      <c r="H244" s="482" t="str">
        <f>$H$133</f>
        <v>One-Time</v>
      </c>
      <c r="I244" s="482" t="str">
        <f>$I$133</f>
        <v>Annual On-Going</v>
      </c>
      <c r="J244" s="482" t="str">
        <f>$J$133</f>
        <v>5-Year Total</v>
      </c>
      <c r="K244" s="91"/>
      <c r="L244" s="486"/>
    </row>
    <row r="245" spans="1:12">
      <c r="A245" s="62"/>
      <c r="B245" s="485"/>
      <c r="C245" s="91"/>
      <c r="D245" s="122" t="str">
        <f>'IT Labor'!C26</f>
        <v>Report creation</v>
      </c>
      <c r="E245" s="123">
        <v>0</v>
      </c>
      <c r="F245" s="123">
        <f ca="1">'IT Labor'!G26</f>
        <v>13.584656139353662</v>
      </c>
      <c r="G245" s="123">
        <f t="shared" ref="G245:G251" ca="1" si="34">E245+F245*Duration</f>
        <v>67.923280696768302</v>
      </c>
      <c r="H245" s="123">
        <f t="shared" ref="H245:I251" si="35">E245*BIs/1000</f>
        <v>0</v>
      </c>
      <c r="I245" s="123">
        <f t="shared" ca="1" si="35"/>
        <v>54.338624557414647</v>
      </c>
      <c r="J245" s="123">
        <f t="shared" ref="J245:J251" ca="1" si="36">H245+I245*Duration</f>
        <v>271.69312278707321</v>
      </c>
      <c r="K245" s="91"/>
      <c r="L245" s="486"/>
    </row>
    <row r="246" spans="1:12">
      <c r="A246" s="62"/>
      <c r="B246" s="485"/>
      <c r="C246" s="91"/>
      <c r="D246" s="122" t="str">
        <f>'IT Labor'!C27</f>
        <v>Database administration</v>
      </c>
      <c r="E246" s="123">
        <v>0</v>
      </c>
      <c r="F246" s="123">
        <f ca="1">'IT Labor'!G27</f>
        <v>2.79055725200989</v>
      </c>
      <c r="G246" s="123">
        <f t="shared" ca="1" si="34"/>
        <v>13.95278626004945</v>
      </c>
      <c r="H246" s="123">
        <f t="shared" si="35"/>
        <v>0</v>
      </c>
      <c r="I246" s="123">
        <f t="shared" ca="1" si="35"/>
        <v>11.16222900803956</v>
      </c>
      <c r="J246" s="123">
        <f t="shared" ca="1" si="36"/>
        <v>55.8111450401978</v>
      </c>
      <c r="K246" s="91"/>
      <c r="L246" s="486"/>
    </row>
    <row r="247" spans="1:12">
      <c r="A247" s="62"/>
      <c r="B247" s="485"/>
      <c r="C247" s="91"/>
      <c r="D247" s="122" t="str">
        <f>'IT Labor'!C28</f>
        <v>Data management</v>
      </c>
      <c r="E247" s="123">
        <v>0</v>
      </c>
      <c r="F247" s="123">
        <f ca="1">'IT Labor'!G28</f>
        <v>2.0770438304118386</v>
      </c>
      <c r="G247" s="123">
        <f t="shared" ca="1" si="34"/>
        <v>10.385219152059193</v>
      </c>
      <c r="H247" s="123">
        <f t="shared" si="35"/>
        <v>0</v>
      </c>
      <c r="I247" s="123">
        <f t="shared" ca="1" si="35"/>
        <v>8.3081753216473562</v>
      </c>
      <c r="J247" s="123">
        <f t="shared" ca="1" si="36"/>
        <v>41.540876608236779</v>
      </c>
      <c r="K247" s="91"/>
      <c r="L247" s="486"/>
    </row>
    <row r="248" spans="1:12">
      <c r="A248" s="62"/>
      <c r="B248" s="485"/>
      <c r="C248" s="91"/>
      <c r="D248" s="122" t="str">
        <f>'IT Labor'!C29</f>
        <v>Integration</v>
      </c>
      <c r="E248" s="123">
        <v>0</v>
      </c>
      <c r="F248" s="123">
        <f ca="1">'IT Labor'!G29</f>
        <v>2.512608508112983</v>
      </c>
      <c r="G248" s="123">
        <f t="shared" ca="1" si="34"/>
        <v>12.563042540564915</v>
      </c>
      <c r="H248" s="123">
        <f t="shared" si="35"/>
        <v>0</v>
      </c>
      <c r="I248" s="123">
        <f t="shared" ca="1" si="35"/>
        <v>10.050434032451932</v>
      </c>
      <c r="J248" s="123">
        <f t="shared" ca="1" si="36"/>
        <v>50.252170162259659</v>
      </c>
      <c r="K248" s="91"/>
      <c r="L248" s="486"/>
    </row>
    <row r="249" spans="1:12" s="343" customFormat="1">
      <c r="B249" s="485"/>
      <c r="C249" s="91"/>
      <c r="D249" s="122" t="str">
        <f>'IT Labor'!C30</f>
        <v>Application development</v>
      </c>
      <c r="E249" s="123">
        <v>0</v>
      </c>
      <c r="F249" s="123">
        <f ca="1">'IT Labor'!G30</f>
        <v>5.8865337057275795</v>
      </c>
      <c r="G249" s="123">
        <f t="shared" ca="1" si="34"/>
        <v>29.432668528637898</v>
      </c>
      <c r="H249" s="123">
        <f t="shared" si="35"/>
        <v>0</v>
      </c>
      <c r="I249" s="123">
        <f t="shared" ca="1" si="35"/>
        <v>23.546134822910318</v>
      </c>
      <c r="J249" s="123">
        <f t="shared" ca="1" si="36"/>
        <v>117.73067411455159</v>
      </c>
      <c r="K249" s="91"/>
      <c r="L249" s="486"/>
    </row>
    <row r="250" spans="1:12" s="343" customFormat="1">
      <c r="B250" s="485"/>
      <c r="C250" s="91"/>
      <c r="D250" s="122" t="str">
        <f>'IT Labor'!C31</f>
        <v>Administration</v>
      </c>
      <c r="E250" s="123">
        <v>0</v>
      </c>
      <c r="F250" s="123">
        <f ca="1">'IT Labor'!G31</f>
        <v>1.0201116183399606</v>
      </c>
      <c r="G250" s="123">
        <f t="shared" ca="1" si="34"/>
        <v>5.1005580916998028</v>
      </c>
      <c r="H250" s="123">
        <f t="shared" si="35"/>
        <v>0</v>
      </c>
      <c r="I250" s="123">
        <f t="shared" ca="1" si="35"/>
        <v>4.0804464733598422</v>
      </c>
      <c r="J250" s="123">
        <f t="shared" ca="1" si="36"/>
        <v>20.402232366799211</v>
      </c>
      <c r="K250" s="91"/>
      <c r="L250" s="486"/>
    </row>
    <row r="251" spans="1:12" ht="13.8" thickBot="1">
      <c r="A251" s="62"/>
      <c r="B251" s="485"/>
      <c r="C251" s="91"/>
      <c r="D251" s="122" t="str">
        <f>'IT Labor'!C32</f>
        <v>Other</v>
      </c>
      <c r="E251" s="123">
        <v>0</v>
      </c>
      <c r="F251" s="123">
        <f ca="1">'IT Labor'!G32</f>
        <v>0</v>
      </c>
      <c r="G251" s="123">
        <f t="shared" ca="1" si="34"/>
        <v>0</v>
      </c>
      <c r="H251" s="123">
        <f t="shared" si="35"/>
        <v>0</v>
      </c>
      <c r="I251" s="123">
        <f t="shared" ca="1" si="35"/>
        <v>0</v>
      </c>
      <c r="J251" s="123">
        <f t="shared" ca="1" si="36"/>
        <v>0</v>
      </c>
      <c r="K251" s="91"/>
      <c r="L251" s="486"/>
    </row>
    <row r="252" spans="1:12" ht="13.8" thickTop="1">
      <c r="A252" s="92"/>
      <c r="B252" s="485"/>
      <c r="C252" s="91"/>
      <c r="D252" s="124" t="str">
        <f>'IT Labor'!C33</f>
        <v>Total</v>
      </c>
      <c r="E252" s="125">
        <f t="shared" ref="E252:J252" si="37">SUM(E245:E251)</f>
        <v>0</v>
      </c>
      <c r="F252" s="125">
        <f t="shared" ca="1" si="37"/>
        <v>27.871511053955913</v>
      </c>
      <c r="G252" s="125">
        <f t="shared" ca="1" si="37"/>
        <v>139.35755526977957</v>
      </c>
      <c r="H252" s="125">
        <f t="shared" si="37"/>
        <v>0</v>
      </c>
      <c r="I252" s="125">
        <f t="shared" ca="1" si="37"/>
        <v>111.48604421582365</v>
      </c>
      <c r="J252" s="125">
        <f t="shared" ca="1" si="37"/>
        <v>557.43022107911827</v>
      </c>
      <c r="K252" s="91"/>
      <c r="L252" s="486"/>
    </row>
    <row r="253" spans="1:12" s="103" customFormat="1">
      <c r="B253" s="485"/>
      <c r="C253" s="91"/>
      <c r="D253" s="91"/>
      <c r="E253" s="91"/>
      <c r="F253" s="91"/>
      <c r="G253" s="91"/>
      <c r="H253" s="91"/>
      <c r="I253" s="91"/>
      <c r="J253" s="91"/>
      <c r="K253" s="91"/>
      <c r="L253" s="486"/>
    </row>
    <row r="254" spans="1:12" s="103" customFormat="1">
      <c r="B254" s="485"/>
      <c r="C254" s="91"/>
      <c r="D254" s="91"/>
      <c r="E254" s="91"/>
      <c r="F254" s="91"/>
      <c r="G254" s="91"/>
      <c r="H254" s="91"/>
      <c r="I254" s="91"/>
      <c r="J254" s="91"/>
      <c r="K254" s="91"/>
      <c r="L254" s="486"/>
    </row>
    <row r="255" spans="1:12" s="103" customFormat="1">
      <c r="B255" s="485"/>
      <c r="C255" s="91"/>
      <c r="D255" s="91"/>
      <c r="E255" s="91"/>
      <c r="F255" s="91"/>
      <c r="G255" s="91"/>
      <c r="H255" s="91"/>
      <c r="I255" s="91"/>
      <c r="J255" s="91"/>
      <c r="K255" s="91"/>
      <c r="L255" s="486"/>
    </row>
    <row r="256" spans="1:12" s="103" customFormat="1">
      <c r="B256" s="485"/>
      <c r="C256" s="91"/>
      <c r="D256" s="91"/>
      <c r="E256" s="91"/>
      <c r="F256" s="91"/>
      <c r="G256" s="91"/>
      <c r="H256" s="91"/>
      <c r="I256" s="91"/>
      <c r="J256" s="91"/>
      <c r="K256" s="91"/>
      <c r="L256" s="486"/>
    </row>
    <row r="257" spans="2:12" s="103" customFormat="1">
      <c r="B257" s="485"/>
      <c r="C257" s="91"/>
      <c r="D257" s="91"/>
      <c r="E257" s="91"/>
      <c r="F257" s="91"/>
      <c r="G257" s="91"/>
      <c r="H257" s="91"/>
      <c r="I257" s="91"/>
      <c r="J257" s="91"/>
      <c r="K257" s="91"/>
      <c r="L257" s="486"/>
    </row>
    <row r="258" spans="2:12" s="103" customFormat="1">
      <c r="B258" s="485"/>
      <c r="C258" s="91"/>
      <c r="D258" s="91"/>
      <c r="E258" s="91"/>
      <c r="F258" s="91"/>
      <c r="G258" s="91"/>
      <c r="H258" s="91"/>
      <c r="I258" s="91"/>
      <c r="J258" s="91"/>
      <c r="K258" s="91"/>
      <c r="L258" s="486"/>
    </row>
    <row r="259" spans="2:12" s="103" customFormat="1">
      <c r="B259" s="485"/>
      <c r="C259" s="91"/>
      <c r="D259" s="91"/>
      <c r="E259" s="91"/>
      <c r="F259" s="91"/>
      <c r="G259" s="91"/>
      <c r="H259" s="91"/>
      <c r="I259" s="91"/>
      <c r="J259" s="91"/>
      <c r="K259" s="91"/>
      <c r="L259" s="486"/>
    </row>
    <row r="260" spans="2:12" s="103" customFormat="1">
      <c r="B260" s="485"/>
      <c r="C260" s="91"/>
      <c r="D260" s="91"/>
      <c r="E260" s="91"/>
      <c r="F260" s="91"/>
      <c r="G260" s="91"/>
      <c r="H260" s="91"/>
      <c r="I260" s="91"/>
      <c r="J260" s="91"/>
      <c r="K260" s="91"/>
      <c r="L260" s="486"/>
    </row>
    <row r="261" spans="2:12" s="103" customFormat="1">
      <c r="B261" s="485"/>
      <c r="C261" s="91"/>
      <c r="D261" s="91"/>
      <c r="E261" s="91"/>
      <c r="F261" s="91"/>
      <c r="G261" s="91"/>
      <c r="H261" s="91"/>
      <c r="I261" s="91"/>
      <c r="J261" s="91"/>
      <c r="K261" s="91"/>
      <c r="L261" s="486"/>
    </row>
    <row r="262" spans="2:12" s="103" customFormat="1">
      <c r="B262" s="485"/>
      <c r="C262" s="91"/>
      <c r="D262" s="91"/>
      <c r="E262" s="91"/>
      <c r="F262" s="91"/>
      <c r="G262" s="91"/>
      <c r="H262" s="91"/>
      <c r="I262" s="91"/>
      <c r="J262" s="91"/>
      <c r="K262" s="91"/>
      <c r="L262" s="486"/>
    </row>
    <row r="263" spans="2:12" s="103" customFormat="1">
      <c r="B263" s="485"/>
      <c r="C263" s="91"/>
      <c r="D263" s="91"/>
      <c r="E263" s="91"/>
      <c r="F263" s="91"/>
      <c r="G263" s="91"/>
      <c r="H263" s="91"/>
      <c r="I263" s="91"/>
      <c r="J263" s="91"/>
      <c r="K263" s="91"/>
      <c r="L263" s="486"/>
    </row>
    <row r="264" spans="2:12" s="103" customFormat="1">
      <c r="B264" s="485"/>
      <c r="C264" s="91"/>
      <c r="D264" s="91"/>
      <c r="E264" s="91"/>
      <c r="F264" s="91"/>
      <c r="G264" s="91"/>
      <c r="H264" s="91"/>
      <c r="I264" s="91"/>
      <c r="J264" s="91"/>
      <c r="K264" s="91"/>
      <c r="L264" s="486"/>
    </row>
    <row r="265" spans="2:12" s="103" customFormat="1">
      <c r="B265" s="485"/>
      <c r="C265" s="91"/>
      <c r="D265" s="91"/>
      <c r="E265" s="91"/>
      <c r="F265" s="91"/>
      <c r="G265" s="91"/>
      <c r="H265" s="91"/>
      <c r="I265" s="91"/>
      <c r="J265" s="91"/>
      <c r="K265" s="91"/>
      <c r="L265" s="486"/>
    </row>
    <row r="266" spans="2:12" s="103" customFormat="1">
      <c r="B266" s="485"/>
      <c r="C266" s="91"/>
      <c r="D266" s="91"/>
      <c r="E266" s="91"/>
      <c r="F266" s="91"/>
      <c r="G266" s="91"/>
      <c r="H266" s="91"/>
      <c r="I266" s="91"/>
      <c r="J266" s="91"/>
      <c r="K266" s="91"/>
      <c r="L266" s="486"/>
    </row>
    <row r="267" spans="2:12" s="103" customFormat="1">
      <c r="B267" s="485"/>
      <c r="C267" s="91"/>
      <c r="D267" s="91"/>
      <c r="E267" s="91"/>
      <c r="F267" s="91"/>
      <c r="G267" s="91"/>
      <c r="H267" s="91"/>
      <c r="I267" s="91"/>
      <c r="J267" s="91"/>
      <c r="K267" s="91"/>
      <c r="L267" s="486"/>
    </row>
    <row r="268" spans="2:12" s="103" customFormat="1">
      <c r="B268" s="485"/>
      <c r="C268" s="91"/>
      <c r="D268" s="91"/>
      <c r="E268" s="91"/>
      <c r="F268" s="91"/>
      <c r="G268" s="91"/>
      <c r="H268" s="91"/>
      <c r="I268" s="91"/>
      <c r="J268" s="91"/>
      <c r="K268" s="91"/>
      <c r="L268" s="486"/>
    </row>
    <row r="269" spans="2:12" s="103" customFormat="1">
      <c r="B269" s="485"/>
      <c r="C269" s="91"/>
      <c r="D269" s="91"/>
      <c r="E269" s="91"/>
      <c r="F269" s="91"/>
      <c r="G269" s="91"/>
      <c r="H269" s="91"/>
      <c r="I269" s="91"/>
      <c r="J269" s="91"/>
      <c r="K269" s="91"/>
      <c r="L269" s="486"/>
    </row>
    <row r="270" spans="2:12" s="103" customFormat="1">
      <c r="B270" s="485"/>
      <c r="C270" s="91"/>
      <c r="D270" s="91"/>
      <c r="E270" s="91"/>
      <c r="F270" s="91"/>
      <c r="G270" s="91"/>
      <c r="H270" s="91"/>
      <c r="I270" s="91"/>
      <c r="J270" s="91"/>
      <c r="K270" s="91"/>
      <c r="L270" s="486"/>
    </row>
    <row r="271" spans="2:12" s="103" customFormat="1">
      <c r="B271" s="485"/>
      <c r="C271" s="91"/>
      <c r="D271" s="91"/>
      <c r="E271" s="91"/>
      <c r="F271" s="91"/>
      <c r="G271" s="91"/>
      <c r="H271" s="91"/>
      <c r="I271" s="91"/>
      <c r="J271" s="91"/>
      <c r="K271" s="91"/>
      <c r="L271" s="486"/>
    </row>
    <row r="272" spans="2:12" s="103" customFormat="1">
      <c r="B272" s="485"/>
      <c r="C272" s="91"/>
      <c r="D272" s="91"/>
      <c r="E272" s="91"/>
      <c r="F272" s="91"/>
      <c r="G272" s="91"/>
      <c r="H272" s="91"/>
      <c r="I272" s="91"/>
      <c r="J272" s="91"/>
      <c r="K272" s="91"/>
      <c r="L272" s="486"/>
    </row>
    <row r="273" spans="2:12" s="103" customFormat="1">
      <c r="B273" s="485"/>
      <c r="C273" s="91"/>
      <c r="D273" s="91"/>
      <c r="E273" s="91"/>
      <c r="F273" s="91"/>
      <c r="G273" s="91"/>
      <c r="H273" s="91"/>
      <c r="I273" s="91"/>
      <c r="J273" s="91"/>
      <c r="K273" s="91"/>
      <c r="L273" s="486"/>
    </row>
    <row r="274" spans="2:12" s="103" customFormat="1">
      <c r="B274" s="485"/>
      <c r="C274" s="91"/>
      <c r="D274" s="91"/>
      <c r="E274" s="91"/>
      <c r="F274" s="91"/>
      <c r="G274" s="91"/>
      <c r="H274" s="91"/>
      <c r="I274" s="91"/>
      <c r="J274" s="91"/>
      <c r="K274" s="91"/>
      <c r="L274" s="486"/>
    </row>
    <row r="275" spans="2:12" s="103" customFormat="1">
      <c r="B275" s="485"/>
      <c r="C275" s="91"/>
      <c r="D275" s="91"/>
      <c r="E275" s="91"/>
      <c r="F275" s="91"/>
      <c r="G275" s="91"/>
      <c r="H275" s="91"/>
      <c r="I275" s="91"/>
      <c r="J275" s="91"/>
      <c r="K275" s="91"/>
      <c r="L275" s="486"/>
    </row>
    <row r="276" spans="2:12" s="457" customFormat="1" ht="15">
      <c r="B276" s="505" t="s">
        <v>1079</v>
      </c>
      <c r="C276" s="91"/>
      <c r="D276" s="91"/>
      <c r="E276" s="91"/>
      <c r="F276" s="91"/>
      <c r="G276" s="91"/>
      <c r="H276" s="91"/>
      <c r="I276" s="91"/>
      <c r="J276" s="91"/>
      <c r="K276" s="91"/>
      <c r="L276" s="486"/>
    </row>
    <row r="277" spans="2:12" s="457" customFormat="1" ht="15">
      <c r="B277" s="505"/>
      <c r="C277" s="91"/>
      <c r="D277" s="91"/>
      <c r="E277" s="91"/>
      <c r="F277" s="91"/>
      <c r="G277" s="91"/>
      <c r="H277" s="91"/>
      <c r="I277" s="91"/>
      <c r="J277" s="91"/>
      <c r="K277" s="91"/>
      <c r="L277" s="486"/>
    </row>
    <row r="278" spans="2:12" s="457" customFormat="1" ht="15">
      <c r="B278" s="505"/>
      <c r="C278" s="91"/>
      <c r="D278" s="91"/>
      <c r="E278" s="91"/>
      <c r="F278" s="91"/>
      <c r="G278" s="91"/>
      <c r="H278" s="91"/>
      <c r="I278" s="91"/>
      <c r="J278" s="91"/>
      <c r="K278" s="91"/>
      <c r="L278" s="486"/>
    </row>
    <row r="279" spans="2:12" s="457" customFormat="1" ht="15">
      <c r="B279" s="505"/>
      <c r="C279" s="91"/>
      <c r="D279" s="91"/>
      <c r="E279" s="91"/>
      <c r="F279" s="91"/>
      <c r="G279" s="91"/>
      <c r="H279" s="91"/>
      <c r="I279" s="91"/>
      <c r="J279" s="91"/>
      <c r="K279" s="91"/>
      <c r="L279" s="486"/>
    </row>
    <row r="280" spans="2:12" s="457" customFormat="1" ht="15">
      <c r="B280" s="505"/>
      <c r="C280" s="91"/>
      <c r="D280" s="91"/>
      <c r="E280" s="91"/>
      <c r="F280" s="91"/>
      <c r="G280" s="91"/>
      <c r="H280" s="91"/>
      <c r="I280" s="91"/>
      <c r="J280" s="91"/>
      <c r="K280" s="91"/>
      <c r="L280" s="486"/>
    </row>
    <row r="281" spans="2:12" s="457" customFormat="1">
      <c r="B281" s="485"/>
      <c r="C281" s="91"/>
      <c r="D281" s="91"/>
      <c r="E281" s="91"/>
      <c r="F281" s="91"/>
      <c r="G281" s="91"/>
      <c r="H281" s="91"/>
      <c r="I281" s="91"/>
      <c r="J281" s="91"/>
      <c r="K281" s="91"/>
      <c r="L281" s="486"/>
    </row>
    <row r="282" spans="2:12" s="457" customFormat="1">
      <c r="B282" s="485"/>
      <c r="C282" s="91"/>
      <c r="D282" s="91"/>
      <c r="E282" s="91"/>
      <c r="F282" s="91"/>
      <c r="G282" s="91"/>
      <c r="H282" s="91"/>
      <c r="I282" s="91"/>
      <c r="J282" s="91"/>
      <c r="K282" s="91"/>
      <c r="L282" s="486"/>
    </row>
    <row r="283" spans="2:12" s="457" customFormat="1">
      <c r="B283" s="485"/>
      <c r="C283" s="91"/>
      <c r="D283" s="91"/>
      <c r="E283" s="91"/>
      <c r="F283" s="91"/>
      <c r="G283" s="91"/>
      <c r="H283" s="91"/>
      <c r="I283" s="91"/>
      <c r="J283" s="91"/>
      <c r="K283" s="91"/>
      <c r="L283" s="486"/>
    </row>
    <row r="284" spans="2:12" s="457" customFormat="1">
      <c r="B284" s="485"/>
      <c r="C284" s="91"/>
      <c r="D284" s="91"/>
      <c r="E284" s="91"/>
      <c r="F284" s="91"/>
      <c r="G284" s="91"/>
      <c r="H284" s="91"/>
      <c r="I284" s="91"/>
      <c r="J284" s="91"/>
      <c r="K284" s="91"/>
      <c r="L284" s="486"/>
    </row>
    <row r="285" spans="2:12" s="457" customFormat="1">
      <c r="B285" s="485"/>
      <c r="C285" s="91"/>
      <c r="D285" s="91"/>
      <c r="E285" s="91"/>
      <c r="F285" s="91"/>
      <c r="G285" s="91"/>
      <c r="H285" s="91"/>
      <c r="I285" s="91"/>
      <c r="J285" s="91"/>
      <c r="K285" s="91"/>
      <c r="L285" s="486"/>
    </row>
    <row r="286" spans="2:12" s="457" customFormat="1">
      <c r="B286" s="485"/>
      <c r="C286" s="91"/>
      <c r="D286" s="91"/>
      <c r="E286" s="91"/>
      <c r="F286" s="91"/>
      <c r="G286" s="91"/>
      <c r="H286" s="91"/>
      <c r="I286" s="91"/>
      <c r="J286" s="91"/>
      <c r="K286" s="91"/>
      <c r="L286" s="486"/>
    </row>
    <row r="287" spans="2:12" s="457" customFormat="1">
      <c r="B287" s="485"/>
      <c r="C287" s="91"/>
      <c r="D287" s="91"/>
      <c r="E287" s="91"/>
      <c r="F287" s="91"/>
      <c r="G287" s="91"/>
      <c r="H287" s="91"/>
      <c r="I287" s="91"/>
      <c r="J287" s="91"/>
      <c r="K287" s="91"/>
      <c r="L287" s="486"/>
    </row>
    <row r="288" spans="2:12" s="457" customFormat="1">
      <c r="B288" s="485"/>
      <c r="C288" s="91"/>
      <c r="D288" s="91"/>
      <c r="E288" s="91"/>
      <c r="F288" s="91"/>
      <c r="G288" s="91"/>
      <c r="H288" s="91"/>
      <c r="I288" s="91"/>
      <c r="J288" s="91"/>
      <c r="K288" s="91"/>
      <c r="L288" s="486"/>
    </row>
    <row r="289" spans="1:12" s="457" customFormat="1">
      <c r="B289" s="485"/>
      <c r="C289" s="91"/>
      <c r="D289" s="91"/>
      <c r="E289" s="91"/>
      <c r="F289" s="91"/>
      <c r="G289" s="91"/>
      <c r="H289" s="91"/>
      <c r="I289" s="91"/>
      <c r="J289" s="91"/>
      <c r="K289" s="91"/>
      <c r="L289" s="486"/>
    </row>
    <row r="290" spans="1:12" s="457" customFormat="1">
      <c r="B290" s="485"/>
      <c r="C290" s="91"/>
      <c r="D290" s="91"/>
      <c r="E290" s="91"/>
      <c r="F290" s="91"/>
      <c r="G290" s="91"/>
      <c r="H290" s="91"/>
      <c r="I290" s="91"/>
      <c r="J290" s="91"/>
      <c r="K290" s="91"/>
      <c r="L290" s="486"/>
    </row>
    <row r="291" spans="1:12" s="457" customFormat="1">
      <c r="B291" s="485"/>
      <c r="C291" s="91"/>
      <c r="D291" s="91"/>
      <c r="E291" s="91"/>
      <c r="F291" s="91"/>
      <c r="G291" s="91"/>
      <c r="H291" s="91"/>
      <c r="I291" s="91"/>
      <c r="J291" s="91"/>
      <c r="K291" s="91"/>
      <c r="L291" s="486"/>
    </row>
    <row r="292" spans="1:12" s="457" customFormat="1">
      <c r="B292" s="485"/>
      <c r="C292" s="91"/>
      <c r="D292" s="91"/>
      <c r="E292" s="91"/>
      <c r="F292" s="91"/>
      <c r="G292" s="91"/>
      <c r="H292" s="91"/>
      <c r="I292" s="91"/>
      <c r="J292" s="91"/>
      <c r="K292" s="91"/>
      <c r="L292" s="486"/>
    </row>
    <row r="293" spans="1:12" s="457" customFormat="1">
      <c r="B293" s="485"/>
      <c r="C293" s="91"/>
      <c r="D293" s="91"/>
      <c r="E293" s="91"/>
      <c r="F293" s="91"/>
      <c r="G293" s="91"/>
      <c r="H293" s="91"/>
      <c r="I293" s="91"/>
      <c r="J293" s="91"/>
      <c r="K293" s="91"/>
      <c r="L293" s="486"/>
    </row>
    <row r="294" spans="1:12" s="103" customFormat="1">
      <c r="B294" s="485"/>
      <c r="C294" s="91"/>
      <c r="D294" s="91"/>
      <c r="E294" s="91"/>
      <c r="F294" s="91"/>
      <c r="G294" s="91"/>
      <c r="H294" s="91"/>
      <c r="I294" s="91"/>
      <c r="J294" s="91"/>
      <c r="K294" s="91"/>
      <c r="L294" s="486"/>
    </row>
    <row r="295" spans="1:12" ht="15">
      <c r="A295" s="62"/>
      <c r="B295" s="505" t="s">
        <v>210</v>
      </c>
      <c r="C295" s="165"/>
      <c r="D295" s="91"/>
      <c r="E295" s="156"/>
      <c r="F295" s="156"/>
      <c r="G295" s="156"/>
      <c r="H295" s="156"/>
      <c r="I295" s="156"/>
      <c r="J295" s="156"/>
      <c r="K295" s="91"/>
      <c r="L295" s="486"/>
    </row>
    <row r="296" spans="1:12" s="103" customFormat="1" ht="12.75" customHeight="1">
      <c r="B296" s="485"/>
      <c r="C296" s="91"/>
      <c r="D296" s="91"/>
      <c r="E296" s="556" t="str">
        <f>$E$132</f>
        <v>Benefits ($ per PC)</v>
      </c>
      <c r="F296" s="556"/>
      <c r="G296" s="556"/>
      <c r="H296" s="556" t="str">
        <f>$H$132</f>
        <v>Benefits ($000)</v>
      </c>
      <c r="I296" s="556"/>
      <c r="J296" s="556"/>
      <c r="K296" s="91"/>
      <c r="L296" s="486"/>
    </row>
    <row r="297" spans="1:12" s="103" customFormat="1" ht="26.4">
      <c r="B297" s="485"/>
      <c r="C297" s="91"/>
      <c r="D297" s="91"/>
      <c r="E297" s="482" t="str">
        <f>$E$133</f>
        <v>One-Time</v>
      </c>
      <c r="F297" s="482" t="str">
        <f>$F$133</f>
        <v>Annual On-Going</v>
      </c>
      <c r="G297" s="482" t="str">
        <f>$G$133</f>
        <v>5-Year Total</v>
      </c>
      <c r="H297" s="482" t="str">
        <f>$H$133</f>
        <v>One-Time</v>
      </c>
      <c r="I297" s="482" t="str">
        <f>$I$133</f>
        <v>Annual On-Going</v>
      </c>
      <c r="J297" s="482" t="str">
        <f>$J$133</f>
        <v>5-Year Total</v>
      </c>
      <c r="K297" s="91"/>
      <c r="L297" s="486"/>
    </row>
    <row r="298" spans="1:12" ht="15">
      <c r="A298" s="62"/>
      <c r="B298" s="505"/>
      <c r="C298" s="161" t="str">
        <f>'Direct Savings'!C91</f>
        <v>IT Savings</v>
      </c>
      <c r="D298" s="91"/>
      <c r="E298" s="156"/>
      <c r="F298" s="156"/>
      <c r="G298" s="156"/>
      <c r="H298" s="156"/>
      <c r="I298" s="156"/>
      <c r="J298" s="156"/>
      <c r="K298" s="91"/>
      <c r="L298" s="486"/>
    </row>
    <row r="299" spans="1:12">
      <c r="A299" s="62"/>
      <c r="B299" s="485"/>
      <c r="C299" s="91"/>
      <c r="D299" s="122" t="str">
        <f>'Direct Savings'!D92</f>
        <v>Software - Clients</v>
      </c>
      <c r="E299" s="123">
        <f ca="1">'Direct Savings'!H92</f>
        <v>18.407037482961179</v>
      </c>
      <c r="F299" s="123">
        <f ca="1">'Direct Savings'!I92</f>
        <v>41.415834336662648</v>
      </c>
      <c r="G299" s="123">
        <f ca="1">E299+F299*Duration</f>
        <v>225.48620916627442</v>
      </c>
      <c r="H299" s="123">
        <f t="shared" ref="H299:I303" ca="1" si="38">E299*BIs/1000</f>
        <v>73.628149931844717</v>
      </c>
      <c r="I299" s="123">
        <f t="shared" ca="1" si="38"/>
        <v>165.66333734665059</v>
      </c>
      <c r="J299" s="123">
        <f ca="1">H299+I299*Duration</f>
        <v>901.94483666509768</v>
      </c>
      <c r="K299" s="91"/>
      <c r="L299" s="486"/>
    </row>
    <row r="300" spans="1:12">
      <c r="A300" s="62"/>
      <c r="B300" s="485"/>
      <c r="C300" s="91"/>
      <c r="D300" s="122" t="str">
        <f>'Direct Savings'!D93</f>
        <v>Software - Servers</v>
      </c>
      <c r="E300" s="123">
        <f ca="1">'Direct Savings'!H93</f>
        <v>21.804445991763821</v>
      </c>
      <c r="F300" s="123">
        <f ca="1">'Direct Savings'!I93</f>
        <v>9.0488450865819843</v>
      </c>
      <c r="G300" s="123">
        <f ca="1">E300+F300*Duration</f>
        <v>67.048671424673742</v>
      </c>
      <c r="H300" s="123">
        <f t="shared" ca="1" si="38"/>
        <v>87.217783967055283</v>
      </c>
      <c r="I300" s="123">
        <f t="shared" ca="1" si="38"/>
        <v>36.195380346327937</v>
      </c>
      <c r="J300" s="123">
        <f ca="1">H300+I300*Duration</f>
        <v>268.19468569869497</v>
      </c>
      <c r="K300" s="91"/>
      <c r="L300" s="486"/>
    </row>
    <row r="301" spans="1:12">
      <c r="A301" s="62"/>
      <c r="B301" s="485"/>
      <c r="C301" s="91"/>
      <c r="D301" s="122" t="str">
        <f>'Direct Savings'!D94</f>
        <v>Hardware</v>
      </c>
      <c r="E301" s="123">
        <f>'Direct Savings'!H94</f>
        <v>0</v>
      </c>
      <c r="F301" s="123">
        <f ca="1">'Direct Savings'!I94</f>
        <v>0.39374606253937494</v>
      </c>
      <c r="G301" s="123">
        <f ca="1">E301+F301*Duration</f>
        <v>1.9687303126968747</v>
      </c>
      <c r="H301" s="123">
        <f t="shared" si="38"/>
        <v>0</v>
      </c>
      <c r="I301" s="123">
        <f t="shared" ca="1" si="38"/>
        <v>1.5749842501574998</v>
      </c>
      <c r="J301" s="123">
        <f ca="1">H301+I301*Duration</f>
        <v>7.8749212507874988</v>
      </c>
      <c r="K301" s="91"/>
      <c r="L301" s="486"/>
    </row>
    <row r="302" spans="1:12">
      <c r="A302" s="62"/>
      <c r="B302" s="485"/>
      <c r="C302" s="91"/>
      <c r="D302" s="122" t="str">
        <f>'Direct Savings'!D95</f>
        <v>IT Services</v>
      </c>
      <c r="E302" s="123">
        <f>'Direct Savings'!H95</f>
        <v>0</v>
      </c>
      <c r="F302" s="123">
        <f ca="1">'Direct Savings'!I95</f>
        <v>9.0682940524691311</v>
      </c>
      <c r="G302" s="123">
        <f ca="1">E302+F302*Duration</f>
        <v>45.341470262345652</v>
      </c>
      <c r="H302" s="123">
        <f t="shared" si="38"/>
        <v>0</v>
      </c>
      <c r="I302" s="123">
        <f t="shared" ca="1" si="38"/>
        <v>36.273176209876524</v>
      </c>
      <c r="J302" s="123">
        <f ca="1">H302+I302*Duration</f>
        <v>181.36588104938261</v>
      </c>
      <c r="K302" s="91"/>
      <c r="L302" s="486"/>
    </row>
    <row r="303" spans="1:12" ht="13.8" thickBot="1">
      <c r="A303" s="62"/>
      <c r="B303" s="485"/>
      <c r="C303" s="91"/>
      <c r="D303" s="122" t="str">
        <f>'Direct Savings'!D96</f>
        <v>Other IT Costs</v>
      </c>
      <c r="E303" s="123">
        <f>'Direct Savings'!H96</f>
        <v>0</v>
      </c>
      <c r="F303" s="123">
        <f ca="1">'Direct Savings'!I96</f>
        <v>0.40499190016199715</v>
      </c>
      <c r="G303" s="123">
        <f ca="1">E303+F303*Duration</f>
        <v>2.0249595008099859</v>
      </c>
      <c r="H303" s="123">
        <f t="shared" si="38"/>
        <v>0</v>
      </c>
      <c r="I303" s="123">
        <f t="shared" ca="1" si="38"/>
        <v>1.6199676006479886</v>
      </c>
      <c r="J303" s="123">
        <f ca="1">H303+I303*Duration</f>
        <v>8.0998380032399435</v>
      </c>
      <c r="K303" s="91"/>
      <c r="L303" s="486"/>
    </row>
    <row r="304" spans="1:12" ht="13.8" thickTop="1">
      <c r="A304" s="92"/>
      <c r="B304" s="485"/>
      <c r="C304" s="91"/>
      <c r="D304" s="124" t="str">
        <f>'Direct Savings'!D97</f>
        <v>Total</v>
      </c>
      <c r="E304" s="125">
        <f t="shared" ref="E304:J304" ca="1" si="39">SUM(E299:E303)</f>
        <v>40.211483474725</v>
      </c>
      <c r="F304" s="125">
        <f t="shared" ca="1" si="39"/>
        <v>60.331711438415134</v>
      </c>
      <c r="G304" s="125">
        <f t="shared" ca="1" si="39"/>
        <v>341.87004066680066</v>
      </c>
      <c r="H304" s="125">
        <f t="shared" ca="1" si="39"/>
        <v>160.8459338989</v>
      </c>
      <c r="I304" s="125">
        <f t="shared" ca="1" si="39"/>
        <v>241.32684575366054</v>
      </c>
      <c r="J304" s="125">
        <f t="shared" ca="1" si="39"/>
        <v>1367.4801626672026</v>
      </c>
      <c r="K304" s="91"/>
      <c r="L304" s="486"/>
    </row>
    <row r="305" spans="1:12" ht="15">
      <c r="A305" s="62"/>
      <c r="B305" s="505"/>
      <c r="C305" s="161" t="str">
        <f>'Direct Savings'!C99</f>
        <v>Business Savings</v>
      </c>
      <c r="D305" s="91"/>
      <c r="E305" s="156"/>
      <c r="F305" s="156"/>
      <c r="G305" s="156"/>
      <c r="H305" s="156"/>
      <c r="I305" s="156"/>
      <c r="J305" s="156"/>
      <c r="K305" s="91"/>
      <c r="L305" s="486"/>
    </row>
    <row r="306" spans="1:12">
      <c r="A306" s="62"/>
      <c r="B306" s="485"/>
      <c r="C306" s="91"/>
      <c r="D306" s="122" t="str">
        <f>'Direct Savings'!D100</f>
        <v>Travel Expenses</v>
      </c>
      <c r="E306" s="123">
        <f>'Direct Savings'!H100</f>
        <v>0</v>
      </c>
      <c r="F306" s="123">
        <f ca="1">'Direct Savings'!I100</f>
        <v>4.1506713407277571</v>
      </c>
      <c r="G306" s="123">
        <f ca="1">E306+F306*Duration</f>
        <v>20.753356703638786</v>
      </c>
      <c r="H306" s="123">
        <f t="shared" ref="H306:I308" si="40">E306*BIs/1000</f>
        <v>0</v>
      </c>
      <c r="I306" s="123">
        <f t="shared" ca="1" si="40"/>
        <v>16.602685362911028</v>
      </c>
      <c r="J306" s="123">
        <f ca="1">H306+I306*Duration</f>
        <v>83.013426814555146</v>
      </c>
      <c r="K306" s="91"/>
      <c r="L306" s="486"/>
    </row>
    <row r="307" spans="1:12">
      <c r="A307" s="62"/>
      <c r="B307" s="485"/>
      <c r="C307" s="91"/>
      <c r="D307" s="122" t="str">
        <f>'Direct Savings'!D101</f>
        <v>External Business Services</v>
      </c>
      <c r="E307" s="123">
        <f>'Direct Savings'!H101</f>
        <v>0</v>
      </c>
      <c r="F307" s="123">
        <f ca="1">'Direct Savings'!I101</f>
        <v>12.313580383599586</v>
      </c>
      <c r="G307" s="123">
        <f ca="1">E307+F307*Duration</f>
        <v>61.567901917997929</v>
      </c>
      <c r="H307" s="123">
        <f t="shared" si="40"/>
        <v>0</v>
      </c>
      <c r="I307" s="123">
        <f t="shared" ca="1" si="40"/>
        <v>49.254321534398343</v>
      </c>
      <c r="J307" s="123">
        <f ca="1">H307+I307*Duration</f>
        <v>246.27160767199172</v>
      </c>
      <c r="K307" s="91"/>
      <c r="L307" s="486"/>
    </row>
    <row r="308" spans="1:12" ht="13.8" thickBot="1">
      <c r="A308" s="62"/>
      <c r="B308" s="485"/>
      <c r="C308" s="91"/>
      <c r="D308" s="122" t="str">
        <f>'Direct Savings'!D102</f>
        <v>Operational Costs</v>
      </c>
      <c r="E308" s="123">
        <f>'Direct Savings'!H102</f>
        <v>0</v>
      </c>
      <c r="F308" s="123">
        <f ca="1">'Direct Savings'!I102</f>
        <v>27.741627260791372</v>
      </c>
      <c r="G308" s="123">
        <f ca="1">E308+F308*Duration</f>
        <v>138.70813630395685</v>
      </c>
      <c r="H308" s="123">
        <f t="shared" si="40"/>
        <v>0</v>
      </c>
      <c r="I308" s="123">
        <f t="shared" ca="1" si="40"/>
        <v>110.96650904316549</v>
      </c>
      <c r="J308" s="123">
        <f ca="1">H308+I308*Duration</f>
        <v>554.83254521582739</v>
      </c>
      <c r="K308" s="91"/>
      <c r="L308" s="486"/>
    </row>
    <row r="309" spans="1:12" ht="13.8" thickTop="1">
      <c r="A309" s="92"/>
      <c r="B309" s="485"/>
      <c r="C309" s="91"/>
      <c r="D309" s="124" t="str">
        <f>'Direct Savings'!D103</f>
        <v>Total</v>
      </c>
      <c r="E309" s="125">
        <f t="shared" ref="E309:J309" si="41">SUM(E306:E308)</f>
        <v>0</v>
      </c>
      <c r="F309" s="125">
        <f t="shared" ca="1" si="41"/>
        <v>44.205878985118716</v>
      </c>
      <c r="G309" s="125">
        <f t="shared" ca="1" si="41"/>
        <v>221.02939492559358</v>
      </c>
      <c r="H309" s="125">
        <f t="shared" si="41"/>
        <v>0</v>
      </c>
      <c r="I309" s="125">
        <f t="shared" ca="1" si="41"/>
        <v>176.82351594047486</v>
      </c>
      <c r="J309" s="125">
        <f t="shared" ca="1" si="41"/>
        <v>884.11757970237431</v>
      </c>
      <c r="K309" s="91"/>
      <c r="L309" s="486"/>
    </row>
    <row r="310" spans="1:12" ht="13.8" thickBot="1">
      <c r="A310" s="92"/>
      <c r="B310" s="485"/>
      <c r="C310" s="91"/>
      <c r="D310" s="91"/>
      <c r="E310" s="156"/>
      <c r="F310" s="156"/>
      <c r="G310" s="156"/>
      <c r="H310" s="156"/>
      <c r="I310" s="156"/>
      <c r="J310" s="156"/>
      <c r="K310" s="91"/>
      <c r="L310" s="486"/>
    </row>
    <row r="311" spans="1:12" ht="13.8" thickTop="1">
      <c r="A311" s="92"/>
      <c r="B311" s="485"/>
      <c r="C311" s="168"/>
      <c r="D311" s="135" t="str">
        <f>"Total "&amp;B295</f>
        <v>Total Other Direct Cost Savings</v>
      </c>
      <c r="E311" s="125">
        <f t="shared" ref="E311:J311" ca="1" si="42">E304+E309</f>
        <v>40.211483474725</v>
      </c>
      <c r="F311" s="125">
        <f t="shared" ca="1" si="42"/>
        <v>104.53759042353386</v>
      </c>
      <c r="G311" s="125">
        <f t="shared" ca="1" si="42"/>
        <v>562.89943559239418</v>
      </c>
      <c r="H311" s="125">
        <f t="shared" ca="1" si="42"/>
        <v>160.8459338989</v>
      </c>
      <c r="I311" s="125">
        <f t="shared" ca="1" si="42"/>
        <v>418.15036169413543</v>
      </c>
      <c r="J311" s="125">
        <f t="shared" ca="1" si="42"/>
        <v>2251.5977423695767</v>
      </c>
      <c r="K311" s="91"/>
      <c r="L311" s="486"/>
    </row>
    <row r="312" spans="1:12">
      <c r="A312" s="92"/>
      <c r="B312" s="485"/>
      <c r="C312" s="91"/>
      <c r="D312" s="91"/>
      <c r="E312" s="156"/>
      <c r="F312" s="156"/>
      <c r="G312" s="156"/>
      <c r="H312" s="156"/>
      <c r="I312" s="156"/>
      <c r="J312" s="156"/>
      <c r="K312" s="91"/>
      <c r="L312" s="486"/>
    </row>
    <row r="313" spans="1:12" s="103" customFormat="1">
      <c r="B313" s="485"/>
      <c r="C313" s="91"/>
      <c r="D313" s="91"/>
      <c r="E313" s="156"/>
      <c r="F313" s="156"/>
      <c r="G313" s="156"/>
      <c r="H313" s="156"/>
      <c r="I313" s="156"/>
      <c r="J313" s="156"/>
      <c r="K313" s="91"/>
      <c r="L313" s="486"/>
    </row>
    <row r="314" spans="1:12" s="103" customFormat="1">
      <c r="B314" s="485"/>
      <c r="C314" s="91"/>
      <c r="D314" s="91"/>
      <c r="E314" s="156"/>
      <c r="F314" s="156"/>
      <c r="G314" s="156"/>
      <c r="H314" s="156"/>
      <c r="I314" s="156"/>
      <c r="J314" s="156"/>
      <c r="K314" s="91"/>
      <c r="L314" s="486"/>
    </row>
    <row r="315" spans="1:12" s="103" customFormat="1">
      <c r="B315" s="485"/>
      <c r="C315" s="91"/>
      <c r="D315" s="91"/>
      <c r="E315" s="156"/>
      <c r="F315" s="156"/>
      <c r="G315" s="156"/>
      <c r="H315" s="156"/>
      <c r="I315" s="156"/>
      <c r="J315" s="156"/>
      <c r="K315" s="91"/>
      <c r="L315" s="486"/>
    </row>
    <row r="316" spans="1:12" s="103" customFormat="1">
      <c r="B316" s="485"/>
      <c r="C316" s="91"/>
      <c r="D316" s="91"/>
      <c r="E316" s="156"/>
      <c r="F316" s="156"/>
      <c r="G316" s="156"/>
      <c r="H316" s="156"/>
      <c r="I316" s="156"/>
      <c r="J316" s="156"/>
      <c r="K316" s="91"/>
      <c r="L316" s="486"/>
    </row>
    <row r="317" spans="1:12" s="103" customFormat="1">
      <c r="B317" s="485"/>
      <c r="C317" s="91"/>
      <c r="D317" s="91"/>
      <c r="E317" s="156"/>
      <c r="F317" s="156"/>
      <c r="G317" s="156"/>
      <c r="H317" s="156"/>
      <c r="I317" s="156"/>
      <c r="J317" s="156"/>
      <c r="K317" s="91"/>
      <c r="L317" s="486"/>
    </row>
    <row r="318" spans="1:12" s="103" customFormat="1">
      <c r="B318" s="485"/>
      <c r="C318" s="91"/>
      <c r="D318" s="91"/>
      <c r="E318" s="156"/>
      <c r="F318" s="156"/>
      <c r="G318" s="156"/>
      <c r="H318" s="156"/>
      <c r="I318" s="156"/>
      <c r="J318" s="156"/>
      <c r="K318" s="91"/>
      <c r="L318" s="486"/>
    </row>
    <row r="319" spans="1:12" s="103" customFormat="1">
      <c r="B319" s="485"/>
      <c r="C319" s="91"/>
      <c r="D319" s="91"/>
      <c r="E319" s="156"/>
      <c r="F319" s="156"/>
      <c r="G319" s="156"/>
      <c r="H319" s="156"/>
      <c r="I319" s="156"/>
      <c r="J319" s="156"/>
      <c r="K319" s="91"/>
      <c r="L319" s="486"/>
    </row>
    <row r="320" spans="1:12" s="103" customFormat="1">
      <c r="B320" s="485"/>
      <c r="C320" s="91"/>
      <c r="D320" s="91"/>
      <c r="E320" s="156"/>
      <c r="F320" s="156"/>
      <c r="G320" s="156"/>
      <c r="H320" s="156"/>
      <c r="I320" s="156"/>
      <c r="J320" s="156"/>
      <c r="K320" s="91"/>
      <c r="L320" s="486"/>
    </row>
    <row r="321" spans="2:12" s="103" customFormat="1">
      <c r="B321" s="485"/>
      <c r="C321" s="91"/>
      <c r="D321" s="91"/>
      <c r="E321" s="156"/>
      <c r="F321" s="156"/>
      <c r="G321" s="156"/>
      <c r="H321" s="156"/>
      <c r="I321" s="156"/>
      <c r="J321" s="156"/>
      <c r="K321" s="91"/>
      <c r="L321" s="486"/>
    </row>
    <row r="322" spans="2:12" s="103" customFormat="1">
      <c r="B322" s="485"/>
      <c r="C322" s="91"/>
      <c r="D322" s="91"/>
      <c r="E322" s="156"/>
      <c r="F322" s="156"/>
      <c r="G322" s="156"/>
      <c r="H322" s="156"/>
      <c r="I322" s="156"/>
      <c r="J322" s="156"/>
      <c r="K322" s="91"/>
      <c r="L322" s="486"/>
    </row>
    <row r="323" spans="2:12" s="103" customFormat="1">
      <c r="B323" s="485"/>
      <c r="C323" s="91"/>
      <c r="D323" s="91"/>
      <c r="E323" s="156"/>
      <c r="F323" s="156"/>
      <c r="G323" s="156"/>
      <c r="H323" s="156"/>
      <c r="I323" s="156"/>
      <c r="J323" s="156"/>
      <c r="K323" s="91"/>
      <c r="L323" s="486"/>
    </row>
    <row r="324" spans="2:12" s="103" customFormat="1">
      <c r="B324" s="485"/>
      <c r="C324" s="91"/>
      <c r="D324" s="91"/>
      <c r="E324" s="156"/>
      <c r="F324" s="156"/>
      <c r="G324" s="156"/>
      <c r="H324" s="156"/>
      <c r="I324" s="156"/>
      <c r="J324" s="156"/>
      <c r="K324" s="91"/>
      <c r="L324" s="486"/>
    </row>
    <row r="325" spans="2:12" s="103" customFormat="1">
      <c r="B325" s="485"/>
      <c r="C325" s="91"/>
      <c r="D325" s="91"/>
      <c r="E325" s="156"/>
      <c r="F325" s="156"/>
      <c r="G325" s="156"/>
      <c r="H325" s="156"/>
      <c r="I325" s="156"/>
      <c r="J325" s="156"/>
      <c r="K325" s="91"/>
      <c r="L325" s="486"/>
    </row>
    <row r="326" spans="2:12" s="103" customFormat="1">
      <c r="B326" s="485"/>
      <c r="C326" s="91"/>
      <c r="D326" s="91"/>
      <c r="E326" s="156"/>
      <c r="F326" s="156"/>
      <c r="G326" s="156"/>
      <c r="H326" s="156"/>
      <c r="I326" s="156"/>
      <c r="J326" s="156"/>
      <c r="K326" s="91"/>
      <c r="L326" s="486"/>
    </row>
    <row r="327" spans="2:12" s="103" customFormat="1">
      <c r="B327" s="485"/>
      <c r="C327" s="91"/>
      <c r="D327" s="91"/>
      <c r="E327" s="156"/>
      <c r="F327" s="156"/>
      <c r="G327" s="156"/>
      <c r="H327" s="156"/>
      <c r="I327" s="156"/>
      <c r="J327" s="156"/>
      <c r="K327" s="91"/>
      <c r="L327" s="486"/>
    </row>
    <row r="328" spans="2:12" s="103" customFormat="1">
      <c r="B328" s="485"/>
      <c r="C328" s="91"/>
      <c r="D328" s="91"/>
      <c r="E328" s="156"/>
      <c r="F328" s="156"/>
      <c r="G328" s="156"/>
      <c r="H328" s="156"/>
      <c r="I328" s="156"/>
      <c r="J328" s="156"/>
      <c r="K328" s="91"/>
      <c r="L328" s="486"/>
    </row>
    <row r="329" spans="2:12" s="103" customFormat="1">
      <c r="B329" s="485"/>
      <c r="C329" s="91"/>
      <c r="D329" s="91"/>
      <c r="E329" s="156"/>
      <c r="F329" s="156"/>
      <c r="G329" s="156"/>
      <c r="H329" s="156"/>
      <c r="I329" s="156"/>
      <c r="J329" s="156"/>
      <c r="K329" s="91"/>
      <c r="L329" s="486"/>
    </row>
    <row r="330" spans="2:12" s="103" customFormat="1">
      <c r="B330" s="485"/>
      <c r="C330" s="91"/>
      <c r="D330" s="91"/>
      <c r="E330" s="156"/>
      <c r="F330" s="156"/>
      <c r="G330" s="156"/>
      <c r="H330" s="156"/>
      <c r="I330" s="156"/>
      <c r="J330" s="156"/>
      <c r="K330" s="91"/>
      <c r="L330" s="486"/>
    </row>
    <row r="331" spans="2:12" s="103" customFormat="1">
      <c r="B331" s="485"/>
      <c r="C331" s="91"/>
      <c r="D331" s="91"/>
      <c r="E331" s="156"/>
      <c r="F331" s="156"/>
      <c r="G331" s="156"/>
      <c r="H331" s="156"/>
      <c r="I331" s="156"/>
      <c r="J331" s="156"/>
      <c r="K331" s="91"/>
      <c r="L331" s="486"/>
    </row>
    <row r="332" spans="2:12" s="103" customFormat="1">
      <c r="B332" s="485"/>
      <c r="C332" s="91"/>
      <c r="D332" s="91"/>
      <c r="E332" s="156"/>
      <c r="F332" s="156"/>
      <c r="G332" s="156"/>
      <c r="H332" s="156"/>
      <c r="I332" s="156"/>
      <c r="J332" s="156"/>
      <c r="K332" s="91"/>
      <c r="L332" s="486"/>
    </row>
    <row r="333" spans="2:12" s="103" customFormat="1">
      <c r="B333" s="485"/>
      <c r="C333" s="91"/>
      <c r="D333" s="91"/>
      <c r="E333" s="156"/>
      <c r="F333" s="156"/>
      <c r="G333" s="156"/>
      <c r="H333" s="156"/>
      <c r="I333" s="156"/>
      <c r="J333" s="156"/>
      <c r="K333" s="91"/>
      <c r="L333" s="486"/>
    </row>
    <row r="334" spans="2:12" s="103" customFormat="1">
      <c r="B334" s="485"/>
      <c r="C334" s="91"/>
      <c r="D334" s="91"/>
      <c r="E334" s="156"/>
      <c r="F334" s="156"/>
      <c r="G334" s="156"/>
      <c r="H334" s="156"/>
      <c r="I334" s="156"/>
      <c r="J334" s="156"/>
      <c r="K334" s="91"/>
      <c r="L334" s="486"/>
    </row>
    <row r="335" spans="2:12" s="103" customFormat="1">
      <c r="B335" s="485"/>
      <c r="C335" s="91"/>
      <c r="D335" s="91"/>
      <c r="E335" s="156"/>
      <c r="F335" s="156"/>
      <c r="G335" s="156"/>
      <c r="H335" s="156"/>
      <c r="I335" s="156"/>
      <c r="J335" s="156"/>
      <c r="K335" s="91"/>
      <c r="L335" s="486"/>
    </row>
    <row r="336" spans="2:12" s="103" customFormat="1">
      <c r="B336" s="485"/>
      <c r="C336" s="91"/>
      <c r="D336" s="91"/>
      <c r="E336" s="156"/>
      <c r="F336" s="156"/>
      <c r="G336" s="156"/>
      <c r="H336" s="156"/>
      <c r="I336" s="156"/>
      <c r="J336" s="156"/>
      <c r="K336" s="91"/>
      <c r="L336" s="486"/>
    </row>
    <row r="337" spans="1:12" s="103" customFormat="1">
      <c r="B337" s="485"/>
      <c r="C337" s="91"/>
      <c r="D337" s="91"/>
      <c r="E337" s="156"/>
      <c r="F337" s="156"/>
      <c r="G337" s="156"/>
      <c r="H337" s="156"/>
      <c r="I337" s="156"/>
      <c r="J337" s="156"/>
      <c r="K337" s="91"/>
      <c r="L337" s="486"/>
    </row>
    <row r="338" spans="1:12" ht="15">
      <c r="A338" s="62"/>
      <c r="B338" s="505" t="s">
        <v>283</v>
      </c>
      <c r="C338" s="165"/>
      <c r="D338" s="91"/>
      <c r="E338" s="156"/>
      <c r="F338" s="156"/>
      <c r="G338" s="156"/>
      <c r="H338" s="156"/>
      <c r="I338" s="156"/>
      <c r="J338" s="156"/>
      <c r="K338" s="91"/>
      <c r="L338" s="486"/>
    </row>
    <row r="339" spans="1:12" s="103" customFormat="1" ht="12.75" customHeight="1">
      <c r="B339" s="485"/>
      <c r="C339" s="91"/>
      <c r="D339" s="91"/>
      <c r="E339" s="556" t="str">
        <f>$E$132</f>
        <v>Benefits ($ per PC)</v>
      </c>
      <c r="F339" s="556"/>
      <c r="G339" s="556"/>
      <c r="H339" s="556" t="str">
        <f>$H$132</f>
        <v>Benefits ($000)</v>
      </c>
      <c r="I339" s="556"/>
      <c r="J339" s="556"/>
      <c r="K339" s="91"/>
      <c r="L339" s="486"/>
    </row>
    <row r="340" spans="1:12" s="103" customFormat="1" ht="26.4">
      <c r="B340" s="485"/>
      <c r="C340" s="91"/>
      <c r="D340" s="91"/>
      <c r="E340" s="482" t="str">
        <f>$E$133</f>
        <v>One-Time</v>
      </c>
      <c r="F340" s="482" t="str">
        <f>$F$133</f>
        <v>Annual On-Going</v>
      </c>
      <c r="G340" s="482" t="str">
        <f>$G$133</f>
        <v>5-Year Total</v>
      </c>
      <c r="H340" s="482" t="str">
        <f>$H$133</f>
        <v>One-Time</v>
      </c>
      <c r="I340" s="482" t="str">
        <f>$I$133</f>
        <v>Annual On-Going</v>
      </c>
      <c r="J340" s="482" t="str">
        <f>$J$133</f>
        <v>5-Year Total</v>
      </c>
      <c r="K340" s="91"/>
      <c r="L340" s="486"/>
    </row>
    <row r="341" spans="1:12">
      <c r="A341" s="62"/>
      <c r="B341" s="485"/>
      <c r="C341" s="91"/>
      <c r="D341" s="122" t="str">
        <f>Productivity!B50</f>
        <v>Information Access &amp; Analysis</v>
      </c>
      <c r="E341" s="123">
        <v>0</v>
      </c>
      <c r="F341" s="123">
        <f ca="1">Productivity!M50</f>
        <v>509.01230521421888</v>
      </c>
      <c r="G341" s="123">
        <f t="shared" ref="G341:G346" ca="1" si="43">E341+F341*Duration</f>
        <v>2545.0615260710942</v>
      </c>
      <c r="H341" s="123">
        <f t="shared" ref="H341:I346" si="44">E341*BIs/1000</f>
        <v>0</v>
      </c>
      <c r="I341" s="123">
        <f t="shared" ca="1" si="44"/>
        <v>2036.0492208568755</v>
      </c>
      <c r="J341" s="123">
        <f t="shared" ref="J341:J346" ca="1" si="45">H341+I341*Duration</f>
        <v>10180.246104284377</v>
      </c>
      <c r="K341" s="91"/>
      <c r="L341" s="486"/>
    </row>
    <row r="342" spans="1:12">
      <c r="A342" s="62"/>
      <c r="B342" s="485"/>
      <c r="C342" s="91"/>
      <c r="D342" s="122" t="str">
        <f>Productivity!B54</f>
        <v xml:space="preserve">Performance Management </v>
      </c>
      <c r="E342" s="123">
        <v>0</v>
      </c>
      <c r="F342" s="123">
        <f ca="1">Productivity!M54</f>
        <v>33.928400976616878</v>
      </c>
      <c r="G342" s="123">
        <f t="shared" ca="1" si="43"/>
        <v>169.64200488308438</v>
      </c>
      <c r="H342" s="123">
        <f t="shared" si="44"/>
        <v>0</v>
      </c>
      <c r="I342" s="123">
        <f t="shared" ca="1" si="44"/>
        <v>135.71360390646751</v>
      </c>
      <c r="J342" s="123">
        <f t="shared" ca="1" si="45"/>
        <v>678.56801953233753</v>
      </c>
      <c r="K342" s="91"/>
      <c r="L342" s="486"/>
    </row>
    <row r="343" spans="1:12">
      <c r="A343" s="62"/>
      <c r="B343" s="485"/>
      <c r="C343" s="91"/>
      <c r="D343" s="122" t="str">
        <f>Productivity!B51</f>
        <v>Business Process Automation</v>
      </c>
      <c r="E343" s="123">
        <v>0</v>
      </c>
      <c r="F343" s="123">
        <f ca="1">Productivity!M51</f>
        <v>89.92608662323255</v>
      </c>
      <c r="G343" s="123">
        <f t="shared" ca="1" si="43"/>
        <v>449.63043311616275</v>
      </c>
      <c r="H343" s="123">
        <f t="shared" si="44"/>
        <v>0</v>
      </c>
      <c r="I343" s="123">
        <f t="shared" ca="1" si="44"/>
        <v>359.7043464929302</v>
      </c>
      <c r="J343" s="123">
        <f t="shared" ca="1" si="45"/>
        <v>1798.521732464651</v>
      </c>
      <c r="K343" s="91"/>
      <c r="L343" s="486"/>
    </row>
    <row r="344" spans="1:12">
      <c r="A344" s="62"/>
      <c r="B344" s="485"/>
      <c r="C344" s="91"/>
      <c r="D344" s="122" t="str">
        <f>Productivity!B55</f>
        <v>Performance, Reliability, and Security</v>
      </c>
      <c r="E344" s="123">
        <v>0</v>
      </c>
      <c r="F344" s="123">
        <f ca="1">Productivity!M55</f>
        <v>5.7372731240762587</v>
      </c>
      <c r="G344" s="123">
        <f t="shared" ca="1" si="43"/>
        <v>28.686365620381295</v>
      </c>
      <c r="H344" s="123">
        <f t="shared" si="44"/>
        <v>0</v>
      </c>
      <c r="I344" s="123">
        <f t="shared" ca="1" si="44"/>
        <v>22.949092496305035</v>
      </c>
      <c r="J344" s="123">
        <f t="shared" ca="1" si="45"/>
        <v>114.74546248152518</v>
      </c>
      <c r="K344" s="91"/>
      <c r="L344" s="486"/>
    </row>
    <row r="345" spans="1:12" s="266" customFormat="1">
      <c r="B345" s="485"/>
      <c r="C345" s="91"/>
      <c r="D345" s="122" t="str">
        <f>Productivity!B52</f>
        <v>Communication &amp; Collaboration</v>
      </c>
      <c r="E345" s="123">
        <v>0</v>
      </c>
      <c r="F345" s="123">
        <f ca="1">Productivity!M52</f>
        <v>54.612433136399822</v>
      </c>
      <c r="G345" s="123">
        <f t="shared" ca="1" si="43"/>
        <v>273.06216568199909</v>
      </c>
      <c r="H345" s="123">
        <f t="shared" si="44"/>
        <v>0</v>
      </c>
      <c r="I345" s="123">
        <f t="shared" ca="1" si="44"/>
        <v>218.44973254559929</v>
      </c>
      <c r="J345" s="123">
        <f t="shared" ca="1" si="45"/>
        <v>1092.2486627279964</v>
      </c>
      <c r="K345" s="91"/>
      <c r="L345" s="486"/>
    </row>
    <row r="346" spans="1:12" s="266" customFormat="1" ht="13.8" thickBot="1">
      <c r="B346" s="485"/>
      <c r="C346" s="91"/>
      <c r="D346" s="122" t="str">
        <f>Productivity!B53</f>
        <v>User Application Development</v>
      </c>
      <c r="E346" s="123">
        <v>0</v>
      </c>
      <c r="F346" s="123">
        <f ca="1">Productivity!M53</f>
        <v>18.81189475019632</v>
      </c>
      <c r="G346" s="123">
        <f t="shared" ca="1" si="43"/>
        <v>94.059473750981596</v>
      </c>
      <c r="H346" s="123">
        <f t="shared" si="44"/>
        <v>0</v>
      </c>
      <c r="I346" s="123">
        <f t="shared" ca="1" si="44"/>
        <v>75.247579000785279</v>
      </c>
      <c r="J346" s="123">
        <f t="shared" ca="1" si="45"/>
        <v>376.23789500392638</v>
      </c>
      <c r="K346" s="91"/>
      <c r="L346" s="486"/>
    </row>
    <row r="347" spans="1:12" ht="13.8" thickTop="1">
      <c r="A347" s="92"/>
      <c r="B347" s="485"/>
      <c r="C347" s="91"/>
      <c r="D347" s="124" t="s">
        <v>0</v>
      </c>
      <c r="E347" s="125">
        <f t="shared" ref="E347:J347" si="46">SUM(E341:E346)</f>
        <v>0</v>
      </c>
      <c r="F347" s="125">
        <f t="shared" ca="1" si="46"/>
        <v>712.02839382474065</v>
      </c>
      <c r="G347" s="125">
        <f t="shared" ca="1" si="46"/>
        <v>3560.1419691237033</v>
      </c>
      <c r="H347" s="125">
        <f t="shared" si="46"/>
        <v>0</v>
      </c>
      <c r="I347" s="125">
        <f t="shared" ca="1" si="46"/>
        <v>2848.1135752989626</v>
      </c>
      <c r="J347" s="125">
        <f t="shared" ca="1" si="46"/>
        <v>14240.567876494813</v>
      </c>
      <c r="K347" s="91"/>
      <c r="L347" s="486"/>
    </row>
    <row r="348" spans="1:12">
      <c r="A348" s="92"/>
      <c r="B348" s="485"/>
      <c r="C348" s="91"/>
      <c r="D348" s="91"/>
      <c r="E348" s="156"/>
      <c r="F348" s="156"/>
      <c r="G348" s="156"/>
      <c r="H348" s="156"/>
      <c r="I348" s="156"/>
      <c r="J348" s="156"/>
      <c r="K348" s="91"/>
      <c r="L348" s="486"/>
    </row>
    <row r="349" spans="1:12" s="103" customFormat="1">
      <c r="B349" s="485"/>
      <c r="C349" s="91"/>
      <c r="D349" s="91"/>
      <c r="E349" s="156"/>
      <c r="F349" s="156"/>
      <c r="G349" s="156"/>
      <c r="H349" s="156"/>
      <c r="I349" s="156"/>
      <c r="J349" s="156"/>
      <c r="K349" s="91"/>
      <c r="L349" s="486"/>
    </row>
    <row r="350" spans="1:12" s="103" customFormat="1">
      <c r="B350" s="485"/>
      <c r="C350" s="91"/>
      <c r="D350" s="91"/>
      <c r="E350" s="156"/>
      <c r="F350" s="156"/>
      <c r="G350" s="156"/>
      <c r="H350" s="156"/>
      <c r="I350" s="156"/>
      <c r="J350" s="156"/>
      <c r="K350" s="91"/>
      <c r="L350" s="486"/>
    </row>
    <row r="351" spans="1:12" s="103" customFormat="1">
      <c r="B351" s="485"/>
      <c r="C351" s="91"/>
      <c r="D351" s="91"/>
      <c r="E351" s="156"/>
      <c r="F351" s="156"/>
      <c r="G351" s="156"/>
      <c r="H351" s="156"/>
      <c r="I351" s="156"/>
      <c r="J351" s="156"/>
      <c r="K351" s="91"/>
      <c r="L351" s="486"/>
    </row>
    <row r="352" spans="1:12" s="103" customFormat="1">
      <c r="B352" s="485"/>
      <c r="C352" s="91"/>
      <c r="D352" s="91"/>
      <c r="E352" s="156"/>
      <c r="F352" s="156"/>
      <c r="G352" s="156"/>
      <c r="H352" s="156"/>
      <c r="I352" s="156"/>
      <c r="J352" s="156"/>
      <c r="K352" s="91"/>
      <c r="L352" s="486"/>
    </row>
    <row r="353" spans="2:12" s="103" customFormat="1">
      <c r="B353" s="485"/>
      <c r="C353" s="91"/>
      <c r="D353" s="91"/>
      <c r="E353" s="156"/>
      <c r="F353" s="156"/>
      <c r="G353" s="156"/>
      <c r="H353" s="156"/>
      <c r="I353" s="156"/>
      <c r="J353" s="156"/>
      <c r="K353" s="91"/>
      <c r="L353" s="486"/>
    </row>
    <row r="354" spans="2:12" s="103" customFormat="1">
      <c r="B354" s="485"/>
      <c r="C354" s="91"/>
      <c r="D354" s="91"/>
      <c r="E354" s="156"/>
      <c r="F354" s="156"/>
      <c r="G354" s="156"/>
      <c r="H354" s="156"/>
      <c r="I354" s="156"/>
      <c r="J354" s="156"/>
      <c r="K354" s="91"/>
      <c r="L354" s="486"/>
    </row>
    <row r="355" spans="2:12" s="103" customFormat="1">
      <c r="B355" s="485"/>
      <c r="C355" s="91"/>
      <c r="D355" s="91"/>
      <c r="E355" s="156"/>
      <c r="F355" s="156"/>
      <c r="G355" s="156"/>
      <c r="H355" s="156"/>
      <c r="I355" s="156"/>
      <c r="J355" s="156"/>
      <c r="K355" s="91"/>
      <c r="L355" s="486"/>
    </row>
    <row r="356" spans="2:12" s="103" customFormat="1">
      <c r="B356" s="485"/>
      <c r="C356" s="91"/>
      <c r="D356" s="91"/>
      <c r="E356" s="156"/>
      <c r="F356" s="156"/>
      <c r="G356" s="156"/>
      <c r="H356" s="156"/>
      <c r="I356" s="156"/>
      <c r="J356" s="156"/>
      <c r="K356" s="91"/>
      <c r="L356" s="486"/>
    </row>
    <row r="357" spans="2:12" s="103" customFormat="1">
      <c r="B357" s="485"/>
      <c r="C357" s="91"/>
      <c r="D357" s="91"/>
      <c r="E357" s="156"/>
      <c r="F357" s="156"/>
      <c r="G357" s="156"/>
      <c r="H357" s="156"/>
      <c r="I357" s="156"/>
      <c r="J357" s="156"/>
      <c r="K357" s="91"/>
      <c r="L357" s="486"/>
    </row>
    <row r="358" spans="2:12" s="103" customFormat="1">
      <c r="B358" s="485"/>
      <c r="C358" s="91"/>
      <c r="D358" s="91"/>
      <c r="E358" s="156"/>
      <c r="F358" s="156"/>
      <c r="G358" s="156"/>
      <c r="H358" s="156"/>
      <c r="I358" s="156"/>
      <c r="J358" s="156"/>
      <c r="K358" s="91"/>
      <c r="L358" s="486"/>
    </row>
    <row r="359" spans="2:12" s="103" customFormat="1">
      <c r="B359" s="485"/>
      <c r="C359" s="91"/>
      <c r="D359" s="91"/>
      <c r="E359" s="156"/>
      <c r="F359" s="156"/>
      <c r="G359" s="156"/>
      <c r="H359" s="156"/>
      <c r="I359" s="156"/>
      <c r="J359" s="156"/>
      <c r="K359" s="91"/>
      <c r="L359" s="486"/>
    </row>
    <row r="360" spans="2:12" s="103" customFormat="1">
      <c r="B360" s="485"/>
      <c r="C360" s="91"/>
      <c r="D360" s="91"/>
      <c r="E360" s="156"/>
      <c r="F360" s="156"/>
      <c r="G360" s="156"/>
      <c r="H360" s="156"/>
      <c r="I360" s="156"/>
      <c r="J360" s="156"/>
      <c r="K360" s="91"/>
      <c r="L360" s="486"/>
    </row>
    <row r="361" spans="2:12" s="103" customFormat="1">
      <c r="B361" s="485"/>
      <c r="C361" s="91"/>
      <c r="D361" s="91"/>
      <c r="E361" s="156"/>
      <c r="F361" s="156"/>
      <c r="G361" s="156"/>
      <c r="H361" s="156"/>
      <c r="I361" s="156"/>
      <c r="J361" s="156"/>
      <c r="K361" s="91"/>
      <c r="L361" s="486"/>
    </row>
    <row r="362" spans="2:12" s="103" customFormat="1">
      <c r="B362" s="485"/>
      <c r="C362" s="91"/>
      <c r="D362" s="91"/>
      <c r="E362" s="156"/>
      <c r="F362" s="156"/>
      <c r="G362" s="156"/>
      <c r="H362" s="156"/>
      <c r="I362" s="156"/>
      <c r="J362" s="156"/>
      <c r="K362" s="91"/>
      <c r="L362" s="486"/>
    </row>
    <row r="363" spans="2:12" s="103" customFormat="1">
      <c r="B363" s="485"/>
      <c r="C363" s="91"/>
      <c r="D363" s="91"/>
      <c r="E363" s="156"/>
      <c r="F363" s="156"/>
      <c r="G363" s="156"/>
      <c r="H363" s="156"/>
      <c r="I363" s="156"/>
      <c r="J363" s="156"/>
      <c r="K363" s="91"/>
      <c r="L363" s="486"/>
    </row>
    <row r="364" spans="2:12" s="103" customFormat="1">
      <c r="B364" s="485"/>
      <c r="C364" s="91"/>
      <c r="D364" s="91"/>
      <c r="E364" s="156"/>
      <c r="F364" s="156"/>
      <c r="G364" s="156"/>
      <c r="H364" s="156"/>
      <c r="I364" s="156"/>
      <c r="J364" s="156"/>
      <c r="K364" s="91"/>
      <c r="L364" s="486"/>
    </row>
    <row r="365" spans="2:12" s="103" customFormat="1">
      <c r="B365" s="485"/>
      <c r="C365" s="91"/>
      <c r="D365" s="91"/>
      <c r="E365" s="156"/>
      <c r="F365" s="156"/>
      <c r="G365" s="156"/>
      <c r="H365" s="156"/>
      <c r="I365" s="156"/>
      <c r="J365" s="156"/>
      <c r="K365" s="91"/>
      <c r="L365" s="486"/>
    </row>
    <row r="366" spans="2:12" s="103" customFormat="1">
      <c r="B366" s="485"/>
      <c r="C366" s="91"/>
      <c r="D366" s="91"/>
      <c r="E366" s="156"/>
      <c r="F366" s="156"/>
      <c r="G366" s="156"/>
      <c r="H366" s="156"/>
      <c r="I366" s="156"/>
      <c r="J366" s="156"/>
      <c r="K366" s="91"/>
      <c r="L366" s="486"/>
    </row>
    <row r="367" spans="2:12" s="103" customFormat="1">
      <c r="B367" s="485"/>
      <c r="C367" s="91"/>
      <c r="D367" s="91"/>
      <c r="E367" s="156"/>
      <c r="F367" s="156"/>
      <c r="G367" s="156"/>
      <c r="H367" s="156"/>
      <c r="I367" s="156"/>
      <c r="J367" s="156"/>
      <c r="K367" s="91"/>
      <c r="L367" s="486"/>
    </row>
    <row r="368" spans="2:12" s="103" customFormat="1">
      <c r="B368" s="485"/>
      <c r="C368" s="91"/>
      <c r="D368" s="91"/>
      <c r="E368" s="156"/>
      <c r="F368" s="156"/>
      <c r="G368" s="156"/>
      <c r="H368" s="156"/>
      <c r="I368" s="156"/>
      <c r="J368" s="156"/>
      <c r="K368" s="91"/>
      <c r="L368" s="486"/>
    </row>
    <row r="369" spans="1:12" s="103" customFormat="1">
      <c r="B369" s="485"/>
      <c r="C369" s="91"/>
      <c r="D369" s="91"/>
      <c r="E369" s="156"/>
      <c r="F369" s="156"/>
      <c r="G369" s="156"/>
      <c r="H369" s="156"/>
      <c r="I369" s="156"/>
      <c r="J369" s="156"/>
      <c r="K369" s="91"/>
      <c r="L369" s="486"/>
    </row>
    <row r="370" spans="1:12" s="103" customFormat="1">
      <c r="B370" s="485"/>
      <c r="C370" s="91"/>
      <c r="D370" s="91"/>
      <c r="E370" s="156"/>
      <c r="F370" s="156"/>
      <c r="G370" s="156"/>
      <c r="H370" s="156"/>
      <c r="I370" s="156"/>
      <c r="J370" s="156"/>
      <c r="K370" s="91"/>
      <c r="L370" s="486"/>
    </row>
    <row r="371" spans="1:12" ht="15">
      <c r="A371" s="62"/>
      <c r="B371" s="505" t="s">
        <v>938</v>
      </c>
      <c r="C371" s="165"/>
      <c r="D371" s="91"/>
      <c r="E371" s="156"/>
      <c r="F371" s="156"/>
      <c r="G371" s="156"/>
      <c r="H371" s="156"/>
      <c r="I371" s="156"/>
      <c r="J371" s="156"/>
      <c r="K371" s="91"/>
      <c r="L371" s="486"/>
    </row>
    <row r="372" spans="1:12" s="103" customFormat="1" ht="12.75" customHeight="1">
      <c r="B372" s="485"/>
      <c r="C372" s="91"/>
      <c r="D372" s="91"/>
      <c r="E372" s="556" t="str">
        <f>$E$132</f>
        <v>Benefits ($ per PC)</v>
      </c>
      <c r="F372" s="556"/>
      <c r="G372" s="556"/>
      <c r="H372" s="556" t="str">
        <f>$H$132</f>
        <v>Benefits ($000)</v>
      </c>
      <c r="I372" s="556"/>
      <c r="J372" s="556"/>
      <c r="K372" s="91"/>
      <c r="L372" s="486"/>
    </row>
    <row r="373" spans="1:12" s="103" customFormat="1" ht="26.4">
      <c r="B373" s="485"/>
      <c r="C373" s="91"/>
      <c r="D373" s="91"/>
      <c r="E373" s="482" t="str">
        <f>$E$133</f>
        <v>One-Time</v>
      </c>
      <c r="F373" s="482" t="str">
        <f>$F$133</f>
        <v>Annual On-Going</v>
      </c>
      <c r="G373" s="482" t="str">
        <f>$G$133</f>
        <v>5-Year Total</v>
      </c>
      <c r="H373" s="482" t="str">
        <f>$H$133</f>
        <v>One-Time</v>
      </c>
      <c r="I373" s="482" t="str">
        <f>$I$133</f>
        <v>Annual On-Going</v>
      </c>
      <c r="J373" s="482" t="str">
        <f>$J$133</f>
        <v>5-Year Total</v>
      </c>
      <c r="K373" s="91"/>
      <c r="L373" s="486"/>
    </row>
    <row r="374" spans="1:12">
      <c r="A374" s="62"/>
      <c r="B374" s="485"/>
      <c r="C374" s="91"/>
      <c r="D374" s="122" t="str">
        <f>Revenue!B18</f>
        <v>Improved Sales Effectiveness</v>
      </c>
      <c r="E374" s="123">
        <v>0</v>
      </c>
      <c r="F374" s="123">
        <f ca="1">Revenue!F18</f>
        <v>130.3672531520954</v>
      </c>
      <c r="G374" s="123">
        <f t="shared" ref="G374:G380" ca="1" si="47">E374+F374*Duration</f>
        <v>651.83626576047698</v>
      </c>
      <c r="H374" s="123">
        <f t="shared" ref="H374:I380" si="48">E374*BIs/1000</f>
        <v>0</v>
      </c>
      <c r="I374" s="123">
        <f t="shared" ca="1" si="48"/>
        <v>521.4690126083816</v>
      </c>
      <c r="J374" s="123">
        <f t="shared" ref="J374:J380" ca="1" si="49">H374+I374*Duration</f>
        <v>2607.3450630419079</v>
      </c>
      <c r="K374" s="91"/>
      <c r="L374" s="486"/>
    </row>
    <row r="375" spans="1:12">
      <c r="A375" s="62"/>
      <c r="B375" s="485"/>
      <c r="C375" s="91"/>
      <c r="D375" s="122" t="str">
        <f>Revenue!B19</f>
        <v>Improved Marketing Effectiveness</v>
      </c>
      <c r="E375" s="123">
        <v>0</v>
      </c>
      <c r="F375" s="123">
        <f ca="1">Revenue!F19</f>
        <v>65.1836265760477</v>
      </c>
      <c r="G375" s="123">
        <f t="shared" ca="1" si="47"/>
        <v>325.91813288023849</v>
      </c>
      <c r="H375" s="123">
        <f t="shared" si="48"/>
        <v>0</v>
      </c>
      <c r="I375" s="123">
        <f t="shared" ca="1" si="48"/>
        <v>260.7345063041908</v>
      </c>
      <c r="J375" s="123">
        <f t="shared" ca="1" si="49"/>
        <v>1303.672531520954</v>
      </c>
      <c r="K375" s="91"/>
      <c r="L375" s="486"/>
    </row>
    <row r="376" spans="1:12">
      <c r="A376" s="62"/>
      <c r="B376" s="485"/>
      <c r="C376" s="91"/>
      <c r="D376" s="122" t="str">
        <f>Revenue!B20</f>
        <v>Improved Customer Service</v>
      </c>
      <c r="E376" s="123">
        <v>0</v>
      </c>
      <c r="F376" s="123">
        <f ca="1">Revenue!F20</f>
        <v>138.79336182210639</v>
      </c>
      <c r="G376" s="123">
        <f t="shared" ca="1" si="47"/>
        <v>693.96680911053193</v>
      </c>
      <c r="H376" s="123">
        <f t="shared" si="48"/>
        <v>0</v>
      </c>
      <c r="I376" s="123">
        <f t="shared" ca="1" si="48"/>
        <v>555.17344728842556</v>
      </c>
      <c r="J376" s="123">
        <f t="shared" ca="1" si="49"/>
        <v>2775.8672364421277</v>
      </c>
      <c r="K376" s="91"/>
      <c r="L376" s="486"/>
    </row>
    <row r="377" spans="1:12">
      <c r="A377" s="62"/>
      <c r="B377" s="485"/>
      <c r="C377" s="91"/>
      <c r="D377" s="122" t="str">
        <f>Revenue!B21</f>
        <v>New/Expanded Channels or Geographies</v>
      </c>
      <c r="E377" s="123">
        <v>0</v>
      </c>
      <c r="F377" s="123">
        <f ca="1">Revenue!F21</f>
        <v>62.798303815385623</v>
      </c>
      <c r="G377" s="123">
        <f t="shared" ca="1" si="47"/>
        <v>313.99151907692811</v>
      </c>
      <c r="H377" s="123">
        <f t="shared" si="48"/>
        <v>0</v>
      </c>
      <c r="I377" s="123">
        <f t="shared" ca="1" si="48"/>
        <v>251.19321526154249</v>
      </c>
      <c r="J377" s="123">
        <f t="shared" ca="1" si="49"/>
        <v>1255.9660763077125</v>
      </c>
      <c r="K377" s="91"/>
      <c r="L377" s="486"/>
    </row>
    <row r="378" spans="1:12">
      <c r="A378" s="62"/>
      <c r="B378" s="485"/>
      <c r="C378" s="91"/>
      <c r="D378" s="122" t="str">
        <f>Revenue!B22</f>
        <v>New/Enhanced Products/Services</v>
      </c>
      <c r="E378" s="123">
        <v>0</v>
      </c>
      <c r="F378" s="123">
        <f ca="1">Revenue!F22</f>
        <v>68.473192612108591</v>
      </c>
      <c r="G378" s="123">
        <f t="shared" ca="1" si="47"/>
        <v>342.36596306054298</v>
      </c>
      <c r="H378" s="123">
        <f t="shared" si="48"/>
        <v>0</v>
      </c>
      <c r="I378" s="123">
        <f t="shared" ca="1" si="48"/>
        <v>273.89277044843436</v>
      </c>
      <c r="J378" s="123">
        <f t="shared" ca="1" si="49"/>
        <v>1369.4638522421719</v>
      </c>
      <c r="K378" s="91"/>
      <c r="L378" s="486"/>
    </row>
    <row r="379" spans="1:12" ht="26.4">
      <c r="A379" s="62"/>
      <c r="B379" s="485"/>
      <c r="C379" s="91"/>
      <c r="D379" s="122" t="str">
        <f>Revenue!B23</f>
        <v>Improved Product Availability (fill rate, up-time)</v>
      </c>
      <c r="E379" s="123">
        <v>0</v>
      </c>
      <c r="F379" s="123">
        <f ca="1">Revenue!F23</f>
        <v>54.531504399485556</v>
      </c>
      <c r="G379" s="123">
        <f t="shared" ca="1" si="47"/>
        <v>272.65752199742781</v>
      </c>
      <c r="H379" s="123">
        <f t="shared" si="48"/>
        <v>0</v>
      </c>
      <c r="I379" s="123">
        <f t="shared" ca="1" si="48"/>
        <v>218.12601759794222</v>
      </c>
      <c r="J379" s="123">
        <f t="shared" ca="1" si="49"/>
        <v>1090.6300879897112</v>
      </c>
      <c r="K379" s="91"/>
      <c r="L379" s="486"/>
    </row>
    <row r="380" spans="1:12" ht="13.8" thickBot="1">
      <c r="A380" s="62"/>
      <c r="B380" s="485"/>
      <c r="C380" s="91"/>
      <c r="D380" s="122" t="str">
        <f>Revenue!B24</f>
        <v>Other</v>
      </c>
      <c r="E380" s="123">
        <v>0</v>
      </c>
      <c r="F380" s="123">
        <f>Revenue!F24</f>
        <v>0</v>
      </c>
      <c r="G380" s="123">
        <f t="shared" si="47"/>
        <v>0</v>
      </c>
      <c r="H380" s="123">
        <f t="shared" si="48"/>
        <v>0</v>
      </c>
      <c r="I380" s="123">
        <f t="shared" si="48"/>
        <v>0</v>
      </c>
      <c r="J380" s="123">
        <f t="shared" si="49"/>
        <v>0</v>
      </c>
      <c r="K380" s="91"/>
      <c r="L380" s="486"/>
    </row>
    <row r="381" spans="1:12" ht="13.8" thickTop="1">
      <c r="A381" s="92"/>
      <c r="B381" s="485"/>
      <c r="C381" s="91"/>
      <c r="D381" s="124" t="s">
        <v>0</v>
      </c>
      <c r="E381" s="125">
        <f t="shared" ref="E381:J381" si="50">SUM(E374:E380)</f>
        <v>0</v>
      </c>
      <c r="F381" s="125">
        <f t="shared" ca="1" si="50"/>
        <v>520.1472423772293</v>
      </c>
      <c r="G381" s="125">
        <f t="shared" ca="1" si="50"/>
        <v>2600.7362118861461</v>
      </c>
      <c r="H381" s="125">
        <f t="shared" si="50"/>
        <v>0</v>
      </c>
      <c r="I381" s="125">
        <f t="shared" ca="1" si="50"/>
        <v>2080.5889695089172</v>
      </c>
      <c r="J381" s="125">
        <f t="shared" ca="1" si="50"/>
        <v>10402.944847544584</v>
      </c>
      <c r="K381" s="91"/>
      <c r="L381" s="486"/>
    </row>
    <row r="382" spans="1:12" s="103" customFormat="1">
      <c r="B382" s="485"/>
      <c r="C382" s="91"/>
      <c r="D382" s="91"/>
      <c r="E382" s="91"/>
      <c r="F382" s="91"/>
      <c r="G382" s="91"/>
      <c r="H382" s="91"/>
      <c r="I382" s="91"/>
      <c r="J382" s="91"/>
      <c r="K382" s="91"/>
      <c r="L382" s="486"/>
    </row>
    <row r="383" spans="1:12" s="103" customFormat="1">
      <c r="B383" s="485"/>
      <c r="C383" s="91"/>
      <c r="D383" s="91"/>
      <c r="E383" s="91"/>
      <c r="F383" s="91"/>
      <c r="G383" s="91"/>
      <c r="H383" s="91"/>
      <c r="I383" s="91"/>
      <c r="J383" s="91"/>
      <c r="K383" s="91"/>
      <c r="L383" s="486"/>
    </row>
    <row r="384" spans="1:12" s="103" customFormat="1">
      <c r="B384" s="485"/>
      <c r="C384" s="91"/>
      <c r="D384" s="91"/>
      <c r="E384" s="91"/>
      <c r="F384" s="91"/>
      <c r="G384" s="91"/>
      <c r="H384" s="91"/>
      <c r="I384" s="91"/>
      <c r="J384" s="91"/>
      <c r="K384" s="91"/>
      <c r="L384" s="486"/>
    </row>
    <row r="385" spans="2:12" s="103" customFormat="1">
      <c r="B385" s="485"/>
      <c r="C385" s="91"/>
      <c r="D385" s="91"/>
      <c r="E385" s="91"/>
      <c r="F385" s="91"/>
      <c r="G385" s="91"/>
      <c r="H385" s="91"/>
      <c r="I385" s="91"/>
      <c r="J385" s="91"/>
      <c r="K385" s="91"/>
      <c r="L385" s="486"/>
    </row>
    <row r="386" spans="2:12" s="103" customFormat="1">
      <c r="B386" s="485"/>
      <c r="C386" s="91"/>
      <c r="D386" s="91"/>
      <c r="E386" s="91"/>
      <c r="F386" s="91"/>
      <c r="G386" s="91"/>
      <c r="H386" s="91"/>
      <c r="I386" s="91"/>
      <c r="J386" s="91"/>
      <c r="K386" s="91"/>
      <c r="L386" s="486"/>
    </row>
    <row r="387" spans="2:12" s="103" customFormat="1">
      <c r="B387" s="485"/>
      <c r="C387" s="91"/>
      <c r="D387" s="91"/>
      <c r="E387" s="91"/>
      <c r="F387" s="91"/>
      <c r="G387" s="91"/>
      <c r="H387" s="91"/>
      <c r="I387" s="91"/>
      <c r="J387" s="91"/>
      <c r="K387" s="91"/>
      <c r="L387" s="486"/>
    </row>
    <row r="388" spans="2:12" s="103" customFormat="1">
      <c r="B388" s="485"/>
      <c r="C388" s="91"/>
      <c r="D388" s="91"/>
      <c r="E388" s="91"/>
      <c r="F388" s="91"/>
      <c r="G388" s="91"/>
      <c r="H388" s="91"/>
      <c r="I388" s="91"/>
      <c r="J388" s="91"/>
      <c r="K388" s="91"/>
      <c r="L388" s="486"/>
    </row>
    <row r="389" spans="2:12" s="103" customFormat="1">
      <c r="B389" s="485"/>
      <c r="C389" s="91"/>
      <c r="D389" s="91"/>
      <c r="E389" s="91"/>
      <c r="F389" s="91"/>
      <c r="G389" s="91"/>
      <c r="H389" s="91"/>
      <c r="I389" s="91"/>
      <c r="J389" s="91"/>
      <c r="K389" s="91"/>
      <c r="L389" s="486"/>
    </row>
    <row r="390" spans="2:12" s="103" customFormat="1">
      <c r="B390" s="485"/>
      <c r="C390" s="91"/>
      <c r="D390" s="91"/>
      <c r="E390" s="91"/>
      <c r="F390" s="91"/>
      <c r="G390" s="91"/>
      <c r="H390" s="91"/>
      <c r="I390" s="91"/>
      <c r="J390" s="91"/>
      <c r="K390" s="91"/>
      <c r="L390" s="486"/>
    </row>
    <row r="391" spans="2:12" s="103" customFormat="1">
      <c r="B391" s="485"/>
      <c r="C391" s="91"/>
      <c r="D391" s="91"/>
      <c r="E391" s="91"/>
      <c r="F391" s="91"/>
      <c r="G391" s="91"/>
      <c r="H391" s="91"/>
      <c r="I391" s="91"/>
      <c r="J391" s="91"/>
      <c r="K391" s="91"/>
      <c r="L391" s="486"/>
    </row>
    <row r="392" spans="2:12" s="103" customFormat="1">
      <c r="B392" s="485"/>
      <c r="C392" s="91"/>
      <c r="D392" s="91"/>
      <c r="E392" s="91"/>
      <c r="F392" s="91"/>
      <c r="G392" s="91"/>
      <c r="H392" s="91"/>
      <c r="I392" s="91"/>
      <c r="J392" s="91"/>
      <c r="K392" s="91"/>
      <c r="L392" s="486"/>
    </row>
    <row r="393" spans="2:12" s="103" customFormat="1">
      <c r="B393" s="485"/>
      <c r="C393" s="91"/>
      <c r="D393" s="91"/>
      <c r="E393" s="91"/>
      <c r="F393" s="91"/>
      <c r="G393" s="91"/>
      <c r="H393" s="91"/>
      <c r="I393" s="91"/>
      <c r="J393" s="91"/>
      <c r="K393" s="91"/>
      <c r="L393" s="486"/>
    </row>
    <row r="394" spans="2:12" s="103" customFormat="1">
      <c r="B394" s="485"/>
      <c r="C394" s="91"/>
      <c r="D394" s="91"/>
      <c r="E394" s="91"/>
      <c r="F394" s="91"/>
      <c r="G394" s="91"/>
      <c r="H394" s="91"/>
      <c r="I394" s="91"/>
      <c r="J394" s="91"/>
      <c r="K394" s="91"/>
      <c r="L394" s="486"/>
    </row>
    <row r="395" spans="2:12" s="103" customFormat="1">
      <c r="B395" s="485"/>
      <c r="C395" s="91"/>
      <c r="D395" s="91"/>
      <c r="E395" s="91"/>
      <c r="F395" s="91"/>
      <c r="G395" s="91"/>
      <c r="H395" s="91"/>
      <c r="I395" s="91"/>
      <c r="J395" s="91"/>
      <c r="K395" s="91"/>
      <c r="L395" s="486"/>
    </row>
    <row r="396" spans="2:12" s="103" customFormat="1">
      <c r="B396" s="485"/>
      <c r="C396" s="91"/>
      <c r="D396" s="91"/>
      <c r="E396" s="91"/>
      <c r="F396" s="91"/>
      <c r="G396" s="91"/>
      <c r="H396" s="91"/>
      <c r="I396" s="91"/>
      <c r="J396" s="91"/>
      <c r="K396" s="91"/>
      <c r="L396" s="486"/>
    </row>
    <row r="397" spans="2:12" s="103" customFormat="1">
      <c r="B397" s="485"/>
      <c r="C397" s="91"/>
      <c r="D397" s="91"/>
      <c r="E397" s="91"/>
      <c r="F397" s="91"/>
      <c r="G397" s="91"/>
      <c r="H397" s="91"/>
      <c r="I397" s="91"/>
      <c r="J397" s="91"/>
      <c r="K397" s="91"/>
      <c r="L397" s="486"/>
    </row>
    <row r="398" spans="2:12" s="103" customFormat="1">
      <c r="B398" s="485"/>
      <c r="C398" s="91"/>
      <c r="D398" s="91"/>
      <c r="E398" s="91"/>
      <c r="F398" s="91"/>
      <c r="G398" s="91"/>
      <c r="H398" s="91"/>
      <c r="I398" s="91"/>
      <c r="J398" s="91"/>
      <c r="K398" s="91"/>
      <c r="L398" s="486"/>
    </row>
    <row r="399" spans="2:12" s="103" customFormat="1">
      <c r="B399" s="485"/>
      <c r="C399" s="91"/>
      <c r="D399" s="91"/>
      <c r="E399" s="91"/>
      <c r="F399" s="91"/>
      <c r="G399" s="91"/>
      <c r="H399" s="91"/>
      <c r="I399" s="91"/>
      <c r="J399" s="91"/>
      <c r="K399" s="91"/>
      <c r="L399" s="486"/>
    </row>
    <row r="400" spans="2:12" s="103" customFormat="1">
      <c r="B400" s="485"/>
      <c r="C400" s="91"/>
      <c r="D400" s="91"/>
      <c r="E400" s="91"/>
      <c r="F400" s="91"/>
      <c r="G400" s="91"/>
      <c r="H400" s="91"/>
      <c r="I400" s="91"/>
      <c r="J400" s="91"/>
      <c r="K400" s="91"/>
      <c r="L400" s="486"/>
    </row>
    <row r="401" spans="1:12" s="103" customFormat="1">
      <c r="B401" s="485"/>
      <c r="C401" s="91"/>
      <c r="D401" s="91"/>
      <c r="E401" s="91"/>
      <c r="F401" s="91"/>
      <c r="G401" s="91"/>
      <c r="H401" s="91"/>
      <c r="I401" s="91"/>
      <c r="J401" s="91"/>
      <c r="K401" s="91"/>
      <c r="L401" s="486"/>
    </row>
    <row r="402" spans="1:12" s="103" customFormat="1">
      <c r="B402" s="485"/>
      <c r="C402" s="91"/>
      <c r="D402" s="91"/>
      <c r="E402" s="91"/>
      <c r="F402" s="91"/>
      <c r="G402" s="91"/>
      <c r="H402" s="91"/>
      <c r="I402" s="91"/>
      <c r="J402" s="91"/>
      <c r="K402" s="91"/>
      <c r="L402" s="486"/>
    </row>
    <row r="403" spans="1:12" s="103" customFormat="1">
      <c r="B403" s="485"/>
      <c r="C403" s="91"/>
      <c r="D403" s="91"/>
      <c r="E403" s="91"/>
      <c r="F403" s="91"/>
      <c r="G403" s="91"/>
      <c r="H403" s="91"/>
      <c r="I403" s="91"/>
      <c r="J403" s="91"/>
      <c r="K403" s="91"/>
      <c r="L403" s="486"/>
    </row>
    <row r="404" spans="1:12" s="103" customFormat="1">
      <c r="B404" s="488"/>
      <c r="C404" s="489"/>
      <c r="D404" s="489"/>
      <c r="E404" s="489"/>
      <c r="F404" s="489"/>
      <c r="G404" s="489"/>
      <c r="H404" s="489"/>
      <c r="I404" s="489"/>
      <c r="J404" s="489"/>
      <c r="K404" s="489"/>
      <c r="L404" s="491"/>
    </row>
    <row r="405" spans="1:12" s="103" customFormat="1">
      <c r="B405" s="73"/>
      <c r="C405" s="73"/>
      <c r="D405" s="73"/>
      <c r="E405" s="73"/>
      <c r="F405" s="73"/>
      <c r="G405" s="73"/>
      <c r="H405" s="73"/>
      <c r="I405" s="73"/>
      <c r="J405" s="73"/>
      <c r="K405" s="73"/>
      <c r="L405" s="73"/>
    </row>
    <row r="406" spans="1:12" ht="21">
      <c r="A406" s="1" t="s">
        <v>322</v>
      </c>
      <c r="B406" s="82"/>
      <c r="C406" s="6"/>
      <c r="D406" s="62"/>
      <c r="E406" s="92"/>
      <c r="F406" s="92"/>
      <c r="G406" s="92"/>
      <c r="H406" s="92"/>
      <c r="I406" s="92"/>
      <c r="J406" s="92"/>
    </row>
    <row r="407" spans="1:12" s="103" customFormat="1" ht="73.5" customHeight="1">
      <c r="B407" s="484"/>
      <c r="C407" s="579" t="s">
        <v>1149</v>
      </c>
      <c r="D407" s="579"/>
      <c r="E407" s="579"/>
      <c r="F407" s="579"/>
      <c r="G407" s="579"/>
      <c r="H407" s="579"/>
      <c r="I407" s="579"/>
      <c r="J407" s="579"/>
      <c r="K407" s="579"/>
      <c r="L407" s="580"/>
    </row>
    <row r="408" spans="1:12" s="103" customFormat="1" ht="15">
      <c r="B408" s="485"/>
      <c r="C408" s="165"/>
      <c r="D408" s="91"/>
      <c r="E408" s="556" t="str">
        <f>KPIs!D33</f>
        <v xml:space="preserve"> Percentile</v>
      </c>
      <c r="F408" s="556"/>
      <c r="G408" s="556"/>
      <c r="H408" s="91"/>
      <c r="I408" s="91"/>
      <c r="J408" s="91"/>
      <c r="K408" s="91"/>
      <c r="L408" s="486"/>
    </row>
    <row r="409" spans="1:12" s="103" customFormat="1" ht="26.4">
      <c r="B409" s="485"/>
      <c r="C409" s="165"/>
      <c r="D409" s="91"/>
      <c r="E409" s="482" t="str">
        <f>KPIs!D34</f>
        <v>Current (As-Is)</v>
      </c>
      <c r="F409" s="482" t="str">
        <f>KPIs!E34</f>
        <v>Simulated (To-Be)</v>
      </c>
      <c r="G409" s="482" t="s">
        <v>324</v>
      </c>
      <c r="H409" s="91"/>
      <c r="I409" s="91"/>
      <c r="J409" s="91"/>
      <c r="K409" s="91"/>
      <c r="L409" s="486"/>
    </row>
    <row r="410" spans="1:12">
      <c r="A410" s="62"/>
      <c r="B410" s="485"/>
      <c r="C410" s="91"/>
      <c r="D410" s="122" t="str">
        <f>KPIs!C36</f>
        <v>Sales/Marketing Performance</v>
      </c>
      <c r="E410" s="475">
        <f>KPIs!D36</f>
        <v>0.53</v>
      </c>
      <c r="F410" s="475">
        <f ca="1">KPIs!E36</f>
        <v>0.56115889086699411</v>
      </c>
      <c r="G410" s="475">
        <f ca="1">KPIs!F36</f>
        <v>3.1158890866994082E-2</v>
      </c>
      <c r="H410" s="91"/>
      <c r="I410" s="91"/>
      <c r="J410" s="91"/>
      <c r="K410" s="91"/>
      <c r="L410" s="486"/>
    </row>
    <row r="411" spans="1:12">
      <c r="A411" s="62"/>
      <c r="B411" s="485"/>
      <c r="C411" s="91"/>
      <c r="D411" s="122" t="str">
        <f>KPIs!C35</f>
        <v>Business Management Effectiveness</v>
      </c>
      <c r="E411" s="475">
        <f>KPIs!D35</f>
        <v>0.40249999999999991</v>
      </c>
      <c r="F411" s="475">
        <f ca="1">KPIs!E35</f>
        <v>0.53986427831226302</v>
      </c>
      <c r="G411" s="475">
        <f ca="1">KPIs!F35</f>
        <v>0.13736427831226311</v>
      </c>
      <c r="H411" s="91"/>
      <c r="I411" s="91"/>
      <c r="J411" s="91"/>
      <c r="K411" s="91"/>
      <c r="L411" s="486"/>
    </row>
    <row r="412" spans="1:12">
      <c r="A412" s="62"/>
      <c r="B412" s="485"/>
      <c r="C412" s="91"/>
      <c r="D412" s="122" t="str">
        <f>KPIs!C37</f>
        <v>Supply/Operations Performance</v>
      </c>
      <c r="E412" s="475">
        <f>KPIs!D37</f>
        <v>0.40249999999999991</v>
      </c>
      <c r="F412" s="475">
        <f ca="1">KPIs!E37</f>
        <v>0.44377593524665715</v>
      </c>
      <c r="G412" s="475">
        <f ca="1">KPIs!F37</f>
        <v>4.1275935246657236E-2</v>
      </c>
      <c r="H412" s="91"/>
      <c r="I412" s="91"/>
      <c r="J412" s="91"/>
      <c r="K412" s="91"/>
      <c r="L412" s="486"/>
    </row>
    <row r="413" spans="1:12" ht="13.8" thickBot="1">
      <c r="A413" s="62"/>
      <c r="B413" s="485"/>
      <c r="C413" s="91"/>
      <c r="D413" s="122" t="str">
        <f>KPIs!C38</f>
        <v>Financial Management Performance</v>
      </c>
      <c r="E413" s="475">
        <f>KPIs!D38</f>
        <v>0.49249999999999999</v>
      </c>
      <c r="F413" s="475">
        <f ca="1">KPIs!E38</f>
        <v>0.60664307114608551</v>
      </c>
      <c r="G413" s="475">
        <f ca="1">KPIs!F38</f>
        <v>0.11414307114608552</v>
      </c>
      <c r="H413" s="91"/>
      <c r="I413" s="91"/>
      <c r="J413" s="91"/>
      <c r="K413" s="91"/>
      <c r="L413" s="486"/>
    </row>
    <row r="414" spans="1:12" ht="13.8" thickTop="1">
      <c r="A414" s="92"/>
      <c r="B414" s="485"/>
      <c r="C414" s="91"/>
      <c r="D414" s="476" t="str">
        <f>KPIs!C39</f>
        <v>Average</v>
      </c>
      <c r="E414" s="477">
        <f>KPIs!D39</f>
        <v>0.47499999999999992</v>
      </c>
      <c r="F414" s="477">
        <f ca="1">KPIs!E39</f>
        <v>0.53719263241991222</v>
      </c>
      <c r="G414" s="477">
        <f ca="1">KPIs!F39</f>
        <v>6.2192632419912276E-2</v>
      </c>
      <c r="H414" s="91"/>
      <c r="I414" s="91"/>
      <c r="J414" s="91"/>
      <c r="K414" s="91"/>
      <c r="L414" s="486"/>
    </row>
    <row r="415" spans="1:12">
      <c r="A415" s="62"/>
      <c r="B415" s="485"/>
      <c r="C415" s="91"/>
      <c r="D415" s="91"/>
      <c r="E415" s="91"/>
      <c r="F415" s="91"/>
      <c r="G415" s="91"/>
      <c r="H415" s="91"/>
      <c r="I415" s="91"/>
      <c r="J415" s="91"/>
      <c r="K415" s="91"/>
      <c r="L415" s="486"/>
    </row>
    <row r="416" spans="1:12">
      <c r="B416" s="485"/>
      <c r="C416" s="91"/>
      <c r="D416" s="91"/>
      <c r="E416" s="91"/>
      <c r="F416" s="91"/>
      <c r="G416" s="91"/>
      <c r="H416" s="91"/>
      <c r="I416" s="91"/>
      <c r="J416" s="91"/>
      <c r="K416" s="91"/>
      <c r="L416" s="486"/>
    </row>
    <row r="417" spans="2:12">
      <c r="B417" s="485"/>
      <c r="C417" s="91"/>
      <c r="D417" s="91"/>
      <c r="E417" s="91"/>
      <c r="F417" s="91"/>
      <c r="G417" s="91"/>
      <c r="H417" s="91"/>
      <c r="I417" s="91"/>
      <c r="J417" s="91"/>
      <c r="K417" s="91"/>
      <c r="L417" s="486"/>
    </row>
    <row r="418" spans="2:12">
      <c r="B418" s="485"/>
      <c r="C418" s="91"/>
      <c r="D418" s="91"/>
      <c r="E418" s="91"/>
      <c r="F418" s="91"/>
      <c r="G418" s="91"/>
      <c r="H418" s="91"/>
      <c r="I418" s="91"/>
      <c r="J418" s="91"/>
      <c r="K418" s="91"/>
      <c r="L418" s="486"/>
    </row>
    <row r="419" spans="2:12">
      <c r="B419" s="485"/>
      <c r="C419" s="91"/>
      <c r="D419" s="91"/>
      <c r="E419" s="91"/>
      <c r="F419" s="91"/>
      <c r="G419" s="91"/>
      <c r="H419" s="91"/>
      <c r="I419" s="91"/>
      <c r="J419" s="91"/>
      <c r="K419" s="91"/>
      <c r="L419" s="486"/>
    </row>
    <row r="420" spans="2:12">
      <c r="B420" s="485"/>
      <c r="C420" s="91"/>
      <c r="D420" s="91"/>
      <c r="E420" s="91"/>
      <c r="F420" s="91"/>
      <c r="G420" s="91"/>
      <c r="H420" s="91"/>
      <c r="I420" s="91"/>
      <c r="J420" s="91"/>
      <c r="K420" s="91"/>
      <c r="L420" s="486"/>
    </row>
    <row r="421" spans="2:12">
      <c r="B421" s="485"/>
      <c r="C421" s="91"/>
      <c r="D421" s="91"/>
      <c r="E421" s="91"/>
      <c r="F421" s="91"/>
      <c r="G421" s="91"/>
      <c r="H421" s="91"/>
      <c r="I421" s="91"/>
      <c r="J421" s="91"/>
      <c r="K421" s="91"/>
      <c r="L421" s="486"/>
    </row>
    <row r="422" spans="2:12">
      <c r="B422" s="485"/>
      <c r="C422" s="91"/>
      <c r="D422" s="91"/>
      <c r="E422" s="91"/>
      <c r="F422" s="91"/>
      <c r="G422" s="91"/>
      <c r="H422" s="91"/>
      <c r="I422" s="91"/>
      <c r="J422" s="91"/>
      <c r="K422" s="91"/>
      <c r="L422" s="486"/>
    </row>
    <row r="423" spans="2:12">
      <c r="B423" s="485"/>
      <c r="C423" s="91"/>
      <c r="D423" s="91"/>
      <c r="E423" s="91"/>
      <c r="F423" s="91"/>
      <c r="G423" s="91"/>
      <c r="H423" s="91"/>
      <c r="I423" s="91"/>
      <c r="J423" s="91"/>
      <c r="K423" s="91"/>
      <c r="L423" s="486"/>
    </row>
    <row r="424" spans="2:12" s="103" customFormat="1">
      <c r="B424" s="485"/>
      <c r="C424" s="91"/>
      <c r="D424" s="91"/>
      <c r="E424" s="91"/>
      <c r="F424" s="91"/>
      <c r="G424" s="91"/>
      <c r="H424" s="91"/>
      <c r="I424" s="91"/>
      <c r="J424" s="91"/>
      <c r="K424" s="91"/>
      <c r="L424" s="486"/>
    </row>
    <row r="425" spans="2:12" s="103" customFormat="1" ht="12.75" customHeight="1">
      <c r="B425" s="485"/>
      <c r="C425" s="91"/>
      <c r="D425" s="91"/>
      <c r="E425" s="91"/>
      <c r="F425" s="91"/>
      <c r="G425" s="91"/>
      <c r="H425" s="91"/>
      <c r="I425" s="91"/>
      <c r="J425" s="91"/>
      <c r="K425" s="91"/>
      <c r="L425" s="486"/>
    </row>
    <row r="426" spans="2:12">
      <c r="B426" s="485"/>
      <c r="C426" s="91"/>
      <c r="D426" s="91"/>
      <c r="E426" s="91"/>
      <c r="F426" s="91"/>
      <c r="G426" s="91"/>
      <c r="H426" s="91"/>
      <c r="I426" s="91"/>
      <c r="J426" s="91"/>
      <c r="K426" s="91"/>
      <c r="L426" s="486"/>
    </row>
    <row r="427" spans="2:12">
      <c r="B427" s="485"/>
      <c r="C427" s="91"/>
      <c r="D427" s="91"/>
      <c r="E427" s="91"/>
      <c r="F427" s="91"/>
      <c r="G427" s="91"/>
      <c r="H427" s="91"/>
      <c r="I427" s="91"/>
      <c r="J427" s="91"/>
      <c r="K427" s="91"/>
      <c r="L427" s="486"/>
    </row>
    <row r="428" spans="2:12">
      <c r="B428" s="485"/>
      <c r="C428" s="91"/>
      <c r="D428" s="91"/>
      <c r="E428" s="91"/>
      <c r="F428" s="91"/>
      <c r="G428" s="91"/>
      <c r="H428" s="91"/>
      <c r="I428" s="91"/>
      <c r="J428" s="91"/>
      <c r="K428" s="91"/>
      <c r="L428" s="486"/>
    </row>
    <row r="429" spans="2:12">
      <c r="B429" s="485"/>
      <c r="C429" s="91"/>
      <c r="D429" s="91"/>
      <c r="E429" s="91"/>
      <c r="F429" s="91"/>
      <c r="G429" s="91"/>
      <c r="H429" s="91"/>
      <c r="I429" s="91"/>
      <c r="J429" s="91"/>
      <c r="K429" s="91"/>
      <c r="L429" s="486"/>
    </row>
    <row r="430" spans="2:12">
      <c r="B430" s="485"/>
      <c r="C430" s="91"/>
      <c r="D430" s="91"/>
      <c r="E430" s="91"/>
      <c r="F430" s="91"/>
      <c r="G430" s="91"/>
      <c r="H430" s="91"/>
      <c r="I430" s="91"/>
      <c r="J430" s="91"/>
      <c r="K430" s="91"/>
      <c r="L430" s="486"/>
    </row>
    <row r="431" spans="2:12">
      <c r="B431" s="485"/>
      <c r="C431" s="91"/>
      <c r="D431" s="91"/>
      <c r="E431" s="91"/>
      <c r="F431" s="91"/>
      <c r="G431" s="91"/>
      <c r="H431" s="91"/>
      <c r="I431" s="91"/>
      <c r="J431" s="91"/>
      <c r="K431" s="91"/>
      <c r="L431" s="486"/>
    </row>
    <row r="432" spans="2:12">
      <c r="B432" s="485"/>
      <c r="C432" s="91"/>
      <c r="D432" s="91"/>
      <c r="E432" s="91"/>
      <c r="F432" s="91"/>
      <c r="G432" s="91"/>
      <c r="H432" s="91"/>
      <c r="I432" s="91"/>
      <c r="J432" s="91"/>
      <c r="K432" s="91"/>
      <c r="L432" s="486"/>
    </row>
    <row r="433" spans="2:12">
      <c r="B433" s="485"/>
      <c r="C433" s="91"/>
      <c r="D433" s="91"/>
      <c r="E433" s="91"/>
      <c r="F433" s="91"/>
      <c r="G433" s="91"/>
      <c r="H433" s="91"/>
      <c r="I433" s="91"/>
      <c r="J433" s="91"/>
      <c r="K433" s="91"/>
      <c r="L433" s="486"/>
    </row>
    <row r="434" spans="2:12">
      <c r="B434" s="485"/>
      <c r="C434" s="91"/>
      <c r="D434" s="91"/>
      <c r="E434" s="91"/>
      <c r="F434" s="91"/>
      <c r="G434" s="91"/>
      <c r="H434" s="91"/>
      <c r="I434" s="91"/>
      <c r="J434" s="91"/>
      <c r="K434" s="91"/>
      <c r="L434" s="486"/>
    </row>
    <row r="435" spans="2:12">
      <c r="B435" s="488"/>
      <c r="C435" s="489"/>
      <c r="D435" s="489"/>
      <c r="E435" s="489"/>
      <c r="F435" s="489"/>
      <c r="G435" s="489"/>
      <c r="H435" s="489"/>
      <c r="I435" s="489"/>
      <c r="J435" s="489"/>
      <c r="K435" s="489"/>
      <c r="L435" s="491"/>
    </row>
    <row r="436" spans="2:12" ht="3.75" customHeight="1">
      <c r="B436" s="82"/>
      <c r="C436" s="82"/>
    </row>
    <row r="437" spans="2:12">
      <c r="B437" s="403" t="s">
        <v>1023</v>
      </c>
      <c r="C437" s="403"/>
      <c r="D437" s="403"/>
      <c r="E437" s="403"/>
      <c r="F437" s="403"/>
      <c r="G437" s="403"/>
    </row>
    <row r="438" spans="2:12">
      <c r="B438" s="82"/>
      <c r="C438" s="82"/>
    </row>
    <row r="439" spans="2:12">
      <c r="B439" s="82"/>
      <c r="C439" s="82"/>
    </row>
    <row r="440" spans="2:12">
      <c r="B440" s="82"/>
      <c r="C440" s="82"/>
    </row>
    <row r="441" spans="2:12">
      <c r="B441" s="82"/>
      <c r="C441" s="82"/>
    </row>
    <row r="442" spans="2:12">
      <c r="B442" s="82"/>
      <c r="C442" s="82"/>
    </row>
    <row r="443" spans="2:12">
      <c r="B443" s="82"/>
      <c r="C443" s="82"/>
    </row>
    <row r="444" spans="2:12">
      <c r="B444" s="82"/>
      <c r="C444" s="82"/>
    </row>
    <row r="445" spans="2:12">
      <c r="B445" s="82"/>
      <c r="C445" s="82"/>
    </row>
    <row r="446" spans="2:12">
      <c r="B446" s="82"/>
      <c r="C446" s="82"/>
    </row>
    <row r="447" spans="2:12">
      <c r="B447" s="82"/>
      <c r="C447" s="82"/>
    </row>
    <row r="448" spans="2:12">
      <c r="B448" s="82"/>
      <c r="C448" s="82"/>
    </row>
  </sheetData>
  <sheetProtection selectLockedCells="1" selectUnlockedCells="1"/>
  <mergeCells count="36">
    <mergeCell ref="B2:L2"/>
    <mergeCell ref="C45:L45"/>
    <mergeCell ref="C241:L241"/>
    <mergeCell ref="C191:L191"/>
    <mergeCell ref="C160:L160"/>
    <mergeCell ref="C120:L120"/>
    <mergeCell ref="C4:L4"/>
    <mergeCell ref="C131:L131"/>
    <mergeCell ref="E18:G18"/>
    <mergeCell ref="H18:J18"/>
    <mergeCell ref="E192:G192"/>
    <mergeCell ref="E121:G121"/>
    <mergeCell ref="H192:J192"/>
    <mergeCell ref="H121:J121"/>
    <mergeCell ref="E132:G132"/>
    <mergeCell ref="H132:J132"/>
    <mergeCell ref="H372:J372"/>
    <mergeCell ref="E243:G243"/>
    <mergeCell ref="E408:G408"/>
    <mergeCell ref="E296:G296"/>
    <mergeCell ref="H243:J243"/>
    <mergeCell ref="H296:J296"/>
    <mergeCell ref="E339:G339"/>
    <mergeCell ref="H339:J339"/>
    <mergeCell ref="E372:G372"/>
    <mergeCell ref="C407:L407"/>
    <mergeCell ref="C75:L75"/>
    <mergeCell ref="E11:G11"/>
    <mergeCell ref="E13:G13"/>
    <mergeCell ref="E14:G14"/>
    <mergeCell ref="F6:G6"/>
    <mergeCell ref="F7:G7"/>
    <mergeCell ref="F8:G8"/>
    <mergeCell ref="F9:G9"/>
    <mergeCell ref="F10:G10"/>
    <mergeCell ref="E12:G12"/>
  </mergeCells>
  <hyperlinks>
    <hyperlink ref="B437" r:id="rId1" display="© Copyright, 2007, Hall Consulting &amp; Research LLC, All Rights Reserved.  www.hallcr.com"/>
  </hyperlinks>
  <pageMargins left="0.25" right="0.25" top="0.75" bottom="0.75" header="0.3" footer="0.3"/>
  <pageSetup scale="70" fitToHeight="14" orientation="portrait" horizontalDpi="300" verticalDpi="300" r:id="rId2"/>
  <headerFooter>
    <oddFooter>&amp;LTDWI Business Intelligence ROI Calculator&amp;C&amp;A Worksheet&amp;R&amp;P of &amp;N</oddFooter>
  </headerFooter>
  <rowBreaks count="6" manualBreakCount="6">
    <brk id="43" max="12" man="1"/>
    <brk id="73" max="12" man="1"/>
    <brk id="129" max="12" man="1"/>
    <brk id="189" max="12" man="1"/>
    <brk id="239" max="12" man="1"/>
    <brk id="294" max="12" man="1"/>
  </rowBreaks>
  <drawing r:id="rId3"/>
</worksheet>
</file>

<file path=xl/worksheets/sheet13.xml><?xml version="1.0" encoding="utf-8"?>
<worksheet xmlns="http://schemas.openxmlformats.org/spreadsheetml/2006/main" xmlns:r="http://schemas.openxmlformats.org/officeDocument/2006/relationships">
  <sheetPr codeName="Sheet10">
    <tabColor theme="1" tint="0.499984740745262"/>
    <pageSetUpPr fitToPage="1"/>
  </sheetPr>
  <dimension ref="A1:IL186"/>
  <sheetViews>
    <sheetView showGridLines="0" zoomScale="90" zoomScaleNormal="90" workbookViewId="0">
      <pane xSplit="3" ySplit="8" topLeftCell="D9" activePane="bottomRight" state="frozen"/>
      <selection activeCell="D22" sqref="D22"/>
      <selection pane="topRight" activeCell="D22" sqref="D22"/>
      <selection pane="bottomLeft" activeCell="D22" sqref="D22"/>
      <selection pane="bottomRight" activeCell="D187" sqref="D187"/>
    </sheetView>
  </sheetViews>
  <sheetFormatPr defaultColWidth="9.109375" defaultRowHeight="13.2"/>
  <cols>
    <col min="1" max="1" width="1.6640625" style="343" customWidth="1"/>
    <col min="2" max="2" width="2.109375" style="343" customWidth="1"/>
    <col min="3" max="3" width="32.5546875" style="343" customWidth="1"/>
    <col min="4" max="4" width="6.33203125" style="343" bestFit="1" customWidth="1"/>
    <col min="5" max="5" width="5.44140625" style="343" customWidth="1"/>
    <col min="6" max="24" width="4.109375" style="343" customWidth="1"/>
    <col min="25" max="25" width="2.88671875" style="343" customWidth="1"/>
    <col min="26" max="26" width="2.109375" style="343" bestFit="1" customWidth="1"/>
    <col min="27" max="27" width="2.88671875" style="343" customWidth="1"/>
    <col min="28" max="28" width="2.109375" style="343" bestFit="1" customWidth="1"/>
    <col min="29" max="29" width="2.88671875" style="343" customWidth="1"/>
    <col min="30" max="30" width="2.109375" style="343" bestFit="1" customWidth="1"/>
    <col min="31" max="31" width="2.88671875" style="343" customWidth="1"/>
    <col min="32" max="32" width="3.33203125" style="343" bestFit="1" customWidth="1"/>
    <col min="33" max="33" width="2.88671875" style="343" customWidth="1"/>
    <col min="34" max="34" width="2.109375" style="343" bestFit="1" customWidth="1"/>
    <col min="35" max="35" width="2.88671875" style="343" customWidth="1"/>
    <col min="36" max="36" width="2.109375" style="343" bestFit="1" customWidth="1"/>
    <col min="37" max="37" width="2.88671875" style="343" customWidth="1"/>
    <col min="38" max="38" width="2.109375" style="343" bestFit="1" customWidth="1"/>
    <col min="39" max="39" width="2.88671875" style="343" customWidth="1"/>
    <col min="40" max="40" width="2.109375" style="343" bestFit="1" customWidth="1"/>
    <col min="41" max="41" width="2.88671875" style="343" customWidth="1"/>
    <col min="42" max="42" width="3.33203125" style="343" bestFit="1" customWidth="1"/>
    <col min="43" max="43" width="2.88671875" style="343" customWidth="1"/>
    <col min="44" max="44" width="3.109375" style="343" bestFit="1" customWidth="1"/>
    <col min="45" max="64" width="3.109375" style="343" customWidth="1"/>
    <col min="65" max="65" width="1.6640625" style="343" customWidth="1"/>
    <col min="66" max="66" width="7.88671875" style="343" bestFit="1" customWidth="1"/>
    <col min="67" max="67" width="1.5546875" style="343" customWidth="1"/>
    <col min="68" max="68" width="19.88671875" style="29" customWidth="1"/>
    <col min="69" max="69" width="8.109375" style="343" bestFit="1" customWidth="1"/>
    <col min="70" max="70" width="3.109375" style="343" bestFit="1" customWidth="1"/>
    <col min="71" max="71" width="7.5546875" style="343" bestFit="1" customWidth="1"/>
    <col min="72" max="72" width="3.109375" style="343" customWidth="1"/>
    <col min="73" max="73" width="5.5546875" style="343" customWidth="1"/>
    <col min="74" max="74" width="4.88671875" style="343" customWidth="1"/>
    <col min="75" max="76" width="1.5546875" style="343" customWidth="1"/>
    <col min="77" max="96" width="5" style="343" customWidth="1"/>
    <col min="97" max="97" width="1.5546875" style="343" customWidth="1"/>
    <col min="98" max="98" width="5.88671875" style="343" bestFit="1" customWidth="1"/>
    <col min="99" max="101" width="4.6640625" style="343" bestFit="1" customWidth="1"/>
    <col min="102" max="102" width="7" style="343" bestFit="1" customWidth="1"/>
    <col min="103" max="106" width="3.6640625" style="343" bestFit="1" customWidth="1"/>
    <col min="107" max="116" width="3.6640625" style="343" customWidth="1"/>
    <col min="117" max="117" width="3.6640625" style="343" bestFit="1" customWidth="1"/>
    <col min="118" max="118" width="5" style="343" bestFit="1" customWidth="1"/>
    <col min="119" max="119" width="1.6640625" style="343" customWidth="1"/>
    <col min="120" max="120" width="5.6640625" style="343" bestFit="1" customWidth="1"/>
    <col min="121" max="121" width="4.109375" style="343" customWidth="1"/>
    <col min="122" max="124" width="4.6640625" style="343" bestFit="1" customWidth="1"/>
    <col min="125" max="125" width="3.6640625" style="343" bestFit="1" customWidth="1"/>
    <col min="126" max="126" width="4.6640625" style="343" bestFit="1" customWidth="1"/>
    <col min="127" max="128" width="3.6640625" style="343" bestFit="1" customWidth="1"/>
    <col min="129" max="138" width="3.6640625" style="343" customWidth="1"/>
    <col min="139" max="139" width="3.6640625" style="343" bestFit="1" customWidth="1"/>
    <col min="140" max="140" width="5.88671875" style="343" bestFit="1" customWidth="1"/>
    <col min="141" max="141" width="1.6640625" style="343" customWidth="1"/>
    <col min="142" max="142" width="5.109375" style="343" bestFit="1" customWidth="1"/>
    <col min="143" max="150" width="2" style="343" bestFit="1" customWidth="1"/>
    <col min="151" max="160" width="2" style="343" customWidth="1"/>
    <col min="161" max="161" width="3" style="343" bestFit="1" customWidth="1"/>
    <col min="162" max="162" width="1.6640625" style="343" customWidth="1"/>
    <col min="163" max="163" width="5.109375" style="343" bestFit="1" customWidth="1"/>
    <col min="164" max="164" width="2" style="343" bestFit="1" customWidth="1"/>
    <col min="165" max="165" width="3.6640625" style="343" customWidth="1"/>
    <col min="166" max="166" width="2" style="343" bestFit="1" customWidth="1"/>
    <col min="167" max="167" width="3.33203125" style="343" customWidth="1"/>
    <col min="168" max="171" width="2" style="343" bestFit="1" customWidth="1"/>
    <col min="172" max="181" width="2" style="343" customWidth="1"/>
    <col min="182" max="182" width="3" style="343" bestFit="1" customWidth="1"/>
    <col min="183" max="183" width="1.6640625" style="343" customWidth="1"/>
    <col min="184" max="184" width="2.109375" style="343" customWidth="1"/>
    <col min="185" max="192" width="2.33203125" style="343" customWidth="1"/>
    <col min="193" max="193" width="3.109375" style="343" customWidth="1"/>
    <col min="194" max="203" width="3.109375" style="343" bestFit="1" customWidth="1"/>
    <col min="204" max="204" width="2" style="343" customWidth="1"/>
    <col min="205" max="224" width="5" style="343" customWidth="1"/>
    <col min="225" max="225" width="1.5546875" style="343" customWidth="1"/>
    <col min="226" max="226" width="5.88671875" style="343" bestFit="1" customWidth="1"/>
    <col min="227" max="229" width="4.6640625" style="343" bestFit="1" customWidth="1"/>
    <col min="230" max="230" width="7" style="343" bestFit="1" customWidth="1"/>
    <col min="231" max="234" width="4" style="343" bestFit="1" customWidth="1"/>
    <col min="235" max="244" width="3.6640625" style="343" customWidth="1"/>
    <col min="245" max="245" width="4" style="343" bestFit="1" customWidth="1"/>
    <col min="246" max="246" width="5" style="343" bestFit="1" customWidth="1"/>
    <col min="247" max="16384" width="9.109375" style="343"/>
  </cols>
  <sheetData>
    <row r="1" spans="1:246" ht="27.6">
      <c r="B1" s="2" t="s">
        <v>692</v>
      </c>
    </row>
    <row r="2" spans="1:246" hidden="1">
      <c r="B2" s="267"/>
      <c r="C2" s="267"/>
      <c r="D2" s="267"/>
      <c r="BQ2" s="267" t="s">
        <v>679</v>
      </c>
      <c r="BS2" s="267" t="s">
        <v>696</v>
      </c>
      <c r="BY2" s="267" t="s">
        <v>712</v>
      </c>
      <c r="CB2" s="267" t="s">
        <v>1040</v>
      </c>
    </row>
    <row r="3" spans="1:246" hidden="1">
      <c r="B3" s="265"/>
      <c r="BQ3" s="265" t="s">
        <v>907</v>
      </c>
      <c r="BS3" s="343">
        <v>2</v>
      </c>
      <c r="BT3" s="343">
        <v>3</v>
      </c>
      <c r="BY3" s="352">
        <v>8</v>
      </c>
      <c r="CB3" s="409">
        <v>4</v>
      </c>
    </row>
    <row r="4" spans="1:246" ht="12.75" hidden="1" customHeight="1">
      <c r="D4" s="586" t="s">
        <v>990</v>
      </c>
      <c r="E4" s="358" t="s">
        <v>973</v>
      </c>
      <c r="F4" s="356"/>
      <c r="G4" s="356"/>
      <c r="H4" s="356"/>
      <c r="I4" s="356"/>
      <c r="J4" s="356"/>
      <c r="K4" s="356"/>
      <c r="L4" s="356"/>
      <c r="M4" s="356"/>
      <c r="N4" s="356"/>
      <c r="O4" s="356"/>
      <c r="P4" s="356"/>
      <c r="Q4" s="356"/>
      <c r="R4" s="356"/>
      <c r="S4" s="356"/>
      <c r="T4" s="356"/>
      <c r="U4" s="356"/>
      <c r="V4" s="356"/>
      <c r="W4" s="356"/>
      <c r="X4" s="356"/>
      <c r="Y4" s="390" t="s">
        <v>974</v>
      </c>
      <c r="Z4" s="356"/>
      <c r="AA4" s="356"/>
      <c r="AB4" s="356"/>
      <c r="AC4" s="356"/>
      <c r="AD4" s="356"/>
      <c r="AE4" s="356"/>
      <c r="AF4" s="356"/>
      <c r="AG4" s="356"/>
      <c r="AH4" s="356"/>
      <c r="AI4" s="356"/>
      <c r="AJ4" s="356"/>
      <c r="AK4" s="356"/>
      <c r="AL4" s="356"/>
      <c r="AM4" s="356"/>
      <c r="AN4" s="356"/>
      <c r="AO4" s="356"/>
      <c r="AP4" s="356"/>
      <c r="AQ4" s="357"/>
      <c r="AR4" s="356"/>
      <c r="AS4" s="341"/>
      <c r="AT4" s="368"/>
      <c r="AU4" s="341"/>
      <c r="AV4" s="368"/>
      <c r="AW4" s="341"/>
      <c r="AX4" s="368"/>
      <c r="AY4" s="341"/>
      <c r="AZ4" s="368"/>
      <c r="BA4" s="341"/>
      <c r="BB4" s="368"/>
      <c r="BC4" s="341"/>
      <c r="BD4" s="368"/>
      <c r="BE4" s="341"/>
      <c r="BF4" s="368"/>
      <c r="BG4" s="341"/>
      <c r="BH4" s="368"/>
      <c r="BI4" s="341"/>
      <c r="BJ4" s="368"/>
      <c r="BK4" s="341"/>
      <c r="BL4" s="368"/>
      <c r="BN4" s="357"/>
      <c r="BQ4" s="532" t="s">
        <v>697</v>
      </c>
      <c r="BR4" s="532"/>
      <c r="BS4" s="532"/>
      <c r="BT4" s="532"/>
      <c r="BU4" s="532"/>
      <c r="BV4" s="532"/>
      <c r="BY4" s="532" t="s">
        <v>678</v>
      </c>
      <c r="BZ4" s="532"/>
      <c r="CA4" s="532"/>
      <c r="CB4" s="532"/>
      <c r="CC4" s="532"/>
      <c r="CD4" s="532"/>
      <c r="CE4" s="532"/>
      <c r="CF4" s="532"/>
      <c r="CG4" s="532"/>
      <c r="CH4" s="532"/>
      <c r="CI4" s="532"/>
      <c r="CJ4" s="532"/>
      <c r="CK4" s="532"/>
      <c r="CL4" s="532"/>
      <c r="CM4" s="532"/>
      <c r="CN4" s="532"/>
      <c r="CO4" s="532"/>
      <c r="CP4" s="532"/>
      <c r="CQ4" s="532"/>
      <c r="CR4" s="532"/>
      <c r="CT4" s="532" t="s">
        <v>693</v>
      </c>
      <c r="CU4" s="532"/>
      <c r="CV4" s="532"/>
      <c r="CW4" s="532"/>
      <c r="CX4" s="532"/>
      <c r="CY4" s="532"/>
      <c r="CZ4" s="532"/>
      <c r="DA4" s="532"/>
      <c r="DB4" s="532"/>
      <c r="DC4" s="532"/>
      <c r="DD4" s="532"/>
      <c r="DE4" s="532"/>
      <c r="DF4" s="532"/>
      <c r="DG4" s="532"/>
      <c r="DH4" s="532"/>
      <c r="DI4" s="532"/>
      <c r="DJ4" s="532"/>
      <c r="DK4" s="532"/>
      <c r="DL4" s="532"/>
      <c r="DM4" s="532"/>
      <c r="DN4" s="532"/>
      <c r="DP4" s="532" t="s">
        <v>694</v>
      </c>
      <c r="DQ4" s="532"/>
      <c r="DR4" s="532"/>
      <c r="DS4" s="532"/>
      <c r="DT4" s="532"/>
      <c r="DU4" s="532"/>
      <c r="DV4" s="532"/>
      <c r="DW4" s="532"/>
      <c r="DX4" s="532"/>
      <c r="DY4" s="532"/>
      <c r="DZ4" s="532"/>
      <c r="EA4" s="532"/>
      <c r="EB4" s="532"/>
      <c r="EC4" s="532"/>
      <c r="ED4" s="532"/>
      <c r="EE4" s="532"/>
      <c r="EF4" s="532"/>
      <c r="EG4" s="532"/>
      <c r="EH4" s="532"/>
      <c r="EI4" s="532"/>
      <c r="EJ4" s="532"/>
      <c r="EL4" s="532" t="s">
        <v>695</v>
      </c>
      <c r="EM4" s="532"/>
      <c r="EN4" s="532"/>
      <c r="EO4" s="532"/>
      <c r="EP4" s="532"/>
      <c r="EQ4" s="532"/>
      <c r="ER4" s="532"/>
      <c r="ES4" s="532"/>
      <c r="ET4" s="532"/>
      <c r="EU4" s="532"/>
      <c r="EV4" s="532"/>
      <c r="EW4" s="532"/>
      <c r="EX4" s="532"/>
      <c r="EY4" s="532"/>
      <c r="EZ4" s="532"/>
      <c r="FA4" s="532"/>
      <c r="FB4" s="532"/>
      <c r="FC4" s="532"/>
      <c r="FD4" s="532"/>
      <c r="FE4" s="532"/>
      <c r="FG4" s="532" t="s">
        <v>702</v>
      </c>
      <c r="FH4" s="532"/>
      <c r="FI4" s="532"/>
      <c r="FJ4" s="532"/>
      <c r="FK4" s="532"/>
      <c r="FL4" s="532"/>
      <c r="FM4" s="532"/>
      <c r="FN4" s="532"/>
      <c r="FO4" s="532"/>
      <c r="FP4" s="532"/>
      <c r="FQ4" s="532"/>
      <c r="FR4" s="532"/>
      <c r="FS4" s="532"/>
      <c r="FT4" s="532"/>
      <c r="FU4" s="532"/>
      <c r="FV4" s="532"/>
      <c r="FW4" s="532"/>
      <c r="FX4" s="532"/>
      <c r="FY4" s="532"/>
      <c r="FZ4" s="532"/>
      <c r="GB4" s="532" t="s">
        <v>700</v>
      </c>
      <c r="GC4" s="532"/>
      <c r="GD4" s="532"/>
      <c r="GE4" s="532"/>
      <c r="GF4" s="532"/>
      <c r="GG4" s="532"/>
      <c r="GH4" s="532"/>
      <c r="GI4" s="532"/>
      <c r="GJ4" s="532"/>
      <c r="GK4" s="532"/>
      <c r="GL4" s="532"/>
      <c r="GM4" s="532"/>
      <c r="GN4" s="532"/>
      <c r="GO4" s="532"/>
      <c r="GP4" s="532"/>
      <c r="GQ4" s="532"/>
      <c r="GR4" s="532"/>
      <c r="GS4" s="532"/>
      <c r="GT4" s="532"/>
      <c r="GU4" s="532"/>
      <c r="GW4" s="532" t="s">
        <v>678</v>
      </c>
      <c r="GX4" s="532"/>
      <c r="GY4" s="532"/>
      <c r="GZ4" s="532"/>
      <c r="HA4" s="532"/>
      <c r="HB4" s="532"/>
      <c r="HC4" s="532"/>
      <c r="HD4" s="532"/>
      <c r="HE4" s="532"/>
      <c r="HF4" s="532"/>
      <c r="HG4" s="532"/>
      <c r="HH4" s="532"/>
      <c r="HI4" s="532"/>
      <c r="HJ4" s="532"/>
      <c r="HK4" s="532"/>
      <c r="HL4" s="532"/>
      <c r="HM4" s="532"/>
      <c r="HN4" s="532"/>
      <c r="HO4" s="532"/>
      <c r="HP4" s="532"/>
      <c r="HQ4" s="409"/>
      <c r="HR4" s="532" t="s">
        <v>693</v>
      </c>
      <c r="HS4" s="532"/>
      <c r="HT4" s="532"/>
      <c r="HU4" s="532"/>
      <c r="HV4" s="532"/>
      <c r="HW4" s="532"/>
      <c r="HX4" s="532"/>
      <c r="HY4" s="532"/>
      <c r="HZ4" s="532"/>
      <c r="IA4" s="532"/>
      <c r="IB4" s="532"/>
      <c r="IC4" s="532"/>
      <c r="ID4" s="532"/>
      <c r="IE4" s="532"/>
      <c r="IF4" s="532"/>
      <c r="IG4" s="532"/>
      <c r="IH4" s="532"/>
      <c r="II4" s="532"/>
      <c r="IJ4" s="532"/>
      <c r="IK4" s="532"/>
      <c r="IL4" s="532"/>
    </row>
    <row r="5" spans="1:246" ht="26.4" hidden="1">
      <c r="D5" s="587"/>
      <c r="E5" s="369">
        <v>1</v>
      </c>
      <c r="F5" s="369">
        <v>2</v>
      </c>
      <c r="G5" s="369">
        <v>3</v>
      </c>
      <c r="H5" s="369">
        <v>4</v>
      </c>
      <c r="I5" s="369">
        <v>5</v>
      </c>
      <c r="J5" s="369">
        <v>6</v>
      </c>
      <c r="K5" s="369">
        <v>7</v>
      </c>
      <c r="L5" s="369">
        <v>8</v>
      </c>
      <c r="M5" s="369">
        <v>9</v>
      </c>
      <c r="N5" s="369">
        <v>10</v>
      </c>
      <c r="O5" s="369">
        <v>11</v>
      </c>
      <c r="P5" s="369">
        <v>12</v>
      </c>
      <c r="Q5" s="369">
        <v>13</v>
      </c>
      <c r="R5" s="369">
        <v>14</v>
      </c>
      <c r="S5" s="369">
        <v>15</v>
      </c>
      <c r="T5" s="369">
        <v>16</v>
      </c>
      <c r="U5" s="369">
        <v>17</v>
      </c>
      <c r="V5" s="369">
        <v>18</v>
      </c>
      <c r="W5" s="369">
        <v>19</v>
      </c>
      <c r="X5" s="369">
        <v>20</v>
      </c>
      <c r="Y5" s="341">
        <v>1</v>
      </c>
      <c r="Z5" s="370">
        <v>1</v>
      </c>
      <c r="AA5" s="341">
        <v>2</v>
      </c>
      <c r="AB5" s="370">
        <v>2</v>
      </c>
      <c r="AC5" s="341">
        <v>3</v>
      </c>
      <c r="AD5" s="370">
        <v>3</v>
      </c>
      <c r="AE5" s="341">
        <v>4</v>
      </c>
      <c r="AF5" s="370">
        <v>4</v>
      </c>
      <c r="AG5" s="341">
        <v>5</v>
      </c>
      <c r="AH5" s="370">
        <v>5</v>
      </c>
      <c r="AI5" s="341">
        <v>6</v>
      </c>
      <c r="AJ5" s="370">
        <v>6</v>
      </c>
      <c r="AK5" s="341">
        <v>7</v>
      </c>
      <c r="AL5" s="370">
        <v>7</v>
      </c>
      <c r="AM5" s="341">
        <v>8</v>
      </c>
      <c r="AN5" s="370">
        <v>8</v>
      </c>
      <c r="AO5" s="341">
        <v>9</v>
      </c>
      <c r="AP5" s="370">
        <v>9</v>
      </c>
      <c r="AQ5" s="341">
        <v>10</v>
      </c>
      <c r="AR5" s="370">
        <v>10</v>
      </c>
      <c r="AS5" s="341">
        <v>11</v>
      </c>
      <c r="AT5" s="370">
        <v>11</v>
      </c>
      <c r="AU5" s="341">
        <v>12</v>
      </c>
      <c r="AV5" s="370">
        <v>12</v>
      </c>
      <c r="AW5" s="341">
        <v>13</v>
      </c>
      <c r="AX5" s="370">
        <v>13</v>
      </c>
      <c r="AY5" s="341">
        <v>14</v>
      </c>
      <c r="AZ5" s="370">
        <v>14</v>
      </c>
      <c r="BA5" s="341">
        <v>15</v>
      </c>
      <c r="BB5" s="370">
        <v>15</v>
      </c>
      <c r="BC5" s="341">
        <v>16</v>
      </c>
      <c r="BD5" s="370">
        <v>16</v>
      </c>
      <c r="BE5" s="341">
        <v>17</v>
      </c>
      <c r="BF5" s="370">
        <v>17</v>
      </c>
      <c r="BG5" s="341">
        <v>18</v>
      </c>
      <c r="BH5" s="370">
        <v>18</v>
      </c>
      <c r="BI5" s="341">
        <v>19</v>
      </c>
      <c r="BJ5" s="370">
        <v>19</v>
      </c>
      <c r="BK5" s="341">
        <v>20</v>
      </c>
      <c r="BL5" s="370">
        <v>20</v>
      </c>
      <c r="BN5" s="341" t="s">
        <v>676</v>
      </c>
      <c r="BP5" s="371" t="s">
        <v>908</v>
      </c>
      <c r="BQ5" s="341" t="s">
        <v>909</v>
      </c>
      <c r="BR5" s="341" t="s">
        <v>699</v>
      </c>
      <c r="BS5" s="341" t="s">
        <v>698</v>
      </c>
      <c r="BT5" s="341" t="s">
        <v>699</v>
      </c>
      <c r="BU5" s="341" t="s">
        <v>701</v>
      </c>
      <c r="BV5" s="341" t="s">
        <v>676</v>
      </c>
      <c r="BY5" s="341">
        <v>1</v>
      </c>
      <c r="BZ5" s="341">
        <v>2</v>
      </c>
      <c r="CA5" s="341">
        <v>3</v>
      </c>
      <c r="CB5" s="341">
        <v>4</v>
      </c>
      <c r="CC5" s="341">
        <v>5</v>
      </c>
      <c r="CD5" s="341">
        <v>6</v>
      </c>
      <c r="CE5" s="341">
        <v>7</v>
      </c>
      <c r="CF5" s="341">
        <v>8</v>
      </c>
      <c r="CG5" s="341">
        <v>9</v>
      </c>
      <c r="CH5" s="341">
        <v>10</v>
      </c>
      <c r="CI5" s="341">
        <v>11</v>
      </c>
      <c r="CJ5" s="341">
        <v>12</v>
      </c>
      <c r="CK5" s="341">
        <v>13</v>
      </c>
      <c r="CL5" s="341">
        <v>14</v>
      </c>
      <c r="CM5" s="341">
        <v>15</v>
      </c>
      <c r="CN5" s="341">
        <v>16</v>
      </c>
      <c r="CO5" s="341">
        <v>17</v>
      </c>
      <c r="CP5" s="341">
        <v>18</v>
      </c>
      <c r="CQ5" s="341">
        <v>19</v>
      </c>
      <c r="CR5" s="341">
        <v>20</v>
      </c>
      <c r="CT5" s="341">
        <v>1</v>
      </c>
      <c r="CU5" s="341">
        <v>2</v>
      </c>
      <c r="CV5" s="341">
        <v>3</v>
      </c>
      <c r="CW5" s="341">
        <v>4</v>
      </c>
      <c r="CX5" s="341">
        <v>5</v>
      </c>
      <c r="CY5" s="341">
        <v>6</v>
      </c>
      <c r="CZ5" s="341">
        <v>7</v>
      </c>
      <c r="DA5" s="341">
        <v>8</v>
      </c>
      <c r="DB5" s="341">
        <v>9</v>
      </c>
      <c r="DC5" s="341">
        <v>10</v>
      </c>
      <c r="DD5" s="341">
        <v>11</v>
      </c>
      <c r="DE5" s="341">
        <v>12</v>
      </c>
      <c r="DF5" s="341">
        <v>13</v>
      </c>
      <c r="DG5" s="341">
        <v>14</v>
      </c>
      <c r="DH5" s="341">
        <v>15</v>
      </c>
      <c r="DI5" s="341">
        <v>16</v>
      </c>
      <c r="DJ5" s="341">
        <v>17</v>
      </c>
      <c r="DK5" s="341">
        <v>18</v>
      </c>
      <c r="DL5" s="341">
        <v>19</v>
      </c>
      <c r="DM5" s="341">
        <v>20</v>
      </c>
      <c r="DN5" s="341" t="s">
        <v>676</v>
      </c>
      <c r="DP5" s="341">
        <v>1</v>
      </c>
      <c r="DQ5" s="341">
        <v>2</v>
      </c>
      <c r="DR5" s="341">
        <v>3</v>
      </c>
      <c r="DS5" s="341">
        <v>4</v>
      </c>
      <c r="DT5" s="341">
        <v>5</v>
      </c>
      <c r="DU5" s="341">
        <v>6</v>
      </c>
      <c r="DV5" s="341">
        <v>7</v>
      </c>
      <c r="DW5" s="341">
        <v>8</v>
      </c>
      <c r="DX5" s="341">
        <v>9</v>
      </c>
      <c r="DY5" s="341">
        <v>10</v>
      </c>
      <c r="DZ5" s="341">
        <v>11</v>
      </c>
      <c r="EA5" s="341">
        <v>12</v>
      </c>
      <c r="EB5" s="341">
        <v>13</v>
      </c>
      <c r="EC5" s="341">
        <v>14</v>
      </c>
      <c r="ED5" s="341">
        <v>15</v>
      </c>
      <c r="EE5" s="341">
        <v>16</v>
      </c>
      <c r="EF5" s="341">
        <v>17</v>
      </c>
      <c r="EG5" s="341">
        <v>18</v>
      </c>
      <c r="EH5" s="341">
        <v>19</v>
      </c>
      <c r="EI5" s="341">
        <v>20</v>
      </c>
      <c r="EJ5" s="341" t="s">
        <v>676</v>
      </c>
      <c r="EL5" s="341">
        <v>1</v>
      </c>
      <c r="EM5" s="341">
        <v>2</v>
      </c>
      <c r="EN5" s="341">
        <v>3</v>
      </c>
      <c r="EO5" s="341">
        <v>4</v>
      </c>
      <c r="EP5" s="341">
        <v>5</v>
      </c>
      <c r="EQ5" s="341">
        <v>6</v>
      </c>
      <c r="ER5" s="341">
        <v>7</v>
      </c>
      <c r="ES5" s="341">
        <v>8</v>
      </c>
      <c r="ET5" s="341">
        <v>9</v>
      </c>
      <c r="EU5" s="341">
        <v>10</v>
      </c>
      <c r="EV5" s="341">
        <v>11</v>
      </c>
      <c r="EW5" s="341">
        <v>12</v>
      </c>
      <c r="EX5" s="341">
        <v>13</v>
      </c>
      <c r="EY5" s="341">
        <v>14</v>
      </c>
      <c r="EZ5" s="341">
        <v>15</v>
      </c>
      <c r="FA5" s="341">
        <v>16</v>
      </c>
      <c r="FB5" s="341">
        <v>17</v>
      </c>
      <c r="FC5" s="341">
        <v>18</v>
      </c>
      <c r="FD5" s="341">
        <v>19</v>
      </c>
      <c r="FE5" s="341">
        <v>20</v>
      </c>
      <c r="FG5" s="341">
        <v>1</v>
      </c>
      <c r="FH5" s="341">
        <v>2</v>
      </c>
      <c r="FI5" s="341">
        <v>3</v>
      </c>
      <c r="FJ5" s="341">
        <v>4</v>
      </c>
      <c r="FK5" s="341">
        <v>5</v>
      </c>
      <c r="FL5" s="341">
        <v>6</v>
      </c>
      <c r="FM5" s="341">
        <v>7</v>
      </c>
      <c r="FN5" s="341">
        <v>8</v>
      </c>
      <c r="FO5" s="341">
        <v>9</v>
      </c>
      <c r="FP5" s="341">
        <v>10</v>
      </c>
      <c r="FQ5" s="341">
        <v>11</v>
      </c>
      <c r="FR5" s="341">
        <v>12</v>
      </c>
      <c r="FS5" s="341">
        <v>13</v>
      </c>
      <c r="FT5" s="341">
        <v>14</v>
      </c>
      <c r="FU5" s="341">
        <v>15</v>
      </c>
      <c r="FV5" s="341">
        <v>16</v>
      </c>
      <c r="FW5" s="341">
        <v>17</v>
      </c>
      <c r="FX5" s="341">
        <v>18</v>
      </c>
      <c r="FY5" s="341">
        <v>19</v>
      </c>
      <c r="FZ5" s="341">
        <v>20</v>
      </c>
      <c r="GB5" s="341">
        <v>1</v>
      </c>
      <c r="GC5" s="341">
        <v>2</v>
      </c>
      <c r="GD5" s="341">
        <v>3</v>
      </c>
      <c r="GE5" s="341">
        <v>4</v>
      </c>
      <c r="GF5" s="341">
        <v>5</v>
      </c>
      <c r="GG5" s="341">
        <v>6</v>
      </c>
      <c r="GH5" s="341">
        <v>7</v>
      </c>
      <c r="GI5" s="341">
        <v>8</v>
      </c>
      <c r="GJ5" s="341">
        <v>9</v>
      </c>
      <c r="GK5" s="341">
        <v>10</v>
      </c>
      <c r="GL5" s="341">
        <v>11</v>
      </c>
      <c r="GM5" s="341">
        <v>12</v>
      </c>
      <c r="GN5" s="341">
        <v>13</v>
      </c>
      <c r="GO5" s="341">
        <v>14</v>
      </c>
      <c r="GP5" s="341">
        <v>15</v>
      </c>
      <c r="GQ5" s="341">
        <v>16</v>
      </c>
      <c r="GR5" s="341">
        <v>17</v>
      </c>
      <c r="GS5" s="341">
        <v>18</v>
      </c>
      <c r="GT5" s="341">
        <v>19</v>
      </c>
      <c r="GU5" s="341">
        <v>20</v>
      </c>
      <c r="GW5" s="406">
        <v>1</v>
      </c>
      <c r="GX5" s="406">
        <v>2</v>
      </c>
      <c r="GY5" s="406">
        <v>3</v>
      </c>
      <c r="GZ5" s="406">
        <v>4</v>
      </c>
      <c r="HA5" s="406">
        <v>5</v>
      </c>
      <c r="HB5" s="406">
        <v>6</v>
      </c>
      <c r="HC5" s="406">
        <v>7</v>
      </c>
      <c r="HD5" s="406">
        <v>8</v>
      </c>
      <c r="HE5" s="406">
        <v>9</v>
      </c>
      <c r="HF5" s="406">
        <v>10</v>
      </c>
      <c r="HG5" s="406">
        <v>11</v>
      </c>
      <c r="HH5" s="406">
        <v>12</v>
      </c>
      <c r="HI5" s="406">
        <v>13</v>
      </c>
      <c r="HJ5" s="406">
        <v>14</v>
      </c>
      <c r="HK5" s="406">
        <v>15</v>
      </c>
      <c r="HL5" s="406">
        <v>16</v>
      </c>
      <c r="HM5" s="406">
        <v>17</v>
      </c>
      <c r="HN5" s="406">
        <v>18</v>
      </c>
      <c r="HO5" s="406">
        <v>19</v>
      </c>
      <c r="HP5" s="406">
        <v>20</v>
      </c>
      <c r="HQ5" s="409"/>
      <c r="HR5" s="406">
        <v>1</v>
      </c>
      <c r="HS5" s="406">
        <v>2</v>
      </c>
      <c r="HT5" s="406">
        <v>3</v>
      </c>
      <c r="HU5" s="406">
        <v>4</v>
      </c>
      <c r="HV5" s="406">
        <v>5</v>
      </c>
      <c r="HW5" s="406">
        <v>6</v>
      </c>
      <c r="HX5" s="406">
        <v>7</v>
      </c>
      <c r="HY5" s="406">
        <v>8</v>
      </c>
      <c r="HZ5" s="406">
        <v>9</v>
      </c>
      <c r="IA5" s="406">
        <v>10</v>
      </c>
      <c r="IB5" s="406">
        <v>11</v>
      </c>
      <c r="IC5" s="406">
        <v>12</v>
      </c>
      <c r="ID5" s="406">
        <v>13</v>
      </c>
      <c r="IE5" s="406">
        <v>14</v>
      </c>
      <c r="IF5" s="406">
        <v>15</v>
      </c>
      <c r="IG5" s="406">
        <v>16</v>
      </c>
      <c r="IH5" s="406">
        <v>17</v>
      </c>
      <c r="II5" s="406">
        <v>18</v>
      </c>
      <c r="IJ5" s="406">
        <v>19</v>
      </c>
      <c r="IK5" s="406">
        <v>20</v>
      </c>
      <c r="IL5" s="406" t="s">
        <v>676</v>
      </c>
    </row>
    <row r="6" spans="1:246" ht="15" hidden="1">
      <c r="A6" s="393" t="s">
        <v>969</v>
      </c>
      <c r="C6" s="381"/>
      <c r="D6" s="381" t="s">
        <v>970</v>
      </c>
      <c r="E6" s="352"/>
      <c r="F6" s="352"/>
      <c r="G6" s="352"/>
      <c r="H6" s="352"/>
      <c r="I6" s="352"/>
      <c r="J6" s="352"/>
      <c r="K6" s="352"/>
      <c r="L6" s="352"/>
      <c r="M6" s="352"/>
      <c r="N6" s="352"/>
      <c r="O6" s="352"/>
      <c r="P6" s="352"/>
      <c r="Q6" s="352"/>
      <c r="R6" s="352"/>
      <c r="S6" s="352"/>
      <c r="T6" s="352"/>
      <c r="U6" s="352"/>
      <c r="V6" s="352"/>
      <c r="W6" s="352"/>
      <c r="X6" s="352"/>
    </row>
    <row r="7" spans="1:246" hidden="1">
      <c r="A7" s="352"/>
      <c r="B7" s="381"/>
      <c r="C7" s="107" t="s">
        <v>969</v>
      </c>
      <c r="D7" s="107">
        <f>COUNT(Initiatives!$B7:$B297)</f>
        <v>0</v>
      </c>
      <c r="E7" s="391" t="str">
        <f>IF($D$7&lt;E$5,"",SMALL(Initiatives!$B7:$B297,ImpCalc!E$5))</f>
        <v/>
      </c>
      <c r="F7" s="391" t="str">
        <f>IF($D$7&lt;F$5,"",SMALL(Initiatives!$B7:$B297,ImpCalc!F$5))</f>
        <v/>
      </c>
      <c r="G7" s="391" t="str">
        <f>IF($D$7&lt;G$5,"",SMALL(Initiatives!$B7:$B297,ImpCalc!G$5))</f>
        <v/>
      </c>
      <c r="H7" s="391" t="str">
        <f>IF($D$7&lt;H$5,"",SMALL(Initiatives!$B7:$B297,ImpCalc!H$5))</f>
        <v/>
      </c>
      <c r="I7" s="391" t="str">
        <f>IF($D$7&lt;I$5,"",SMALL(Initiatives!$B7:$B297,ImpCalc!I$5))</f>
        <v/>
      </c>
      <c r="J7" s="391" t="str">
        <f>IF($D$7&lt;J$5,"",SMALL(Initiatives!$B7:$B297,ImpCalc!J$5))</f>
        <v/>
      </c>
      <c r="K7" s="391" t="str">
        <f>IF($D$7&lt;K$5,"",SMALL(Initiatives!$B7:$B297,ImpCalc!K$5))</f>
        <v/>
      </c>
      <c r="L7" s="391" t="str">
        <f>IF($D$7&lt;L$5,"",SMALL(Initiatives!$B7:$B297,ImpCalc!L$5))</f>
        <v/>
      </c>
      <c r="M7" s="391" t="str">
        <f>IF($D$7&lt;M$5,"",SMALL(Initiatives!$B7:$B297,ImpCalc!M$5))</f>
        <v/>
      </c>
      <c r="N7" s="391" t="str">
        <f>IF($D$7&lt;N$5,"",SMALL(Initiatives!$B7:$B297,ImpCalc!N$5))</f>
        <v/>
      </c>
      <c r="O7" s="391" t="str">
        <f>IF($D$7&lt;O$5,"",SMALL(Initiatives!$B7:$B297,ImpCalc!O$5))</f>
        <v/>
      </c>
      <c r="P7" s="391" t="str">
        <f>IF($D$7&lt;P$5,"",SMALL(Initiatives!$B7:$B297,ImpCalc!P$5))</f>
        <v/>
      </c>
      <c r="Q7" s="391" t="str">
        <f>IF($D$7&lt;Q$5,"",SMALL(Initiatives!$B7:$B297,ImpCalc!Q$5))</f>
        <v/>
      </c>
      <c r="R7" s="391" t="str">
        <f>IF($D$7&lt;R$5,"",SMALL(Initiatives!$B7:$B297,ImpCalc!R$5))</f>
        <v/>
      </c>
      <c r="S7" s="391" t="str">
        <f>IF($D$7&lt;S$5,"",SMALL(Initiatives!$B7:$B297,ImpCalc!S$5))</f>
        <v/>
      </c>
      <c r="T7" s="391" t="str">
        <f>IF($D$7&lt;T$5,"",SMALL(Initiatives!$B7:$B297,ImpCalc!T$5))</f>
        <v/>
      </c>
      <c r="U7" s="391" t="str">
        <f>IF($D$7&lt;U$5,"",SMALL(Initiatives!$B7:$B297,ImpCalc!U$5))</f>
        <v/>
      </c>
      <c r="V7" s="391" t="str">
        <f>IF($D$7&lt;V$5,"",SMALL(Initiatives!$B7:$B297,ImpCalc!V$5))</f>
        <v/>
      </c>
      <c r="W7" s="391" t="str">
        <f>IF($D$7&lt;W$5,"",SMALL(Initiatives!$B7:$B297,ImpCalc!W$5))</f>
        <v/>
      </c>
      <c r="X7" s="391" t="str">
        <f>IF($D$7&lt;X$5,"",SMALL(Initiatives!$B7:$B297,ImpCalc!X$5))</f>
        <v/>
      </c>
    </row>
    <row r="8" spans="1:246" hidden="1">
      <c r="B8" s="381"/>
      <c r="C8" s="396" t="s">
        <v>978</v>
      </c>
      <c r="D8" s="381"/>
      <c r="E8" s="394" t="str">
        <f>IF(E$5&lt;=$D$7,"=ROW(Initiatives!$A$"&amp;E7&amp;")","")</f>
        <v/>
      </c>
      <c r="F8" s="394" t="str">
        <f t="shared" ref="F8:X8" si="0">IF(F$5&lt;=$D$7,"=ROW(Initiatives!$A$"&amp;F7&amp;")","")</f>
        <v/>
      </c>
      <c r="G8" s="394" t="str">
        <f t="shared" si="0"/>
        <v/>
      </c>
      <c r="H8" s="394" t="str">
        <f t="shared" si="0"/>
        <v/>
      </c>
      <c r="I8" s="394" t="str">
        <f t="shared" si="0"/>
        <v/>
      </c>
      <c r="J8" s="394" t="str">
        <f t="shared" si="0"/>
        <v/>
      </c>
      <c r="K8" s="394" t="str">
        <f t="shared" si="0"/>
        <v/>
      </c>
      <c r="L8" s="394" t="str">
        <f t="shared" si="0"/>
        <v/>
      </c>
      <c r="M8" s="394" t="str">
        <f t="shared" si="0"/>
        <v/>
      </c>
      <c r="N8" s="394" t="str">
        <f t="shared" si="0"/>
        <v/>
      </c>
      <c r="O8" s="394" t="str">
        <f t="shared" si="0"/>
        <v/>
      </c>
      <c r="P8" s="394" t="str">
        <f t="shared" si="0"/>
        <v/>
      </c>
      <c r="Q8" s="394" t="str">
        <f t="shared" si="0"/>
        <v/>
      </c>
      <c r="R8" s="394" t="str">
        <f t="shared" si="0"/>
        <v/>
      </c>
      <c r="S8" s="394" t="str">
        <f t="shared" si="0"/>
        <v/>
      </c>
      <c r="T8" s="394" t="str">
        <f t="shared" si="0"/>
        <v/>
      </c>
      <c r="U8" s="394" t="str">
        <f t="shared" si="0"/>
        <v/>
      </c>
      <c r="V8" s="394" t="str">
        <f t="shared" si="0"/>
        <v/>
      </c>
      <c r="W8" s="394" t="str">
        <f t="shared" si="0"/>
        <v/>
      </c>
      <c r="X8" s="394" t="str">
        <f t="shared" si="0"/>
        <v/>
      </c>
    </row>
    <row r="9" spans="1:246" ht="21" hidden="1">
      <c r="A9" s="1" t="s">
        <v>910</v>
      </c>
      <c r="Z9" s="372"/>
      <c r="AB9" s="372"/>
      <c r="AD9" s="372"/>
      <c r="AF9" s="372"/>
      <c r="AH9" s="372"/>
      <c r="AJ9" s="372"/>
      <c r="AL9" s="372"/>
      <c r="AN9" s="372"/>
      <c r="AP9" s="372"/>
      <c r="AR9" s="372"/>
      <c r="AT9" s="372"/>
      <c r="AV9" s="372"/>
      <c r="AX9" s="372"/>
      <c r="AZ9" s="372"/>
      <c r="BB9" s="372"/>
      <c r="BD9" s="372"/>
      <c r="BF9" s="372"/>
      <c r="BH9" s="372"/>
      <c r="BJ9" s="372"/>
      <c r="BL9" s="372"/>
    </row>
    <row r="10" spans="1:246" s="352" customFormat="1" ht="14.25" hidden="1" customHeight="1">
      <c r="B10" s="373"/>
      <c r="C10" s="81" t="str">
        <f>'IT Labor'!C15</f>
        <v>Report creation</v>
      </c>
      <c r="D10" s="404">
        <f ca="1">DN10</f>
        <v>0.35260156486017813</v>
      </c>
      <c r="E10" s="374">
        <f>ROW(Initiatives!A103)</f>
        <v>103</v>
      </c>
      <c r="F10" s="374">
        <f>ROW(Initiatives!A109)</f>
        <v>109</v>
      </c>
      <c r="G10" s="374">
        <f>ROW(Initiatives!A120)</f>
        <v>120</v>
      </c>
      <c r="H10" s="374">
        <f>ROW(Initiatives!A123)</f>
        <v>123</v>
      </c>
      <c r="I10" s="374">
        <f>ROW(Initiatives!A124)</f>
        <v>124</v>
      </c>
      <c r="J10" s="374">
        <f>ROW(Initiatives!A125)</f>
        <v>125</v>
      </c>
      <c r="K10" s="374">
        <f>ROW(Initiatives!A133)</f>
        <v>133</v>
      </c>
      <c r="L10" s="374">
        <f>ROW(Initiatives!A134)</f>
        <v>134</v>
      </c>
      <c r="M10" s="374">
        <f>ROW(Initiatives!A135)</f>
        <v>135</v>
      </c>
      <c r="N10" s="374">
        <f>ROW(Initiatives!A136)</f>
        <v>136</v>
      </c>
      <c r="O10" s="374">
        <f>ROW(Initiatives!A137)</f>
        <v>137</v>
      </c>
      <c r="P10" s="374">
        <f>ROW(Initiatives!A145)</f>
        <v>145</v>
      </c>
      <c r="Q10" s="374">
        <f>ROW(Initiatives!A153)</f>
        <v>153</v>
      </c>
      <c r="R10" s="374">
        <f>ROW(Initiatives!A170)</f>
        <v>170</v>
      </c>
      <c r="S10" s="374">
        <f>ROW(Initiatives!A176)</f>
        <v>176</v>
      </c>
      <c r="T10" s="374" t="s">
        <v>975</v>
      </c>
      <c r="U10" s="374" t="s">
        <v>975</v>
      </c>
      <c r="V10" s="374" t="s">
        <v>975</v>
      </c>
      <c r="W10" s="374" t="s">
        <v>975</v>
      </c>
      <c r="X10" s="374" t="s">
        <v>975</v>
      </c>
      <c r="Y10" s="392" t="str">
        <f ca="1">OFFSET(Initiatives!$D$1,E10-1,$BS$3)</f>
        <v>Architecture Standards &amp; Adherence</v>
      </c>
      <c r="Z10" s="375">
        <v>4</v>
      </c>
      <c r="AA10" s="392" t="str">
        <f ca="1">OFFSET(Initiatives!$D$1,F10-1,$BS$3)</f>
        <v>Data Management</v>
      </c>
      <c r="AB10" s="375">
        <v>4</v>
      </c>
      <c r="AC10" s="392" t="str">
        <f ca="1">OFFSET(Initiatives!$D$1,G10-1,$BS$3)</f>
        <v>Data Warehouse / Data Marts</v>
      </c>
      <c r="AD10" s="375">
        <v>4</v>
      </c>
      <c r="AE10" s="392" t="str">
        <f ca="1">OFFSET(Initiatives!$D$1,H10-1,$BS$3)</f>
        <v>Robust development tools</v>
      </c>
      <c r="AF10" s="375">
        <v>4</v>
      </c>
      <c r="AG10" s="392" t="str">
        <f ca="1">OFFSET(Initiatives!$D$1,I10-1,$BS$3)</f>
        <v>Extensible / supports web services</v>
      </c>
      <c r="AH10" s="375">
        <v>2</v>
      </c>
      <c r="AI10" s="392" t="str">
        <f ca="1">OFFSET(Initiatives!$D$1,J10-1,$BS$3)</f>
        <v>User app development</v>
      </c>
      <c r="AJ10" s="375">
        <v>5</v>
      </c>
      <c r="AK10" s="392" t="str">
        <f ca="1">OFFSET(Initiatives!$D$1,K10-1,$BS$3)</f>
        <v>Centralized reporting</v>
      </c>
      <c r="AL10" s="375">
        <v>9</v>
      </c>
      <c r="AM10" s="392" t="str">
        <f ca="1">OFFSET(Initiatives!$D$1,L10-1,$BS$3)</f>
        <v>User-empowered reporting</v>
      </c>
      <c r="AN10" s="375">
        <v>9</v>
      </c>
      <c r="AO10" s="392" t="str">
        <f ca="1">OFFSET(Initiatives!$D$1,M10-1,$BS$3)</f>
        <v>Report scheduling, subscription, distribution</v>
      </c>
      <c r="AP10" s="375">
        <v>8</v>
      </c>
      <c r="AQ10" s="392" t="str">
        <f ca="1">OFFSET(Initiatives!$D$1,N10-1,$BS$3)</f>
        <v>Supports variety of report types</v>
      </c>
      <c r="AR10" s="375">
        <v>6</v>
      </c>
      <c r="AS10" s="392" t="str">
        <f ca="1">OFFSET(Initiatives!$D$1,O10-1,$BS$3)</f>
        <v>Ad hoc query</v>
      </c>
      <c r="AT10" s="375">
        <v>3</v>
      </c>
      <c r="AU10" s="392" t="str">
        <f ca="1">OFFSET(Initiatives!$D$1,P10-1,$BS$3)</f>
        <v>Scorecards / Dashboards</v>
      </c>
      <c r="AV10" s="375">
        <v>3</v>
      </c>
      <c r="AW10" s="392" t="str">
        <f ca="1">OFFSET(Initiatives!$D$1,Q10-1,$BS$3)</f>
        <v>Analytical Tools</v>
      </c>
      <c r="AX10" s="375">
        <v>3</v>
      </c>
      <c r="AY10" s="392" t="str">
        <f ca="1">OFFSET(Initiatives!$D$1,R10-1,$BS$3)</f>
        <v>BI Applications</v>
      </c>
      <c r="AZ10" s="375">
        <v>4</v>
      </c>
      <c r="BA10" s="392" t="str">
        <f ca="1">OFFSET(Initiatives!$D$1,S10-1,$BS$3)</f>
        <v>Source System Inclusion / Integration</v>
      </c>
      <c r="BB10" s="375">
        <v>5</v>
      </c>
      <c r="BC10" s="392" t="e">
        <f ca="1">OFFSET(Initiatives!$D$1,T10-1,$BS$3)</f>
        <v>#VALUE!</v>
      </c>
      <c r="BD10" s="375"/>
      <c r="BE10" s="392" t="e">
        <f ca="1">OFFSET(Initiatives!$D$1,U10-1,$BS$3)</f>
        <v>#VALUE!</v>
      </c>
      <c r="BF10" s="375"/>
      <c r="BG10" s="392" t="e">
        <f ca="1">OFFSET(Initiatives!$D$1,V10-1,$BS$3)</f>
        <v>#VALUE!</v>
      </c>
      <c r="BH10" s="375"/>
      <c r="BI10" s="392" t="e">
        <f ca="1">OFFSET(Initiatives!$D$1,W10-1,$BS$3)</f>
        <v>#VALUE!</v>
      </c>
      <c r="BJ10" s="375"/>
      <c r="BK10" s="392" t="e">
        <f ca="1">OFFSET(Initiatives!$D$1,X10-1,$BS$3)</f>
        <v>#VALUE!</v>
      </c>
      <c r="BL10" s="375"/>
      <c r="BN10" s="101">
        <f t="shared" ref="BN10:BN15" si="1">SUM(Z10,AB10,AD10,AF10,AH10,AJ10,AL10,AN10,AP10,AR10,AT10,AV10,AX10,AZ10,BB10,BD10,BF10,BH10,BJ10,BL10)+0.0001</f>
        <v>73.000100000000003</v>
      </c>
      <c r="BP10" s="231" t="str">
        <f ca="1">CONCATENATE(GB10,GC10,GD10,GE10,GF10,GG10,GH10,GI10,GJ10,GK10,GL10,GM10,GN10,GO10,GP10,GQ10,GR10,GS10,GT10,GU10)</f>
        <v>Centralized reporting (17%); User-empowered reporting (17%); Report scheduling, subscription, distribution (15%); Supports variety of report types (11%); Source System Inclusion / Integration (9%); BI Applications (7%)</v>
      </c>
      <c r="BQ10" s="338">
        <v>0.01</v>
      </c>
      <c r="BR10" s="40">
        <f t="shared" ref="BR10" ca="1" si="2">COUNTIF(CT10:DM10,"&gt;"&amp;BQ10)</f>
        <v>9</v>
      </c>
      <c r="BS10" s="274">
        <v>0.05</v>
      </c>
      <c r="BT10" s="40">
        <f t="shared" ref="BT10" ca="1" si="3">COUNTIF(DP10:EI10,"&gt;"&amp;BS10)</f>
        <v>9</v>
      </c>
      <c r="BU10" s="376">
        <v>6</v>
      </c>
      <c r="BV10" s="40">
        <f ca="1">MIN(BR10,BT10,BU10)</f>
        <v>6</v>
      </c>
      <c r="BY10" s="377">
        <f ca="1">IF(ISERROR(OFFSET(Initiatives!$D$1,E10-1,$BY$3)),,OFFSET(Initiatives!$D$1,E10-1,$BY$3))</f>
        <v>0.14000000000000012</v>
      </c>
      <c r="BZ10" s="377">
        <f ca="1">IF(ISERROR(OFFSET(Initiatives!$D$1,F10-1,$BY$3)),,OFFSET(Initiatives!$D$1,F10-1,$BY$3))</f>
        <v>9.9999999999999978E-2</v>
      </c>
      <c r="CA10" s="377">
        <f ca="1">IF(ISERROR(OFFSET(Initiatives!$D$1,G10-1,$BY$3)),,OFFSET(Initiatives!$D$1,G10-1,$BY$3))</f>
        <v>3.0000000000000027E-2</v>
      </c>
      <c r="CB10" s="377">
        <f ca="1">IF(ISERROR(OFFSET(Initiatives!$D$1,H10-1,$BY$3)),,OFFSET(Initiatives!$D$1,H10-1,$BY$3))</f>
        <v>1.5000000000000013E-2</v>
      </c>
      <c r="CC10" s="377">
        <f ca="1">IF(ISERROR(OFFSET(Initiatives!$D$1,I10-1,$BY$3)),,OFFSET(Initiatives!$D$1,I10-1,$BY$3))</f>
        <v>1.5000000000000013E-2</v>
      </c>
      <c r="CD10" s="377">
        <f ca="1">IF(ISERROR(OFFSET(Initiatives!$D$1,J10-1,$BY$3)),,OFFSET(Initiatives!$D$1,J10-1,$BY$3))</f>
        <v>1.5000000000000013E-2</v>
      </c>
      <c r="CE10" s="377">
        <f ca="1">IF(ISERROR(OFFSET(Initiatives!$D$1,K10-1,$BY$3)),,OFFSET(Initiatives!$D$1,K10-1,$BY$3))</f>
        <v>0.48</v>
      </c>
      <c r="CF10" s="377">
        <f ca="1">IF(ISERROR(OFFSET(Initiatives!$D$1,L10-1,$BY$3)),,OFFSET(Initiatives!$D$1,L10-1,$BY$3))</f>
        <v>0.48</v>
      </c>
      <c r="CG10" s="377">
        <f ca="1">IF(ISERROR(OFFSET(Initiatives!$D$1,M10-1,$BY$3)),,OFFSET(Initiatives!$D$1,M10-1,$BY$3))</f>
        <v>0.48</v>
      </c>
      <c r="CH10" s="377">
        <f ca="1">IF(ISERROR(OFFSET(Initiatives!$D$1,N10-1,$BY$3)),,OFFSET(Initiatives!$D$1,N10-1,$BY$3))</f>
        <v>0.48</v>
      </c>
      <c r="CI10" s="377">
        <f ca="1">IF(ISERROR(OFFSET(Initiatives!$D$1,O10-1,$BY$3)),,OFFSET(Initiatives!$D$1,O10-1,$BY$3))</f>
        <v>0.48</v>
      </c>
      <c r="CJ10" s="377">
        <f ca="1">IF(ISERROR(OFFSET(Initiatives!$D$1,P10-1,$BY$3)),,OFFSET(Initiatives!$D$1,P10-1,$BY$3))</f>
        <v>0.6</v>
      </c>
      <c r="CK10" s="377">
        <f ca="1">IF(ISERROR(OFFSET(Initiatives!$D$1,Q10-1,$BY$3)),,OFFSET(Initiatives!$D$1,Q10-1,$BY$3))</f>
        <v>0.6</v>
      </c>
      <c r="CL10" s="377">
        <f ca="1">IF(ISERROR(OFFSET(Initiatives!$D$1,R10-1,$BY$3)),,OFFSET(Initiatives!$D$1,R10-1,$BY$3))</f>
        <v>0.45555555555555544</v>
      </c>
      <c r="CM10" s="377">
        <f ca="1">IF(ISERROR(OFFSET(Initiatives!$D$1,S10-1,$BY$3)),,OFFSET(Initiatives!$D$1,S10-1,$BY$3))</f>
        <v>0.45454545454545436</v>
      </c>
      <c r="CN10" s="377">
        <f ca="1">IF(ISERROR(OFFSET(Initiatives!$D$1,T10-1,$BY$3)),,OFFSET(Initiatives!$D$1,T10-1,$BY$3))</f>
        <v>0</v>
      </c>
      <c r="CO10" s="377">
        <f ca="1">IF(ISERROR(OFFSET(Initiatives!$D$1,U10-1,$BY$3)),,OFFSET(Initiatives!$D$1,U10-1,$BY$3))</f>
        <v>0</v>
      </c>
      <c r="CP10" s="377">
        <f ca="1">IF(ISERROR(OFFSET(Initiatives!$D$1,V10-1,$BY$3)),,OFFSET(Initiatives!$D$1,V10-1,$BY$3))</f>
        <v>0</v>
      </c>
      <c r="CQ10" s="377">
        <f ca="1">IF(ISERROR(OFFSET(Initiatives!$D$1,W10-1,$BY$3)),,OFFSET(Initiatives!$D$1,W10-1,$BY$3))</f>
        <v>0</v>
      </c>
      <c r="CR10" s="377">
        <f ca="1">IF(ISERROR(OFFSET(Initiatives!$D$1,X10-1,$BY$3)),,OFFSET(Initiatives!$D$1,X10-1,$BY$3))</f>
        <v>0</v>
      </c>
      <c r="CT10" s="41">
        <f ca="1">BY10*Z10/$BN10</f>
        <v>7.6712223681885431E-3</v>
      </c>
      <c r="CU10" s="41">
        <f ca="1">BZ10*AB10/$BN10</f>
        <v>5.4794445487060962E-3</v>
      </c>
      <c r="CV10" s="41">
        <f ca="1">CA10*AD10/$BN10</f>
        <v>1.6438333646118307E-3</v>
      </c>
      <c r="CW10" s="41">
        <f ca="1">CB10*AF10/$BN10</f>
        <v>8.2191668230591534E-4</v>
      </c>
      <c r="CX10" s="41">
        <f ca="1">CC10*AH10/$BN10</f>
        <v>4.1095834115295767E-4</v>
      </c>
      <c r="CY10" s="41">
        <f ca="1">CD10*AJ10/$BN10</f>
        <v>1.0273958528823942E-3</v>
      </c>
      <c r="CZ10" s="41">
        <f ca="1">CE10*AL10/$BN10</f>
        <v>5.9178001126025857E-2</v>
      </c>
      <c r="DA10" s="41">
        <f ca="1">CF10*AN10/$BN10</f>
        <v>5.9178001126025857E-2</v>
      </c>
      <c r="DB10" s="41">
        <f ca="1">CG10*AP10/$BN10</f>
        <v>5.2602667667578533E-2</v>
      </c>
      <c r="DC10" s="41">
        <f ca="1">CH10*AR10/$BN10</f>
        <v>3.9452000750683898E-2</v>
      </c>
      <c r="DD10" s="41">
        <f ca="1">CI10*AT10/$BN10</f>
        <v>1.9726000375341949E-2</v>
      </c>
      <c r="DE10" s="41">
        <f ca="1">CJ10*AV10/$BN10</f>
        <v>2.4657500469177435E-2</v>
      </c>
      <c r="DF10" s="41">
        <f ca="1">CK10*AX10/$BN10</f>
        <v>2.4657500469177435E-2</v>
      </c>
      <c r="DG10" s="41">
        <f ca="1">CL10*AZ10/$BN10</f>
        <v>2.4961914055216659E-2</v>
      </c>
      <c r="DH10" s="41">
        <f ca="1">CM10*BB10/$BN10</f>
        <v>3.1133207663102812E-2</v>
      </c>
      <c r="DI10" s="41">
        <f ca="1">CN10*BD10/$BN10</f>
        <v>0</v>
      </c>
      <c r="DJ10" s="41">
        <f ca="1">CO10*BF10/$BN10</f>
        <v>0</v>
      </c>
      <c r="DK10" s="41">
        <f ca="1">CP10*BH10/$BN10</f>
        <v>0</v>
      </c>
      <c r="DL10" s="41">
        <f ca="1">CQ10*BJ10/$BN10</f>
        <v>0</v>
      </c>
      <c r="DM10" s="41">
        <f ca="1">CR10*BL10/$BN10</f>
        <v>0</v>
      </c>
      <c r="DN10" s="41">
        <f ca="1">SUM(CT10:DM10)</f>
        <v>0.35260156486017813</v>
      </c>
      <c r="DP10" s="41">
        <f t="shared" ref="DP10" ca="1" si="4">CT10/$DN10-DP$5/100000</f>
        <v>2.1746064444100006E-2</v>
      </c>
      <c r="DQ10" s="41">
        <f t="shared" ref="DQ10" ca="1" si="5">CU10/$DN10-DQ$5/100000</f>
        <v>1.5520046031499988E-2</v>
      </c>
      <c r="DR10" s="41">
        <f t="shared" ref="DR10" ca="1" si="6">CV10/$DN10-DR$5/100000</f>
        <v>4.6320138094500017E-3</v>
      </c>
      <c r="DS10" s="41">
        <f t="shared" ref="DS10" ca="1" si="7">CW10/$DN10-DS$5/100000</f>
        <v>2.2910069047250006E-3</v>
      </c>
      <c r="DT10" s="41">
        <f t="shared" ref="DT10" ca="1" si="8">CX10/$DN10-DT$5/100000</f>
        <v>1.1155034523625004E-3</v>
      </c>
      <c r="DU10" s="41">
        <f t="shared" ref="DU10" ca="1" si="9">CY10/$DN10-DU$5/100000</f>
        <v>2.8537586309062505E-3</v>
      </c>
      <c r="DV10" s="41">
        <f t="shared" ref="DV10" ca="1" si="10">CZ10/$DN10-DV$5/100000</f>
        <v>0.16776249714019992</v>
      </c>
      <c r="DW10" s="41">
        <f t="shared" ref="DW10" ca="1" si="11">DA10/$DN10-DW$5/100000</f>
        <v>0.16775249714019991</v>
      </c>
      <c r="DX10" s="41">
        <f t="shared" ref="DX10" ca="1" si="12">DB10/$DN10-DX$5/100000</f>
        <v>0.1490944419023999</v>
      </c>
      <c r="DY10" s="41">
        <f t="shared" ref="DY10" ca="1" si="13">DC10/$DN10-DY$5/100000</f>
        <v>0.11178833142679992</v>
      </c>
      <c r="DZ10" s="41">
        <f t="shared" ref="DZ10" ca="1" si="14">DD10/$DN10-DZ$5/100000</f>
        <v>5.5834165713399962E-2</v>
      </c>
      <c r="EA10" s="41">
        <f t="shared" ref="EA10" ca="1" si="15">DE10/$DN10-EA$5/100000</f>
        <v>6.9810207141749944E-2</v>
      </c>
      <c r="EB10" s="41">
        <f t="shared" ref="EB10" ca="1" si="16">DF10/$DN10-EB$5/100000</f>
        <v>6.9800207141749934E-2</v>
      </c>
      <c r="EC10" s="41">
        <f t="shared" ref="EC10" ca="1" si="17">DG10/$DN10-EC$5/100000</f>
        <v>7.0653543032388827E-2</v>
      </c>
      <c r="ED10" s="41">
        <f t="shared" ref="ED10" ca="1" si="18">DH10/$DN10-ED$5/100000</f>
        <v>8.814571608806808E-2</v>
      </c>
      <c r="EE10" s="41">
        <f t="shared" ref="EE10" ca="1" si="19">DI10/$DN10-EE$5/100000</f>
        <v>-1.6000000000000001E-4</v>
      </c>
      <c r="EF10" s="41">
        <f t="shared" ref="EF10" ca="1" si="20">DJ10/$DN10-EF$5/100000</f>
        <v>-1.7000000000000001E-4</v>
      </c>
      <c r="EG10" s="41">
        <f t="shared" ref="EG10" ca="1" si="21">DK10/$DN10-EG$5/100000</f>
        <v>-1.8000000000000001E-4</v>
      </c>
      <c r="EH10" s="41">
        <f t="shared" ref="EH10" ca="1" si="22">DL10/$DN10-EH$5/100000</f>
        <v>-1.9000000000000001E-4</v>
      </c>
      <c r="EI10" s="41">
        <f t="shared" ref="EI10" ca="1" si="23">DM10/$DN10-EI$5/100000</f>
        <v>-2.0000000000000001E-4</v>
      </c>
      <c r="EJ10" s="41">
        <f ca="1">SUM(DP10:EI10)</f>
        <v>0.99790000000000012</v>
      </c>
      <c r="EL10" s="378">
        <f t="shared" ref="EL10" ca="1" si="24">RANK(DP10,$DP10:$EI10)</f>
        <v>10</v>
      </c>
      <c r="EM10" s="378">
        <f t="shared" ref="EM10" ca="1" si="25">RANK(DQ10,$DP10:$EI10)</f>
        <v>11</v>
      </c>
      <c r="EN10" s="378">
        <f t="shared" ref="EN10" ca="1" si="26">RANK(DR10,$DP10:$EI10)</f>
        <v>12</v>
      </c>
      <c r="EO10" s="378">
        <f t="shared" ref="EO10" ca="1" si="27">RANK(DS10,$DP10:$EI10)</f>
        <v>14</v>
      </c>
      <c r="EP10" s="378">
        <f t="shared" ref="EP10" ca="1" si="28">RANK(DT10,$DP10:$EI10)</f>
        <v>15</v>
      </c>
      <c r="EQ10" s="378">
        <f t="shared" ref="EQ10" ca="1" si="29">RANK(DU10,$DP10:$EI10)</f>
        <v>13</v>
      </c>
      <c r="ER10" s="378">
        <f t="shared" ref="ER10" ca="1" si="30">RANK(DV10,$DP10:$EI10)</f>
        <v>1</v>
      </c>
      <c r="ES10" s="378">
        <f t="shared" ref="ES10" ca="1" si="31">RANK(DW10,$DP10:$EI10)</f>
        <v>2</v>
      </c>
      <c r="ET10" s="378">
        <f t="shared" ref="ET10" ca="1" si="32">RANK(DX10,$DP10:$EI10)</f>
        <v>3</v>
      </c>
      <c r="EU10" s="378">
        <f t="shared" ref="EU10" ca="1" si="33">RANK(DY10,$DP10:$EI10)</f>
        <v>4</v>
      </c>
      <c r="EV10" s="378">
        <f t="shared" ref="EV10" ca="1" si="34">RANK(DZ10,$DP10:$EI10)</f>
        <v>9</v>
      </c>
      <c r="EW10" s="378">
        <f t="shared" ref="EW10" ca="1" si="35">RANK(EA10,$DP10:$EI10)</f>
        <v>7</v>
      </c>
      <c r="EX10" s="378">
        <f t="shared" ref="EX10" ca="1" si="36">RANK(EB10,$DP10:$EI10)</f>
        <v>8</v>
      </c>
      <c r="EY10" s="378">
        <f t="shared" ref="EY10" ca="1" si="37">RANK(EC10,$DP10:$EI10)</f>
        <v>6</v>
      </c>
      <c r="EZ10" s="378">
        <f t="shared" ref="EZ10" ca="1" si="38">RANK(ED10,$DP10:$EI10)</f>
        <v>5</v>
      </c>
      <c r="FA10" s="378">
        <f t="shared" ref="FA10" ca="1" si="39">RANK(EE10,$DP10:$EI10)</f>
        <v>16</v>
      </c>
      <c r="FB10" s="378">
        <f t="shared" ref="FB10" ca="1" si="40">RANK(EF10,$DP10:$EI10)</f>
        <v>17</v>
      </c>
      <c r="FC10" s="378">
        <f t="shared" ref="FC10" ca="1" si="41">RANK(EG10,$DP10:$EI10)</f>
        <v>18</v>
      </c>
      <c r="FD10" s="378">
        <f t="shared" ref="FD10" ca="1" si="42">RANK(EH10,$DP10:$EI10)</f>
        <v>19</v>
      </c>
      <c r="FE10" s="378">
        <f t="shared" ref="FE10" ca="1" si="43">RANK(EI10,$DP10:$EI10)</f>
        <v>20</v>
      </c>
      <c r="FG10" s="378">
        <f t="shared" ref="FG10:FZ16" ca="1" si="44">MATCH(FG$5,$EL10:$FE10,0)</f>
        <v>7</v>
      </c>
      <c r="FH10" s="378">
        <f t="shared" ca="1" si="44"/>
        <v>8</v>
      </c>
      <c r="FI10" s="378">
        <f t="shared" ca="1" si="44"/>
        <v>9</v>
      </c>
      <c r="FJ10" s="378">
        <f t="shared" ca="1" si="44"/>
        <v>10</v>
      </c>
      <c r="FK10" s="378">
        <f t="shared" ca="1" si="44"/>
        <v>15</v>
      </c>
      <c r="FL10" s="378">
        <f t="shared" ca="1" si="44"/>
        <v>14</v>
      </c>
      <c r="FM10" s="378">
        <f t="shared" ca="1" si="44"/>
        <v>12</v>
      </c>
      <c r="FN10" s="378">
        <f t="shared" ca="1" si="44"/>
        <v>13</v>
      </c>
      <c r="FO10" s="378">
        <f t="shared" ca="1" si="44"/>
        <v>11</v>
      </c>
      <c r="FP10" s="378">
        <f t="shared" ca="1" si="44"/>
        <v>1</v>
      </c>
      <c r="FQ10" s="378">
        <f t="shared" ca="1" si="44"/>
        <v>2</v>
      </c>
      <c r="FR10" s="378">
        <f t="shared" ca="1" si="44"/>
        <v>3</v>
      </c>
      <c r="FS10" s="378">
        <f t="shared" ca="1" si="44"/>
        <v>6</v>
      </c>
      <c r="FT10" s="378">
        <f t="shared" ca="1" si="44"/>
        <v>4</v>
      </c>
      <c r="FU10" s="378">
        <f t="shared" ca="1" si="44"/>
        <v>5</v>
      </c>
      <c r="FV10" s="378">
        <f t="shared" ca="1" si="44"/>
        <v>16</v>
      </c>
      <c r="FW10" s="378">
        <f t="shared" ca="1" si="44"/>
        <v>17</v>
      </c>
      <c r="FX10" s="378">
        <f t="shared" ca="1" si="44"/>
        <v>18</v>
      </c>
      <c r="FY10" s="378">
        <f t="shared" ca="1" si="44"/>
        <v>19</v>
      </c>
      <c r="FZ10" s="378">
        <f t="shared" ca="1" si="44"/>
        <v>20</v>
      </c>
      <c r="GB10" s="275" t="str">
        <f ca="1">IF(GB$5&lt;=$BV10,INDEX($Y10:$BL10,1,FG10*2-1)&amp;" ("&amp;TEXT(INDEX($DP10:$EI10,1,FG10),"0%")&amp;")","")</f>
        <v>Centralized reporting (17%)</v>
      </c>
      <c r="GC10" s="231" t="str">
        <f t="shared" ref="GC10" ca="1" si="45">IF(GC$5&lt;=$BV10,"; "&amp;INDEX($Y10:$BL10,1,FH10*2-1)&amp;" ("&amp;TEXT(INDEX($DP10:$EI10,1,FH10),"0%")&amp;")","")</f>
        <v>; User-empowered reporting (17%)</v>
      </c>
      <c r="GD10" s="231" t="str">
        <f t="shared" ref="GD10" ca="1" si="46">IF(GD$5&lt;=$BV10,"; "&amp;INDEX($Y10:$BL10,1,FI10*2-1)&amp;" ("&amp;TEXT(INDEX($DP10:$EI10,1,FI10),"0%")&amp;")","")</f>
        <v>; Report scheduling, subscription, distribution (15%)</v>
      </c>
      <c r="GE10" s="231" t="str">
        <f t="shared" ref="GE10" ca="1" si="47">IF(GE$5&lt;=$BV10,"; "&amp;INDEX($Y10:$BL10,1,FJ10*2-1)&amp;" ("&amp;TEXT(INDEX($DP10:$EI10,1,FJ10),"0%")&amp;")","")</f>
        <v>; Supports variety of report types (11%)</v>
      </c>
      <c r="GF10" s="231" t="str">
        <f t="shared" ref="GF10" ca="1" si="48">IF(GF$5&lt;=$BV10,"; "&amp;INDEX($Y10:$BL10,1,FK10*2-1)&amp;" ("&amp;TEXT(INDEX($DP10:$EI10,1,FK10),"0%")&amp;")","")</f>
        <v>; Source System Inclusion / Integration (9%)</v>
      </c>
      <c r="GG10" s="231" t="str">
        <f t="shared" ref="GG10" ca="1" si="49">IF(GG$5&lt;=$BV10,"; "&amp;INDEX($Y10:$BL10,1,FL10*2-1)&amp;" ("&amp;TEXT(INDEX($DP10:$EI10,1,FL10),"0%")&amp;")","")</f>
        <v>; BI Applications (7%)</v>
      </c>
      <c r="GH10" s="231" t="str">
        <f t="shared" ref="GH10" ca="1" si="50">IF(GH$5&lt;=$BV10,"; "&amp;INDEX($Y10:$BL10,1,FM10*2-1)&amp;" ("&amp;TEXT(INDEX($DP10:$EI10,1,FM10),"0%")&amp;")","")</f>
        <v/>
      </c>
      <c r="GI10" s="231" t="str">
        <f t="shared" ref="GI10" ca="1" si="51">IF(GI$5&lt;=$BV10,"; "&amp;INDEX($Y10:$BL10,1,FN10*2-1)&amp;" ("&amp;TEXT(INDEX($DP10:$EI10,1,FN10),"0%")&amp;")","")</f>
        <v/>
      </c>
      <c r="GJ10" s="231" t="str">
        <f t="shared" ref="GJ10" ca="1" si="52">IF(GJ$5&lt;=$BV10,"; "&amp;INDEX($Y10:$BL10,1,FO10*2-1)&amp;" ("&amp;TEXT(INDEX($DP10:$EI10,1,FO10),"0%")&amp;")","")</f>
        <v/>
      </c>
      <c r="GK10" s="231" t="str">
        <f t="shared" ref="GK10" ca="1" si="53">IF(GK$5&lt;=$BV10,"; "&amp;INDEX($Y10:$BL10,1,FP10*2-1)&amp;" ("&amp;TEXT(INDEX($DP10:$EI10,1,FP10),"0%")&amp;")","")</f>
        <v/>
      </c>
      <c r="GL10" s="231" t="str">
        <f t="shared" ref="GL10" ca="1" si="54">IF(GL$5&lt;=$BV10,"; "&amp;INDEX($Y10:$BL10,1,FQ10*2-1)&amp;" ("&amp;TEXT(INDEX($DP10:$EI10,1,FQ10),"0%")&amp;")","")</f>
        <v/>
      </c>
      <c r="GM10" s="231" t="str">
        <f t="shared" ref="GM10" ca="1" si="55">IF(GM$5&lt;=$BV10,"; "&amp;INDEX($Y10:$BL10,1,FR10*2-1)&amp;" ("&amp;TEXT(INDEX($DP10:$EI10,1,FR10),"0%")&amp;")","")</f>
        <v/>
      </c>
      <c r="GN10" s="231" t="str">
        <f t="shared" ref="GN10" ca="1" si="56">IF(GN$5&lt;=$BV10,"; "&amp;INDEX($Y10:$BL10,1,FS10*2-1)&amp;" ("&amp;TEXT(INDEX($DP10:$EI10,1,FS10),"0%")&amp;")","")</f>
        <v/>
      </c>
      <c r="GO10" s="231" t="str">
        <f t="shared" ref="GO10" ca="1" si="57">IF(GO$5&lt;=$BV10,"; "&amp;INDEX($Y10:$BL10,1,FT10*2-1)&amp;" ("&amp;TEXT(INDEX($DP10:$EI10,1,FT10),"0%")&amp;")","")</f>
        <v/>
      </c>
      <c r="GP10" s="231" t="str">
        <f t="shared" ref="GP10" ca="1" si="58">IF(GP$5&lt;=$BV10,"; "&amp;INDEX($Y10:$BL10,1,FU10*2-1)&amp;" ("&amp;TEXT(INDEX($DP10:$EI10,1,FU10),"0%")&amp;")","")</f>
        <v/>
      </c>
      <c r="GQ10" s="231" t="str">
        <f t="shared" ref="GQ10" ca="1" si="59">IF(GQ$5&lt;=$BV10,"; "&amp;INDEX($Y10:$BL10,1,FV10*2-1)&amp;" ("&amp;TEXT(INDEX($DP10:$EI10,1,FV10),"0%")&amp;")","")</f>
        <v/>
      </c>
      <c r="GR10" s="231" t="str">
        <f t="shared" ref="GR10" ca="1" si="60">IF(GR$5&lt;=$BV10,"; "&amp;INDEX($Y10:$BL10,1,FW10*2-1)&amp;" ("&amp;TEXT(INDEX($DP10:$EI10,1,FW10),"0%")&amp;")","")</f>
        <v/>
      </c>
      <c r="GS10" s="231" t="str">
        <f t="shared" ref="GS10" ca="1" si="61">IF(GS$5&lt;=$BV10,"; "&amp;INDEX($Y10:$BL10,1,FX10*2-1)&amp;" ("&amp;TEXT(INDEX($DP10:$EI10,1,FX10),"0%")&amp;")","")</f>
        <v/>
      </c>
      <c r="GT10" s="231" t="str">
        <f t="shared" ref="GT10" ca="1" si="62">IF(GT$5&lt;=$BV10,"; "&amp;INDEX($Y10:$BL10,1,FY10*2-1)&amp;" ("&amp;TEXT(INDEX($DP10:$EI10,1,FY10),"0%")&amp;")","")</f>
        <v/>
      </c>
      <c r="GU10" s="231" t="str">
        <f t="shared" ref="GU10" ca="1" si="63">IF(GU$5&lt;=$BV10,"; "&amp;INDEX($Y10:$BL10,1,FZ10*2-1)&amp;" ("&amp;TEXT(INDEX($DP10:$EI10,1,FZ10),"0%")&amp;")","")</f>
        <v/>
      </c>
    </row>
    <row r="11" spans="1:246" s="352" customFormat="1" ht="14.25" hidden="1" customHeight="1">
      <c r="B11" s="373"/>
      <c r="C11" s="81" t="str">
        <f>'IT Labor'!C16</f>
        <v>Database administration</v>
      </c>
      <c r="D11" s="404">
        <f t="shared" ref="D11:D16" ca="1" si="64">DN11</f>
        <v>9.7410540338320833E-2</v>
      </c>
      <c r="E11" s="374">
        <f>ROW(Initiatives!A103)</f>
        <v>103</v>
      </c>
      <c r="F11" s="374">
        <f>ROW(Initiatives!A109)</f>
        <v>109</v>
      </c>
      <c r="G11" s="374">
        <f>ROW(Initiatives!A114)</f>
        <v>114</v>
      </c>
      <c r="H11" s="374">
        <f>ROW(Initiatives!A117)</f>
        <v>117</v>
      </c>
      <c r="I11" s="374">
        <f>ROW(Initiatives!A118)</f>
        <v>118</v>
      </c>
      <c r="J11" s="374">
        <f>ROW(Initiatives!A119)</f>
        <v>119</v>
      </c>
      <c r="K11" s="374">
        <f>ROW(Initiatives!A123)</f>
        <v>123</v>
      </c>
      <c r="L11" s="374">
        <f>ROW(Initiatives!A124)</f>
        <v>124</v>
      </c>
      <c r="M11" s="374">
        <f>ROW(Initiatives!A125)</f>
        <v>125</v>
      </c>
      <c r="N11" s="374">
        <f>ROW(Initiatives!A189)</f>
        <v>189</v>
      </c>
      <c r="O11" s="374" t="s">
        <v>975</v>
      </c>
      <c r="P11" s="374" t="s">
        <v>975</v>
      </c>
      <c r="Q11" s="374" t="s">
        <v>975</v>
      </c>
      <c r="R11" s="374" t="s">
        <v>975</v>
      </c>
      <c r="S11" s="374" t="s">
        <v>975</v>
      </c>
      <c r="T11" s="374" t="s">
        <v>975</v>
      </c>
      <c r="U11" s="374" t="s">
        <v>975</v>
      </c>
      <c r="V11" s="374" t="s">
        <v>975</v>
      </c>
      <c r="W11" s="374" t="s">
        <v>975</v>
      </c>
      <c r="X11" s="374" t="s">
        <v>975</v>
      </c>
      <c r="Y11" s="392" t="str">
        <f ca="1">OFFSET(Initiatives!$D$1,E11-1,$BS$3)</f>
        <v>Architecture Standards &amp; Adherence</v>
      </c>
      <c r="Z11" s="375">
        <v>9</v>
      </c>
      <c r="AA11" s="392" t="str">
        <f ca="1">OFFSET(Initiatives!$D$1,F11-1,$BS$3)</f>
        <v>Data Management</v>
      </c>
      <c r="AB11" s="375">
        <v>5</v>
      </c>
      <c r="AC11" s="392" t="str">
        <f ca="1">OFFSET(Initiatives!$D$1,G11-1,$BS$3)</f>
        <v>Data Integration/ETL</v>
      </c>
      <c r="AD11" s="375">
        <v>5</v>
      </c>
      <c r="AE11" s="392" t="str">
        <f ca="1">OFFSET(Initiatives!$D$1,H11-1,$BS$3)</f>
        <v>Standardized data marts</v>
      </c>
      <c r="AF11" s="375">
        <v>8</v>
      </c>
      <c r="AG11" s="392" t="str">
        <f ca="1">OFFSET(Initiatives!$D$1,I11-1,$BS$3)</f>
        <v>A single, central DW</v>
      </c>
      <c r="AH11" s="375">
        <v>8</v>
      </c>
      <c r="AI11" s="392" t="str">
        <f ca="1">OFFSET(Initiatives!$D$1,J11-1,$BS$3)</f>
        <v>High performance/reliability infrastructure</v>
      </c>
      <c r="AJ11" s="375">
        <v>4</v>
      </c>
      <c r="AK11" s="392" t="str">
        <f ca="1">OFFSET(Initiatives!$D$1,K11-1,$BS$3)</f>
        <v>Robust development tools</v>
      </c>
      <c r="AL11" s="375">
        <v>8</v>
      </c>
      <c r="AM11" s="392" t="str">
        <f ca="1">OFFSET(Initiatives!$D$1,L11-1,$BS$3)</f>
        <v>Extensible / supports web services</v>
      </c>
      <c r="AN11" s="375">
        <v>3</v>
      </c>
      <c r="AO11" s="392" t="str">
        <f ca="1">OFFSET(Initiatives!$D$1,M11-1,$BS$3)</f>
        <v>User app development</v>
      </c>
      <c r="AP11" s="375">
        <v>2</v>
      </c>
      <c r="AQ11" s="392" t="str">
        <f ca="1">OFFSET(Initiatives!$D$1,N11-1,$BS$3)</f>
        <v>Enhance BI Platform</v>
      </c>
      <c r="AR11" s="375">
        <v>4</v>
      </c>
      <c r="AS11" s="392" t="e">
        <f ca="1">OFFSET(Initiatives!$D$1,O11-1,$BS$3)</f>
        <v>#VALUE!</v>
      </c>
      <c r="AT11" s="375"/>
      <c r="AU11" s="392" t="e">
        <f ca="1">OFFSET(Initiatives!$D$1,P11-1,$BS$3)</f>
        <v>#VALUE!</v>
      </c>
      <c r="AV11" s="375"/>
      <c r="AW11" s="392" t="e">
        <f ca="1">OFFSET(Initiatives!$D$1,Q11-1,$BS$3)</f>
        <v>#VALUE!</v>
      </c>
      <c r="AX11" s="375"/>
      <c r="AY11" s="392" t="e">
        <f ca="1">OFFSET(Initiatives!$D$1,R11-1,$BS$3)</f>
        <v>#VALUE!</v>
      </c>
      <c r="AZ11" s="375"/>
      <c r="BA11" s="392" t="e">
        <f ca="1">OFFSET(Initiatives!$D$1,S11-1,$BS$3)</f>
        <v>#VALUE!</v>
      </c>
      <c r="BB11" s="375"/>
      <c r="BC11" s="392" t="e">
        <f ca="1">OFFSET(Initiatives!$D$1,T11-1,$BS$3)</f>
        <v>#VALUE!</v>
      </c>
      <c r="BD11" s="375"/>
      <c r="BE11" s="392" t="e">
        <f ca="1">OFFSET(Initiatives!$D$1,U11-1,$BS$3)</f>
        <v>#VALUE!</v>
      </c>
      <c r="BF11" s="375"/>
      <c r="BG11" s="392" t="e">
        <f ca="1">OFFSET(Initiatives!$D$1,V11-1,$BS$3)</f>
        <v>#VALUE!</v>
      </c>
      <c r="BH11" s="375"/>
      <c r="BI11" s="392" t="e">
        <f ca="1">OFFSET(Initiatives!$D$1,W11-1,$BS$3)</f>
        <v>#VALUE!</v>
      </c>
      <c r="BJ11" s="375"/>
      <c r="BK11" s="392" t="e">
        <f ca="1">OFFSET(Initiatives!$D$1,X11-1,$BS$3)</f>
        <v>#VALUE!</v>
      </c>
      <c r="BL11" s="375"/>
      <c r="BN11" s="101">
        <f t="shared" si="1"/>
        <v>56.000100000000003</v>
      </c>
      <c r="BP11" s="231" t="str">
        <f t="shared" ref="BP11:BP16" ca="1" si="65">CONCATENATE(GB11,GC11,GD11,GE11,GF11,GG11,GH11,GI11,GJ11,GK11,GL11,GM11,GN11,GO11,GP11,GQ11,GR11,GS11,GT11,GU11)</f>
        <v>Enhance BI Platform (44%); Architecture Standards &amp; Adherence (23%)</v>
      </c>
      <c r="BQ11" s="338">
        <v>0.01</v>
      </c>
      <c r="BR11" s="40">
        <f t="shared" ref="BR11:BR16" ca="1" si="66">COUNTIF(CT11:DM11,"&gt;"&amp;BQ11)</f>
        <v>2</v>
      </c>
      <c r="BS11" s="274">
        <v>0.05</v>
      </c>
      <c r="BT11" s="40">
        <f t="shared" ref="BT11:BT16" ca="1" si="67">COUNTIF(DP11:EI11,"&gt;"&amp;BS11)</f>
        <v>4</v>
      </c>
      <c r="BU11" s="376">
        <v>7</v>
      </c>
      <c r="BV11" s="40">
        <f t="shared" ref="BV11:BV16" ca="1" si="68">MIN(BR11,BT11,BU11)</f>
        <v>2</v>
      </c>
      <c r="BY11" s="377">
        <f ca="1">IF(ISERROR(OFFSET(Initiatives!$D$1,E11-1,$BY$3)),,OFFSET(Initiatives!$D$1,E11-1,$BY$3))</f>
        <v>0.14000000000000012</v>
      </c>
      <c r="BZ11" s="377">
        <f ca="1">IF(ISERROR(OFFSET(Initiatives!$D$1,F11-1,$BY$3)),,OFFSET(Initiatives!$D$1,F11-1,$BY$3))</f>
        <v>9.9999999999999978E-2</v>
      </c>
      <c r="CA11" s="377">
        <f ca="1">IF(ISERROR(OFFSET(Initiatives!$D$1,G11-1,$BY$3)),,OFFSET(Initiatives!$D$1,G11-1,$BY$3))</f>
        <v>9.9999999999999978E-2</v>
      </c>
      <c r="CB11" s="377">
        <f ca="1">IF(ISERROR(OFFSET(Initiatives!$D$1,H11-1,$BY$3)),,OFFSET(Initiatives!$D$1,H11-1,$BY$3))</f>
        <v>3.0000000000000027E-2</v>
      </c>
      <c r="CC11" s="377">
        <f ca="1">IF(ISERROR(OFFSET(Initiatives!$D$1,I11-1,$BY$3)),,OFFSET(Initiatives!$D$1,I11-1,$BY$3))</f>
        <v>3.0000000000000027E-2</v>
      </c>
      <c r="CD11" s="377">
        <f ca="1">IF(ISERROR(OFFSET(Initiatives!$D$1,J11-1,$BY$3)),,OFFSET(Initiatives!$D$1,J11-1,$BY$3))</f>
        <v>3.0000000000000027E-2</v>
      </c>
      <c r="CE11" s="377">
        <f ca="1">IF(ISERROR(OFFSET(Initiatives!$D$1,K11-1,$BY$3)),,OFFSET(Initiatives!$D$1,K11-1,$BY$3))</f>
        <v>1.5000000000000013E-2</v>
      </c>
      <c r="CF11" s="377">
        <f ca="1">IF(ISERROR(OFFSET(Initiatives!$D$1,L11-1,$BY$3)),,OFFSET(Initiatives!$D$1,L11-1,$BY$3))</f>
        <v>1.5000000000000013E-2</v>
      </c>
      <c r="CG11" s="377">
        <f ca="1">IF(ISERROR(OFFSET(Initiatives!$D$1,M11-1,$BY$3)),,OFFSET(Initiatives!$D$1,M11-1,$BY$3))</f>
        <v>1.5000000000000013E-2</v>
      </c>
      <c r="CH11" s="377">
        <f ca="1">IF(ISERROR(OFFSET(Initiatives!$D$1,N11-1,$BY$3)),,OFFSET(Initiatives!$D$1,N11-1,$BY$3))</f>
        <v>0.6</v>
      </c>
      <c r="CI11" s="377">
        <f ca="1">IF(ISERROR(OFFSET(Initiatives!$D$1,O11-1,$BY$3)),,OFFSET(Initiatives!$D$1,O11-1,$BY$3))</f>
        <v>0</v>
      </c>
      <c r="CJ11" s="377">
        <f ca="1">IF(ISERROR(OFFSET(Initiatives!$D$1,P11-1,$BY$3)),,OFFSET(Initiatives!$D$1,P11-1,$BY$3))</f>
        <v>0</v>
      </c>
      <c r="CK11" s="377">
        <f ca="1">IF(ISERROR(OFFSET(Initiatives!$D$1,Q11-1,$BY$3)),,OFFSET(Initiatives!$D$1,Q11-1,$BY$3))</f>
        <v>0</v>
      </c>
      <c r="CL11" s="377">
        <f ca="1">IF(ISERROR(OFFSET(Initiatives!$D$1,R11-1,$BY$3)),,OFFSET(Initiatives!$D$1,R11-1,$BY$3))</f>
        <v>0</v>
      </c>
      <c r="CM11" s="377">
        <f ca="1">IF(ISERROR(OFFSET(Initiatives!$D$1,S11-1,$BY$3)),,OFFSET(Initiatives!$D$1,S11-1,$BY$3))</f>
        <v>0</v>
      </c>
      <c r="CN11" s="377">
        <f ca="1">IF(ISERROR(OFFSET(Initiatives!$D$1,T11-1,$BY$3)),,OFFSET(Initiatives!$D$1,T11-1,$BY$3))</f>
        <v>0</v>
      </c>
      <c r="CO11" s="377">
        <f ca="1">IF(ISERROR(OFFSET(Initiatives!$D$1,U11-1,$BY$3)),,OFFSET(Initiatives!$D$1,U11-1,$BY$3))</f>
        <v>0</v>
      </c>
      <c r="CP11" s="377">
        <f ca="1">IF(ISERROR(OFFSET(Initiatives!$D$1,V11-1,$BY$3)),,OFFSET(Initiatives!$D$1,V11-1,$BY$3))</f>
        <v>0</v>
      </c>
      <c r="CQ11" s="377">
        <f ca="1">IF(ISERROR(OFFSET(Initiatives!$D$1,W11-1,$BY$3)),,OFFSET(Initiatives!$D$1,W11-1,$BY$3))</f>
        <v>0</v>
      </c>
      <c r="CR11" s="377">
        <f ca="1">IF(ISERROR(OFFSET(Initiatives!$D$1,X11-1,$BY$3)),,OFFSET(Initiatives!$D$1,X11-1,$BY$3))</f>
        <v>0</v>
      </c>
      <c r="CT11" s="41">
        <f t="shared" ref="CT11:CT16" ca="1" si="69">BY11*Z11/$BN11</f>
        <v>2.2499959821500336E-2</v>
      </c>
      <c r="CU11" s="41">
        <f t="shared" ref="CU11:CU16" ca="1" si="70">BZ11*AB11/$BN11</f>
        <v>8.9285554847223468E-3</v>
      </c>
      <c r="CV11" s="41">
        <f t="shared" ref="CV11:CV16" ca="1" si="71">CA11*AD11/$BN11</f>
        <v>8.9285554847223468E-3</v>
      </c>
      <c r="CW11" s="41">
        <f t="shared" ref="CW11:CW16" ca="1" si="72">CB11*AF11/$BN11</f>
        <v>4.2857066326667309E-3</v>
      </c>
      <c r="CX11" s="41">
        <f t="shared" ref="CX11:CX16" ca="1" si="73">CC11*AH11/$BN11</f>
        <v>4.2857066326667309E-3</v>
      </c>
      <c r="CY11" s="41">
        <f t="shared" ref="CY11:CY16" ca="1" si="74">CD11*AJ11/$BN11</f>
        <v>2.1428533163333654E-3</v>
      </c>
      <c r="CZ11" s="41">
        <f t="shared" ref="CZ11:CZ16" ca="1" si="75">CE11*AL11/$BN11</f>
        <v>2.1428533163333654E-3</v>
      </c>
      <c r="DA11" s="41">
        <f t="shared" ref="DA11:DA16" ca="1" si="76">CF11*AN11/$BN11</f>
        <v>8.0356999362501209E-4</v>
      </c>
      <c r="DB11" s="41">
        <f t="shared" ref="DB11:DB16" ca="1" si="77">CG11*AP11/$BN11</f>
        <v>5.3571332908334136E-4</v>
      </c>
      <c r="DC11" s="41">
        <f t="shared" ref="DC11:DC16" ca="1" si="78">CH11*AR11/$BN11</f>
        <v>4.2857066326667269E-2</v>
      </c>
      <c r="DD11" s="41">
        <f t="shared" ref="DD11:DD16" ca="1" si="79">CI11*AT11/$BN11</f>
        <v>0</v>
      </c>
      <c r="DE11" s="41">
        <f t="shared" ref="DE11:DE16" ca="1" si="80">CJ11*AV11/$BN11</f>
        <v>0</v>
      </c>
      <c r="DF11" s="41">
        <f t="shared" ref="DF11:DF16" ca="1" si="81">CK11*AX11/$BN11</f>
        <v>0</v>
      </c>
      <c r="DG11" s="41">
        <f t="shared" ref="DG11:DG16" ca="1" si="82">CL11*AZ11/$BN11</f>
        <v>0</v>
      </c>
      <c r="DH11" s="41">
        <f t="shared" ref="DH11:DH16" ca="1" si="83">CM11*BB11/$BN11</f>
        <v>0</v>
      </c>
      <c r="DI11" s="41">
        <f t="shared" ref="DI11:DI16" ca="1" si="84">CN11*BD11/$BN11</f>
        <v>0</v>
      </c>
      <c r="DJ11" s="41">
        <f t="shared" ref="DJ11:DJ16" ca="1" si="85">CO11*BF11/$BN11</f>
        <v>0</v>
      </c>
      <c r="DK11" s="41">
        <f t="shared" ref="DK11:DK16" ca="1" si="86">CP11*BH11/$BN11</f>
        <v>0</v>
      </c>
      <c r="DL11" s="41">
        <f t="shared" ref="DL11:DL16" ca="1" si="87">CQ11*BJ11/$BN11</f>
        <v>0</v>
      </c>
      <c r="DM11" s="41">
        <f t="shared" ref="DM11:DM16" ca="1" si="88">CR11*BL11/$BN11</f>
        <v>0</v>
      </c>
      <c r="DN11" s="41">
        <f t="shared" ref="DN11:DN16" ca="1" si="89">SUM(CT11:DM11)</f>
        <v>9.7410540338320833E-2</v>
      </c>
      <c r="DP11" s="41">
        <f t="shared" ref="DP11:DP16" ca="1" si="90">CT11/$DN11-DP$5/100000</f>
        <v>0.23097075160403316</v>
      </c>
      <c r="DQ11" s="41">
        <f t="shared" ref="DQ11:DQ16" ca="1" si="91">CU11/$DN11-DQ$5/100000</f>
        <v>9.1639028414298773E-2</v>
      </c>
      <c r="DR11" s="41">
        <f t="shared" ref="DR11:DR16" ca="1" si="92">CV11/$DN11-DR$5/100000</f>
        <v>9.1629028414298777E-2</v>
      </c>
      <c r="DS11" s="41">
        <f t="shared" ref="DS11:DS16" ca="1" si="93">CW11/$DN11-DS$5/100000</f>
        <v>4.3956333638863462E-2</v>
      </c>
      <c r="DT11" s="41">
        <f t="shared" ref="DT11:DT16" ca="1" si="94">CX11/$DN11-DT$5/100000</f>
        <v>4.3946333638863459E-2</v>
      </c>
      <c r="DU11" s="41">
        <f t="shared" ref="DU11:DU16" ca="1" si="95">CY11/$DN11-DU$5/100000</f>
        <v>2.1938166819431729E-2</v>
      </c>
      <c r="DV11" s="41">
        <f t="shared" ref="DV11:DV16" ca="1" si="96">CZ11/$DN11-DV$5/100000</f>
        <v>2.192816681943173E-2</v>
      </c>
      <c r="DW11" s="41">
        <f t="shared" ref="DW11:DW16" ca="1" si="97">DA11/$DN11-DW$5/100000</f>
        <v>8.1693125572868987E-3</v>
      </c>
      <c r="DX11" s="41">
        <f t="shared" ref="DX11:DX16" ca="1" si="98">DB11/$DN11-DX$5/100000</f>
        <v>5.4095417048579328E-3</v>
      </c>
      <c r="DY11" s="41">
        <f t="shared" ref="DY11:DY16" ca="1" si="99">DC11/$DN11-DY$5/100000</f>
        <v>0.43986333638863417</v>
      </c>
      <c r="DZ11" s="41">
        <f t="shared" ref="DZ11:DZ16" ca="1" si="100">DD11/$DN11-DZ$5/100000</f>
        <v>-1.1E-4</v>
      </c>
      <c r="EA11" s="41">
        <f t="shared" ref="EA11:EA16" ca="1" si="101">DE11/$DN11-EA$5/100000</f>
        <v>-1.2E-4</v>
      </c>
      <c r="EB11" s="41">
        <f t="shared" ref="EB11:EB16" ca="1" si="102">DF11/$DN11-EB$5/100000</f>
        <v>-1.2999999999999999E-4</v>
      </c>
      <c r="EC11" s="41">
        <f t="shared" ref="EC11:EC16" ca="1" si="103">DG11/$DN11-EC$5/100000</f>
        <v>-1.3999999999999999E-4</v>
      </c>
      <c r="ED11" s="41">
        <f t="shared" ref="ED11:ED16" ca="1" si="104">DH11/$DN11-ED$5/100000</f>
        <v>-1.4999999999999999E-4</v>
      </c>
      <c r="EE11" s="41">
        <f t="shared" ref="EE11:EE16" ca="1" si="105">DI11/$DN11-EE$5/100000</f>
        <v>-1.6000000000000001E-4</v>
      </c>
      <c r="EF11" s="41">
        <f t="shared" ref="EF11:EF16" ca="1" si="106">DJ11/$DN11-EF$5/100000</f>
        <v>-1.7000000000000001E-4</v>
      </c>
      <c r="EG11" s="41">
        <f t="shared" ref="EG11:EG16" ca="1" si="107">DK11/$DN11-EG$5/100000</f>
        <v>-1.8000000000000001E-4</v>
      </c>
      <c r="EH11" s="41">
        <f t="shared" ref="EH11:EH16" ca="1" si="108">DL11/$DN11-EH$5/100000</f>
        <v>-1.9000000000000001E-4</v>
      </c>
      <c r="EI11" s="41">
        <f t="shared" ref="EI11:EI16" ca="1" si="109">DM11/$DN11-EI$5/100000</f>
        <v>-2.0000000000000001E-4</v>
      </c>
      <c r="EJ11" s="41">
        <f t="shared" ref="EJ11:EJ16" ca="1" si="110">SUM(DP11:EI11)</f>
        <v>0.99790000000000012</v>
      </c>
      <c r="EL11" s="378">
        <f t="shared" ref="EL11:EL16" ca="1" si="111">RANK(DP11,$DP11:$EI11)</f>
        <v>2</v>
      </c>
      <c r="EM11" s="378">
        <f t="shared" ref="EM11:EM16" ca="1" si="112">RANK(DQ11,$DP11:$EI11)</f>
        <v>3</v>
      </c>
      <c r="EN11" s="378">
        <f t="shared" ref="EN11:EN16" ca="1" si="113">RANK(DR11,$DP11:$EI11)</f>
        <v>4</v>
      </c>
      <c r="EO11" s="378">
        <f t="shared" ref="EO11:EO16" ca="1" si="114">RANK(DS11,$DP11:$EI11)</f>
        <v>5</v>
      </c>
      <c r="EP11" s="378">
        <f t="shared" ref="EP11:EP16" ca="1" si="115">RANK(DT11,$DP11:$EI11)</f>
        <v>6</v>
      </c>
      <c r="EQ11" s="378">
        <f t="shared" ref="EQ11:EQ16" ca="1" si="116">RANK(DU11,$DP11:$EI11)</f>
        <v>7</v>
      </c>
      <c r="ER11" s="378">
        <f t="shared" ref="ER11:ER16" ca="1" si="117">RANK(DV11,$DP11:$EI11)</f>
        <v>8</v>
      </c>
      <c r="ES11" s="378">
        <f t="shared" ref="ES11:ES16" ca="1" si="118">RANK(DW11,$DP11:$EI11)</f>
        <v>9</v>
      </c>
      <c r="ET11" s="378">
        <f t="shared" ref="ET11:ET16" ca="1" si="119">RANK(DX11,$DP11:$EI11)</f>
        <v>10</v>
      </c>
      <c r="EU11" s="378">
        <f t="shared" ref="EU11:EU16" ca="1" si="120">RANK(DY11,$DP11:$EI11)</f>
        <v>1</v>
      </c>
      <c r="EV11" s="378">
        <f t="shared" ref="EV11:EV16" ca="1" si="121">RANK(DZ11,$DP11:$EI11)</f>
        <v>11</v>
      </c>
      <c r="EW11" s="378">
        <f t="shared" ref="EW11:EW16" ca="1" si="122">RANK(EA11,$DP11:$EI11)</f>
        <v>12</v>
      </c>
      <c r="EX11" s="378">
        <f t="shared" ref="EX11:EX16" ca="1" si="123">RANK(EB11,$DP11:$EI11)</f>
        <v>13</v>
      </c>
      <c r="EY11" s="378">
        <f t="shared" ref="EY11:EY16" ca="1" si="124">RANK(EC11,$DP11:$EI11)</f>
        <v>14</v>
      </c>
      <c r="EZ11" s="378">
        <f t="shared" ref="EZ11:EZ16" ca="1" si="125">RANK(ED11,$DP11:$EI11)</f>
        <v>15</v>
      </c>
      <c r="FA11" s="378">
        <f t="shared" ref="FA11:FA16" ca="1" si="126">RANK(EE11,$DP11:$EI11)</f>
        <v>16</v>
      </c>
      <c r="FB11" s="378">
        <f t="shared" ref="FB11:FB16" ca="1" si="127">RANK(EF11,$DP11:$EI11)</f>
        <v>17</v>
      </c>
      <c r="FC11" s="378">
        <f t="shared" ref="FC11:FC16" ca="1" si="128">RANK(EG11,$DP11:$EI11)</f>
        <v>18</v>
      </c>
      <c r="FD11" s="378">
        <f t="shared" ref="FD11:FD16" ca="1" si="129">RANK(EH11,$DP11:$EI11)</f>
        <v>19</v>
      </c>
      <c r="FE11" s="378">
        <f t="shared" ref="FE11:FE16" ca="1" si="130">RANK(EI11,$DP11:$EI11)</f>
        <v>20</v>
      </c>
      <c r="FG11" s="378">
        <f t="shared" ca="1" si="44"/>
        <v>10</v>
      </c>
      <c r="FH11" s="378">
        <f t="shared" ca="1" si="44"/>
        <v>1</v>
      </c>
      <c r="FI11" s="378">
        <f t="shared" ca="1" si="44"/>
        <v>2</v>
      </c>
      <c r="FJ11" s="378">
        <f t="shared" ca="1" si="44"/>
        <v>3</v>
      </c>
      <c r="FK11" s="378">
        <f t="shared" ca="1" si="44"/>
        <v>4</v>
      </c>
      <c r="FL11" s="378">
        <f t="shared" ca="1" si="44"/>
        <v>5</v>
      </c>
      <c r="FM11" s="378">
        <f t="shared" ca="1" si="44"/>
        <v>6</v>
      </c>
      <c r="FN11" s="378">
        <f t="shared" ca="1" si="44"/>
        <v>7</v>
      </c>
      <c r="FO11" s="378">
        <f t="shared" ca="1" si="44"/>
        <v>8</v>
      </c>
      <c r="FP11" s="378">
        <f t="shared" ca="1" si="44"/>
        <v>9</v>
      </c>
      <c r="FQ11" s="378">
        <f t="shared" ca="1" si="44"/>
        <v>11</v>
      </c>
      <c r="FR11" s="378">
        <f t="shared" ca="1" si="44"/>
        <v>12</v>
      </c>
      <c r="FS11" s="378">
        <f t="shared" ca="1" si="44"/>
        <v>13</v>
      </c>
      <c r="FT11" s="378">
        <f t="shared" ca="1" si="44"/>
        <v>14</v>
      </c>
      <c r="FU11" s="378">
        <f t="shared" ca="1" si="44"/>
        <v>15</v>
      </c>
      <c r="FV11" s="378">
        <f t="shared" ca="1" si="44"/>
        <v>16</v>
      </c>
      <c r="FW11" s="378">
        <f t="shared" ca="1" si="44"/>
        <v>17</v>
      </c>
      <c r="FX11" s="378">
        <f t="shared" ca="1" si="44"/>
        <v>18</v>
      </c>
      <c r="FY11" s="378">
        <f t="shared" ca="1" si="44"/>
        <v>19</v>
      </c>
      <c r="FZ11" s="378">
        <f t="shared" ca="1" si="44"/>
        <v>20</v>
      </c>
      <c r="GB11" s="275" t="str">
        <f t="shared" ref="GB11:GB16" ca="1" si="131">IF(GB$5&lt;=$BV11,INDEX($Y11:$BL11,1,FG11*2-1)&amp;" ("&amp;TEXT(INDEX($DP11:$EI11,1,FG11),"0%")&amp;")","")</f>
        <v>Enhance BI Platform (44%)</v>
      </c>
      <c r="GC11" s="231" t="str">
        <f t="shared" ref="GC11:GC16" ca="1" si="132">IF(GC$5&lt;=$BV11,"; "&amp;INDEX($Y11:$BL11,1,FH11*2-1)&amp;" ("&amp;TEXT(INDEX($DP11:$EI11,1,FH11),"0%")&amp;")","")</f>
        <v>; Architecture Standards &amp; Adherence (23%)</v>
      </c>
      <c r="GD11" s="231" t="str">
        <f t="shared" ref="GD11:GD16" ca="1" si="133">IF(GD$5&lt;=$BV11,"; "&amp;INDEX($Y11:$BL11,1,FI11*2-1)&amp;" ("&amp;TEXT(INDEX($DP11:$EI11,1,FI11),"0%")&amp;")","")</f>
        <v/>
      </c>
      <c r="GE11" s="231" t="str">
        <f t="shared" ref="GE11:GE16" ca="1" si="134">IF(GE$5&lt;=$BV11,"; "&amp;INDEX($Y11:$BL11,1,FJ11*2-1)&amp;" ("&amp;TEXT(INDEX($DP11:$EI11,1,FJ11),"0%")&amp;")","")</f>
        <v/>
      </c>
      <c r="GF11" s="231" t="str">
        <f t="shared" ref="GF11:GF16" ca="1" si="135">IF(GF$5&lt;=$BV11,"; "&amp;INDEX($Y11:$BL11,1,FK11*2-1)&amp;" ("&amp;TEXT(INDEX($DP11:$EI11,1,FK11),"0%")&amp;")","")</f>
        <v/>
      </c>
      <c r="GG11" s="231" t="str">
        <f t="shared" ref="GG11:GG16" ca="1" si="136">IF(GG$5&lt;=$BV11,"; "&amp;INDEX($Y11:$BL11,1,FL11*2-1)&amp;" ("&amp;TEXT(INDEX($DP11:$EI11,1,FL11),"0%")&amp;")","")</f>
        <v/>
      </c>
      <c r="GH11" s="231" t="str">
        <f t="shared" ref="GH11:GH16" ca="1" si="137">IF(GH$5&lt;=$BV11,"; "&amp;INDEX($Y11:$BL11,1,FM11*2-1)&amp;" ("&amp;TEXT(INDEX($DP11:$EI11,1,FM11),"0%")&amp;")","")</f>
        <v/>
      </c>
      <c r="GI11" s="231" t="str">
        <f t="shared" ref="GI11:GI16" ca="1" si="138">IF(GI$5&lt;=$BV11,"; "&amp;INDEX($Y11:$BL11,1,FN11*2-1)&amp;" ("&amp;TEXT(INDEX($DP11:$EI11,1,FN11),"0%")&amp;")","")</f>
        <v/>
      </c>
      <c r="GJ11" s="231" t="str">
        <f t="shared" ref="GJ11:GJ16" ca="1" si="139">IF(GJ$5&lt;=$BV11,"; "&amp;INDEX($Y11:$BL11,1,FO11*2-1)&amp;" ("&amp;TEXT(INDEX($DP11:$EI11,1,FO11),"0%")&amp;")","")</f>
        <v/>
      </c>
      <c r="GK11" s="231" t="str">
        <f t="shared" ref="GK11:GK16" ca="1" si="140">IF(GK$5&lt;=$BV11,"; "&amp;INDEX($Y11:$BL11,1,FP11*2-1)&amp;" ("&amp;TEXT(INDEX($DP11:$EI11,1,FP11),"0%")&amp;")","")</f>
        <v/>
      </c>
      <c r="GL11" s="231" t="str">
        <f t="shared" ref="GL11:GL16" ca="1" si="141">IF(GL$5&lt;=$BV11,"; "&amp;INDEX($Y11:$BL11,1,FQ11*2-1)&amp;" ("&amp;TEXT(INDEX($DP11:$EI11,1,FQ11),"0%")&amp;")","")</f>
        <v/>
      </c>
      <c r="GM11" s="231" t="str">
        <f t="shared" ref="GM11:GM16" ca="1" si="142">IF(GM$5&lt;=$BV11,"; "&amp;INDEX($Y11:$BL11,1,FR11*2-1)&amp;" ("&amp;TEXT(INDEX($DP11:$EI11,1,FR11),"0%")&amp;")","")</f>
        <v/>
      </c>
      <c r="GN11" s="231" t="str">
        <f t="shared" ref="GN11:GN16" ca="1" si="143">IF(GN$5&lt;=$BV11,"; "&amp;INDEX($Y11:$BL11,1,FS11*2-1)&amp;" ("&amp;TEXT(INDEX($DP11:$EI11,1,FS11),"0%")&amp;")","")</f>
        <v/>
      </c>
      <c r="GO11" s="231" t="str">
        <f t="shared" ref="GO11:GO16" ca="1" si="144">IF(GO$5&lt;=$BV11,"; "&amp;INDEX($Y11:$BL11,1,FT11*2-1)&amp;" ("&amp;TEXT(INDEX($DP11:$EI11,1,FT11),"0%")&amp;")","")</f>
        <v/>
      </c>
      <c r="GP11" s="231" t="str">
        <f t="shared" ref="GP11:GP16" ca="1" si="145">IF(GP$5&lt;=$BV11,"; "&amp;INDEX($Y11:$BL11,1,FU11*2-1)&amp;" ("&amp;TEXT(INDEX($DP11:$EI11,1,FU11),"0%")&amp;")","")</f>
        <v/>
      </c>
      <c r="GQ11" s="231" t="str">
        <f t="shared" ref="GQ11:GQ16" ca="1" si="146">IF(GQ$5&lt;=$BV11,"; "&amp;INDEX($Y11:$BL11,1,FV11*2-1)&amp;" ("&amp;TEXT(INDEX($DP11:$EI11,1,FV11),"0%")&amp;")","")</f>
        <v/>
      </c>
      <c r="GR11" s="231" t="str">
        <f t="shared" ref="GR11:GR16" ca="1" si="147">IF(GR$5&lt;=$BV11,"; "&amp;INDEX($Y11:$BL11,1,FW11*2-1)&amp;" ("&amp;TEXT(INDEX($DP11:$EI11,1,FW11),"0%")&amp;")","")</f>
        <v/>
      </c>
      <c r="GS11" s="231" t="str">
        <f t="shared" ref="GS11:GS16" ca="1" si="148">IF(GS$5&lt;=$BV11,"; "&amp;INDEX($Y11:$BL11,1,FX11*2-1)&amp;" ("&amp;TEXT(INDEX($DP11:$EI11,1,FX11),"0%")&amp;")","")</f>
        <v/>
      </c>
      <c r="GT11" s="231" t="str">
        <f t="shared" ref="GT11:GT16" ca="1" si="149">IF(GT$5&lt;=$BV11,"; "&amp;INDEX($Y11:$BL11,1,FY11*2-1)&amp;" ("&amp;TEXT(INDEX($DP11:$EI11,1,FY11),"0%")&amp;")","")</f>
        <v/>
      </c>
      <c r="GU11" s="231" t="str">
        <f t="shared" ref="GU11:GU16" ca="1" si="150">IF(GU$5&lt;=$BV11,"; "&amp;INDEX($Y11:$BL11,1,FZ11*2-1)&amp;" ("&amp;TEXT(INDEX($DP11:$EI11,1,FZ11),"0%")&amp;")","")</f>
        <v/>
      </c>
    </row>
    <row r="12" spans="1:246" s="352" customFormat="1" ht="14.25" hidden="1" customHeight="1">
      <c r="B12" s="373"/>
      <c r="C12" s="81" t="str">
        <f>'IT Labor'!C17</f>
        <v xml:space="preserve">	Data management_x000D_</v>
      </c>
      <c r="D12" s="404">
        <f t="shared" ca="1" si="64"/>
        <v>7.5476070672903697E-2</v>
      </c>
      <c r="E12" s="374">
        <f>ROW(Initiatives!A103)</f>
        <v>103</v>
      </c>
      <c r="F12" s="374">
        <f>ROW(Initiatives!A106)</f>
        <v>106</v>
      </c>
      <c r="G12" s="374">
        <f>ROW(Initiatives!A107)</f>
        <v>107</v>
      </c>
      <c r="H12" s="374">
        <f>ROW(Initiatives!A108)</f>
        <v>108</v>
      </c>
      <c r="I12" s="374">
        <f>ROW(Initiatives!A114)</f>
        <v>114</v>
      </c>
      <c r="J12" s="374">
        <f>ROW(Initiatives!A117)</f>
        <v>117</v>
      </c>
      <c r="K12" s="374">
        <f>ROW(Initiatives!A118)</f>
        <v>118</v>
      </c>
      <c r="L12" s="374">
        <f>ROW(Initiatives!A119)</f>
        <v>119</v>
      </c>
      <c r="M12" s="374">
        <f>ROW(Initiatives!A123)</f>
        <v>123</v>
      </c>
      <c r="N12" s="374">
        <f>ROW(Initiatives!A124)</f>
        <v>124</v>
      </c>
      <c r="O12" s="374" t="s">
        <v>975</v>
      </c>
      <c r="P12" s="374" t="s">
        <v>975</v>
      </c>
      <c r="Q12" s="374" t="s">
        <v>975</v>
      </c>
      <c r="R12" s="374" t="s">
        <v>975</v>
      </c>
      <c r="S12" s="374" t="s">
        <v>975</v>
      </c>
      <c r="T12" s="374" t="s">
        <v>975</v>
      </c>
      <c r="U12" s="374" t="s">
        <v>975</v>
      </c>
      <c r="V12" s="374" t="s">
        <v>975</v>
      </c>
      <c r="W12" s="374" t="s">
        <v>975</v>
      </c>
      <c r="X12" s="374" t="s">
        <v>975</v>
      </c>
      <c r="Y12" s="392" t="str">
        <f ca="1">OFFSET(Initiatives!$D$1,E12-1,$BS$3)</f>
        <v>Architecture Standards &amp; Adherence</v>
      </c>
      <c r="Z12" s="375">
        <v>6</v>
      </c>
      <c r="AA12" s="392" t="str">
        <f ca="1">OFFSET(Initiatives!$D$1,F12-1,$BS$3)</f>
        <v>Metadata definitions</v>
      </c>
      <c r="AB12" s="375">
        <v>8</v>
      </c>
      <c r="AC12" s="392" t="str">
        <f ca="1">OFFSET(Initiatives!$D$1,G12-1,$BS$3)</f>
        <v>Metadata management</v>
      </c>
      <c r="AD12" s="375">
        <v>9</v>
      </c>
      <c r="AE12" s="392" t="str">
        <f ca="1">OFFSET(Initiatives!$D$1,H12-1,$BS$3)</f>
        <v>High data quality</v>
      </c>
      <c r="AF12" s="375">
        <v>9</v>
      </c>
      <c r="AG12" s="392" t="str">
        <f ca="1">OFFSET(Initiatives!$D$1,I12-1,$BS$3)</f>
        <v>Data Integration/ETL</v>
      </c>
      <c r="AH12" s="375">
        <v>7</v>
      </c>
      <c r="AI12" s="392" t="str">
        <f ca="1">OFFSET(Initiatives!$D$1,J12-1,$BS$3)</f>
        <v>Standardized data marts</v>
      </c>
      <c r="AJ12" s="375">
        <v>7</v>
      </c>
      <c r="AK12" s="392" t="str">
        <f ca="1">OFFSET(Initiatives!$D$1,K12-1,$BS$3)</f>
        <v>A single, central DW</v>
      </c>
      <c r="AL12" s="375">
        <v>7</v>
      </c>
      <c r="AM12" s="392" t="str">
        <f ca="1">OFFSET(Initiatives!$D$1,L12-1,$BS$3)</f>
        <v>High performance/reliability infrastructure</v>
      </c>
      <c r="AN12" s="375">
        <v>3</v>
      </c>
      <c r="AO12" s="392" t="str">
        <f ca="1">OFFSET(Initiatives!$D$1,M12-1,$BS$3)</f>
        <v>Robust development tools</v>
      </c>
      <c r="AP12" s="375">
        <v>5</v>
      </c>
      <c r="AQ12" s="392" t="str">
        <f ca="1">OFFSET(Initiatives!$D$1,N12-1,$BS$3)</f>
        <v>Extensible / supports web services</v>
      </c>
      <c r="AR12" s="375">
        <v>2</v>
      </c>
      <c r="AS12" s="392" t="e">
        <f ca="1">OFFSET(Initiatives!$D$1,O12-1,$BS$3)</f>
        <v>#VALUE!</v>
      </c>
      <c r="AT12" s="375"/>
      <c r="AU12" s="392" t="e">
        <f ca="1">OFFSET(Initiatives!$D$1,P12-1,$BS$3)</f>
        <v>#VALUE!</v>
      </c>
      <c r="AV12" s="375"/>
      <c r="AW12" s="392" t="e">
        <f ca="1">OFFSET(Initiatives!$D$1,Q12-1,$BS$3)</f>
        <v>#VALUE!</v>
      </c>
      <c r="AX12" s="375"/>
      <c r="AY12" s="392" t="e">
        <f ca="1">OFFSET(Initiatives!$D$1,R12-1,$BS$3)</f>
        <v>#VALUE!</v>
      </c>
      <c r="AZ12" s="375"/>
      <c r="BA12" s="392" t="e">
        <f ca="1">OFFSET(Initiatives!$D$1,S12-1,$BS$3)</f>
        <v>#VALUE!</v>
      </c>
      <c r="BB12" s="375"/>
      <c r="BC12" s="392" t="e">
        <f ca="1">OFFSET(Initiatives!$D$1,T12-1,$BS$3)</f>
        <v>#VALUE!</v>
      </c>
      <c r="BD12" s="375"/>
      <c r="BE12" s="392" t="e">
        <f ca="1">OFFSET(Initiatives!$D$1,U12-1,$BS$3)</f>
        <v>#VALUE!</v>
      </c>
      <c r="BF12" s="375"/>
      <c r="BG12" s="392" t="e">
        <f ca="1">OFFSET(Initiatives!$D$1,V12-1,$BS$3)</f>
        <v>#VALUE!</v>
      </c>
      <c r="BH12" s="375"/>
      <c r="BI12" s="392" t="e">
        <f ca="1">OFFSET(Initiatives!$D$1,W12-1,$BS$3)</f>
        <v>#VALUE!</v>
      </c>
      <c r="BJ12" s="375"/>
      <c r="BK12" s="392" t="e">
        <f ca="1">OFFSET(Initiatives!$D$1,X12-1,$BS$3)</f>
        <v>#VALUE!</v>
      </c>
      <c r="BL12" s="375"/>
      <c r="BN12" s="101">
        <f t="shared" si="1"/>
        <v>63.000100000000003</v>
      </c>
      <c r="BP12" s="231" t="str">
        <f t="shared" ca="1" si="65"/>
        <v>Metadata management (19%); High data quality (19%); Architecture Standards &amp; Adherence (18%); Metadata definitions (17%); Data Integration/ETL (15%)</v>
      </c>
      <c r="BQ12" s="338">
        <v>0.01</v>
      </c>
      <c r="BR12" s="40">
        <f t="shared" ca="1" si="66"/>
        <v>5</v>
      </c>
      <c r="BS12" s="274">
        <v>0.05</v>
      </c>
      <c r="BT12" s="40">
        <f t="shared" ca="1" si="67"/>
        <v>5</v>
      </c>
      <c r="BU12" s="376">
        <v>7</v>
      </c>
      <c r="BV12" s="40">
        <f t="shared" ca="1" si="68"/>
        <v>5</v>
      </c>
      <c r="BY12" s="377">
        <f ca="1">IF(ISERROR(OFFSET(Initiatives!$D$1,E12-1,$BY$3)),,OFFSET(Initiatives!$D$1,E12-1,$BY$3))</f>
        <v>0.14000000000000012</v>
      </c>
      <c r="BZ12" s="377">
        <f ca="1">IF(ISERROR(OFFSET(Initiatives!$D$1,F12-1,$BY$3)),,OFFSET(Initiatives!$D$1,F12-1,$BY$3))</f>
        <v>9.9999999999999978E-2</v>
      </c>
      <c r="CA12" s="377">
        <f ca="1">IF(ISERROR(OFFSET(Initiatives!$D$1,G12-1,$BY$3)),,OFFSET(Initiatives!$D$1,G12-1,$BY$3))</f>
        <v>9.9999999999999978E-2</v>
      </c>
      <c r="CB12" s="377">
        <f ca="1">IF(ISERROR(OFFSET(Initiatives!$D$1,H12-1,$BY$3)),,OFFSET(Initiatives!$D$1,H12-1,$BY$3))</f>
        <v>9.9999999999999978E-2</v>
      </c>
      <c r="CC12" s="377">
        <f ca="1">IF(ISERROR(OFFSET(Initiatives!$D$1,I12-1,$BY$3)),,OFFSET(Initiatives!$D$1,I12-1,$BY$3))</f>
        <v>9.9999999999999978E-2</v>
      </c>
      <c r="CD12" s="377">
        <f ca="1">IF(ISERROR(OFFSET(Initiatives!$D$1,J12-1,$BY$3)),,OFFSET(Initiatives!$D$1,J12-1,$BY$3))</f>
        <v>3.0000000000000027E-2</v>
      </c>
      <c r="CE12" s="377">
        <f ca="1">IF(ISERROR(OFFSET(Initiatives!$D$1,K12-1,$BY$3)),,OFFSET(Initiatives!$D$1,K12-1,$BY$3))</f>
        <v>3.0000000000000027E-2</v>
      </c>
      <c r="CF12" s="377">
        <f ca="1">IF(ISERROR(OFFSET(Initiatives!$D$1,L12-1,$BY$3)),,OFFSET(Initiatives!$D$1,L12-1,$BY$3))</f>
        <v>3.0000000000000027E-2</v>
      </c>
      <c r="CG12" s="377">
        <f ca="1">IF(ISERROR(OFFSET(Initiatives!$D$1,M12-1,$BY$3)),,OFFSET(Initiatives!$D$1,M12-1,$BY$3))</f>
        <v>1.5000000000000013E-2</v>
      </c>
      <c r="CH12" s="377">
        <f ca="1">IF(ISERROR(OFFSET(Initiatives!$D$1,N12-1,$BY$3)),,OFFSET(Initiatives!$D$1,N12-1,$BY$3))</f>
        <v>1.5000000000000013E-2</v>
      </c>
      <c r="CI12" s="377">
        <f ca="1">IF(ISERROR(OFFSET(Initiatives!$D$1,O12-1,$BY$3)),,OFFSET(Initiatives!$D$1,O12-1,$BY$3))</f>
        <v>0</v>
      </c>
      <c r="CJ12" s="377">
        <f ca="1">IF(ISERROR(OFFSET(Initiatives!$D$1,P12-1,$BY$3)),,OFFSET(Initiatives!$D$1,P12-1,$BY$3))</f>
        <v>0</v>
      </c>
      <c r="CK12" s="377">
        <f ca="1">IF(ISERROR(OFFSET(Initiatives!$D$1,Q12-1,$BY$3)),,OFFSET(Initiatives!$D$1,Q12-1,$BY$3))</f>
        <v>0</v>
      </c>
      <c r="CL12" s="377">
        <f ca="1">IF(ISERROR(OFFSET(Initiatives!$D$1,R12-1,$BY$3)),,OFFSET(Initiatives!$D$1,R12-1,$BY$3))</f>
        <v>0</v>
      </c>
      <c r="CM12" s="377">
        <f ca="1">IF(ISERROR(OFFSET(Initiatives!$D$1,S12-1,$BY$3)),,OFFSET(Initiatives!$D$1,S12-1,$BY$3))</f>
        <v>0</v>
      </c>
      <c r="CN12" s="377">
        <f ca="1">IF(ISERROR(OFFSET(Initiatives!$D$1,T12-1,$BY$3)),,OFFSET(Initiatives!$D$1,T12-1,$BY$3))</f>
        <v>0</v>
      </c>
      <c r="CO12" s="377">
        <f ca="1">IF(ISERROR(OFFSET(Initiatives!$D$1,U12-1,$BY$3)),,OFFSET(Initiatives!$D$1,U12-1,$BY$3))</f>
        <v>0</v>
      </c>
      <c r="CP12" s="377">
        <f ca="1">IF(ISERROR(OFFSET(Initiatives!$D$1,V12-1,$BY$3)),,OFFSET(Initiatives!$D$1,V12-1,$BY$3))</f>
        <v>0</v>
      </c>
      <c r="CQ12" s="377">
        <f ca="1">IF(ISERROR(OFFSET(Initiatives!$D$1,W12-1,$BY$3)),,OFFSET(Initiatives!$D$1,W12-1,$BY$3))</f>
        <v>0</v>
      </c>
      <c r="CR12" s="377">
        <f ca="1">IF(ISERROR(OFFSET(Initiatives!$D$1,X12-1,$BY$3)),,OFFSET(Initiatives!$D$1,X12-1,$BY$3))</f>
        <v>0</v>
      </c>
      <c r="CT12" s="41">
        <f t="shared" ca="1" si="69"/>
        <v>1.3333312169345773E-2</v>
      </c>
      <c r="CU12" s="41">
        <f t="shared" ca="1" si="70"/>
        <v>1.2698392542234057E-2</v>
      </c>
      <c r="CV12" s="41">
        <f t="shared" ca="1" si="71"/>
        <v>1.4285691610013314E-2</v>
      </c>
      <c r="CW12" s="41">
        <f t="shared" ca="1" si="72"/>
        <v>1.4285691610013314E-2</v>
      </c>
      <c r="CX12" s="41">
        <f t="shared" ca="1" si="73"/>
        <v>1.1111093474454799E-2</v>
      </c>
      <c r="CY12" s="41">
        <f t="shared" ca="1" si="74"/>
        <v>3.3333280423364434E-3</v>
      </c>
      <c r="CZ12" s="41">
        <f t="shared" ca="1" si="75"/>
        <v>3.3333280423364434E-3</v>
      </c>
      <c r="DA12" s="41">
        <f t="shared" ca="1" si="76"/>
        <v>1.4285691610013329E-3</v>
      </c>
      <c r="DB12" s="41">
        <f t="shared" ca="1" si="77"/>
        <v>1.1904743008344441E-3</v>
      </c>
      <c r="DC12" s="41">
        <f t="shared" ca="1" si="78"/>
        <v>4.7618972033377767E-4</v>
      </c>
      <c r="DD12" s="41">
        <f t="shared" ca="1" si="79"/>
        <v>0</v>
      </c>
      <c r="DE12" s="41">
        <f t="shared" ca="1" si="80"/>
        <v>0</v>
      </c>
      <c r="DF12" s="41">
        <f t="shared" ca="1" si="81"/>
        <v>0</v>
      </c>
      <c r="DG12" s="41">
        <f t="shared" ca="1" si="82"/>
        <v>0</v>
      </c>
      <c r="DH12" s="41">
        <f t="shared" ca="1" si="83"/>
        <v>0</v>
      </c>
      <c r="DI12" s="41">
        <f t="shared" ca="1" si="84"/>
        <v>0</v>
      </c>
      <c r="DJ12" s="41">
        <f t="shared" ca="1" si="85"/>
        <v>0</v>
      </c>
      <c r="DK12" s="41">
        <f t="shared" ca="1" si="86"/>
        <v>0</v>
      </c>
      <c r="DL12" s="41">
        <f t="shared" ca="1" si="87"/>
        <v>0</v>
      </c>
      <c r="DM12" s="41">
        <f t="shared" ca="1" si="88"/>
        <v>0</v>
      </c>
      <c r="DN12" s="41">
        <f t="shared" ca="1" si="89"/>
        <v>7.5476070672903697E-2</v>
      </c>
      <c r="DP12" s="41">
        <f t="shared" ca="1" si="90"/>
        <v>0.17664615141955847</v>
      </c>
      <c r="DQ12" s="41">
        <f t="shared" ca="1" si="91"/>
        <v>0.16822395373291268</v>
      </c>
      <c r="DR12" s="41">
        <f t="shared" ca="1" si="92"/>
        <v>0.18924444794952675</v>
      </c>
      <c r="DS12" s="41">
        <f t="shared" ca="1" si="93"/>
        <v>0.18923444794952674</v>
      </c>
      <c r="DT12" s="41">
        <f t="shared" ca="1" si="94"/>
        <v>0.14716345951629858</v>
      </c>
      <c r="DU12" s="41">
        <f t="shared" ca="1" si="95"/>
        <v>4.4104037854889623E-2</v>
      </c>
      <c r="DV12" s="41">
        <f t="shared" ca="1" si="96"/>
        <v>4.409403785488962E-2</v>
      </c>
      <c r="DW12" s="41">
        <f t="shared" ca="1" si="97"/>
        <v>1.8847444794952695E-2</v>
      </c>
      <c r="DX12" s="41">
        <f t="shared" ca="1" si="98"/>
        <v>1.5682870662460581E-2</v>
      </c>
      <c r="DY12" s="41">
        <f t="shared" ca="1" si="99"/>
        <v>6.2091482649842319E-3</v>
      </c>
      <c r="DZ12" s="41">
        <f t="shared" ca="1" si="100"/>
        <v>-1.1E-4</v>
      </c>
      <c r="EA12" s="41">
        <f t="shared" ca="1" si="101"/>
        <v>-1.2E-4</v>
      </c>
      <c r="EB12" s="41">
        <f t="shared" ca="1" si="102"/>
        <v>-1.2999999999999999E-4</v>
      </c>
      <c r="EC12" s="41">
        <f t="shared" ca="1" si="103"/>
        <v>-1.3999999999999999E-4</v>
      </c>
      <c r="ED12" s="41">
        <f t="shared" ca="1" si="104"/>
        <v>-1.4999999999999999E-4</v>
      </c>
      <c r="EE12" s="41">
        <f t="shared" ca="1" si="105"/>
        <v>-1.6000000000000001E-4</v>
      </c>
      <c r="EF12" s="41">
        <f t="shared" ca="1" si="106"/>
        <v>-1.7000000000000001E-4</v>
      </c>
      <c r="EG12" s="41">
        <f t="shared" ca="1" si="107"/>
        <v>-1.8000000000000001E-4</v>
      </c>
      <c r="EH12" s="41">
        <f t="shared" ca="1" si="108"/>
        <v>-1.9000000000000001E-4</v>
      </c>
      <c r="EI12" s="41">
        <f t="shared" ca="1" si="109"/>
        <v>-2.0000000000000001E-4</v>
      </c>
      <c r="EJ12" s="41">
        <f t="shared" ca="1" si="110"/>
        <v>0.9978999999999999</v>
      </c>
      <c r="EL12" s="378">
        <f t="shared" ca="1" si="111"/>
        <v>3</v>
      </c>
      <c r="EM12" s="378">
        <f t="shared" ca="1" si="112"/>
        <v>4</v>
      </c>
      <c r="EN12" s="378">
        <f t="shared" ca="1" si="113"/>
        <v>1</v>
      </c>
      <c r="EO12" s="378">
        <f t="shared" ca="1" si="114"/>
        <v>2</v>
      </c>
      <c r="EP12" s="378">
        <f t="shared" ca="1" si="115"/>
        <v>5</v>
      </c>
      <c r="EQ12" s="378">
        <f t="shared" ca="1" si="116"/>
        <v>6</v>
      </c>
      <c r="ER12" s="378">
        <f t="shared" ca="1" si="117"/>
        <v>7</v>
      </c>
      <c r="ES12" s="378">
        <f t="shared" ca="1" si="118"/>
        <v>8</v>
      </c>
      <c r="ET12" s="378">
        <f t="shared" ca="1" si="119"/>
        <v>9</v>
      </c>
      <c r="EU12" s="378">
        <f t="shared" ca="1" si="120"/>
        <v>10</v>
      </c>
      <c r="EV12" s="378">
        <f t="shared" ca="1" si="121"/>
        <v>11</v>
      </c>
      <c r="EW12" s="378">
        <f t="shared" ca="1" si="122"/>
        <v>12</v>
      </c>
      <c r="EX12" s="378">
        <f t="shared" ca="1" si="123"/>
        <v>13</v>
      </c>
      <c r="EY12" s="378">
        <f t="shared" ca="1" si="124"/>
        <v>14</v>
      </c>
      <c r="EZ12" s="378">
        <f t="shared" ca="1" si="125"/>
        <v>15</v>
      </c>
      <c r="FA12" s="378">
        <f t="shared" ca="1" si="126"/>
        <v>16</v>
      </c>
      <c r="FB12" s="378">
        <f t="shared" ca="1" si="127"/>
        <v>17</v>
      </c>
      <c r="FC12" s="378">
        <f t="shared" ca="1" si="128"/>
        <v>18</v>
      </c>
      <c r="FD12" s="378">
        <f t="shared" ca="1" si="129"/>
        <v>19</v>
      </c>
      <c r="FE12" s="378">
        <f t="shared" ca="1" si="130"/>
        <v>20</v>
      </c>
      <c r="FG12" s="378">
        <f t="shared" ca="1" si="44"/>
        <v>3</v>
      </c>
      <c r="FH12" s="378">
        <f t="shared" ca="1" si="44"/>
        <v>4</v>
      </c>
      <c r="FI12" s="378">
        <f t="shared" ca="1" si="44"/>
        <v>1</v>
      </c>
      <c r="FJ12" s="378">
        <f t="shared" ca="1" si="44"/>
        <v>2</v>
      </c>
      <c r="FK12" s="378">
        <f t="shared" ca="1" si="44"/>
        <v>5</v>
      </c>
      <c r="FL12" s="378">
        <f t="shared" ca="1" si="44"/>
        <v>6</v>
      </c>
      <c r="FM12" s="378">
        <f t="shared" ca="1" si="44"/>
        <v>7</v>
      </c>
      <c r="FN12" s="378">
        <f t="shared" ca="1" si="44"/>
        <v>8</v>
      </c>
      <c r="FO12" s="378">
        <f t="shared" ca="1" si="44"/>
        <v>9</v>
      </c>
      <c r="FP12" s="378">
        <f t="shared" ca="1" si="44"/>
        <v>10</v>
      </c>
      <c r="FQ12" s="378">
        <f t="shared" ca="1" si="44"/>
        <v>11</v>
      </c>
      <c r="FR12" s="378">
        <f t="shared" ca="1" si="44"/>
        <v>12</v>
      </c>
      <c r="FS12" s="378">
        <f t="shared" ca="1" si="44"/>
        <v>13</v>
      </c>
      <c r="FT12" s="378">
        <f t="shared" ca="1" si="44"/>
        <v>14</v>
      </c>
      <c r="FU12" s="378">
        <f t="shared" ca="1" si="44"/>
        <v>15</v>
      </c>
      <c r="FV12" s="378">
        <f t="shared" ca="1" si="44"/>
        <v>16</v>
      </c>
      <c r="FW12" s="378">
        <f t="shared" ca="1" si="44"/>
        <v>17</v>
      </c>
      <c r="FX12" s="378">
        <f t="shared" ca="1" si="44"/>
        <v>18</v>
      </c>
      <c r="FY12" s="378">
        <f t="shared" ca="1" si="44"/>
        <v>19</v>
      </c>
      <c r="FZ12" s="378">
        <f t="shared" ca="1" si="44"/>
        <v>20</v>
      </c>
      <c r="GB12" s="275" t="str">
        <f t="shared" ca="1" si="131"/>
        <v>Metadata management (19%)</v>
      </c>
      <c r="GC12" s="231" t="str">
        <f t="shared" ca="1" si="132"/>
        <v>; High data quality (19%)</v>
      </c>
      <c r="GD12" s="231" t="str">
        <f t="shared" ca="1" si="133"/>
        <v>; Architecture Standards &amp; Adherence (18%)</v>
      </c>
      <c r="GE12" s="231" t="str">
        <f t="shared" ca="1" si="134"/>
        <v>; Metadata definitions (17%)</v>
      </c>
      <c r="GF12" s="231" t="str">
        <f t="shared" ca="1" si="135"/>
        <v>; Data Integration/ETL (15%)</v>
      </c>
      <c r="GG12" s="231" t="str">
        <f t="shared" ca="1" si="136"/>
        <v/>
      </c>
      <c r="GH12" s="231" t="str">
        <f t="shared" ca="1" si="137"/>
        <v/>
      </c>
      <c r="GI12" s="231" t="str">
        <f t="shared" ca="1" si="138"/>
        <v/>
      </c>
      <c r="GJ12" s="231" t="str">
        <f t="shared" ca="1" si="139"/>
        <v/>
      </c>
      <c r="GK12" s="231" t="str">
        <f t="shared" ca="1" si="140"/>
        <v/>
      </c>
      <c r="GL12" s="231" t="str">
        <f t="shared" ca="1" si="141"/>
        <v/>
      </c>
      <c r="GM12" s="231" t="str">
        <f t="shared" ca="1" si="142"/>
        <v/>
      </c>
      <c r="GN12" s="231" t="str">
        <f t="shared" ca="1" si="143"/>
        <v/>
      </c>
      <c r="GO12" s="231" t="str">
        <f t="shared" ca="1" si="144"/>
        <v/>
      </c>
      <c r="GP12" s="231" t="str">
        <f t="shared" ca="1" si="145"/>
        <v/>
      </c>
      <c r="GQ12" s="231" t="str">
        <f t="shared" ca="1" si="146"/>
        <v/>
      </c>
      <c r="GR12" s="231" t="str">
        <f t="shared" ca="1" si="147"/>
        <v/>
      </c>
      <c r="GS12" s="231" t="str">
        <f t="shared" ca="1" si="148"/>
        <v/>
      </c>
      <c r="GT12" s="231" t="str">
        <f t="shared" ca="1" si="149"/>
        <v/>
      </c>
      <c r="GU12" s="231" t="str">
        <f t="shared" ca="1" si="150"/>
        <v/>
      </c>
    </row>
    <row r="13" spans="1:246" s="352" customFormat="1" ht="14.25" hidden="1" customHeight="1">
      <c r="B13" s="373"/>
      <c r="C13" s="81" t="str">
        <f>'IT Labor'!C18</f>
        <v xml:space="preserve">	Integration_x000D_</v>
      </c>
      <c r="D13" s="404">
        <f t="shared" ca="1" si="64"/>
        <v>0.11085999368184077</v>
      </c>
      <c r="E13" s="374">
        <f>ROW(Initiatives!A176)</f>
        <v>176</v>
      </c>
      <c r="F13" s="374">
        <f>ROW(Initiatives!A178)</f>
        <v>178</v>
      </c>
      <c r="G13" s="374">
        <f>ROW(Initiatives!A179)</f>
        <v>179</v>
      </c>
      <c r="H13" s="374">
        <f>ROW(Initiatives!A180)</f>
        <v>180</v>
      </c>
      <c r="I13" s="374">
        <f>ROW(Initiatives!A181)</f>
        <v>181</v>
      </c>
      <c r="J13" s="374">
        <f>ROW(Initiatives!A182)</f>
        <v>182</v>
      </c>
      <c r="K13" s="374"/>
      <c r="L13" s="374"/>
      <c r="M13" s="374"/>
      <c r="N13" s="374"/>
      <c r="O13" s="374" t="s">
        <v>975</v>
      </c>
      <c r="P13" s="374" t="s">
        <v>975</v>
      </c>
      <c r="Q13" s="374" t="s">
        <v>975</v>
      </c>
      <c r="R13" s="374" t="s">
        <v>975</v>
      </c>
      <c r="S13" s="374" t="s">
        <v>975</v>
      </c>
      <c r="T13" s="374" t="s">
        <v>975</v>
      </c>
      <c r="U13" s="374" t="s">
        <v>975</v>
      </c>
      <c r="V13" s="374" t="s">
        <v>975</v>
      </c>
      <c r="W13" s="374" t="s">
        <v>975</v>
      </c>
      <c r="X13" s="374" t="s">
        <v>975</v>
      </c>
      <c r="Y13" s="392" t="str">
        <f ca="1">OFFSET(Initiatives!$D$1,E13-1,$BS$3)</f>
        <v>Source System Inclusion / Integration</v>
      </c>
      <c r="Z13" s="375">
        <v>2</v>
      </c>
      <c r="AA13" s="392" t="str">
        <f ca="1">OFFSET(Initiatives!$D$1,F13-1,$BS$3)</f>
        <v>Architecture Standards &amp; Adherence</v>
      </c>
      <c r="AB13" s="375">
        <v>5</v>
      </c>
      <c r="AC13" s="392" t="str">
        <f ca="1">OFFSET(Initiatives!$D$1,G13-1,$BS$3)</f>
        <v>Data Management</v>
      </c>
      <c r="AD13" s="375">
        <v>4</v>
      </c>
      <c r="AE13" s="392" t="str">
        <f ca="1">OFFSET(Initiatives!$D$1,H13-1,$BS$3)</f>
        <v>Data Integration/ETL</v>
      </c>
      <c r="AF13" s="375">
        <v>9</v>
      </c>
      <c r="AG13" s="392" t="str">
        <f ca="1">OFFSET(Initiatives!$D$1,I13-1,$BS$3)</f>
        <v>Data Warehouse / Data Marts</v>
      </c>
      <c r="AH13" s="375">
        <v>5</v>
      </c>
      <c r="AI13" s="392" t="str">
        <f ca="1">OFFSET(Initiatives!$D$1,J13-1,$BS$3)</f>
        <v>Development</v>
      </c>
      <c r="AJ13" s="375">
        <v>3</v>
      </c>
      <c r="AK13" s="392" t="e">
        <f ca="1">OFFSET(Initiatives!$D$1,K13-1,$BS$3)</f>
        <v>#REF!</v>
      </c>
      <c r="AL13" s="375"/>
      <c r="AM13" s="392" t="e">
        <f ca="1">OFFSET(Initiatives!$D$1,L13-1,$BS$3)</f>
        <v>#REF!</v>
      </c>
      <c r="AN13" s="375"/>
      <c r="AO13" s="392" t="e">
        <f ca="1">OFFSET(Initiatives!$D$1,M13-1,$BS$3)</f>
        <v>#REF!</v>
      </c>
      <c r="AP13" s="375"/>
      <c r="AQ13" s="392" t="e">
        <f ca="1">OFFSET(Initiatives!$D$1,N13-1,$BS$3)</f>
        <v>#REF!</v>
      </c>
      <c r="AR13" s="375"/>
      <c r="AS13" s="392" t="e">
        <f ca="1">OFFSET(Initiatives!$D$1,O13-1,$BS$3)</f>
        <v>#VALUE!</v>
      </c>
      <c r="AT13" s="375"/>
      <c r="AU13" s="392" t="e">
        <f ca="1">OFFSET(Initiatives!$D$1,P13-1,$BS$3)</f>
        <v>#VALUE!</v>
      </c>
      <c r="AV13" s="375"/>
      <c r="AW13" s="392" t="e">
        <f ca="1">OFFSET(Initiatives!$D$1,Q13-1,$BS$3)</f>
        <v>#VALUE!</v>
      </c>
      <c r="AX13" s="375"/>
      <c r="AY13" s="392" t="e">
        <f ca="1">OFFSET(Initiatives!$D$1,R13-1,$BS$3)</f>
        <v>#VALUE!</v>
      </c>
      <c r="AZ13" s="375"/>
      <c r="BA13" s="392" t="e">
        <f ca="1">OFFSET(Initiatives!$D$1,S13-1,$BS$3)</f>
        <v>#VALUE!</v>
      </c>
      <c r="BB13" s="375"/>
      <c r="BC13" s="392" t="e">
        <f ca="1">OFFSET(Initiatives!$D$1,T13-1,$BS$3)</f>
        <v>#VALUE!</v>
      </c>
      <c r="BD13" s="375"/>
      <c r="BE13" s="392" t="e">
        <f ca="1">OFFSET(Initiatives!$D$1,U13-1,$BS$3)</f>
        <v>#VALUE!</v>
      </c>
      <c r="BF13" s="375"/>
      <c r="BG13" s="392" t="e">
        <f ca="1">OFFSET(Initiatives!$D$1,V13-1,$BS$3)</f>
        <v>#VALUE!</v>
      </c>
      <c r="BH13" s="375"/>
      <c r="BI13" s="392" t="e">
        <f ca="1">OFFSET(Initiatives!$D$1,W13-1,$BS$3)</f>
        <v>#VALUE!</v>
      </c>
      <c r="BJ13" s="375"/>
      <c r="BK13" s="392" t="e">
        <f ca="1">OFFSET(Initiatives!$D$1,X13-1,$BS$3)</f>
        <v>#VALUE!</v>
      </c>
      <c r="BL13" s="375"/>
      <c r="BN13" s="101">
        <f t="shared" si="1"/>
        <v>28.0001</v>
      </c>
      <c r="BP13" s="231" t="str">
        <f t="shared" ca="1" si="65"/>
        <v>Source System Inclusion / Integration (29%); Data Integration/ETL (29%); Architecture Standards &amp; Adherence (23%); Data Management (13%)</v>
      </c>
      <c r="BQ13" s="338">
        <v>0.01</v>
      </c>
      <c r="BR13" s="40">
        <f t="shared" ca="1" si="66"/>
        <v>4</v>
      </c>
      <c r="BS13" s="274">
        <v>0.05</v>
      </c>
      <c r="BT13" s="40">
        <f t="shared" ca="1" si="67"/>
        <v>4</v>
      </c>
      <c r="BU13" s="376">
        <v>7</v>
      </c>
      <c r="BV13" s="40">
        <f t="shared" ca="1" si="68"/>
        <v>4</v>
      </c>
      <c r="BY13" s="377">
        <f ca="1">IF(ISERROR(OFFSET(Initiatives!$D$1,E13-1,$BY$3)),,OFFSET(Initiatives!$D$1,E13-1,$BY$3))</f>
        <v>0.45454545454545436</v>
      </c>
      <c r="BZ13" s="377">
        <f ca="1">IF(ISERROR(OFFSET(Initiatives!$D$1,F13-1,$BY$3)),,OFFSET(Initiatives!$D$1,F13-1,$BY$3))</f>
        <v>0.14000000000000012</v>
      </c>
      <c r="CA13" s="377">
        <f ca="1">IF(ISERROR(OFFSET(Initiatives!$D$1,G13-1,$BY$3)),,OFFSET(Initiatives!$D$1,G13-1,$BY$3))</f>
        <v>9.9999999999999978E-2</v>
      </c>
      <c r="CB13" s="377">
        <f ca="1">IF(ISERROR(OFFSET(Initiatives!$D$1,H13-1,$BY$3)),,OFFSET(Initiatives!$D$1,H13-1,$BY$3))</f>
        <v>9.9999999999999978E-2</v>
      </c>
      <c r="CC13" s="377">
        <f ca="1">IF(ISERROR(OFFSET(Initiatives!$D$1,I13-1,$BY$3)),,OFFSET(Initiatives!$D$1,I13-1,$BY$3))</f>
        <v>3.0000000000000027E-2</v>
      </c>
      <c r="CD13" s="377">
        <f ca="1">IF(ISERROR(OFFSET(Initiatives!$D$1,J13-1,$BY$3)),,OFFSET(Initiatives!$D$1,J13-1,$BY$3))</f>
        <v>1.5000000000000124E-2</v>
      </c>
      <c r="CE13" s="377">
        <f ca="1">IF(ISERROR(OFFSET(Initiatives!$D$1,K13-1,$BY$3)),,OFFSET(Initiatives!$D$1,K13-1,$BY$3))</f>
        <v>0</v>
      </c>
      <c r="CF13" s="377">
        <f ca="1">IF(ISERROR(OFFSET(Initiatives!$D$1,L13-1,$BY$3)),,OFFSET(Initiatives!$D$1,L13-1,$BY$3))</f>
        <v>0</v>
      </c>
      <c r="CG13" s="377">
        <f ca="1">IF(ISERROR(OFFSET(Initiatives!$D$1,M13-1,$BY$3)),,OFFSET(Initiatives!$D$1,M13-1,$BY$3))</f>
        <v>0</v>
      </c>
      <c r="CH13" s="377">
        <f ca="1">IF(ISERROR(OFFSET(Initiatives!$D$1,N13-1,$BY$3)),,OFFSET(Initiatives!$D$1,N13-1,$BY$3))</f>
        <v>0</v>
      </c>
      <c r="CI13" s="377">
        <f ca="1">IF(ISERROR(OFFSET(Initiatives!$D$1,O13-1,$BY$3)),,OFFSET(Initiatives!$D$1,O13-1,$BY$3))</f>
        <v>0</v>
      </c>
      <c r="CJ13" s="377">
        <f ca="1">IF(ISERROR(OFFSET(Initiatives!$D$1,P13-1,$BY$3)),,OFFSET(Initiatives!$D$1,P13-1,$BY$3))</f>
        <v>0</v>
      </c>
      <c r="CK13" s="377">
        <f ca="1">IF(ISERROR(OFFSET(Initiatives!$D$1,Q13-1,$BY$3)),,OFFSET(Initiatives!$D$1,Q13-1,$BY$3))</f>
        <v>0</v>
      </c>
      <c r="CL13" s="377">
        <f ca="1">IF(ISERROR(OFFSET(Initiatives!$D$1,R13-1,$BY$3)),,OFFSET(Initiatives!$D$1,R13-1,$BY$3))</f>
        <v>0</v>
      </c>
      <c r="CM13" s="377">
        <f ca="1">IF(ISERROR(OFFSET(Initiatives!$D$1,S13-1,$BY$3)),,OFFSET(Initiatives!$D$1,S13-1,$BY$3))</f>
        <v>0</v>
      </c>
      <c r="CN13" s="377">
        <f ca="1">IF(ISERROR(OFFSET(Initiatives!$D$1,T13-1,$BY$3)),,OFFSET(Initiatives!$D$1,T13-1,$BY$3))</f>
        <v>0</v>
      </c>
      <c r="CO13" s="377">
        <f ca="1">IF(ISERROR(OFFSET(Initiatives!$D$1,U13-1,$BY$3)),,OFFSET(Initiatives!$D$1,U13-1,$BY$3))</f>
        <v>0</v>
      </c>
      <c r="CP13" s="377">
        <f ca="1">IF(ISERROR(OFFSET(Initiatives!$D$1,V13-1,$BY$3)),,OFFSET(Initiatives!$D$1,V13-1,$BY$3))</f>
        <v>0</v>
      </c>
      <c r="CQ13" s="377">
        <f ca="1">IF(ISERROR(OFFSET(Initiatives!$D$1,W13-1,$BY$3)),,OFFSET(Initiatives!$D$1,W13-1,$BY$3))</f>
        <v>0</v>
      </c>
      <c r="CR13" s="377">
        <f ca="1">IF(ISERROR(OFFSET(Initiatives!$D$1,X13-1,$BY$3)),,OFFSET(Initiatives!$D$1,X13-1,$BY$3))</f>
        <v>0</v>
      </c>
      <c r="CT13" s="41">
        <f t="shared" ca="1" si="69"/>
        <v>3.2467416512473479E-2</v>
      </c>
      <c r="CU13" s="41">
        <f t="shared" ca="1" si="70"/>
        <v>2.4999910714604612E-2</v>
      </c>
      <c r="CV13" s="41">
        <f t="shared" ca="1" si="71"/>
        <v>1.4285663265488335E-2</v>
      </c>
      <c r="CW13" s="41">
        <f t="shared" ca="1" si="72"/>
        <v>3.2142742347348756E-2</v>
      </c>
      <c r="CX13" s="41">
        <f t="shared" ca="1" si="73"/>
        <v>5.3571237245581315E-3</v>
      </c>
      <c r="CY13" s="41">
        <f t="shared" ca="1" si="74"/>
        <v>1.6071371173674513E-3</v>
      </c>
      <c r="CZ13" s="41">
        <f t="shared" ca="1" si="75"/>
        <v>0</v>
      </c>
      <c r="DA13" s="41">
        <f t="shared" ca="1" si="76"/>
        <v>0</v>
      </c>
      <c r="DB13" s="41">
        <f t="shared" ca="1" si="77"/>
        <v>0</v>
      </c>
      <c r="DC13" s="41">
        <f t="shared" ca="1" si="78"/>
        <v>0</v>
      </c>
      <c r="DD13" s="41">
        <f t="shared" ca="1" si="79"/>
        <v>0</v>
      </c>
      <c r="DE13" s="41">
        <f t="shared" ca="1" si="80"/>
        <v>0</v>
      </c>
      <c r="DF13" s="41">
        <f t="shared" ca="1" si="81"/>
        <v>0</v>
      </c>
      <c r="DG13" s="41">
        <f t="shared" ca="1" si="82"/>
        <v>0</v>
      </c>
      <c r="DH13" s="41">
        <f t="shared" ca="1" si="83"/>
        <v>0</v>
      </c>
      <c r="DI13" s="41">
        <f t="shared" ca="1" si="84"/>
        <v>0</v>
      </c>
      <c r="DJ13" s="41">
        <f t="shared" ca="1" si="85"/>
        <v>0</v>
      </c>
      <c r="DK13" s="41">
        <f t="shared" ca="1" si="86"/>
        <v>0</v>
      </c>
      <c r="DL13" s="41">
        <f t="shared" ca="1" si="87"/>
        <v>0</v>
      </c>
      <c r="DM13" s="41">
        <f t="shared" ca="1" si="88"/>
        <v>0</v>
      </c>
      <c r="DN13" s="41">
        <f t="shared" ca="1" si="89"/>
        <v>0.11085999368184077</v>
      </c>
      <c r="DP13" s="41">
        <f t="shared" ca="1" si="90"/>
        <v>0.29285864841118736</v>
      </c>
      <c r="DQ13" s="41">
        <f t="shared" ca="1" si="91"/>
        <v>0.22548885927661461</v>
      </c>
      <c r="DR13" s="41">
        <f t="shared" ca="1" si="92"/>
        <v>0.12883220530092249</v>
      </c>
      <c r="DS13" s="41">
        <f t="shared" ca="1" si="93"/>
        <v>0.28989996192707562</v>
      </c>
      <c r="DT13" s="41">
        <f t="shared" ca="1" si="94"/>
        <v>4.8273326987845984E-2</v>
      </c>
      <c r="DU13" s="41">
        <f t="shared" ca="1" si="95"/>
        <v>1.4436998096353904E-2</v>
      </c>
      <c r="DV13" s="41">
        <f t="shared" ca="1" si="96"/>
        <v>-6.9999999999999994E-5</v>
      </c>
      <c r="DW13" s="41">
        <f t="shared" ca="1" si="97"/>
        <v>-8.0000000000000007E-5</v>
      </c>
      <c r="DX13" s="41">
        <f t="shared" ca="1" si="98"/>
        <v>-9.0000000000000006E-5</v>
      </c>
      <c r="DY13" s="41">
        <f t="shared" ca="1" si="99"/>
        <v>-1E-4</v>
      </c>
      <c r="DZ13" s="41">
        <f t="shared" ca="1" si="100"/>
        <v>-1.1E-4</v>
      </c>
      <c r="EA13" s="41">
        <f t="shared" ca="1" si="101"/>
        <v>-1.2E-4</v>
      </c>
      <c r="EB13" s="41">
        <f t="shared" ca="1" si="102"/>
        <v>-1.2999999999999999E-4</v>
      </c>
      <c r="EC13" s="41">
        <f t="shared" ca="1" si="103"/>
        <v>-1.3999999999999999E-4</v>
      </c>
      <c r="ED13" s="41">
        <f t="shared" ca="1" si="104"/>
        <v>-1.4999999999999999E-4</v>
      </c>
      <c r="EE13" s="41">
        <f t="shared" ca="1" si="105"/>
        <v>-1.6000000000000001E-4</v>
      </c>
      <c r="EF13" s="41">
        <f t="shared" ca="1" si="106"/>
        <v>-1.7000000000000001E-4</v>
      </c>
      <c r="EG13" s="41">
        <f t="shared" ca="1" si="107"/>
        <v>-1.8000000000000001E-4</v>
      </c>
      <c r="EH13" s="41">
        <f t="shared" ca="1" si="108"/>
        <v>-1.9000000000000001E-4</v>
      </c>
      <c r="EI13" s="41">
        <f t="shared" ca="1" si="109"/>
        <v>-2.0000000000000001E-4</v>
      </c>
      <c r="EJ13" s="41">
        <f t="shared" ca="1" si="110"/>
        <v>0.99790000000000001</v>
      </c>
      <c r="EL13" s="378">
        <f t="shared" ca="1" si="111"/>
        <v>1</v>
      </c>
      <c r="EM13" s="378">
        <f t="shared" ca="1" si="112"/>
        <v>3</v>
      </c>
      <c r="EN13" s="378">
        <f t="shared" ca="1" si="113"/>
        <v>4</v>
      </c>
      <c r="EO13" s="378">
        <f t="shared" ca="1" si="114"/>
        <v>2</v>
      </c>
      <c r="EP13" s="378">
        <f t="shared" ca="1" si="115"/>
        <v>5</v>
      </c>
      <c r="EQ13" s="378">
        <f t="shared" ca="1" si="116"/>
        <v>6</v>
      </c>
      <c r="ER13" s="378">
        <f t="shared" ca="1" si="117"/>
        <v>7</v>
      </c>
      <c r="ES13" s="378">
        <f t="shared" ca="1" si="118"/>
        <v>8</v>
      </c>
      <c r="ET13" s="378">
        <f t="shared" ca="1" si="119"/>
        <v>9</v>
      </c>
      <c r="EU13" s="378">
        <f t="shared" ca="1" si="120"/>
        <v>10</v>
      </c>
      <c r="EV13" s="378">
        <f t="shared" ca="1" si="121"/>
        <v>11</v>
      </c>
      <c r="EW13" s="378">
        <f t="shared" ca="1" si="122"/>
        <v>12</v>
      </c>
      <c r="EX13" s="378">
        <f t="shared" ca="1" si="123"/>
        <v>13</v>
      </c>
      <c r="EY13" s="378">
        <f t="shared" ca="1" si="124"/>
        <v>14</v>
      </c>
      <c r="EZ13" s="378">
        <f t="shared" ca="1" si="125"/>
        <v>15</v>
      </c>
      <c r="FA13" s="378">
        <f t="shared" ca="1" si="126"/>
        <v>16</v>
      </c>
      <c r="FB13" s="378">
        <f t="shared" ca="1" si="127"/>
        <v>17</v>
      </c>
      <c r="FC13" s="378">
        <f t="shared" ca="1" si="128"/>
        <v>18</v>
      </c>
      <c r="FD13" s="378">
        <f t="shared" ca="1" si="129"/>
        <v>19</v>
      </c>
      <c r="FE13" s="378">
        <f t="shared" ca="1" si="130"/>
        <v>20</v>
      </c>
      <c r="FG13" s="378">
        <f t="shared" ca="1" si="44"/>
        <v>1</v>
      </c>
      <c r="FH13" s="378">
        <f t="shared" ca="1" si="44"/>
        <v>4</v>
      </c>
      <c r="FI13" s="378">
        <f t="shared" ca="1" si="44"/>
        <v>2</v>
      </c>
      <c r="FJ13" s="378">
        <f t="shared" ca="1" si="44"/>
        <v>3</v>
      </c>
      <c r="FK13" s="378">
        <f t="shared" ca="1" si="44"/>
        <v>5</v>
      </c>
      <c r="FL13" s="378">
        <f t="shared" ca="1" si="44"/>
        <v>6</v>
      </c>
      <c r="FM13" s="378">
        <f t="shared" ca="1" si="44"/>
        <v>7</v>
      </c>
      <c r="FN13" s="378">
        <f t="shared" ca="1" si="44"/>
        <v>8</v>
      </c>
      <c r="FO13" s="378">
        <f t="shared" ca="1" si="44"/>
        <v>9</v>
      </c>
      <c r="FP13" s="378">
        <f t="shared" ca="1" si="44"/>
        <v>10</v>
      </c>
      <c r="FQ13" s="378">
        <f t="shared" ca="1" si="44"/>
        <v>11</v>
      </c>
      <c r="FR13" s="378">
        <f t="shared" ca="1" si="44"/>
        <v>12</v>
      </c>
      <c r="FS13" s="378">
        <f t="shared" ca="1" si="44"/>
        <v>13</v>
      </c>
      <c r="FT13" s="378">
        <f t="shared" ca="1" si="44"/>
        <v>14</v>
      </c>
      <c r="FU13" s="378">
        <f t="shared" ca="1" si="44"/>
        <v>15</v>
      </c>
      <c r="FV13" s="378">
        <f t="shared" ca="1" si="44"/>
        <v>16</v>
      </c>
      <c r="FW13" s="378">
        <f t="shared" ca="1" si="44"/>
        <v>17</v>
      </c>
      <c r="FX13" s="378">
        <f t="shared" ca="1" si="44"/>
        <v>18</v>
      </c>
      <c r="FY13" s="378">
        <f t="shared" ca="1" si="44"/>
        <v>19</v>
      </c>
      <c r="FZ13" s="378">
        <f t="shared" ca="1" si="44"/>
        <v>20</v>
      </c>
      <c r="GB13" s="275" t="str">
        <f t="shared" ca="1" si="131"/>
        <v>Source System Inclusion / Integration (29%)</v>
      </c>
      <c r="GC13" s="231" t="str">
        <f t="shared" ca="1" si="132"/>
        <v>; Data Integration/ETL (29%)</v>
      </c>
      <c r="GD13" s="231" t="str">
        <f t="shared" ca="1" si="133"/>
        <v>; Architecture Standards &amp; Adherence (23%)</v>
      </c>
      <c r="GE13" s="231" t="str">
        <f t="shared" ca="1" si="134"/>
        <v>; Data Management (13%)</v>
      </c>
      <c r="GF13" s="231" t="str">
        <f t="shared" ca="1" si="135"/>
        <v/>
      </c>
      <c r="GG13" s="231" t="str">
        <f t="shared" ca="1" si="136"/>
        <v/>
      </c>
      <c r="GH13" s="231" t="str">
        <f t="shared" ca="1" si="137"/>
        <v/>
      </c>
      <c r="GI13" s="231" t="str">
        <f t="shared" ca="1" si="138"/>
        <v/>
      </c>
      <c r="GJ13" s="231" t="str">
        <f t="shared" ca="1" si="139"/>
        <v/>
      </c>
      <c r="GK13" s="231" t="str">
        <f t="shared" ca="1" si="140"/>
        <v/>
      </c>
      <c r="GL13" s="231" t="str">
        <f t="shared" ca="1" si="141"/>
        <v/>
      </c>
      <c r="GM13" s="231" t="str">
        <f t="shared" ca="1" si="142"/>
        <v/>
      </c>
      <c r="GN13" s="231" t="str">
        <f t="shared" ca="1" si="143"/>
        <v/>
      </c>
      <c r="GO13" s="231" t="str">
        <f t="shared" ca="1" si="144"/>
        <v/>
      </c>
      <c r="GP13" s="231" t="str">
        <f t="shared" ca="1" si="145"/>
        <v/>
      </c>
      <c r="GQ13" s="231" t="str">
        <f t="shared" ca="1" si="146"/>
        <v/>
      </c>
      <c r="GR13" s="231" t="str">
        <f t="shared" ca="1" si="147"/>
        <v/>
      </c>
      <c r="GS13" s="231" t="str">
        <f t="shared" ca="1" si="148"/>
        <v/>
      </c>
      <c r="GT13" s="231" t="str">
        <f t="shared" ca="1" si="149"/>
        <v/>
      </c>
      <c r="GU13" s="231" t="str">
        <f t="shared" ca="1" si="150"/>
        <v/>
      </c>
    </row>
    <row r="14" spans="1:246" s="352" customFormat="1" ht="14.25" hidden="1" customHeight="1">
      <c r="B14" s="373"/>
      <c r="C14" s="81" t="str">
        <f>'IT Labor'!C19</f>
        <v>Application development</v>
      </c>
      <c r="D14" s="404">
        <f t="shared" ca="1" si="64"/>
        <v>0.18551610729810322</v>
      </c>
      <c r="E14" s="374">
        <f>ROW(Initiatives!A123)</f>
        <v>123</v>
      </c>
      <c r="F14" s="374">
        <f>ROW(Initiatives!A124)</f>
        <v>124</v>
      </c>
      <c r="G14" s="374">
        <f>ROW(Initiatives!A125)</f>
        <v>125</v>
      </c>
      <c r="H14" s="374">
        <f>ROW(Initiatives!A176)</f>
        <v>176</v>
      </c>
      <c r="I14" s="374">
        <f>ROW(Initiatives!A178)</f>
        <v>178</v>
      </c>
      <c r="J14" s="374">
        <f>ROW(Initiatives!A179)</f>
        <v>179</v>
      </c>
      <c r="K14" s="374">
        <f>ROW(Initiatives!A180)</f>
        <v>180</v>
      </c>
      <c r="L14" s="374">
        <f>ROW(Initiatives!A181)</f>
        <v>181</v>
      </c>
      <c r="M14" s="374">
        <f>ROW(Initiatives!A189)</f>
        <v>189</v>
      </c>
      <c r="N14" s="374" t="s">
        <v>975</v>
      </c>
      <c r="O14" s="374" t="s">
        <v>975</v>
      </c>
      <c r="P14" s="374" t="s">
        <v>975</v>
      </c>
      <c r="Q14" s="374" t="s">
        <v>975</v>
      </c>
      <c r="R14" s="374" t="s">
        <v>975</v>
      </c>
      <c r="S14" s="374" t="s">
        <v>975</v>
      </c>
      <c r="T14" s="374" t="s">
        <v>975</v>
      </c>
      <c r="U14" s="374" t="s">
        <v>975</v>
      </c>
      <c r="V14" s="374" t="s">
        <v>975</v>
      </c>
      <c r="W14" s="374" t="s">
        <v>975</v>
      </c>
      <c r="X14" s="374" t="s">
        <v>975</v>
      </c>
      <c r="Y14" s="392" t="str">
        <f ca="1">OFFSET(Initiatives!$D$1,E14-1,$BS$3)</f>
        <v>Robust development tools</v>
      </c>
      <c r="Z14" s="375">
        <v>9</v>
      </c>
      <c r="AA14" s="392" t="str">
        <f ca="1">OFFSET(Initiatives!$D$1,F14-1,$BS$3)</f>
        <v>Extensible / supports web services</v>
      </c>
      <c r="AB14" s="375">
        <v>3</v>
      </c>
      <c r="AC14" s="392" t="str">
        <f ca="1">OFFSET(Initiatives!$D$1,G14-1,$BS$3)</f>
        <v>User app development</v>
      </c>
      <c r="AD14" s="375">
        <v>4</v>
      </c>
      <c r="AE14" s="392" t="str">
        <f ca="1">OFFSET(Initiatives!$D$1,H14-1,$BS$3)</f>
        <v>Source System Inclusion / Integration</v>
      </c>
      <c r="AF14" s="375">
        <v>5</v>
      </c>
      <c r="AG14" s="392" t="str">
        <f ca="1">OFFSET(Initiatives!$D$1,I14-1,$BS$3)</f>
        <v>Architecture Standards &amp; Adherence</v>
      </c>
      <c r="AH14" s="375">
        <v>5</v>
      </c>
      <c r="AI14" s="392" t="str">
        <f ca="1">OFFSET(Initiatives!$D$1,J14-1,$BS$3)</f>
        <v>Data Management</v>
      </c>
      <c r="AJ14" s="375">
        <v>3</v>
      </c>
      <c r="AK14" s="392" t="str">
        <f ca="1">OFFSET(Initiatives!$D$1,K14-1,$BS$3)</f>
        <v>Data Integration/ETL</v>
      </c>
      <c r="AL14" s="375">
        <v>3</v>
      </c>
      <c r="AM14" s="392" t="str">
        <f ca="1">OFFSET(Initiatives!$D$1,L14-1,$BS$3)</f>
        <v>Data Warehouse / Data Marts</v>
      </c>
      <c r="AN14" s="375">
        <v>5</v>
      </c>
      <c r="AO14" s="392" t="str">
        <f ca="1">OFFSET(Initiatives!$D$1,M14-1,$BS$3)</f>
        <v>Enhance BI Platform</v>
      </c>
      <c r="AP14" s="375">
        <v>7</v>
      </c>
      <c r="AQ14" s="392" t="e">
        <f ca="1">OFFSET(Initiatives!$D$1,N14-1,$BS$3)</f>
        <v>#VALUE!</v>
      </c>
      <c r="AR14" s="375"/>
      <c r="AS14" s="392" t="e">
        <f ca="1">OFFSET(Initiatives!$D$1,O14-1,$BS$3)</f>
        <v>#VALUE!</v>
      </c>
      <c r="AT14" s="375"/>
      <c r="AU14" s="392" t="e">
        <f ca="1">OFFSET(Initiatives!$D$1,P14-1,$BS$3)</f>
        <v>#VALUE!</v>
      </c>
      <c r="AV14" s="375"/>
      <c r="AW14" s="392" t="e">
        <f ca="1">OFFSET(Initiatives!$D$1,Q14-1,$BS$3)</f>
        <v>#VALUE!</v>
      </c>
      <c r="AX14" s="375"/>
      <c r="AY14" s="392" t="e">
        <f ca="1">OFFSET(Initiatives!$D$1,R14-1,$BS$3)</f>
        <v>#VALUE!</v>
      </c>
      <c r="AZ14" s="375"/>
      <c r="BA14" s="392" t="e">
        <f ca="1">OFFSET(Initiatives!$D$1,S14-1,$BS$3)</f>
        <v>#VALUE!</v>
      </c>
      <c r="BB14" s="375"/>
      <c r="BC14" s="392" t="e">
        <f ca="1">OFFSET(Initiatives!$D$1,T14-1,$BS$3)</f>
        <v>#VALUE!</v>
      </c>
      <c r="BD14" s="375"/>
      <c r="BE14" s="392" t="e">
        <f ca="1">OFFSET(Initiatives!$D$1,U14-1,$BS$3)</f>
        <v>#VALUE!</v>
      </c>
      <c r="BF14" s="375"/>
      <c r="BG14" s="392" t="e">
        <f ca="1">OFFSET(Initiatives!$D$1,V14-1,$BS$3)</f>
        <v>#VALUE!</v>
      </c>
      <c r="BH14" s="375"/>
      <c r="BI14" s="392" t="e">
        <f ca="1">OFFSET(Initiatives!$D$1,W14-1,$BS$3)</f>
        <v>#VALUE!</v>
      </c>
      <c r="BJ14" s="375"/>
      <c r="BK14" s="392" t="e">
        <f ca="1">OFFSET(Initiatives!$D$1,X14-1,$BS$3)</f>
        <v>#VALUE!</v>
      </c>
      <c r="BL14" s="375"/>
      <c r="BN14" s="101">
        <f t="shared" si="1"/>
        <v>44.000100000000003</v>
      </c>
      <c r="BP14" s="231" t="str">
        <f t="shared" ca="1" si="65"/>
        <v>Enhance BI Platform (51%); Source System Inclusion / Integration (28%); Architecture Standards &amp; Adherence (9%)</v>
      </c>
      <c r="BQ14" s="338">
        <v>0.01</v>
      </c>
      <c r="BR14" s="40">
        <f t="shared" ca="1" si="66"/>
        <v>3</v>
      </c>
      <c r="BS14" s="274">
        <v>0.05</v>
      </c>
      <c r="BT14" s="40">
        <f t="shared" ca="1" si="67"/>
        <v>3</v>
      </c>
      <c r="BU14" s="376">
        <v>7</v>
      </c>
      <c r="BV14" s="40">
        <f t="shared" ca="1" si="68"/>
        <v>3</v>
      </c>
      <c r="BY14" s="377">
        <f ca="1">IF(ISERROR(OFFSET(Initiatives!$D$1,E14-1,$BY$3)),,OFFSET(Initiatives!$D$1,E14-1,$BY$3))</f>
        <v>1.5000000000000013E-2</v>
      </c>
      <c r="BZ14" s="377">
        <f ca="1">IF(ISERROR(OFFSET(Initiatives!$D$1,F14-1,$BY$3)),,OFFSET(Initiatives!$D$1,F14-1,$BY$3))</f>
        <v>1.5000000000000013E-2</v>
      </c>
      <c r="CA14" s="377">
        <f ca="1">IF(ISERROR(OFFSET(Initiatives!$D$1,G14-1,$BY$3)),,OFFSET(Initiatives!$D$1,G14-1,$BY$3))</f>
        <v>1.5000000000000013E-2</v>
      </c>
      <c r="CB14" s="377">
        <f ca="1">IF(ISERROR(OFFSET(Initiatives!$D$1,H14-1,$BY$3)),,OFFSET(Initiatives!$D$1,H14-1,$BY$3))</f>
        <v>0.45454545454545436</v>
      </c>
      <c r="CC14" s="377">
        <f ca="1">IF(ISERROR(OFFSET(Initiatives!$D$1,I14-1,$BY$3)),,OFFSET(Initiatives!$D$1,I14-1,$BY$3))</f>
        <v>0.14000000000000012</v>
      </c>
      <c r="CD14" s="377">
        <f ca="1">IF(ISERROR(OFFSET(Initiatives!$D$1,J14-1,$BY$3)),,OFFSET(Initiatives!$D$1,J14-1,$BY$3))</f>
        <v>9.9999999999999978E-2</v>
      </c>
      <c r="CE14" s="377">
        <f ca="1">IF(ISERROR(OFFSET(Initiatives!$D$1,K14-1,$BY$3)),,OFFSET(Initiatives!$D$1,K14-1,$BY$3))</f>
        <v>9.9999999999999978E-2</v>
      </c>
      <c r="CF14" s="377">
        <f ca="1">IF(ISERROR(OFFSET(Initiatives!$D$1,L14-1,$BY$3)),,OFFSET(Initiatives!$D$1,L14-1,$BY$3))</f>
        <v>3.0000000000000027E-2</v>
      </c>
      <c r="CG14" s="377">
        <f ca="1">IF(ISERROR(OFFSET(Initiatives!$D$1,M14-1,$BY$3)),,OFFSET(Initiatives!$D$1,M14-1,$BY$3))</f>
        <v>0.6</v>
      </c>
      <c r="CH14" s="377">
        <f ca="1">IF(ISERROR(OFFSET(Initiatives!$D$1,N14-1,$BY$3)),,OFFSET(Initiatives!$D$1,N14-1,$BY$3))</f>
        <v>0</v>
      </c>
      <c r="CI14" s="377">
        <f ca="1">IF(ISERROR(OFFSET(Initiatives!$D$1,O14-1,$BY$3)),,OFFSET(Initiatives!$D$1,O14-1,$BY$3))</f>
        <v>0</v>
      </c>
      <c r="CJ14" s="377">
        <f ca="1">IF(ISERROR(OFFSET(Initiatives!$D$1,P14-1,$BY$3)),,OFFSET(Initiatives!$D$1,P14-1,$BY$3))</f>
        <v>0</v>
      </c>
      <c r="CK14" s="377">
        <f ca="1">IF(ISERROR(OFFSET(Initiatives!$D$1,Q14-1,$BY$3)),,OFFSET(Initiatives!$D$1,Q14-1,$BY$3))</f>
        <v>0</v>
      </c>
      <c r="CL14" s="377">
        <f ca="1">IF(ISERROR(OFFSET(Initiatives!$D$1,R14-1,$BY$3)),,OFFSET(Initiatives!$D$1,R14-1,$BY$3))</f>
        <v>0</v>
      </c>
      <c r="CM14" s="377">
        <f ca="1">IF(ISERROR(OFFSET(Initiatives!$D$1,S14-1,$BY$3)),,OFFSET(Initiatives!$D$1,S14-1,$BY$3))</f>
        <v>0</v>
      </c>
      <c r="CN14" s="377">
        <f ca="1">IF(ISERROR(OFFSET(Initiatives!$D$1,T14-1,$BY$3)),,OFFSET(Initiatives!$D$1,T14-1,$BY$3))</f>
        <v>0</v>
      </c>
      <c r="CO14" s="377">
        <f ca="1">IF(ISERROR(OFFSET(Initiatives!$D$1,U14-1,$BY$3)),,OFFSET(Initiatives!$D$1,U14-1,$BY$3))</f>
        <v>0</v>
      </c>
      <c r="CP14" s="377">
        <f ca="1">IF(ISERROR(OFFSET(Initiatives!$D$1,V14-1,$BY$3)),,OFFSET(Initiatives!$D$1,V14-1,$BY$3))</f>
        <v>0</v>
      </c>
      <c r="CQ14" s="377">
        <f ca="1">IF(ISERROR(OFFSET(Initiatives!$D$1,W14-1,$BY$3)),,OFFSET(Initiatives!$D$1,W14-1,$BY$3))</f>
        <v>0</v>
      </c>
      <c r="CR14" s="377">
        <f ca="1">IF(ISERROR(OFFSET(Initiatives!$D$1,X14-1,$BY$3)),,OFFSET(Initiatives!$D$1,X14-1,$BY$3))</f>
        <v>0</v>
      </c>
      <c r="CT14" s="41">
        <f t="shared" ca="1" si="69"/>
        <v>3.068174845057173E-3</v>
      </c>
      <c r="CU14" s="41">
        <f t="shared" ca="1" si="70"/>
        <v>1.022724948352391E-3</v>
      </c>
      <c r="CV14" s="41">
        <f t="shared" ca="1" si="71"/>
        <v>1.3636332644698546E-3</v>
      </c>
      <c r="CW14" s="41">
        <f t="shared" ca="1" si="72"/>
        <v>5.1652775169312604E-2</v>
      </c>
      <c r="CX14" s="41">
        <f t="shared" ca="1" si="73"/>
        <v>1.5909054752148304E-2</v>
      </c>
      <c r="CY14" s="41">
        <f t="shared" ca="1" si="74"/>
        <v>6.818166322349265E-3</v>
      </c>
      <c r="CZ14" s="41">
        <f t="shared" ca="1" si="75"/>
        <v>6.818166322349265E-3</v>
      </c>
      <c r="DA14" s="41">
        <f t="shared" ca="1" si="76"/>
        <v>3.4090831611746364E-3</v>
      </c>
      <c r="DB14" s="41">
        <f t="shared" ca="1" si="77"/>
        <v>9.5454328512889736E-2</v>
      </c>
      <c r="DC14" s="41">
        <f t="shared" ca="1" si="78"/>
        <v>0</v>
      </c>
      <c r="DD14" s="41">
        <f t="shared" ca="1" si="79"/>
        <v>0</v>
      </c>
      <c r="DE14" s="41">
        <f t="shared" ca="1" si="80"/>
        <v>0</v>
      </c>
      <c r="DF14" s="41">
        <f t="shared" ca="1" si="81"/>
        <v>0</v>
      </c>
      <c r="DG14" s="41">
        <f t="shared" ca="1" si="82"/>
        <v>0</v>
      </c>
      <c r="DH14" s="41">
        <f t="shared" ca="1" si="83"/>
        <v>0</v>
      </c>
      <c r="DI14" s="41">
        <f t="shared" ca="1" si="84"/>
        <v>0</v>
      </c>
      <c r="DJ14" s="41">
        <f t="shared" ca="1" si="85"/>
        <v>0</v>
      </c>
      <c r="DK14" s="41">
        <f t="shared" ca="1" si="86"/>
        <v>0</v>
      </c>
      <c r="DL14" s="41">
        <f t="shared" ca="1" si="87"/>
        <v>0</v>
      </c>
      <c r="DM14" s="41">
        <f t="shared" ca="1" si="88"/>
        <v>0</v>
      </c>
      <c r="DN14" s="41">
        <f t="shared" ca="1" si="89"/>
        <v>0.18551610729810322</v>
      </c>
      <c r="DP14" s="41">
        <f t="shared" ca="1" si="90"/>
        <v>1.65285900434347E-2</v>
      </c>
      <c r="DQ14" s="41">
        <f t="shared" ca="1" si="91"/>
        <v>5.4928633478115657E-3</v>
      </c>
      <c r="DR14" s="41">
        <f t="shared" ca="1" si="92"/>
        <v>7.3204844637487542E-3</v>
      </c>
      <c r="DS14" s="41">
        <f t="shared" ca="1" si="93"/>
        <v>0.27838744180866454</v>
      </c>
      <c r="DT14" s="41">
        <f t="shared" ca="1" si="94"/>
        <v>8.5705652077068803E-2</v>
      </c>
      <c r="DU14" s="41">
        <f t="shared" ca="1" si="95"/>
        <v>3.6692422318743728E-2</v>
      </c>
      <c r="DV14" s="41">
        <f t="shared" ca="1" si="96"/>
        <v>3.6682422318743725E-2</v>
      </c>
      <c r="DW14" s="41">
        <f t="shared" ca="1" si="97"/>
        <v>1.8296211159371883E-2</v>
      </c>
      <c r="DX14" s="41">
        <f t="shared" ca="1" si="98"/>
        <v>0.51444391246241228</v>
      </c>
      <c r="DY14" s="41">
        <f t="shared" ca="1" si="99"/>
        <v>-1E-4</v>
      </c>
      <c r="DZ14" s="41">
        <f t="shared" ca="1" si="100"/>
        <v>-1.1E-4</v>
      </c>
      <c r="EA14" s="41">
        <f t="shared" ca="1" si="101"/>
        <v>-1.2E-4</v>
      </c>
      <c r="EB14" s="41">
        <f t="shared" ca="1" si="102"/>
        <v>-1.2999999999999999E-4</v>
      </c>
      <c r="EC14" s="41">
        <f t="shared" ca="1" si="103"/>
        <v>-1.3999999999999999E-4</v>
      </c>
      <c r="ED14" s="41">
        <f t="shared" ca="1" si="104"/>
        <v>-1.4999999999999999E-4</v>
      </c>
      <c r="EE14" s="41">
        <f t="shared" ca="1" si="105"/>
        <v>-1.6000000000000001E-4</v>
      </c>
      <c r="EF14" s="41">
        <f t="shared" ca="1" si="106"/>
        <v>-1.7000000000000001E-4</v>
      </c>
      <c r="EG14" s="41">
        <f t="shared" ca="1" si="107"/>
        <v>-1.8000000000000001E-4</v>
      </c>
      <c r="EH14" s="41">
        <f t="shared" ca="1" si="108"/>
        <v>-1.9000000000000001E-4</v>
      </c>
      <c r="EI14" s="41">
        <f t="shared" ca="1" si="109"/>
        <v>-2.0000000000000001E-4</v>
      </c>
      <c r="EJ14" s="41">
        <f t="shared" ca="1" si="110"/>
        <v>0.9978999999999999</v>
      </c>
      <c r="EL14" s="378">
        <f t="shared" ca="1" si="111"/>
        <v>7</v>
      </c>
      <c r="EM14" s="378">
        <f t="shared" ca="1" si="112"/>
        <v>9</v>
      </c>
      <c r="EN14" s="378">
        <f t="shared" ca="1" si="113"/>
        <v>8</v>
      </c>
      <c r="EO14" s="378">
        <f t="shared" ca="1" si="114"/>
        <v>2</v>
      </c>
      <c r="EP14" s="378">
        <f t="shared" ca="1" si="115"/>
        <v>3</v>
      </c>
      <c r="EQ14" s="378">
        <f t="shared" ca="1" si="116"/>
        <v>4</v>
      </c>
      <c r="ER14" s="378">
        <f t="shared" ca="1" si="117"/>
        <v>5</v>
      </c>
      <c r="ES14" s="378">
        <f t="shared" ca="1" si="118"/>
        <v>6</v>
      </c>
      <c r="ET14" s="378">
        <f t="shared" ca="1" si="119"/>
        <v>1</v>
      </c>
      <c r="EU14" s="378">
        <f t="shared" ca="1" si="120"/>
        <v>10</v>
      </c>
      <c r="EV14" s="378">
        <f t="shared" ca="1" si="121"/>
        <v>11</v>
      </c>
      <c r="EW14" s="378">
        <f t="shared" ca="1" si="122"/>
        <v>12</v>
      </c>
      <c r="EX14" s="378">
        <f t="shared" ca="1" si="123"/>
        <v>13</v>
      </c>
      <c r="EY14" s="378">
        <f t="shared" ca="1" si="124"/>
        <v>14</v>
      </c>
      <c r="EZ14" s="378">
        <f t="shared" ca="1" si="125"/>
        <v>15</v>
      </c>
      <c r="FA14" s="378">
        <f t="shared" ca="1" si="126"/>
        <v>16</v>
      </c>
      <c r="FB14" s="378">
        <f t="shared" ca="1" si="127"/>
        <v>17</v>
      </c>
      <c r="FC14" s="378">
        <f t="shared" ca="1" si="128"/>
        <v>18</v>
      </c>
      <c r="FD14" s="378">
        <f t="shared" ca="1" si="129"/>
        <v>19</v>
      </c>
      <c r="FE14" s="378">
        <f t="shared" ca="1" si="130"/>
        <v>20</v>
      </c>
      <c r="FG14" s="378">
        <f t="shared" ca="1" si="44"/>
        <v>9</v>
      </c>
      <c r="FH14" s="378">
        <f t="shared" ca="1" si="44"/>
        <v>4</v>
      </c>
      <c r="FI14" s="378">
        <f t="shared" ca="1" si="44"/>
        <v>5</v>
      </c>
      <c r="FJ14" s="378">
        <f t="shared" ca="1" si="44"/>
        <v>6</v>
      </c>
      <c r="FK14" s="378">
        <f t="shared" ca="1" si="44"/>
        <v>7</v>
      </c>
      <c r="FL14" s="378">
        <f t="shared" ca="1" si="44"/>
        <v>8</v>
      </c>
      <c r="FM14" s="378">
        <f t="shared" ca="1" si="44"/>
        <v>1</v>
      </c>
      <c r="FN14" s="378">
        <f t="shared" ca="1" si="44"/>
        <v>3</v>
      </c>
      <c r="FO14" s="378">
        <f t="shared" ca="1" si="44"/>
        <v>2</v>
      </c>
      <c r="FP14" s="378">
        <f t="shared" ca="1" si="44"/>
        <v>10</v>
      </c>
      <c r="FQ14" s="378">
        <f t="shared" ca="1" si="44"/>
        <v>11</v>
      </c>
      <c r="FR14" s="378">
        <f t="shared" ca="1" si="44"/>
        <v>12</v>
      </c>
      <c r="FS14" s="378">
        <f t="shared" ca="1" si="44"/>
        <v>13</v>
      </c>
      <c r="FT14" s="378">
        <f t="shared" ca="1" si="44"/>
        <v>14</v>
      </c>
      <c r="FU14" s="378">
        <f t="shared" ca="1" si="44"/>
        <v>15</v>
      </c>
      <c r="FV14" s="378">
        <f t="shared" ca="1" si="44"/>
        <v>16</v>
      </c>
      <c r="FW14" s="378">
        <f t="shared" ca="1" si="44"/>
        <v>17</v>
      </c>
      <c r="FX14" s="378">
        <f t="shared" ca="1" si="44"/>
        <v>18</v>
      </c>
      <c r="FY14" s="378">
        <f t="shared" ca="1" si="44"/>
        <v>19</v>
      </c>
      <c r="FZ14" s="378">
        <f t="shared" ca="1" si="44"/>
        <v>20</v>
      </c>
      <c r="GB14" s="275" t="str">
        <f t="shared" ca="1" si="131"/>
        <v>Enhance BI Platform (51%)</v>
      </c>
      <c r="GC14" s="231" t="str">
        <f t="shared" ca="1" si="132"/>
        <v>; Source System Inclusion / Integration (28%)</v>
      </c>
      <c r="GD14" s="231" t="str">
        <f t="shared" ca="1" si="133"/>
        <v>; Architecture Standards &amp; Adherence (9%)</v>
      </c>
      <c r="GE14" s="231" t="str">
        <f t="shared" ca="1" si="134"/>
        <v/>
      </c>
      <c r="GF14" s="231" t="str">
        <f t="shared" ca="1" si="135"/>
        <v/>
      </c>
      <c r="GG14" s="231" t="str">
        <f t="shared" ca="1" si="136"/>
        <v/>
      </c>
      <c r="GH14" s="231" t="str">
        <f t="shared" ca="1" si="137"/>
        <v/>
      </c>
      <c r="GI14" s="231" t="str">
        <f t="shared" ca="1" si="138"/>
        <v/>
      </c>
      <c r="GJ14" s="231" t="str">
        <f t="shared" ca="1" si="139"/>
        <v/>
      </c>
      <c r="GK14" s="231" t="str">
        <f t="shared" ca="1" si="140"/>
        <v/>
      </c>
      <c r="GL14" s="231" t="str">
        <f t="shared" ca="1" si="141"/>
        <v/>
      </c>
      <c r="GM14" s="231" t="str">
        <f t="shared" ca="1" si="142"/>
        <v/>
      </c>
      <c r="GN14" s="231" t="str">
        <f t="shared" ca="1" si="143"/>
        <v/>
      </c>
      <c r="GO14" s="231" t="str">
        <f t="shared" ca="1" si="144"/>
        <v/>
      </c>
      <c r="GP14" s="231" t="str">
        <f t="shared" ca="1" si="145"/>
        <v/>
      </c>
      <c r="GQ14" s="231" t="str">
        <f t="shared" ca="1" si="146"/>
        <v/>
      </c>
      <c r="GR14" s="231" t="str">
        <f t="shared" ca="1" si="147"/>
        <v/>
      </c>
      <c r="GS14" s="231" t="str">
        <f t="shared" ca="1" si="148"/>
        <v/>
      </c>
      <c r="GT14" s="231" t="str">
        <f t="shared" ca="1" si="149"/>
        <v/>
      </c>
      <c r="GU14" s="231" t="str">
        <f t="shared" ca="1" si="150"/>
        <v/>
      </c>
    </row>
    <row r="15" spans="1:246" s="352" customFormat="1" ht="14.25" hidden="1" customHeight="1">
      <c r="B15" s="373"/>
      <c r="C15" s="81" t="str">
        <f>'IT Labor'!C20</f>
        <v>Administration</v>
      </c>
      <c r="D15" s="404">
        <f t="shared" ca="1" si="64"/>
        <v>0.17804620184073211</v>
      </c>
      <c r="E15" s="374">
        <f>ROW(Initiatives!A176)</f>
        <v>176</v>
      </c>
      <c r="F15" s="374">
        <f>ROW(Initiatives!A178)</f>
        <v>178</v>
      </c>
      <c r="G15" s="374">
        <f>ROW(Initiatives!A179)</f>
        <v>179</v>
      </c>
      <c r="H15" s="374">
        <f>ROW(Initiatives!A180)</f>
        <v>180</v>
      </c>
      <c r="I15" s="374">
        <f>ROW(Initiatives!A181)</f>
        <v>181</v>
      </c>
      <c r="J15" s="374">
        <f>ROW(Initiatives!A182)</f>
        <v>182</v>
      </c>
      <c r="K15" s="374">
        <f>ROW(Initiatives!A189)</f>
        <v>189</v>
      </c>
      <c r="L15" s="374" t="s">
        <v>975</v>
      </c>
      <c r="M15" s="374" t="s">
        <v>975</v>
      </c>
      <c r="N15" s="374" t="s">
        <v>975</v>
      </c>
      <c r="O15" s="374" t="s">
        <v>975</v>
      </c>
      <c r="P15" s="374" t="s">
        <v>975</v>
      </c>
      <c r="Q15" s="374" t="s">
        <v>975</v>
      </c>
      <c r="R15" s="374" t="s">
        <v>975</v>
      </c>
      <c r="S15" s="374" t="s">
        <v>975</v>
      </c>
      <c r="T15" s="374" t="s">
        <v>975</v>
      </c>
      <c r="U15" s="374" t="s">
        <v>975</v>
      </c>
      <c r="V15" s="374" t="s">
        <v>975</v>
      </c>
      <c r="W15" s="374" t="s">
        <v>975</v>
      </c>
      <c r="X15" s="374" t="s">
        <v>975</v>
      </c>
      <c r="Y15" s="392" t="str">
        <f ca="1">OFFSET(Initiatives!$D$1,E15-1,$BS$3)</f>
        <v>Source System Inclusion / Integration</v>
      </c>
      <c r="Z15" s="375">
        <v>5</v>
      </c>
      <c r="AA15" s="392" t="str">
        <f ca="1">OFFSET(Initiatives!$D$1,F15-1,$BS$3)</f>
        <v>Architecture Standards &amp; Adherence</v>
      </c>
      <c r="AB15" s="375">
        <v>9</v>
      </c>
      <c r="AC15" s="392" t="str">
        <f ca="1">OFFSET(Initiatives!$D$1,G15-1,$BS$3)</f>
        <v>Data Management</v>
      </c>
      <c r="AD15" s="375">
        <v>5</v>
      </c>
      <c r="AE15" s="392" t="str">
        <f ca="1">OFFSET(Initiatives!$D$1,H15-1,$BS$3)</f>
        <v>Data Integration/ETL</v>
      </c>
      <c r="AF15" s="375">
        <v>5</v>
      </c>
      <c r="AG15" s="392" t="str">
        <f ca="1">OFFSET(Initiatives!$D$1,I15-1,$BS$3)</f>
        <v>Data Warehouse / Data Marts</v>
      </c>
      <c r="AH15" s="375">
        <v>7</v>
      </c>
      <c r="AI15" s="392" t="str">
        <f ca="1">OFFSET(Initiatives!$D$1,J15-1,$BS$3)</f>
        <v>Development</v>
      </c>
      <c r="AJ15" s="375">
        <v>3</v>
      </c>
      <c r="AK15" s="392" t="str">
        <f ca="1">OFFSET(Initiatives!$D$1,K15-1,$BS$3)</f>
        <v>Enhance BI Platform</v>
      </c>
      <c r="AL15" s="375">
        <v>3</v>
      </c>
      <c r="AM15" s="392" t="e">
        <f ca="1">OFFSET(Initiatives!$D$1,L15-1,$BS$3)</f>
        <v>#VALUE!</v>
      </c>
      <c r="AN15" s="375"/>
      <c r="AO15" s="392" t="e">
        <f ca="1">OFFSET(Initiatives!$D$1,M15-1,$BS$3)</f>
        <v>#VALUE!</v>
      </c>
      <c r="AP15" s="375"/>
      <c r="AQ15" s="392" t="e">
        <f ca="1">OFFSET(Initiatives!$D$1,N15-1,$BS$3)</f>
        <v>#VALUE!</v>
      </c>
      <c r="AR15" s="375"/>
      <c r="AS15" s="392" t="e">
        <f ca="1">OFFSET(Initiatives!$D$1,O15-1,$BS$3)</f>
        <v>#VALUE!</v>
      </c>
      <c r="AT15" s="375"/>
      <c r="AU15" s="392" t="e">
        <f ca="1">OFFSET(Initiatives!$D$1,P15-1,$BS$3)</f>
        <v>#VALUE!</v>
      </c>
      <c r="AV15" s="375"/>
      <c r="AW15" s="392" t="e">
        <f ca="1">OFFSET(Initiatives!$D$1,Q15-1,$BS$3)</f>
        <v>#VALUE!</v>
      </c>
      <c r="AX15" s="375"/>
      <c r="AY15" s="392" t="e">
        <f ca="1">OFFSET(Initiatives!$D$1,R15-1,$BS$3)</f>
        <v>#VALUE!</v>
      </c>
      <c r="AZ15" s="375"/>
      <c r="BA15" s="392" t="e">
        <f ca="1">OFFSET(Initiatives!$D$1,S15-1,$BS$3)</f>
        <v>#VALUE!</v>
      </c>
      <c r="BB15" s="375"/>
      <c r="BC15" s="392" t="e">
        <f ca="1">OFFSET(Initiatives!$D$1,T15-1,$BS$3)</f>
        <v>#VALUE!</v>
      </c>
      <c r="BD15" s="375"/>
      <c r="BE15" s="392" t="e">
        <f ca="1">OFFSET(Initiatives!$D$1,U15-1,$BS$3)</f>
        <v>#VALUE!</v>
      </c>
      <c r="BF15" s="375"/>
      <c r="BG15" s="392" t="e">
        <f ca="1">OFFSET(Initiatives!$D$1,V15-1,$BS$3)</f>
        <v>#VALUE!</v>
      </c>
      <c r="BH15" s="375"/>
      <c r="BI15" s="392" t="e">
        <f ca="1">OFFSET(Initiatives!$D$1,W15-1,$BS$3)</f>
        <v>#VALUE!</v>
      </c>
      <c r="BJ15" s="375"/>
      <c r="BK15" s="392" t="e">
        <f ca="1">OFFSET(Initiatives!$D$1,X15-1,$BS$3)</f>
        <v>#VALUE!</v>
      </c>
      <c r="BL15" s="375"/>
      <c r="BN15" s="101">
        <f t="shared" si="1"/>
        <v>37.000100000000003</v>
      </c>
      <c r="BP15" s="231" t="str">
        <f t="shared" ca="1" si="65"/>
        <v>Source System Inclusion / Integration (34%); Enhance BI Platform (27%); Architecture Standards &amp; Adherence (19%); Data Management (8%); Data Integration/ETL (8%)</v>
      </c>
      <c r="BQ15" s="338">
        <v>0.01</v>
      </c>
      <c r="BR15" s="40">
        <f t="shared" ca="1" si="66"/>
        <v>5</v>
      </c>
      <c r="BS15" s="274">
        <v>0.05</v>
      </c>
      <c r="BT15" s="40">
        <f t="shared" ca="1" si="67"/>
        <v>5</v>
      </c>
      <c r="BU15" s="376">
        <v>7</v>
      </c>
      <c r="BV15" s="40">
        <f t="shared" ca="1" si="68"/>
        <v>5</v>
      </c>
      <c r="BY15" s="377">
        <f ca="1">IF(ISERROR(OFFSET(Initiatives!$D$1,E15-1,$BY$3)),,OFFSET(Initiatives!$D$1,E15-1,$BY$3))</f>
        <v>0.45454545454545436</v>
      </c>
      <c r="BZ15" s="377">
        <f ca="1">IF(ISERROR(OFFSET(Initiatives!$D$1,F15-1,$BY$3)),,OFFSET(Initiatives!$D$1,F15-1,$BY$3))</f>
        <v>0.14000000000000012</v>
      </c>
      <c r="CA15" s="377">
        <f ca="1">IF(ISERROR(OFFSET(Initiatives!$D$1,G15-1,$BY$3)),,OFFSET(Initiatives!$D$1,G15-1,$BY$3))</f>
        <v>9.9999999999999978E-2</v>
      </c>
      <c r="CB15" s="377">
        <f ca="1">IF(ISERROR(OFFSET(Initiatives!$D$1,H15-1,$BY$3)),,OFFSET(Initiatives!$D$1,H15-1,$BY$3))</f>
        <v>9.9999999999999978E-2</v>
      </c>
      <c r="CC15" s="377">
        <f ca="1">IF(ISERROR(OFFSET(Initiatives!$D$1,I15-1,$BY$3)),,OFFSET(Initiatives!$D$1,I15-1,$BY$3))</f>
        <v>3.0000000000000027E-2</v>
      </c>
      <c r="CD15" s="377">
        <f ca="1">IF(ISERROR(OFFSET(Initiatives!$D$1,J15-1,$BY$3)),,OFFSET(Initiatives!$D$1,J15-1,$BY$3))</f>
        <v>1.5000000000000124E-2</v>
      </c>
      <c r="CE15" s="377">
        <f ca="1">IF(ISERROR(OFFSET(Initiatives!$D$1,K15-1,$BY$3)),,OFFSET(Initiatives!$D$1,K15-1,$BY$3))</f>
        <v>0.6</v>
      </c>
      <c r="CF15" s="377">
        <f ca="1">IF(ISERROR(OFFSET(Initiatives!$D$1,L15-1,$BY$3)),,OFFSET(Initiatives!$D$1,L15-1,$BY$3))</f>
        <v>0</v>
      </c>
      <c r="CG15" s="377">
        <f ca="1">IF(ISERROR(OFFSET(Initiatives!$D$1,M15-1,$BY$3)),,OFFSET(Initiatives!$D$1,M15-1,$BY$3))</f>
        <v>0</v>
      </c>
      <c r="CH15" s="377">
        <f ca="1">IF(ISERROR(OFFSET(Initiatives!$D$1,N15-1,$BY$3)),,OFFSET(Initiatives!$D$1,N15-1,$BY$3))</f>
        <v>0</v>
      </c>
      <c r="CI15" s="377">
        <f ca="1">IF(ISERROR(OFFSET(Initiatives!$D$1,O15-1,$BY$3)),,OFFSET(Initiatives!$D$1,O15-1,$BY$3))</f>
        <v>0</v>
      </c>
      <c r="CJ15" s="377">
        <f ca="1">IF(ISERROR(OFFSET(Initiatives!$D$1,P15-1,$BY$3)),,OFFSET(Initiatives!$D$1,P15-1,$BY$3))</f>
        <v>0</v>
      </c>
      <c r="CK15" s="377">
        <f ca="1">IF(ISERROR(OFFSET(Initiatives!$D$1,Q15-1,$BY$3)),,OFFSET(Initiatives!$D$1,Q15-1,$BY$3))</f>
        <v>0</v>
      </c>
      <c r="CL15" s="377">
        <f ca="1">IF(ISERROR(OFFSET(Initiatives!$D$1,R15-1,$BY$3)),,OFFSET(Initiatives!$D$1,R15-1,$BY$3))</f>
        <v>0</v>
      </c>
      <c r="CM15" s="377">
        <f ca="1">IF(ISERROR(OFFSET(Initiatives!$D$1,S15-1,$BY$3)),,OFFSET(Initiatives!$D$1,S15-1,$BY$3))</f>
        <v>0</v>
      </c>
      <c r="CN15" s="377">
        <f ca="1">IF(ISERROR(OFFSET(Initiatives!$D$1,T15-1,$BY$3)),,OFFSET(Initiatives!$D$1,T15-1,$BY$3))</f>
        <v>0</v>
      </c>
      <c r="CO15" s="377">
        <f ca="1">IF(ISERROR(OFFSET(Initiatives!$D$1,U15-1,$BY$3)),,OFFSET(Initiatives!$D$1,U15-1,$BY$3))</f>
        <v>0</v>
      </c>
      <c r="CP15" s="377">
        <f ca="1">IF(ISERROR(OFFSET(Initiatives!$D$1,V15-1,$BY$3)),,OFFSET(Initiatives!$D$1,V15-1,$BY$3))</f>
        <v>0</v>
      </c>
      <c r="CQ15" s="377">
        <f ca="1">IF(ISERROR(OFFSET(Initiatives!$D$1,W15-1,$BY$3)),,OFFSET(Initiatives!$D$1,W15-1,$BY$3))</f>
        <v>0</v>
      </c>
      <c r="CR15" s="377">
        <f ca="1">IF(ISERROR(OFFSET(Initiatives!$D$1,X15-1,$BY$3)),,OFFSET(Initiatives!$D$1,X15-1,$BY$3))</f>
        <v>0</v>
      </c>
      <c r="CT15" s="41">
        <f t="shared" ca="1" si="69"/>
        <v>6.1424895411830549E-2</v>
      </c>
      <c r="CU15" s="41">
        <f t="shared" ca="1" si="70"/>
        <v>3.4053962016318905E-2</v>
      </c>
      <c r="CV15" s="41">
        <f t="shared" ca="1" si="71"/>
        <v>1.3513476990602723E-2</v>
      </c>
      <c r="CW15" s="41">
        <f t="shared" ca="1" si="72"/>
        <v>1.3513476990602723E-2</v>
      </c>
      <c r="CX15" s="41">
        <f t="shared" ca="1" si="73"/>
        <v>5.6756603360531505E-3</v>
      </c>
      <c r="CY15" s="41">
        <f t="shared" ca="1" si="74"/>
        <v>1.2162129291542554E-3</v>
      </c>
      <c r="CZ15" s="41">
        <f t="shared" ca="1" si="75"/>
        <v>4.8648517166169809E-2</v>
      </c>
      <c r="DA15" s="41">
        <f t="shared" ca="1" si="76"/>
        <v>0</v>
      </c>
      <c r="DB15" s="41">
        <f t="shared" ca="1" si="77"/>
        <v>0</v>
      </c>
      <c r="DC15" s="41">
        <f t="shared" ca="1" si="78"/>
        <v>0</v>
      </c>
      <c r="DD15" s="41">
        <f t="shared" ca="1" si="79"/>
        <v>0</v>
      </c>
      <c r="DE15" s="41">
        <f t="shared" ca="1" si="80"/>
        <v>0</v>
      </c>
      <c r="DF15" s="41">
        <f t="shared" ca="1" si="81"/>
        <v>0</v>
      </c>
      <c r="DG15" s="41">
        <f t="shared" ca="1" si="82"/>
        <v>0</v>
      </c>
      <c r="DH15" s="41">
        <f t="shared" ca="1" si="83"/>
        <v>0</v>
      </c>
      <c r="DI15" s="41">
        <f t="shared" ca="1" si="84"/>
        <v>0</v>
      </c>
      <c r="DJ15" s="41">
        <f t="shared" ca="1" si="85"/>
        <v>0</v>
      </c>
      <c r="DK15" s="41">
        <f t="shared" ca="1" si="86"/>
        <v>0</v>
      </c>
      <c r="DL15" s="41">
        <f t="shared" ca="1" si="87"/>
        <v>0</v>
      </c>
      <c r="DM15" s="41">
        <f t="shared" ca="1" si="88"/>
        <v>0</v>
      </c>
      <c r="DN15" s="41">
        <f t="shared" ca="1" si="89"/>
        <v>0.17804620184073211</v>
      </c>
      <c r="DP15" s="41">
        <f t="shared" ca="1" si="90"/>
        <v>0.34498413509970316</v>
      </c>
      <c r="DQ15" s="41">
        <f t="shared" ca="1" si="91"/>
        <v>0.1912447484992757</v>
      </c>
      <c r="DR15" s="41">
        <f t="shared" ca="1" si="92"/>
        <v>7.5868709721934699E-2</v>
      </c>
      <c r="DS15" s="41">
        <f t="shared" ca="1" si="93"/>
        <v>7.5858709721934703E-2</v>
      </c>
      <c r="DT15" s="41">
        <f t="shared" ca="1" si="94"/>
        <v>3.1827458083212613E-2</v>
      </c>
      <c r="DU15" s="41">
        <f t="shared" ca="1" si="95"/>
        <v>6.7708838749741818E-3</v>
      </c>
      <c r="DV15" s="41">
        <f t="shared" ca="1" si="96"/>
        <v>0.27316535499896494</v>
      </c>
      <c r="DW15" s="41">
        <f t="shared" ca="1" si="97"/>
        <v>-8.0000000000000007E-5</v>
      </c>
      <c r="DX15" s="41">
        <f t="shared" ca="1" si="98"/>
        <v>-9.0000000000000006E-5</v>
      </c>
      <c r="DY15" s="41">
        <f t="shared" ca="1" si="99"/>
        <v>-1E-4</v>
      </c>
      <c r="DZ15" s="41">
        <f t="shared" ca="1" si="100"/>
        <v>-1.1E-4</v>
      </c>
      <c r="EA15" s="41">
        <f t="shared" ca="1" si="101"/>
        <v>-1.2E-4</v>
      </c>
      <c r="EB15" s="41">
        <f t="shared" ca="1" si="102"/>
        <v>-1.2999999999999999E-4</v>
      </c>
      <c r="EC15" s="41">
        <f t="shared" ca="1" si="103"/>
        <v>-1.3999999999999999E-4</v>
      </c>
      <c r="ED15" s="41">
        <f t="shared" ca="1" si="104"/>
        <v>-1.4999999999999999E-4</v>
      </c>
      <c r="EE15" s="41">
        <f t="shared" ca="1" si="105"/>
        <v>-1.6000000000000001E-4</v>
      </c>
      <c r="EF15" s="41">
        <f t="shared" ca="1" si="106"/>
        <v>-1.7000000000000001E-4</v>
      </c>
      <c r="EG15" s="41">
        <f t="shared" ca="1" si="107"/>
        <v>-1.8000000000000001E-4</v>
      </c>
      <c r="EH15" s="41">
        <f t="shared" ca="1" si="108"/>
        <v>-1.9000000000000001E-4</v>
      </c>
      <c r="EI15" s="41">
        <f t="shared" ca="1" si="109"/>
        <v>-2.0000000000000001E-4</v>
      </c>
      <c r="EJ15" s="41">
        <f t="shared" ca="1" si="110"/>
        <v>0.9978999999999999</v>
      </c>
      <c r="EL15" s="378">
        <f t="shared" ca="1" si="111"/>
        <v>1</v>
      </c>
      <c r="EM15" s="378">
        <f t="shared" ca="1" si="112"/>
        <v>3</v>
      </c>
      <c r="EN15" s="378">
        <f t="shared" ca="1" si="113"/>
        <v>4</v>
      </c>
      <c r="EO15" s="378">
        <f t="shared" ca="1" si="114"/>
        <v>5</v>
      </c>
      <c r="EP15" s="378">
        <f t="shared" ca="1" si="115"/>
        <v>6</v>
      </c>
      <c r="EQ15" s="378">
        <f t="shared" ca="1" si="116"/>
        <v>7</v>
      </c>
      <c r="ER15" s="378">
        <f t="shared" ca="1" si="117"/>
        <v>2</v>
      </c>
      <c r="ES15" s="378">
        <f t="shared" ca="1" si="118"/>
        <v>8</v>
      </c>
      <c r="ET15" s="378">
        <f t="shared" ca="1" si="119"/>
        <v>9</v>
      </c>
      <c r="EU15" s="378">
        <f t="shared" ca="1" si="120"/>
        <v>10</v>
      </c>
      <c r="EV15" s="378">
        <f t="shared" ca="1" si="121"/>
        <v>11</v>
      </c>
      <c r="EW15" s="378">
        <f t="shared" ca="1" si="122"/>
        <v>12</v>
      </c>
      <c r="EX15" s="378">
        <f t="shared" ca="1" si="123"/>
        <v>13</v>
      </c>
      <c r="EY15" s="378">
        <f t="shared" ca="1" si="124"/>
        <v>14</v>
      </c>
      <c r="EZ15" s="378">
        <f t="shared" ca="1" si="125"/>
        <v>15</v>
      </c>
      <c r="FA15" s="378">
        <f t="shared" ca="1" si="126"/>
        <v>16</v>
      </c>
      <c r="FB15" s="378">
        <f t="shared" ca="1" si="127"/>
        <v>17</v>
      </c>
      <c r="FC15" s="378">
        <f t="shared" ca="1" si="128"/>
        <v>18</v>
      </c>
      <c r="FD15" s="378">
        <f t="shared" ca="1" si="129"/>
        <v>19</v>
      </c>
      <c r="FE15" s="378">
        <f t="shared" ca="1" si="130"/>
        <v>20</v>
      </c>
      <c r="FG15" s="378">
        <f t="shared" ca="1" si="44"/>
        <v>1</v>
      </c>
      <c r="FH15" s="378">
        <f t="shared" ca="1" si="44"/>
        <v>7</v>
      </c>
      <c r="FI15" s="378">
        <f t="shared" ca="1" si="44"/>
        <v>2</v>
      </c>
      <c r="FJ15" s="378">
        <f t="shared" ca="1" si="44"/>
        <v>3</v>
      </c>
      <c r="FK15" s="378">
        <f t="shared" ca="1" si="44"/>
        <v>4</v>
      </c>
      <c r="FL15" s="378">
        <f t="shared" ca="1" si="44"/>
        <v>5</v>
      </c>
      <c r="FM15" s="378">
        <f t="shared" ca="1" si="44"/>
        <v>6</v>
      </c>
      <c r="FN15" s="378">
        <f t="shared" ca="1" si="44"/>
        <v>8</v>
      </c>
      <c r="FO15" s="378">
        <f t="shared" ca="1" si="44"/>
        <v>9</v>
      </c>
      <c r="FP15" s="378">
        <f t="shared" ca="1" si="44"/>
        <v>10</v>
      </c>
      <c r="FQ15" s="378">
        <f t="shared" ca="1" si="44"/>
        <v>11</v>
      </c>
      <c r="FR15" s="378">
        <f t="shared" ca="1" si="44"/>
        <v>12</v>
      </c>
      <c r="FS15" s="378">
        <f t="shared" ca="1" si="44"/>
        <v>13</v>
      </c>
      <c r="FT15" s="378">
        <f t="shared" ca="1" si="44"/>
        <v>14</v>
      </c>
      <c r="FU15" s="378">
        <f t="shared" ca="1" si="44"/>
        <v>15</v>
      </c>
      <c r="FV15" s="378">
        <f t="shared" ca="1" si="44"/>
        <v>16</v>
      </c>
      <c r="FW15" s="378">
        <f t="shared" ca="1" si="44"/>
        <v>17</v>
      </c>
      <c r="FX15" s="378">
        <f t="shared" ca="1" si="44"/>
        <v>18</v>
      </c>
      <c r="FY15" s="378">
        <f t="shared" ca="1" si="44"/>
        <v>19</v>
      </c>
      <c r="FZ15" s="378">
        <f t="shared" ca="1" si="44"/>
        <v>20</v>
      </c>
      <c r="GB15" s="275" t="str">
        <f t="shared" ca="1" si="131"/>
        <v>Source System Inclusion / Integration (34%)</v>
      </c>
      <c r="GC15" s="231" t="str">
        <f t="shared" ca="1" si="132"/>
        <v>; Enhance BI Platform (27%)</v>
      </c>
      <c r="GD15" s="231" t="str">
        <f t="shared" ca="1" si="133"/>
        <v>; Architecture Standards &amp; Adherence (19%)</v>
      </c>
      <c r="GE15" s="231" t="str">
        <f t="shared" ca="1" si="134"/>
        <v>; Data Management (8%)</v>
      </c>
      <c r="GF15" s="231" t="str">
        <f t="shared" ca="1" si="135"/>
        <v>; Data Integration/ETL (8%)</v>
      </c>
      <c r="GG15" s="231" t="str">
        <f t="shared" ca="1" si="136"/>
        <v/>
      </c>
      <c r="GH15" s="231" t="str">
        <f t="shared" ca="1" si="137"/>
        <v/>
      </c>
      <c r="GI15" s="231" t="str">
        <f t="shared" ca="1" si="138"/>
        <v/>
      </c>
      <c r="GJ15" s="231" t="str">
        <f t="shared" ca="1" si="139"/>
        <v/>
      </c>
      <c r="GK15" s="231" t="str">
        <f t="shared" ca="1" si="140"/>
        <v/>
      </c>
      <c r="GL15" s="231" t="str">
        <f t="shared" ca="1" si="141"/>
        <v/>
      </c>
      <c r="GM15" s="231" t="str">
        <f t="shared" ca="1" si="142"/>
        <v/>
      </c>
      <c r="GN15" s="231" t="str">
        <f t="shared" ca="1" si="143"/>
        <v/>
      </c>
      <c r="GO15" s="231" t="str">
        <f t="shared" ca="1" si="144"/>
        <v/>
      </c>
      <c r="GP15" s="231" t="str">
        <f t="shared" ca="1" si="145"/>
        <v/>
      </c>
      <c r="GQ15" s="231" t="str">
        <f t="shared" ca="1" si="146"/>
        <v/>
      </c>
      <c r="GR15" s="231" t="str">
        <f t="shared" ca="1" si="147"/>
        <v/>
      </c>
      <c r="GS15" s="231" t="str">
        <f t="shared" ca="1" si="148"/>
        <v/>
      </c>
      <c r="GT15" s="231" t="str">
        <f t="shared" ca="1" si="149"/>
        <v/>
      </c>
      <c r="GU15" s="231" t="str">
        <f t="shared" ca="1" si="150"/>
        <v/>
      </c>
    </row>
    <row r="16" spans="1:246" s="352" customFormat="1" ht="14.25" hidden="1" customHeight="1">
      <c r="B16" s="373"/>
      <c r="C16" s="81" t="str">
        <f>'IT Labor'!C21</f>
        <v>Other</v>
      </c>
      <c r="D16" s="404">
        <f t="shared" ca="1" si="64"/>
        <v>0</v>
      </c>
      <c r="E16" s="374"/>
      <c r="F16" s="374"/>
      <c r="G16" s="374"/>
      <c r="H16" s="374"/>
      <c r="I16" s="374" t="s">
        <v>975</v>
      </c>
      <c r="J16" s="374" t="s">
        <v>975</v>
      </c>
      <c r="K16" s="374" t="s">
        <v>975</v>
      </c>
      <c r="L16" s="374" t="s">
        <v>975</v>
      </c>
      <c r="M16" s="374" t="s">
        <v>975</v>
      </c>
      <c r="N16" s="374" t="s">
        <v>975</v>
      </c>
      <c r="O16" s="374" t="s">
        <v>975</v>
      </c>
      <c r="P16" s="374" t="s">
        <v>975</v>
      </c>
      <c r="Q16" s="374" t="s">
        <v>975</v>
      </c>
      <c r="R16" s="374" t="s">
        <v>975</v>
      </c>
      <c r="S16" s="374" t="s">
        <v>975</v>
      </c>
      <c r="T16" s="374" t="s">
        <v>975</v>
      </c>
      <c r="U16" s="374" t="s">
        <v>975</v>
      </c>
      <c r="V16" s="374" t="s">
        <v>975</v>
      </c>
      <c r="W16" s="374" t="s">
        <v>975</v>
      </c>
      <c r="X16" s="374" t="s">
        <v>975</v>
      </c>
      <c r="Y16" s="392" t="e">
        <f ca="1">OFFSET(Initiatives!$D$1,E16-1,$BS$3)</f>
        <v>#REF!</v>
      </c>
      <c r="Z16" s="375"/>
      <c r="AA16" s="392" t="e">
        <f ca="1">OFFSET(Initiatives!$D$1,F16-1,$BS$3)</f>
        <v>#REF!</v>
      </c>
      <c r="AB16" s="375"/>
      <c r="AC16" s="392" t="e">
        <f ca="1">OFFSET(Initiatives!$D$1,G16-1,$BS$3)</f>
        <v>#REF!</v>
      </c>
      <c r="AD16" s="375"/>
      <c r="AE16" s="392" t="e">
        <f ca="1">OFFSET(Initiatives!$D$1,H16-1,$BS$3)</f>
        <v>#REF!</v>
      </c>
      <c r="AF16" s="375"/>
      <c r="AG16" s="392" t="e">
        <f ca="1">OFFSET(Initiatives!$D$1,I16-1,$BS$3)</f>
        <v>#VALUE!</v>
      </c>
      <c r="AH16" s="375"/>
      <c r="AI16" s="392" t="e">
        <f ca="1">OFFSET(Initiatives!$D$1,J16-1,$BS$3)</f>
        <v>#VALUE!</v>
      </c>
      <c r="AJ16" s="375"/>
      <c r="AK16" s="392" t="e">
        <f ca="1">OFFSET(Initiatives!$D$1,K16-1,$BS$3)</f>
        <v>#VALUE!</v>
      </c>
      <c r="AL16" s="375"/>
      <c r="AM16" s="392" t="e">
        <f ca="1">OFFSET(Initiatives!$D$1,L16-1,$BS$3)</f>
        <v>#VALUE!</v>
      </c>
      <c r="AN16" s="375"/>
      <c r="AO16" s="392" t="e">
        <f ca="1">OFFSET(Initiatives!$D$1,M16-1,$BS$3)</f>
        <v>#VALUE!</v>
      </c>
      <c r="AP16" s="375"/>
      <c r="AQ16" s="392" t="e">
        <f ca="1">OFFSET(Initiatives!$D$1,N16-1,$BS$3)</f>
        <v>#VALUE!</v>
      </c>
      <c r="AR16" s="375"/>
      <c r="AS16" s="392" t="e">
        <f ca="1">OFFSET(Initiatives!$D$1,O16-1,$BS$3)</f>
        <v>#VALUE!</v>
      </c>
      <c r="AT16" s="375"/>
      <c r="AU16" s="392" t="e">
        <f ca="1">OFFSET(Initiatives!$D$1,P16-1,$BS$3)</f>
        <v>#VALUE!</v>
      </c>
      <c r="AV16" s="375"/>
      <c r="AW16" s="392" t="e">
        <f ca="1">OFFSET(Initiatives!$D$1,Q16-1,$BS$3)</f>
        <v>#VALUE!</v>
      </c>
      <c r="AX16" s="375"/>
      <c r="AY16" s="392" t="e">
        <f ca="1">OFFSET(Initiatives!$D$1,R16-1,$BS$3)</f>
        <v>#VALUE!</v>
      </c>
      <c r="AZ16" s="375"/>
      <c r="BA16" s="392" t="e">
        <f ca="1">OFFSET(Initiatives!$D$1,S16-1,$BS$3)</f>
        <v>#VALUE!</v>
      </c>
      <c r="BB16" s="375"/>
      <c r="BC16" s="392" t="e">
        <f ca="1">OFFSET(Initiatives!$D$1,T16-1,$BS$3)</f>
        <v>#VALUE!</v>
      </c>
      <c r="BD16" s="375"/>
      <c r="BE16" s="392" t="e">
        <f ca="1">OFFSET(Initiatives!$D$1,U16-1,$BS$3)</f>
        <v>#VALUE!</v>
      </c>
      <c r="BF16" s="375"/>
      <c r="BG16" s="392" t="e">
        <f ca="1">OFFSET(Initiatives!$D$1,V16-1,$BS$3)</f>
        <v>#VALUE!</v>
      </c>
      <c r="BH16" s="375"/>
      <c r="BI16" s="392" t="e">
        <f ca="1">OFFSET(Initiatives!$D$1,W16-1,$BS$3)</f>
        <v>#VALUE!</v>
      </c>
      <c r="BJ16" s="375"/>
      <c r="BK16" s="392" t="e">
        <f ca="1">OFFSET(Initiatives!$D$1,X16-1,$BS$3)</f>
        <v>#VALUE!</v>
      </c>
      <c r="BL16" s="375"/>
      <c r="BN16" s="101">
        <f>SUM(Z16,AB16,AD16,AF16,AH16,AJ16,AL16,AN16,AP16,AR16,AT16,AV16,AX16,AZ16,BB16,BD16,BF16,BH16,BJ16,BL16)+0.0001</f>
        <v>1E-4</v>
      </c>
      <c r="BP16" s="231" t="str">
        <f t="shared" ca="1" si="65"/>
        <v/>
      </c>
      <c r="BQ16" s="338">
        <v>0.01</v>
      </c>
      <c r="BR16" s="40">
        <f t="shared" ca="1" si="66"/>
        <v>0</v>
      </c>
      <c r="BS16" s="274">
        <v>0.05</v>
      </c>
      <c r="BT16" s="40">
        <f t="shared" ca="1" si="67"/>
        <v>0</v>
      </c>
      <c r="BU16" s="376">
        <v>7</v>
      </c>
      <c r="BV16" s="40">
        <f t="shared" ca="1" si="68"/>
        <v>0</v>
      </c>
      <c r="BY16" s="377">
        <f ca="1">IF(ISERROR(OFFSET(Initiatives!$D$1,E16-1,$BY$3)),,OFFSET(Initiatives!$D$1,E16-1,$BY$3))</f>
        <v>0</v>
      </c>
      <c r="BZ16" s="377">
        <f ca="1">IF(ISERROR(OFFSET(Initiatives!$D$1,F16-1,$BY$3)),,OFFSET(Initiatives!$D$1,F16-1,$BY$3))</f>
        <v>0</v>
      </c>
      <c r="CA16" s="377">
        <f ca="1">IF(ISERROR(OFFSET(Initiatives!$D$1,G16-1,$BY$3)),,OFFSET(Initiatives!$D$1,G16-1,$BY$3))</f>
        <v>0</v>
      </c>
      <c r="CB16" s="377">
        <f ca="1">IF(ISERROR(OFFSET(Initiatives!$D$1,H16-1,$BY$3)),,OFFSET(Initiatives!$D$1,H16-1,$BY$3))</f>
        <v>0</v>
      </c>
      <c r="CC16" s="377">
        <f ca="1">IF(ISERROR(OFFSET(Initiatives!$D$1,I16-1,$BY$3)),,OFFSET(Initiatives!$D$1,I16-1,$BY$3))</f>
        <v>0</v>
      </c>
      <c r="CD16" s="377">
        <f ca="1">IF(ISERROR(OFFSET(Initiatives!$D$1,J16-1,$BY$3)),,OFFSET(Initiatives!$D$1,J16-1,$BY$3))</f>
        <v>0</v>
      </c>
      <c r="CE16" s="377">
        <f ca="1">IF(ISERROR(OFFSET(Initiatives!$D$1,K16-1,$BY$3)),,OFFSET(Initiatives!$D$1,K16-1,$BY$3))</f>
        <v>0</v>
      </c>
      <c r="CF16" s="377">
        <f ca="1">IF(ISERROR(OFFSET(Initiatives!$D$1,L16-1,$BY$3)),,OFFSET(Initiatives!$D$1,L16-1,$BY$3))</f>
        <v>0</v>
      </c>
      <c r="CG16" s="377">
        <f ca="1">IF(ISERROR(OFFSET(Initiatives!$D$1,M16-1,$BY$3)),,OFFSET(Initiatives!$D$1,M16-1,$BY$3))</f>
        <v>0</v>
      </c>
      <c r="CH16" s="377">
        <f ca="1">IF(ISERROR(OFFSET(Initiatives!$D$1,N16-1,$BY$3)),,OFFSET(Initiatives!$D$1,N16-1,$BY$3))</f>
        <v>0</v>
      </c>
      <c r="CI16" s="377">
        <f ca="1">IF(ISERROR(OFFSET(Initiatives!$D$1,O16-1,$BY$3)),,OFFSET(Initiatives!$D$1,O16-1,$BY$3))</f>
        <v>0</v>
      </c>
      <c r="CJ16" s="377">
        <f ca="1">IF(ISERROR(OFFSET(Initiatives!$D$1,P16-1,$BY$3)),,OFFSET(Initiatives!$D$1,P16-1,$BY$3))</f>
        <v>0</v>
      </c>
      <c r="CK16" s="377">
        <f ca="1">IF(ISERROR(OFFSET(Initiatives!$D$1,Q16-1,$BY$3)),,OFFSET(Initiatives!$D$1,Q16-1,$BY$3))</f>
        <v>0</v>
      </c>
      <c r="CL16" s="377">
        <f ca="1">IF(ISERROR(OFFSET(Initiatives!$D$1,R16-1,$BY$3)),,OFFSET(Initiatives!$D$1,R16-1,$BY$3))</f>
        <v>0</v>
      </c>
      <c r="CM16" s="377">
        <f ca="1">IF(ISERROR(OFFSET(Initiatives!$D$1,S16-1,$BY$3)),,OFFSET(Initiatives!$D$1,S16-1,$BY$3))</f>
        <v>0</v>
      </c>
      <c r="CN16" s="377">
        <f ca="1">IF(ISERROR(OFFSET(Initiatives!$D$1,T16-1,$BY$3)),,OFFSET(Initiatives!$D$1,T16-1,$BY$3))</f>
        <v>0</v>
      </c>
      <c r="CO16" s="377">
        <f ca="1">IF(ISERROR(OFFSET(Initiatives!$D$1,U16-1,$BY$3)),,OFFSET(Initiatives!$D$1,U16-1,$BY$3))</f>
        <v>0</v>
      </c>
      <c r="CP16" s="377">
        <f ca="1">IF(ISERROR(OFFSET(Initiatives!$D$1,V16-1,$BY$3)),,OFFSET(Initiatives!$D$1,V16-1,$BY$3))</f>
        <v>0</v>
      </c>
      <c r="CQ16" s="377">
        <f ca="1">IF(ISERROR(OFFSET(Initiatives!$D$1,W16-1,$BY$3)),,OFFSET(Initiatives!$D$1,W16-1,$BY$3))</f>
        <v>0</v>
      </c>
      <c r="CR16" s="377">
        <f ca="1">IF(ISERROR(OFFSET(Initiatives!$D$1,X16-1,$BY$3)),,OFFSET(Initiatives!$D$1,X16-1,$BY$3))</f>
        <v>0</v>
      </c>
      <c r="CT16" s="41">
        <f t="shared" ca="1" si="69"/>
        <v>0</v>
      </c>
      <c r="CU16" s="41">
        <f t="shared" ca="1" si="70"/>
        <v>0</v>
      </c>
      <c r="CV16" s="41">
        <f t="shared" ca="1" si="71"/>
        <v>0</v>
      </c>
      <c r="CW16" s="41">
        <f t="shared" ca="1" si="72"/>
        <v>0</v>
      </c>
      <c r="CX16" s="41">
        <f t="shared" ca="1" si="73"/>
        <v>0</v>
      </c>
      <c r="CY16" s="41">
        <f t="shared" ca="1" si="74"/>
        <v>0</v>
      </c>
      <c r="CZ16" s="41">
        <f t="shared" ca="1" si="75"/>
        <v>0</v>
      </c>
      <c r="DA16" s="41">
        <f t="shared" ca="1" si="76"/>
        <v>0</v>
      </c>
      <c r="DB16" s="41">
        <f t="shared" ca="1" si="77"/>
        <v>0</v>
      </c>
      <c r="DC16" s="41">
        <f t="shared" ca="1" si="78"/>
        <v>0</v>
      </c>
      <c r="DD16" s="41">
        <f t="shared" ca="1" si="79"/>
        <v>0</v>
      </c>
      <c r="DE16" s="41">
        <f t="shared" ca="1" si="80"/>
        <v>0</v>
      </c>
      <c r="DF16" s="41">
        <f t="shared" ca="1" si="81"/>
        <v>0</v>
      </c>
      <c r="DG16" s="41">
        <f t="shared" ca="1" si="82"/>
        <v>0</v>
      </c>
      <c r="DH16" s="41">
        <f t="shared" ca="1" si="83"/>
        <v>0</v>
      </c>
      <c r="DI16" s="41">
        <f t="shared" ca="1" si="84"/>
        <v>0</v>
      </c>
      <c r="DJ16" s="41">
        <f t="shared" ca="1" si="85"/>
        <v>0</v>
      </c>
      <c r="DK16" s="41">
        <f t="shared" ca="1" si="86"/>
        <v>0</v>
      </c>
      <c r="DL16" s="41">
        <f t="shared" ca="1" si="87"/>
        <v>0</v>
      </c>
      <c r="DM16" s="41">
        <f t="shared" ca="1" si="88"/>
        <v>0</v>
      </c>
      <c r="DN16" s="41">
        <f t="shared" ca="1" si="89"/>
        <v>0</v>
      </c>
      <c r="DP16" s="41" t="e">
        <f t="shared" ca="1" si="90"/>
        <v>#DIV/0!</v>
      </c>
      <c r="DQ16" s="41" t="e">
        <f t="shared" ca="1" si="91"/>
        <v>#DIV/0!</v>
      </c>
      <c r="DR16" s="41" t="e">
        <f t="shared" ca="1" si="92"/>
        <v>#DIV/0!</v>
      </c>
      <c r="DS16" s="41" t="e">
        <f t="shared" ca="1" si="93"/>
        <v>#DIV/0!</v>
      </c>
      <c r="DT16" s="41" t="e">
        <f t="shared" ca="1" si="94"/>
        <v>#DIV/0!</v>
      </c>
      <c r="DU16" s="41" t="e">
        <f t="shared" ca="1" si="95"/>
        <v>#DIV/0!</v>
      </c>
      <c r="DV16" s="41" t="e">
        <f t="shared" ca="1" si="96"/>
        <v>#DIV/0!</v>
      </c>
      <c r="DW16" s="41" t="e">
        <f t="shared" ca="1" si="97"/>
        <v>#DIV/0!</v>
      </c>
      <c r="DX16" s="41" t="e">
        <f t="shared" ca="1" si="98"/>
        <v>#DIV/0!</v>
      </c>
      <c r="DY16" s="41" t="e">
        <f t="shared" ca="1" si="99"/>
        <v>#DIV/0!</v>
      </c>
      <c r="DZ16" s="41" t="e">
        <f t="shared" ca="1" si="100"/>
        <v>#DIV/0!</v>
      </c>
      <c r="EA16" s="41" t="e">
        <f t="shared" ca="1" si="101"/>
        <v>#DIV/0!</v>
      </c>
      <c r="EB16" s="41" t="e">
        <f t="shared" ca="1" si="102"/>
        <v>#DIV/0!</v>
      </c>
      <c r="EC16" s="41" t="e">
        <f t="shared" ca="1" si="103"/>
        <v>#DIV/0!</v>
      </c>
      <c r="ED16" s="41" t="e">
        <f t="shared" ca="1" si="104"/>
        <v>#DIV/0!</v>
      </c>
      <c r="EE16" s="41" t="e">
        <f t="shared" ca="1" si="105"/>
        <v>#DIV/0!</v>
      </c>
      <c r="EF16" s="41" t="e">
        <f t="shared" ca="1" si="106"/>
        <v>#DIV/0!</v>
      </c>
      <c r="EG16" s="41" t="e">
        <f t="shared" ca="1" si="107"/>
        <v>#DIV/0!</v>
      </c>
      <c r="EH16" s="41" t="e">
        <f t="shared" ca="1" si="108"/>
        <v>#DIV/0!</v>
      </c>
      <c r="EI16" s="41" t="e">
        <f t="shared" ca="1" si="109"/>
        <v>#DIV/0!</v>
      </c>
      <c r="EJ16" s="41" t="e">
        <f t="shared" ca="1" si="110"/>
        <v>#DIV/0!</v>
      </c>
      <c r="EL16" s="378" t="e">
        <f t="shared" ca="1" si="111"/>
        <v>#DIV/0!</v>
      </c>
      <c r="EM16" s="378" t="e">
        <f t="shared" ca="1" si="112"/>
        <v>#DIV/0!</v>
      </c>
      <c r="EN16" s="378" t="e">
        <f t="shared" ca="1" si="113"/>
        <v>#DIV/0!</v>
      </c>
      <c r="EO16" s="378" t="e">
        <f t="shared" ca="1" si="114"/>
        <v>#DIV/0!</v>
      </c>
      <c r="EP16" s="378" t="e">
        <f t="shared" ca="1" si="115"/>
        <v>#DIV/0!</v>
      </c>
      <c r="EQ16" s="378" t="e">
        <f t="shared" ca="1" si="116"/>
        <v>#DIV/0!</v>
      </c>
      <c r="ER16" s="378" t="e">
        <f t="shared" ca="1" si="117"/>
        <v>#DIV/0!</v>
      </c>
      <c r="ES16" s="378" t="e">
        <f t="shared" ca="1" si="118"/>
        <v>#DIV/0!</v>
      </c>
      <c r="ET16" s="378" t="e">
        <f t="shared" ca="1" si="119"/>
        <v>#DIV/0!</v>
      </c>
      <c r="EU16" s="378" t="e">
        <f t="shared" ca="1" si="120"/>
        <v>#DIV/0!</v>
      </c>
      <c r="EV16" s="378" t="e">
        <f t="shared" ca="1" si="121"/>
        <v>#DIV/0!</v>
      </c>
      <c r="EW16" s="378" t="e">
        <f t="shared" ca="1" si="122"/>
        <v>#DIV/0!</v>
      </c>
      <c r="EX16" s="378" t="e">
        <f t="shared" ca="1" si="123"/>
        <v>#DIV/0!</v>
      </c>
      <c r="EY16" s="378" t="e">
        <f t="shared" ca="1" si="124"/>
        <v>#DIV/0!</v>
      </c>
      <c r="EZ16" s="378" t="e">
        <f t="shared" ca="1" si="125"/>
        <v>#DIV/0!</v>
      </c>
      <c r="FA16" s="378" t="e">
        <f t="shared" ca="1" si="126"/>
        <v>#DIV/0!</v>
      </c>
      <c r="FB16" s="378" t="e">
        <f t="shared" ca="1" si="127"/>
        <v>#DIV/0!</v>
      </c>
      <c r="FC16" s="378" t="e">
        <f t="shared" ca="1" si="128"/>
        <v>#DIV/0!</v>
      </c>
      <c r="FD16" s="378" t="e">
        <f t="shared" ca="1" si="129"/>
        <v>#DIV/0!</v>
      </c>
      <c r="FE16" s="378" t="e">
        <f t="shared" ca="1" si="130"/>
        <v>#DIV/0!</v>
      </c>
      <c r="FG16" s="378" t="e">
        <f t="shared" ca="1" si="44"/>
        <v>#N/A</v>
      </c>
      <c r="FH16" s="378" t="e">
        <f t="shared" ca="1" si="44"/>
        <v>#N/A</v>
      </c>
      <c r="FI16" s="378" t="e">
        <f t="shared" ca="1" si="44"/>
        <v>#N/A</v>
      </c>
      <c r="FJ16" s="378" t="e">
        <f t="shared" ca="1" si="44"/>
        <v>#N/A</v>
      </c>
      <c r="FK16" s="378" t="e">
        <f t="shared" ca="1" si="44"/>
        <v>#N/A</v>
      </c>
      <c r="FL16" s="378" t="e">
        <f t="shared" ca="1" si="44"/>
        <v>#N/A</v>
      </c>
      <c r="FM16" s="378" t="e">
        <f t="shared" ca="1" si="44"/>
        <v>#N/A</v>
      </c>
      <c r="FN16" s="378" t="e">
        <f t="shared" ca="1" si="44"/>
        <v>#N/A</v>
      </c>
      <c r="FO16" s="378" t="e">
        <f t="shared" ca="1" si="44"/>
        <v>#N/A</v>
      </c>
      <c r="FP16" s="378" t="e">
        <f t="shared" ca="1" si="44"/>
        <v>#N/A</v>
      </c>
      <c r="FQ16" s="378" t="e">
        <f t="shared" ca="1" si="44"/>
        <v>#N/A</v>
      </c>
      <c r="FR16" s="378" t="e">
        <f t="shared" ca="1" si="44"/>
        <v>#N/A</v>
      </c>
      <c r="FS16" s="378" t="e">
        <f t="shared" ca="1" si="44"/>
        <v>#N/A</v>
      </c>
      <c r="FT16" s="378" t="e">
        <f t="shared" ca="1" si="44"/>
        <v>#N/A</v>
      </c>
      <c r="FU16" s="378" t="e">
        <f t="shared" ca="1" si="44"/>
        <v>#N/A</v>
      </c>
      <c r="FV16" s="378" t="e">
        <f t="shared" ca="1" si="44"/>
        <v>#N/A</v>
      </c>
      <c r="FW16" s="378" t="e">
        <f t="shared" ca="1" si="44"/>
        <v>#N/A</v>
      </c>
      <c r="FX16" s="378" t="e">
        <f t="shared" ca="1" si="44"/>
        <v>#N/A</v>
      </c>
      <c r="FY16" s="378" t="e">
        <f t="shared" ca="1" si="44"/>
        <v>#N/A</v>
      </c>
      <c r="FZ16" s="378" t="e">
        <f t="shared" ca="1" si="44"/>
        <v>#N/A</v>
      </c>
      <c r="GB16" s="275" t="str">
        <f t="shared" ca="1" si="131"/>
        <v/>
      </c>
      <c r="GC16" s="231" t="str">
        <f t="shared" ca="1" si="132"/>
        <v/>
      </c>
      <c r="GD16" s="231" t="str">
        <f t="shared" ca="1" si="133"/>
        <v/>
      </c>
      <c r="GE16" s="231" t="str">
        <f t="shared" ca="1" si="134"/>
        <v/>
      </c>
      <c r="GF16" s="231" t="str">
        <f t="shared" ca="1" si="135"/>
        <v/>
      </c>
      <c r="GG16" s="231" t="str">
        <f t="shared" ca="1" si="136"/>
        <v/>
      </c>
      <c r="GH16" s="231" t="str">
        <f t="shared" ca="1" si="137"/>
        <v/>
      </c>
      <c r="GI16" s="231" t="str">
        <f t="shared" ca="1" si="138"/>
        <v/>
      </c>
      <c r="GJ16" s="231" t="str">
        <f t="shared" ca="1" si="139"/>
        <v/>
      </c>
      <c r="GK16" s="231" t="str">
        <f t="shared" ca="1" si="140"/>
        <v/>
      </c>
      <c r="GL16" s="231" t="str">
        <f t="shared" ca="1" si="141"/>
        <v/>
      </c>
      <c r="GM16" s="231" t="str">
        <f t="shared" ca="1" si="142"/>
        <v/>
      </c>
      <c r="GN16" s="231" t="str">
        <f t="shared" ca="1" si="143"/>
        <v/>
      </c>
      <c r="GO16" s="231" t="str">
        <f t="shared" ca="1" si="144"/>
        <v/>
      </c>
      <c r="GP16" s="231" t="str">
        <f t="shared" ca="1" si="145"/>
        <v/>
      </c>
      <c r="GQ16" s="231" t="str">
        <f t="shared" ca="1" si="146"/>
        <v/>
      </c>
      <c r="GR16" s="231" t="str">
        <f t="shared" ca="1" si="147"/>
        <v/>
      </c>
      <c r="GS16" s="231" t="str">
        <f t="shared" ca="1" si="148"/>
        <v/>
      </c>
      <c r="GT16" s="231" t="str">
        <f t="shared" ca="1" si="149"/>
        <v/>
      </c>
      <c r="GU16" s="231" t="str">
        <f t="shared" ca="1" si="150"/>
        <v/>
      </c>
    </row>
    <row r="17" spans="1:203" hidden="1"/>
    <row r="18" spans="1:203" ht="21" hidden="1">
      <c r="A18" s="1" t="s">
        <v>102</v>
      </c>
    </row>
    <row r="19" spans="1:203" ht="15" hidden="1">
      <c r="B19" s="6" t="str">
        <f>'Direct Savings'!C91</f>
        <v>IT Savings</v>
      </c>
    </row>
    <row r="20" spans="1:203" s="386" customFormat="1" ht="15" hidden="1" customHeight="1">
      <c r="B20" s="373"/>
      <c r="C20" s="81" t="str">
        <f>'Direct Savings'!D92</f>
        <v>Software - Clients</v>
      </c>
      <c r="D20" s="404">
        <f t="shared" ref="D20:D24" ca="1" si="151">DN20</f>
        <v>0.46017593707402948</v>
      </c>
      <c r="E20" s="374">
        <f>ROW(Initiatives!A170)</f>
        <v>170</v>
      </c>
      <c r="F20" s="374">
        <f>ROW(Initiatives!A182)</f>
        <v>182</v>
      </c>
      <c r="G20" s="374">
        <f>ROW(Initiatives!A185)</f>
        <v>185</v>
      </c>
      <c r="H20" s="374">
        <f>ROW(Initiatives!A186)</f>
        <v>186</v>
      </c>
      <c r="I20" s="374">
        <f>ROW(Initiatives!A187)</f>
        <v>187</v>
      </c>
      <c r="J20" s="374">
        <f>ROW(Initiatives!A188)</f>
        <v>188</v>
      </c>
      <c r="K20" s="374" t="s">
        <v>975</v>
      </c>
      <c r="L20" s="374" t="s">
        <v>975</v>
      </c>
      <c r="M20" s="374" t="s">
        <v>975</v>
      </c>
      <c r="N20" s="374" t="s">
        <v>975</v>
      </c>
      <c r="O20" s="374" t="s">
        <v>975</v>
      </c>
      <c r="P20" s="374" t="s">
        <v>975</v>
      </c>
      <c r="Q20" s="374" t="s">
        <v>975</v>
      </c>
      <c r="R20" s="374" t="s">
        <v>975</v>
      </c>
      <c r="S20" s="374" t="s">
        <v>975</v>
      </c>
      <c r="T20" s="374" t="s">
        <v>975</v>
      </c>
      <c r="U20" s="374" t="s">
        <v>975</v>
      </c>
      <c r="V20" s="374" t="s">
        <v>975</v>
      </c>
      <c r="W20" s="374" t="s">
        <v>975</v>
      </c>
      <c r="X20" s="374" t="s">
        <v>975</v>
      </c>
      <c r="Y20" s="392" t="str">
        <f ca="1">OFFSET(Initiatives!$D$1,E20-1,$BS$3)</f>
        <v>BI Applications</v>
      </c>
      <c r="Z20" s="375">
        <v>8</v>
      </c>
      <c r="AA20" s="392" t="str">
        <f ca="1">OFFSET(Initiatives!$D$1,F20-1,$BS$3)</f>
        <v>Development</v>
      </c>
      <c r="AB20" s="375">
        <v>4</v>
      </c>
      <c r="AC20" s="392" t="str">
        <f ca="1">OFFSET(Initiatives!$D$1,G20-1,$BS$3)</f>
        <v>Reporting</v>
      </c>
      <c r="AD20" s="375">
        <v>3</v>
      </c>
      <c r="AE20" s="392" t="str">
        <f ca="1">OFFSET(Initiatives!$D$1,H20-1,$BS$3)</f>
        <v>Scorecards / Dashboards</v>
      </c>
      <c r="AF20" s="375">
        <v>3</v>
      </c>
      <c r="AG20" s="392" t="str">
        <f ca="1">OFFSET(Initiatives!$D$1,I20-1,$BS$3)</f>
        <v>Analytical Tools</v>
      </c>
      <c r="AH20" s="375">
        <v>4</v>
      </c>
      <c r="AI20" s="392" t="str">
        <f ca="1">OFFSET(Initiatives!$D$1,J20-1,$BS$3)</f>
        <v>Workflow and Collaboration</v>
      </c>
      <c r="AJ20" s="375">
        <v>3</v>
      </c>
      <c r="AK20" s="392" t="e">
        <f ca="1">OFFSET(Initiatives!$D$1,K20-1,$BS$3)</f>
        <v>#VALUE!</v>
      </c>
      <c r="AL20" s="375"/>
      <c r="AM20" s="392" t="e">
        <f ca="1">OFFSET(Initiatives!$D$1,L20-1,$BS$3)</f>
        <v>#VALUE!</v>
      </c>
      <c r="AN20" s="375"/>
      <c r="AO20" s="392" t="e">
        <f ca="1">OFFSET(Initiatives!$D$1,M20-1,$BS$3)</f>
        <v>#VALUE!</v>
      </c>
      <c r="AP20" s="375"/>
      <c r="AQ20" s="392" t="e">
        <f ca="1">OFFSET(Initiatives!$D$1,N20-1,$BS$3)</f>
        <v>#VALUE!</v>
      </c>
      <c r="AR20" s="375"/>
      <c r="AS20" s="392" t="e">
        <f ca="1">OFFSET(Initiatives!$D$1,O20-1,$BS$3)</f>
        <v>#VALUE!</v>
      </c>
      <c r="AT20" s="375"/>
      <c r="AU20" s="392" t="e">
        <f ca="1">OFFSET(Initiatives!$D$1,P20-1,$BS$3)</f>
        <v>#VALUE!</v>
      </c>
      <c r="AV20" s="375"/>
      <c r="AW20" s="392" t="e">
        <f ca="1">OFFSET(Initiatives!$D$1,Q20-1,$BS$3)</f>
        <v>#VALUE!</v>
      </c>
      <c r="AX20" s="375"/>
      <c r="AY20" s="392" t="e">
        <f ca="1">OFFSET(Initiatives!$D$1,R20-1,$BS$3)</f>
        <v>#VALUE!</v>
      </c>
      <c r="AZ20" s="375"/>
      <c r="BA20" s="392" t="e">
        <f ca="1">OFFSET(Initiatives!$D$1,S20-1,$BS$3)</f>
        <v>#VALUE!</v>
      </c>
      <c r="BB20" s="375"/>
      <c r="BC20" s="392" t="e">
        <f ca="1">OFFSET(Initiatives!$D$1,T20-1,$BS$3)</f>
        <v>#VALUE!</v>
      </c>
      <c r="BD20" s="375"/>
      <c r="BE20" s="392" t="e">
        <f ca="1">OFFSET(Initiatives!$D$1,U20-1,$BS$3)</f>
        <v>#VALUE!</v>
      </c>
      <c r="BF20" s="375"/>
      <c r="BG20" s="392" t="e">
        <f ca="1">OFFSET(Initiatives!$D$1,V20-1,$BS$3)</f>
        <v>#VALUE!</v>
      </c>
      <c r="BH20" s="375"/>
      <c r="BI20" s="392" t="e">
        <f ca="1">OFFSET(Initiatives!$D$1,W20-1,$BS$3)</f>
        <v>#VALUE!</v>
      </c>
      <c r="BJ20" s="375"/>
      <c r="BK20" s="392" t="e">
        <f ca="1">OFFSET(Initiatives!$D$1,X20-1,$BS$3)</f>
        <v>#VALUE!</v>
      </c>
      <c r="BL20" s="375"/>
      <c r="BN20" s="101">
        <f t="shared" ref="BN20:BN24" si="152">SUM(Z20,AB20,AD20,AF20,AH20,AJ20,AL20,AN20,AP20,AR20,AT20,AV20,AX20,AZ20,BB20,BD20,BF20,BH20,BJ20,BL20)+0.0001</f>
        <v>25.0001</v>
      </c>
      <c r="BP20" s="231" t="str">
        <f t="shared" ref="BP20:BP24" ca="1" si="153">CONCATENATE(GB20,GC20,GD20,GE20,GF20,GG20,GH20,GI20,GJ20,GK20,GL20,GM20,GN20,GO20,GP20,GQ20,GR20,GS20,GT20,GU20)</f>
        <v>BI Applications (32%); Analytical Tools (21%); Workflow and Collaboration (19%); Scorecards / Dashboards (16%); Reporting (13%)</v>
      </c>
      <c r="BQ20" s="338">
        <v>0.01</v>
      </c>
      <c r="BR20" s="40">
        <f t="shared" ref="BR20:BR24" ca="1" si="154">COUNTIF(CT20:DM20,"&gt;"&amp;BQ20)</f>
        <v>5</v>
      </c>
      <c r="BS20" s="274">
        <v>0.05</v>
      </c>
      <c r="BT20" s="40">
        <f t="shared" ref="BT20:BT24" ca="1" si="155">COUNTIF(DP20:EI20,"&gt;"&amp;BS20)</f>
        <v>5</v>
      </c>
      <c r="BU20" s="376">
        <v>7</v>
      </c>
      <c r="BV20" s="40">
        <f t="shared" ref="BV20:BV24" ca="1" si="156">MIN(BR20,BT20,BU20)</f>
        <v>5</v>
      </c>
      <c r="BY20" s="377">
        <f ca="1">IF(ISERROR(OFFSET(Initiatives!$D$1,E20-1,$BY$3)),,OFFSET(Initiatives!$D$1,E20-1,$BY$3))</f>
        <v>0.45555555555555544</v>
      </c>
      <c r="BZ20" s="377">
        <f ca="1">IF(ISERROR(OFFSET(Initiatives!$D$1,F20-1,$BY$3)),,OFFSET(Initiatives!$D$1,F20-1,$BY$3))</f>
        <v>1.5000000000000124E-2</v>
      </c>
      <c r="CA20" s="377">
        <f ca="1">IF(ISERROR(OFFSET(Initiatives!$D$1,G20-1,$BY$3)),,OFFSET(Initiatives!$D$1,G20-1,$BY$3))</f>
        <v>0.48</v>
      </c>
      <c r="CB20" s="377">
        <f ca="1">IF(ISERROR(OFFSET(Initiatives!$D$1,H20-1,$BY$3)),,OFFSET(Initiatives!$D$1,H20-1,$BY$3))</f>
        <v>0.6</v>
      </c>
      <c r="CC20" s="377">
        <f ca="1">IF(ISERROR(OFFSET(Initiatives!$D$1,I20-1,$BY$3)),,OFFSET(Initiatives!$D$1,I20-1,$BY$3))</f>
        <v>0.6</v>
      </c>
      <c r="CD20" s="377">
        <f ca="1">IF(ISERROR(OFFSET(Initiatives!$D$1,J20-1,$BY$3)),,OFFSET(Initiatives!$D$1,J20-1,$BY$3))</f>
        <v>0.72000000000000008</v>
      </c>
      <c r="CE20" s="377">
        <f ca="1">IF(ISERROR(OFFSET(Initiatives!$D$1,K20-1,$BY$3)),,OFFSET(Initiatives!$D$1,K20-1,$BY$3))</f>
        <v>0</v>
      </c>
      <c r="CF20" s="377">
        <f ca="1">IF(ISERROR(OFFSET(Initiatives!$D$1,L20-1,$BY$3)),,OFFSET(Initiatives!$D$1,L20-1,$BY$3))</f>
        <v>0</v>
      </c>
      <c r="CG20" s="377">
        <f ca="1">IF(ISERROR(OFFSET(Initiatives!$D$1,M20-1,$BY$3)),,OFFSET(Initiatives!$D$1,M20-1,$BY$3))</f>
        <v>0</v>
      </c>
      <c r="CH20" s="377">
        <f ca="1">IF(ISERROR(OFFSET(Initiatives!$D$1,N20-1,$BY$3)),,OFFSET(Initiatives!$D$1,N20-1,$BY$3))</f>
        <v>0</v>
      </c>
      <c r="CI20" s="377">
        <f ca="1">IF(ISERROR(OFFSET(Initiatives!$D$1,O20-1,$BY$3)),,OFFSET(Initiatives!$D$1,O20-1,$BY$3))</f>
        <v>0</v>
      </c>
      <c r="CJ20" s="377">
        <f ca="1">IF(ISERROR(OFFSET(Initiatives!$D$1,P20-1,$BY$3)),,OFFSET(Initiatives!$D$1,P20-1,$BY$3))</f>
        <v>0</v>
      </c>
      <c r="CK20" s="377">
        <f ca="1">IF(ISERROR(OFFSET(Initiatives!$D$1,Q20-1,$BY$3)),,OFFSET(Initiatives!$D$1,Q20-1,$BY$3))</f>
        <v>0</v>
      </c>
      <c r="CL20" s="377">
        <f ca="1">IF(ISERROR(OFFSET(Initiatives!$D$1,R20-1,$BY$3)),,OFFSET(Initiatives!$D$1,R20-1,$BY$3))</f>
        <v>0</v>
      </c>
      <c r="CM20" s="377">
        <f ca="1">IF(ISERROR(OFFSET(Initiatives!$D$1,S20-1,$BY$3)),,OFFSET(Initiatives!$D$1,S20-1,$BY$3))</f>
        <v>0</v>
      </c>
      <c r="CN20" s="377">
        <f ca="1">IF(ISERROR(OFFSET(Initiatives!$D$1,T20-1,$BY$3)),,OFFSET(Initiatives!$D$1,T20-1,$BY$3))</f>
        <v>0</v>
      </c>
      <c r="CO20" s="377">
        <f ca="1">IF(ISERROR(OFFSET(Initiatives!$D$1,U20-1,$BY$3)),,OFFSET(Initiatives!$D$1,U20-1,$BY$3))</f>
        <v>0</v>
      </c>
      <c r="CP20" s="377">
        <f ca="1">IF(ISERROR(OFFSET(Initiatives!$D$1,V20-1,$BY$3)),,OFFSET(Initiatives!$D$1,V20-1,$BY$3))</f>
        <v>0</v>
      </c>
      <c r="CQ20" s="377">
        <f ca="1">IF(ISERROR(OFFSET(Initiatives!$D$1,W20-1,$BY$3)),,OFFSET(Initiatives!$D$1,W20-1,$BY$3))</f>
        <v>0</v>
      </c>
      <c r="CR20" s="377">
        <f ca="1">IF(ISERROR(OFFSET(Initiatives!$D$1,X20-1,$BY$3)),,OFFSET(Initiatives!$D$1,X20-1,$BY$3))</f>
        <v>0</v>
      </c>
      <c r="CT20" s="41">
        <f t="shared" ref="CT20:CT24" ca="1" si="157">BY20*Z20/$BN20</f>
        <v>0.14577719466899908</v>
      </c>
      <c r="CU20" s="41">
        <f t="shared" ref="CU20:CU24" ca="1" si="158">BZ20*AB20/$BN20</f>
        <v>2.3999904000384198E-3</v>
      </c>
      <c r="CV20" s="41">
        <f t="shared" ref="CV20:CV24" ca="1" si="159">CA20*AD20/$BN20</f>
        <v>5.7599769600921592E-2</v>
      </c>
      <c r="CW20" s="41">
        <f t="shared" ref="CW20:CW24" ca="1" si="160">CB20*AF20/$BN20</f>
        <v>7.1999712001151989E-2</v>
      </c>
      <c r="CX20" s="41">
        <f t="shared" ref="CX20:CX24" ca="1" si="161">CC20*AH20/$BN20</f>
        <v>9.599961600153599E-2</v>
      </c>
      <c r="CY20" s="41">
        <f t="shared" ref="CY20:CY24" ca="1" si="162">CD20*AJ20/$BN20</f>
        <v>8.6399654401382406E-2</v>
      </c>
      <c r="CZ20" s="41">
        <f t="shared" ref="CZ20:CZ24" ca="1" si="163">CE20*AL20/$BN20</f>
        <v>0</v>
      </c>
      <c r="DA20" s="41">
        <f t="shared" ref="DA20:DA24" ca="1" si="164">CF20*AN20/$BN20</f>
        <v>0</v>
      </c>
      <c r="DB20" s="41">
        <f t="shared" ref="DB20:DB24" ca="1" si="165">CG20*AP20/$BN20</f>
        <v>0</v>
      </c>
      <c r="DC20" s="41">
        <f t="shared" ref="DC20:DC24" ca="1" si="166">CH20*AR20/$BN20</f>
        <v>0</v>
      </c>
      <c r="DD20" s="41">
        <f t="shared" ref="DD20:DD24" ca="1" si="167">CI20*AT20/$BN20</f>
        <v>0</v>
      </c>
      <c r="DE20" s="41">
        <f t="shared" ref="DE20:DE24" ca="1" si="168">CJ20*AV20/$BN20</f>
        <v>0</v>
      </c>
      <c r="DF20" s="41">
        <f t="shared" ref="DF20:DF24" ca="1" si="169">CK20*AX20/$BN20</f>
        <v>0</v>
      </c>
      <c r="DG20" s="41">
        <f t="shared" ref="DG20:DG24" ca="1" si="170">CL20*AZ20/$BN20</f>
        <v>0</v>
      </c>
      <c r="DH20" s="41">
        <f t="shared" ref="DH20:DH24" ca="1" si="171">CM20*BB20/$BN20</f>
        <v>0</v>
      </c>
      <c r="DI20" s="41">
        <f t="shared" ref="DI20:DI24" ca="1" si="172">CN20*BD20/$BN20</f>
        <v>0</v>
      </c>
      <c r="DJ20" s="41">
        <f t="shared" ref="DJ20:DJ24" ca="1" si="173">CO20*BF20/$BN20</f>
        <v>0</v>
      </c>
      <c r="DK20" s="41">
        <f t="shared" ref="DK20:DK24" ca="1" si="174">CP20*BH20/$BN20</f>
        <v>0</v>
      </c>
      <c r="DL20" s="41">
        <f t="shared" ref="DL20:DL24" ca="1" si="175">CQ20*BJ20/$BN20</f>
        <v>0</v>
      </c>
      <c r="DM20" s="41">
        <f t="shared" ref="DM20:DM24" ca="1" si="176">CR20*BL20/$BN20</f>
        <v>0</v>
      </c>
      <c r="DN20" s="41">
        <f t="shared" ref="DN20:DN24" ca="1" si="177">SUM(CT20:DM20)</f>
        <v>0.46017593707402948</v>
      </c>
      <c r="DP20" s="41">
        <f t="shared" ref="DP20:DP24" ca="1" si="178">CT20/$DN20-DP$5/100000</f>
        <v>0.31677578327216527</v>
      </c>
      <c r="DQ20" s="41">
        <f t="shared" ref="DQ20:DQ24" ca="1" si="179">CU20/$DN20-DQ$5/100000</f>
        <v>5.1953757002125211E-3</v>
      </c>
      <c r="DR20" s="41">
        <f t="shared" ref="DR20:DR24" ca="1" si="180">CV20/$DN20-DR$5/100000</f>
        <v>0.12513901680509948</v>
      </c>
      <c r="DS20" s="41">
        <f t="shared" ref="DS20:DS24" ca="1" si="181">CW20/$DN20-DS$5/100000</f>
        <v>0.15642127100637432</v>
      </c>
      <c r="DT20" s="41">
        <f t="shared" ref="DT20:DT24" ca="1" si="182">CX20/$DN20-DT$5/100000</f>
        <v>0.20856502800849913</v>
      </c>
      <c r="DU20" s="41">
        <f t="shared" ref="DU20:DU24" ca="1" si="183">CY20/$DN20-DU$5/100000</f>
        <v>0.18769352520764923</v>
      </c>
      <c r="DV20" s="41">
        <f t="shared" ref="DV20:DV24" ca="1" si="184">CZ20/$DN20-DV$5/100000</f>
        <v>-6.9999999999999994E-5</v>
      </c>
      <c r="DW20" s="41">
        <f t="shared" ref="DW20:DW24" ca="1" si="185">DA20/$DN20-DW$5/100000</f>
        <v>-8.0000000000000007E-5</v>
      </c>
      <c r="DX20" s="41">
        <f t="shared" ref="DX20:DX24" ca="1" si="186">DB20/$DN20-DX$5/100000</f>
        <v>-9.0000000000000006E-5</v>
      </c>
      <c r="DY20" s="41">
        <f t="shared" ref="DY20:DY24" ca="1" si="187">DC20/$DN20-DY$5/100000</f>
        <v>-1E-4</v>
      </c>
      <c r="DZ20" s="41">
        <f t="shared" ref="DZ20:DZ24" ca="1" si="188">DD20/$DN20-DZ$5/100000</f>
        <v>-1.1E-4</v>
      </c>
      <c r="EA20" s="41">
        <f t="shared" ref="EA20:EA24" ca="1" si="189">DE20/$DN20-EA$5/100000</f>
        <v>-1.2E-4</v>
      </c>
      <c r="EB20" s="41">
        <f t="shared" ref="EB20:EB24" ca="1" si="190">DF20/$DN20-EB$5/100000</f>
        <v>-1.2999999999999999E-4</v>
      </c>
      <c r="EC20" s="41">
        <f t="shared" ref="EC20:EC24" ca="1" si="191">DG20/$DN20-EC$5/100000</f>
        <v>-1.3999999999999999E-4</v>
      </c>
      <c r="ED20" s="41">
        <f t="shared" ref="ED20:ED24" ca="1" si="192">DH20/$DN20-ED$5/100000</f>
        <v>-1.4999999999999999E-4</v>
      </c>
      <c r="EE20" s="41">
        <f t="shared" ref="EE20:EE24" ca="1" si="193">DI20/$DN20-EE$5/100000</f>
        <v>-1.6000000000000001E-4</v>
      </c>
      <c r="EF20" s="41">
        <f t="shared" ref="EF20:EF24" ca="1" si="194">DJ20/$DN20-EF$5/100000</f>
        <v>-1.7000000000000001E-4</v>
      </c>
      <c r="EG20" s="41">
        <f t="shared" ref="EG20:EG24" ca="1" si="195">DK20/$DN20-EG$5/100000</f>
        <v>-1.8000000000000001E-4</v>
      </c>
      <c r="EH20" s="41">
        <f t="shared" ref="EH20:EH24" ca="1" si="196">DL20/$DN20-EH$5/100000</f>
        <v>-1.9000000000000001E-4</v>
      </c>
      <c r="EI20" s="41">
        <f t="shared" ref="EI20:EI24" ca="1" si="197">DM20/$DN20-EI$5/100000</f>
        <v>-2.0000000000000001E-4</v>
      </c>
      <c r="EJ20" s="41">
        <f t="shared" ref="EJ20:EJ24" ca="1" si="198">SUM(DP20:EI20)</f>
        <v>0.9978999999999999</v>
      </c>
      <c r="EL20" s="378">
        <f t="shared" ref="EL20:EL24" ca="1" si="199">RANK(DP20,$DP20:$EI20)</f>
        <v>1</v>
      </c>
      <c r="EM20" s="378">
        <f t="shared" ref="EM20:EM24" ca="1" si="200">RANK(DQ20,$DP20:$EI20)</f>
        <v>6</v>
      </c>
      <c r="EN20" s="378">
        <f t="shared" ref="EN20:EN24" ca="1" si="201">RANK(DR20,$DP20:$EI20)</f>
        <v>5</v>
      </c>
      <c r="EO20" s="378">
        <f t="shared" ref="EO20:EO24" ca="1" si="202">RANK(DS20,$DP20:$EI20)</f>
        <v>4</v>
      </c>
      <c r="EP20" s="378">
        <f t="shared" ref="EP20:EP24" ca="1" si="203">RANK(DT20,$DP20:$EI20)</f>
        <v>2</v>
      </c>
      <c r="EQ20" s="378">
        <f t="shared" ref="EQ20:EQ24" ca="1" si="204">RANK(DU20,$DP20:$EI20)</f>
        <v>3</v>
      </c>
      <c r="ER20" s="378">
        <f t="shared" ref="ER20:ER24" ca="1" si="205">RANK(DV20,$DP20:$EI20)</f>
        <v>7</v>
      </c>
      <c r="ES20" s="378">
        <f t="shared" ref="ES20:ES24" ca="1" si="206">RANK(DW20,$DP20:$EI20)</f>
        <v>8</v>
      </c>
      <c r="ET20" s="378">
        <f t="shared" ref="ET20:ET24" ca="1" si="207">RANK(DX20,$DP20:$EI20)</f>
        <v>9</v>
      </c>
      <c r="EU20" s="378">
        <f t="shared" ref="EU20:EU24" ca="1" si="208">RANK(DY20,$DP20:$EI20)</f>
        <v>10</v>
      </c>
      <c r="EV20" s="378">
        <f t="shared" ref="EV20:EV24" ca="1" si="209">RANK(DZ20,$DP20:$EI20)</f>
        <v>11</v>
      </c>
      <c r="EW20" s="378">
        <f t="shared" ref="EW20:EW24" ca="1" si="210">RANK(EA20,$DP20:$EI20)</f>
        <v>12</v>
      </c>
      <c r="EX20" s="378">
        <f t="shared" ref="EX20:EX24" ca="1" si="211">RANK(EB20,$DP20:$EI20)</f>
        <v>13</v>
      </c>
      <c r="EY20" s="378">
        <f t="shared" ref="EY20:EY24" ca="1" si="212">RANK(EC20,$DP20:$EI20)</f>
        <v>14</v>
      </c>
      <c r="EZ20" s="378">
        <f t="shared" ref="EZ20:EZ24" ca="1" si="213">RANK(ED20,$DP20:$EI20)</f>
        <v>15</v>
      </c>
      <c r="FA20" s="378">
        <f t="shared" ref="FA20:FA24" ca="1" si="214">RANK(EE20,$DP20:$EI20)</f>
        <v>16</v>
      </c>
      <c r="FB20" s="378">
        <f t="shared" ref="FB20:FB24" ca="1" si="215">RANK(EF20,$DP20:$EI20)</f>
        <v>17</v>
      </c>
      <c r="FC20" s="378">
        <f t="shared" ref="FC20:FC24" ca="1" si="216">RANK(EG20,$DP20:$EI20)</f>
        <v>18</v>
      </c>
      <c r="FD20" s="378">
        <f t="shared" ref="FD20:FD24" ca="1" si="217">RANK(EH20,$DP20:$EI20)</f>
        <v>19</v>
      </c>
      <c r="FE20" s="378">
        <f t="shared" ref="FE20:FE24" ca="1" si="218">RANK(EI20,$DP20:$EI20)</f>
        <v>20</v>
      </c>
      <c r="FG20" s="378">
        <f t="shared" ref="FG20:FV24" ca="1" si="219">MATCH(FG$5,$EL20:$FE20,0)</f>
        <v>1</v>
      </c>
      <c r="FH20" s="378">
        <f t="shared" ca="1" si="219"/>
        <v>5</v>
      </c>
      <c r="FI20" s="378">
        <f t="shared" ca="1" si="219"/>
        <v>6</v>
      </c>
      <c r="FJ20" s="378">
        <f t="shared" ca="1" si="219"/>
        <v>4</v>
      </c>
      <c r="FK20" s="378">
        <f t="shared" ca="1" si="219"/>
        <v>3</v>
      </c>
      <c r="FL20" s="378">
        <f t="shared" ca="1" si="219"/>
        <v>2</v>
      </c>
      <c r="FM20" s="378">
        <f t="shared" ca="1" si="219"/>
        <v>7</v>
      </c>
      <c r="FN20" s="378">
        <f t="shared" ca="1" si="219"/>
        <v>8</v>
      </c>
      <c r="FO20" s="378">
        <f t="shared" ca="1" si="219"/>
        <v>9</v>
      </c>
      <c r="FP20" s="378">
        <f t="shared" ca="1" si="219"/>
        <v>10</v>
      </c>
      <c r="FQ20" s="378">
        <f t="shared" ca="1" si="219"/>
        <v>11</v>
      </c>
      <c r="FR20" s="378">
        <f t="shared" ca="1" si="219"/>
        <v>12</v>
      </c>
      <c r="FS20" s="378">
        <f t="shared" ca="1" si="219"/>
        <v>13</v>
      </c>
      <c r="FT20" s="378">
        <f t="shared" ca="1" si="219"/>
        <v>14</v>
      </c>
      <c r="FU20" s="378">
        <f t="shared" ca="1" si="219"/>
        <v>15</v>
      </c>
      <c r="FV20" s="378">
        <f t="shared" ca="1" si="219"/>
        <v>16</v>
      </c>
      <c r="FW20" s="378">
        <f t="shared" ref="FW20:FZ24" ca="1" si="220">MATCH(FW$5,$EL20:$FE20,0)</f>
        <v>17</v>
      </c>
      <c r="FX20" s="378">
        <f t="shared" ca="1" si="220"/>
        <v>18</v>
      </c>
      <c r="FY20" s="378">
        <f t="shared" ca="1" si="220"/>
        <v>19</v>
      </c>
      <c r="FZ20" s="378">
        <f t="shared" ca="1" si="220"/>
        <v>20</v>
      </c>
      <c r="GB20" s="275" t="str">
        <f t="shared" ref="GB20:GB24" ca="1" si="221">IF(GB$5&lt;=$BV20,INDEX($Y20:$BL20,1,FG20*2-1)&amp;" ("&amp;TEXT(INDEX($DP20:$EI20,1,FG20),"0%")&amp;")","")</f>
        <v>BI Applications (32%)</v>
      </c>
      <c r="GC20" s="231" t="str">
        <f t="shared" ref="GC20:GC24" ca="1" si="222">IF(GC$5&lt;=$BV20,"; "&amp;INDEX($Y20:$BL20,1,FH20*2-1)&amp;" ("&amp;TEXT(INDEX($DP20:$EI20,1,FH20),"0%")&amp;")","")</f>
        <v>; Analytical Tools (21%)</v>
      </c>
      <c r="GD20" s="231" t="str">
        <f t="shared" ref="GD20:GD24" ca="1" si="223">IF(GD$5&lt;=$BV20,"; "&amp;INDEX($Y20:$BL20,1,FI20*2-1)&amp;" ("&amp;TEXT(INDEX($DP20:$EI20,1,FI20),"0%")&amp;")","")</f>
        <v>; Workflow and Collaboration (19%)</v>
      </c>
      <c r="GE20" s="231" t="str">
        <f t="shared" ref="GE20:GE24" ca="1" si="224">IF(GE$5&lt;=$BV20,"; "&amp;INDEX($Y20:$BL20,1,FJ20*2-1)&amp;" ("&amp;TEXT(INDEX($DP20:$EI20,1,FJ20),"0%")&amp;")","")</f>
        <v>; Scorecards / Dashboards (16%)</v>
      </c>
      <c r="GF20" s="231" t="str">
        <f t="shared" ref="GF20:GF24" ca="1" si="225">IF(GF$5&lt;=$BV20,"; "&amp;INDEX($Y20:$BL20,1,FK20*2-1)&amp;" ("&amp;TEXT(INDEX($DP20:$EI20,1,FK20),"0%")&amp;")","")</f>
        <v>; Reporting (13%)</v>
      </c>
      <c r="GG20" s="231" t="str">
        <f t="shared" ref="GG20:GG24" ca="1" si="226">IF(GG$5&lt;=$BV20,"; "&amp;INDEX($Y20:$BL20,1,FL20*2-1)&amp;" ("&amp;TEXT(INDEX($DP20:$EI20,1,FL20),"0%")&amp;")","")</f>
        <v/>
      </c>
      <c r="GH20" s="231" t="str">
        <f t="shared" ref="GH20:GH24" ca="1" si="227">IF(GH$5&lt;=$BV20,"; "&amp;INDEX($Y20:$BL20,1,FM20*2-1)&amp;" ("&amp;TEXT(INDEX($DP20:$EI20,1,FM20),"0%")&amp;")","")</f>
        <v/>
      </c>
      <c r="GI20" s="231" t="str">
        <f t="shared" ref="GI20:GI24" ca="1" si="228">IF(GI$5&lt;=$BV20,"; "&amp;INDEX($Y20:$BL20,1,FN20*2-1)&amp;" ("&amp;TEXT(INDEX($DP20:$EI20,1,FN20),"0%")&amp;")","")</f>
        <v/>
      </c>
      <c r="GJ20" s="231" t="str">
        <f t="shared" ref="GJ20:GJ24" ca="1" si="229">IF(GJ$5&lt;=$BV20,"; "&amp;INDEX($Y20:$BL20,1,FO20*2-1)&amp;" ("&amp;TEXT(INDEX($DP20:$EI20,1,FO20),"0%")&amp;")","")</f>
        <v/>
      </c>
      <c r="GK20" s="231" t="str">
        <f t="shared" ref="GK20:GK24" ca="1" si="230">IF(GK$5&lt;=$BV20,"; "&amp;INDEX($Y20:$BL20,1,FP20*2-1)&amp;" ("&amp;TEXT(INDEX($DP20:$EI20,1,FP20),"0%")&amp;")","")</f>
        <v/>
      </c>
      <c r="GL20" s="231" t="str">
        <f t="shared" ref="GL20:GL24" ca="1" si="231">IF(GL$5&lt;=$BV20,"; "&amp;INDEX($Y20:$BL20,1,FQ20*2-1)&amp;" ("&amp;TEXT(INDEX($DP20:$EI20,1,FQ20),"0%")&amp;")","")</f>
        <v/>
      </c>
      <c r="GM20" s="231" t="str">
        <f t="shared" ref="GM20:GM24" ca="1" si="232">IF(GM$5&lt;=$BV20,"; "&amp;INDEX($Y20:$BL20,1,FR20*2-1)&amp;" ("&amp;TEXT(INDEX($DP20:$EI20,1,FR20),"0%")&amp;")","")</f>
        <v/>
      </c>
      <c r="GN20" s="231" t="str">
        <f t="shared" ref="GN20:GN24" ca="1" si="233">IF(GN$5&lt;=$BV20,"; "&amp;INDEX($Y20:$BL20,1,FS20*2-1)&amp;" ("&amp;TEXT(INDEX($DP20:$EI20,1,FS20),"0%")&amp;")","")</f>
        <v/>
      </c>
      <c r="GO20" s="231" t="str">
        <f t="shared" ref="GO20:GO24" ca="1" si="234">IF(GO$5&lt;=$BV20,"; "&amp;INDEX($Y20:$BL20,1,FT20*2-1)&amp;" ("&amp;TEXT(INDEX($DP20:$EI20,1,FT20),"0%")&amp;")","")</f>
        <v/>
      </c>
      <c r="GP20" s="231" t="str">
        <f t="shared" ref="GP20:GP24" ca="1" si="235">IF(GP$5&lt;=$BV20,"; "&amp;INDEX($Y20:$BL20,1,FU20*2-1)&amp;" ("&amp;TEXT(INDEX($DP20:$EI20,1,FU20),"0%")&amp;")","")</f>
        <v/>
      </c>
      <c r="GQ20" s="231" t="str">
        <f t="shared" ref="GQ20:GQ24" ca="1" si="236">IF(GQ$5&lt;=$BV20,"; "&amp;INDEX($Y20:$BL20,1,FV20*2-1)&amp;" ("&amp;TEXT(INDEX($DP20:$EI20,1,FV20),"0%")&amp;")","")</f>
        <v/>
      </c>
      <c r="GR20" s="231" t="str">
        <f t="shared" ref="GR20:GR24" ca="1" si="237">IF(GR$5&lt;=$BV20,"; "&amp;INDEX($Y20:$BL20,1,FW20*2-1)&amp;" ("&amp;TEXT(INDEX($DP20:$EI20,1,FW20),"0%")&amp;")","")</f>
        <v/>
      </c>
      <c r="GS20" s="231" t="str">
        <f t="shared" ref="GS20:GS24" ca="1" si="238">IF(GS$5&lt;=$BV20,"; "&amp;INDEX($Y20:$BL20,1,FX20*2-1)&amp;" ("&amp;TEXT(INDEX($DP20:$EI20,1,FX20),"0%")&amp;")","")</f>
        <v/>
      </c>
      <c r="GT20" s="231" t="str">
        <f t="shared" ref="GT20:GT24" ca="1" si="239">IF(GT$5&lt;=$BV20,"; "&amp;INDEX($Y20:$BL20,1,FY20*2-1)&amp;" ("&amp;TEXT(INDEX($DP20:$EI20,1,FY20),"0%")&amp;")","")</f>
        <v/>
      </c>
      <c r="GU20" s="231" t="str">
        <f t="shared" ref="GU20:GU24" ca="1" si="240">IF(GU$5&lt;=$BV20,"; "&amp;INDEX($Y20:$BL20,1,FZ20*2-1)&amp;" ("&amp;TEXT(INDEX($DP20:$EI20,1,FZ20),"0%")&amp;")","")</f>
        <v/>
      </c>
    </row>
    <row r="21" spans="1:203" s="386" customFormat="1" ht="15" hidden="1" customHeight="1">
      <c r="B21" s="373"/>
      <c r="C21" s="81" t="str">
        <f>'Direct Savings'!D93</f>
        <v>Software - Servers</v>
      </c>
      <c r="D21" s="404">
        <f t="shared" ca="1" si="151"/>
        <v>0.43608891983527637</v>
      </c>
      <c r="E21" s="374">
        <f>ROW(Initiatives!A170)</f>
        <v>170</v>
      </c>
      <c r="F21" s="374">
        <f>ROW(Initiatives!A182)</f>
        <v>182</v>
      </c>
      <c r="G21" s="374">
        <f>ROW(Initiatives!A185)</f>
        <v>185</v>
      </c>
      <c r="H21" s="374">
        <f>ROW(Initiatives!A186)</f>
        <v>186</v>
      </c>
      <c r="I21" s="374">
        <f>ROW(Initiatives!A187)</f>
        <v>187</v>
      </c>
      <c r="J21" s="374">
        <f>ROW(Initiatives!A188)</f>
        <v>188</v>
      </c>
      <c r="K21" s="374" t="s">
        <v>975</v>
      </c>
      <c r="L21" s="374" t="s">
        <v>975</v>
      </c>
      <c r="M21" s="374" t="s">
        <v>975</v>
      </c>
      <c r="N21" s="374" t="s">
        <v>975</v>
      </c>
      <c r="O21" s="374" t="s">
        <v>975</v>
      </c>
      <c r="P21" s="374" t="s">
        <v>975</v>
      </c>
      <c r="Q21" s="374" t="s">
        <v>975</v>
      </c>
      <c r="R21" s="374" t="s">
        <v>975</v>
      </c>
      <c r="S21" s="374" t="s">
        <v>975</v>
      </c>
      <c r="T21" s="374" t="s">
        <v>975</v>
      </c>
      <c r="U21" s="374" t="s">
        <v>975</v>
      </c>
      <c r="V21" s="374" t="s">
        <v>975</v>
      </c>
      <c r="W21" s="374" t="s">
        <v>975</v>
      </c>
      <c r="X21" s="374" t="s">
        <v>975</v>
      </c>
      <c r="Y21" s="392" t="str">
        <f ca="1">OFFSET(Initiatives!$D$1,E21-1,$BS$3)</f>
        <v>BI Applications</v>
      </c>
      <c r="Z21" s="375">
        <v>8</v>
      </c>
      <c r="AA21" s="392" t="str">
        <f ca="1">OFFSET(Initiatives!$D$1,F21-1,$BS$3)</f>
        <v>Development</v>
      </c>
      <c r="AB21" s="375">
        <v>6</v>
      </c>
      <c r="AC21" s="392" t="str">
        <f ca="1">OFFSET(Initiatives!$D$1,G21-1,$BS$3)</f>
        <v>Reporting</v>
      </c>
      <c r="AD21" s="375">
        <v>3</v>
      </c>
      <c r="AE21" s="392" t="str">
        <f ca="1">OFFSET(Initiatives!$D$1,H21-1,$BS$3)</f>
        <v>Scorecards / Dashboards</v>
      </c>
      <c r="AF21" s="375">
        <v>3</v>
      </c>
      <c r="AG21" s="392" t="str">
        <f ca="1">OFFSET(Initiatives!$D$1,I21-1,$BS$3)</f>
        <v>Analytical Tools</v>
      </c>
      <c r="AH21" s="375">
        <v>2</v>
      </c>
      <c r="AI21" s="392" t="str">
        <f ca="1">OFFSET(Initiatives!$D$1,J21-1,$BS$3)</f>
        <v>Workflow and Collaboration</v>
      </c>
      <c r="AJ21" s="375">
        <v>5</v>
      </c>
      <c r="AK21" s="392" t="e">
        <f ca="1">OFFSET(Initiatives!$D$1,K21-1,$BS$3)</f>
        <v>#VALUE!</v>
      </c>
      <c r="AL21" s="375"/>
      <c r="AM21" s="392" t="e">
        <f ca="1">OFFSET(Initiatives!$D$1,L21-1,$BS$3)</f>
        <v>#VALUE!</v>
      </c>
      <c r="AN21" s="375"/>
      <c r="AO21" s="392" t="e">
        <f ca="1">OFFSET(Initiatives!$D$1,M21-1,$BS$3)</f>
        <v>#VALUE!</v>
      </c>
      <c r="AP21" s="375"/>
      <c r="AQ21" s="392" t="e">
        <f ca="1">OFFSET(Initiatives!$D$1,N21-1,$BS$3)</f>
        <v>#VALUE!</v>
      </c>
      <c r="AR21" s="375"/>
      <c r="AS21" s="392" t="e">
        <f ca="1">OFFSET(Initiatives!$D$1,O21-1,$BS$3)</f>
        <v>#VALUE!</v>
      </c>
      <c r="AT21" s="375"/>
      <c r="AU21" s="392" t="e">
        <f ca="1">OFFSET(Initiatives!$D$1,P21-1,$BS$3)</f>
        <v>#VALUE!</v>
      </c>
      <c r="AV21" s="375"/>
      <c r="AW21" s="392" t="e">
        <f ca="1">OFFSET(Initiatives!$D$1,Q21-1,$BS$3)</f>
        <v>#VALUE!</v>
      </c>
      <c r="AX21" s="375"/>
      <c r="AY21" s="392" t="e">
        <f ca="1">OFFSET(Initiatives!$D$1,R21-1,$BS$3)</f>
        <v>#VALUE!</v>
      </c>
      <c r="AZ21" s="375"/>
      <c r="BA21" s="392" t="e">
        <f ca="1">OFFSET(Initiatives!$D$1,S21-1,$BS$3)</f>
        <v>#VALUE!</v>
      </c>
      <c r="BB21" s="375"/>
      <c r="BC21" s="392" t="e">
        <f ca="1">OFFSET(Initiatives!$D$1,T21-1,$BS$3)</f>
        <v>#VALUE!</v>
      </c>
      <c r="BD21" s="375"/>
      <c r="BE21" s="392" t="e">
        <f ca="1">OFFSET(Initiatives!$D$1,U21-1,$BS$3)</f>
        <v>#VALUE!</v>
      </c>
      <c r="BF21" s="375"/>
      <c r="BG21" s="392" t="e">
        <f ca="1">OFFSET(Initiatives!$D$1,V21-1,$BS$3)</f>
        <v>#VALUE!</v>
      </c>
      <c r="BH21" s="375"/>
      <c r="BI21" s="392" t="e">
        <f ca="1">OFFSET(Initiatives!$D$1,W21-1,$BS$3)</f>
        <v>#VALUE!</v>
      </c>
      <c r="BJ21" s="375"/>
      <c r="BK21" s="392" t="e">
        <f ca="1">OFFSET(Initiatives!$D$1,X21-1,$BS$3)</f>
        <v>#VALUE!</v>
      </c>
      <c r="BL21" s="375"/>
      <c r="BN21" s="101">
        <f t="shared" si="152"/>
        <v>27.0001</v>
      </c>
      <c r="BP21" s="231" t="str">
        <f t="shared" ca="1" si="153"/>
        <v>BI Applications (31%); Workflow and Collaboration (31%); Scorecards / Dashboards (15%); Reporting (12%); Analytical Tools (10%)</v>
      </c>
      <c r="BQ21" s="338">
        <v>0.01</v>
      </c>
      <c r="BR21" s="40">
        <f t="shared" ca="1" si="154"/>
        <v>5</v>
      </c>
      <c r="BS21" s="274">
        <v>0.05</v>
      </c>
      <c r="BT21" s="40">
        <f t="shared" ca="1" si="155"/>
        <v>5</v>
      </c>
      <c r="BU21" s="376">
        <v>7</v>
      </c>
      <c r="BV21" s="40">
        <f t="shared" ca="1" si="156"/>
        <v>5</v>
      </c>
      <c r="BY21" s="377">
        <f ca="1">IF(ISERROR(OFFSET(Initiatives!$D$1,E21-1,$BY$3)),,OFFSET(Initiatives!$D$1,E21-1,$BY$3))</f>
        <v>0.45555555555555544</v>
      </c>
      <c r="BZ21" s="377">
        <f ca="1">IF(ISERROR(OFFSET(Initiatives!$D$1,F21-1,$BY$3)),,OFFSET(Initiatives!$D$1,F21-1,$BY$3))</f>
        <v>1.5000000000000124E-2</v>
      </c>
      <c r="CA21" s="377">
        <f ca="1">IF(ISERROR(OFFSET(Initiatives!$D$1,G21-1,$BY$3)),,OFFSET(Initiatives!$D$1,G21-1,$BY$3))</f>
        <v>0.48</v>
      </c>
      <c r="CB21" s="377">
        <f ca="1">IF(ISERROR(OFFSET(Initiatives!$D$1,H21-1,$BY$3)),,OFFSET(Initiatives!$D$1,H21-1,$BY$3))</f>
        <v>0.6</v>
      </c>
      <c r="CC21" s="377">
        <f ca="1">IF(ISERROR(OFFSET(Initiatives!$D$1,I21-1,$BY$3)),,OFFSET(Initiatives!$D$1,I21-1,$BY$3))</f>
        <v>0.6</v>
      </c>
      <c r="CD21" s="377">
        <f ca="1">IF(ISERROR(OFFSET(Initiatives!$D$1,J21-1,$BY$3)),,OFFSET(Initiatives!$D$1,J21-1,$BY$3))</f>
        <v>0.72000000000000008</v>
      </c>
      <c r="CE21" s="377">
        <f ca="1">IF(ISERROR(OFFSET(Initiatives!$D$1,K21-1,$BY$3)),,OFFSET(Initiatives!$D$1,K21-1,$BY$3))</f>
        <v>0</v>
      </c>
      <c r="CF21" s="377">
        <f ca="1">IF(ISERROR(OFFSET(Initiatives!$D$1,L21-1,$BY$3)),,OFFSET(Initiatives!$D$1,L21-1,$BY$3))</f>
        <v>0</v>
      </c>
      <c r="CG21" s="377">
        <f ca="1">IF(ISERROR(OFFSET(Initiatives!$D$1,M21-1,$BY$3)),,OFFSET(Initiatives!$D$1,M21-1,$BY$3))</f>
        <v>0</v>
      </c>
      <c r="CH21" s="377">
        <f ca="1">IF(ISERROR(OFFSET(Initiatives!$D$1,N21-1,$BY$3)),,OFFSET(Initiatives!$D$1,N21-1,$BY$3))</f>
        <v>0</v>
      </c>
      <c r="CI21" s="377">
        <f ca="1">IF(ISERROR(OFFSET(Initiatives!$D$1,O21-1,$BY$3)),,OFFSET(Initiatives!$D$1,O21-1,$BY$3))</f>
        <v>0</v>
      </c>
      <c r="CJ21" s="377">
        <f ca="1">IF(ISERROR(OFFSET(Initiatives!$D$1,P21-1,$BY$3)),,OFFSET(Initiatives!$D$1,P21-1,$BY$3))</f>
        <v>0</v>
      </c>
      <c r="CK21" s="377">
        <f ca="1">IF(ISERROR(OFFSET(Initiatives!$D$1,Q21-1,$BY$3)),,OFFSET(Initiatives!$D$1,Q21-1,$BY$3))</f>
        <v>0</v>
      </c>
      <c r="CL21" s="377">
        <f ca="1">IF(ISERROR(OFFSET(Initiatives!$D$1,R21-1,$BY$3)),,OFFSET(Initiatives!$D$1,R21-1,$BY$3))</f>
        <v>0</v>
      </c>
      <c r="CM21" s="377">
        <f ca="1">IF(ISERROR(OFFSET(Initiatives!$D$1,S21-1,$BY$3)),,OFFSET(Initiatives!$D$1,S21-1,$BY$3))</f>
        <v>0</v>
      </c>
      <c r="CN21" s="377">
        <f ca="1">IF(ISERROR(OFFSET(Initiatives!$D$1,T21-1,$BY$3)),,OFFSET(Initiatives!$D$1,T21-1,$BY$3))</f>
        <v>0</v>
      </c>
      <c r="CO21" s="377">
        <f ca="1">IF(ISERROR(OFFSET(Initiatives!$D$1,U21-1,$BY$3)),,OFFSET(Initiatives!$D$1,U21-1,$BY$3))</f>
        <v>0</v>
      </c>
      <c r="CP21" s="377">
        <f ca="1">IF(ISERROR(OFFSET(Initiatives!$D$1,V21-1,$BY$3)),,OFFSET(Initiatives!$D$1,V21-1,$BY$3))</f>
        <v>0</v>
      </c>
      <c r="CQ21" s="377">
        <f ca="1">IF(ISERROR(OFFSET(Initiatives!$D$1,W21-1,$BY$3)),,OFFSET(Initiatives!$D$1,W21-1,$BY$3))</f>
        <v>0</v>
      </c>
      <c r="CR21" s="377">
        <f ca="1">IF(ISERROR(OFFSET(Initiatives!$D$1,X21-1,$BY$3)),,OFFSET(Initiatives!$D$1,X21-1,$BY$3))</f>
        <v>0</v>
      </c>
      <c r="CT21" s="41">
        <f t="shared" ca="1" si="157"/>
        <v>0.13497892394637218</v>
      </c>
      <c r="CU21" s="41">
        <f t="shared" ca="1" si="158"/>
        <v>3.3333209877000731E-3</v>
      </c>
      <c r="CV21" s="41">
        <f t="shared" ca="1" si="159"/>
        <v>5.3333135803200725E-2</v>
      </c>
      <c r="CW21" s="41">
        <f t="shared" ca="1" si="160"/>
        <v>6.6666419754000908E-2</v>
      </c>
      <c r="CX21" s="41">
        <f t="shared" ca="1" si="161"/>
        <v>4.4444279836000605E-2</v>
      </c>
      <c r="CY21" s="41">
        <f t="shared" ca="1" si="162"/>
        <v>0.13333283950800184</v>
      </c>
      <c r="CZ21" s="41">
        <f t="shared" ca="1" si="163"/>
        <v>0</v>
      </c>
      <c r="DA21" s="41">
        <f t="shared" ca="1" si="164"/>
        <v>0</v>
      </c>
      <c r="DB21" s="41">
        <f t="shared" ca="1" si="165"/>
        <v>0</v>
      </c>
      <c r="DC21" s="41">
        <f t="shared" ca="1" si="166"/>
        <v>0</v>
      </c>
      <c r="DD21" s="41">
        <f t="shared" ca="1" si="167"/>
        <v>0</v>
      </c>
      <c r="DE21" s="41">
        <f t="shared" ca="1" si="168"/>
        <v>0</v>
      </c>
      <c r="DF21" s="41">
        <f t="shared" ca="1" si="169"/>
        <v>0</v>
      </c>
      <c r="DG21" s="41">
        <f t="shared" ca="1" si="170"/>
        <v>0</v>
      </c>
      <c r="DH21" s="41">
        <f t="shared" ca="1" si="171"/>
        <v>0</v>
      </c>
      <c r="DI21" s="41">
        <f t="shared" ca="1" si="172"/>
        <v>0</v>
      </c>
      <c r="DJ21" s="41">
        <f t="shared" ca="1" si="173"/>
        <v>0</v>
      </c>
      <c r="DK21" s="41">
        <f t="shared" ca="1" si="174"/>
        <v>0</v>
      </c>
      <c r="DL21" s="41">
        <f t="shared" ca="1" si="175"/>
        <v>0</v>
      </c>
      <c r="DM21" s="41">
        <f t="shared" ca="1" si="176"/>
        <v>0</v>
      </c>
      <c r="DN21" s="41">
        <f t="shared" ca="1" si="177"/>
        <v>0.43608891983527637</v>
      </c>
      <c r="DP21" s="41">
        <f t="shared" ca="1" si="178"/>
        <v>0.30951156270642621</v>
      </c>
      <c r="DQ21" s="41">
        <f t="shared" ca="1" si="179"/>
        <v>7.6236727375672986E-3</v>
      </c>
      <c r="DR21" s="41">
        <f t="shared" ca="1" si="180"/>
        <v>0.12226876380107575</v>
      </c>
      <c r="DS21" s="41">
        <f t="shared" ca="1" si="181"/>
        <v>0.15283345475134469</v>
      </c>
      <c r="DT21" s="41">
        <f t="shared" ca="1" si="182"/>
        <v>0.10186563650089647</v>
      </c>
      <c r="DU21" s="41">
        <f t="shared" ca="1" si="183"/>
        <v>0.30568690950268945</v>
      </c>
      <c r="DV21" s="41">
        <f t="shared" ca="1" si="184"/>
        <v>-6.9999999999999994E-5</v>
      </c>
      <c r="DW21" s="41">
        <f t="shared" ca="1" si="185"/>
        <v>-8.0000000000000007E-5</v>
      </c>
      <c r="DX21" s="41">
        <f t="shared" ca="1" si="186"/>
        <v>-9.0000000000000006E-5</v>
      </c>
      <c r="DY21" s="41">
        <f t="shared" ca="1" si="187"/>
        <v>-1E-4</v>
      </c>
      <c r="DZ21" s="41">
        <f t="shared" ca="1" si="188"/>
        <v>-1.1E-4</v>
      </c>
      <c r="EA21" s="41">
        <f t="shared" ca="1" si="189"/>
        <v>-1.2E-4</v>
      </c>
      <c r="EB21" s="41">
        <f t="shared" ca="1" si="190"/>
        <v>-1.2999999999999999E-4</v>
      </c>
      <c r="EC21" s="41">
        <f t="shared" ca="1" si="191"/>
        <v>-1.3999999999999999E-4</v>
      </c>
      <c r="ED21" s="41">
        <f t="shared" ca="1" si="192"/>
        <v>-1.4999999999999999E-4</v>
      </c>
      <c r="EE21" s="41">
        <f t="shared" ca="1" si="193"/>
        <v>-1.6000000000000001E-4</v>
      </c>
      <c r="EF21" s="41">
        <f t="shared" ca="1" si="194"/>
        <v>-1.7000000000000001E-4</v>
      </c>
      <c r="EG21" s="41">
        <f t="shared" ca="1" si="195"/>
        <v>-1.8000000000000001E-4</v>
      </c>
      <c r="EH21" s="41">
        <f t="shared" ca="1" si="196"/>
        <v>-1.9000000000000001E-4</v>
      </c>
      <c r="EI21" s="41">
        <f t="shared" ca="1" si="197"/>
        <v>-2.0000000000000001E-4</v>
      </c>
      <c r="EJ21" s="41">
        <f t="shared" ca="1" si="198"/>
        <v>0.9978999999999999</v>
      </c>
      <c r="EL21" s="378">
        <f t="shared" ca="1" si="199"/>
        <v>1</v>
      </c>
      <c r="EM21" s="378">
        <f t="shared" ca="1" si="200"/>
        <v>6</v>
      </c>
      <c r="EN21" s="378">
        <f t="shared" ca="1" si="201"/>
        <v>4</v>
      </c>
      <c r="EO21" s="378">
        <f t="shared" ca="1" si="202"/>
        <v>3</v>
      </c>
      <c r="EP21" s="378">
        <f t="shared" ca="1" si="203"/>
        <v>5</v>
      </c>
      <c r="EQ21" s="378">
        <f t="shared" ca="1" si="204"/>
        <v>2</v>
      </c>
      <c r="ER21" s="378">
        <f t="shared" ca="1" si="205"/>
        <v>7</v>
      </c>
      <c r="ES21" s="378">
        <f t="shared" ca="1" si="206"/>
        <v>8</v>
      </c>
      <c r="ET21" s="378">
        <f t="shared" ca="1" si="207"/>
        <v>9</v>
      </c>
      <c r="EU21" s="378">
        <f t="shared" ca="1" si="208"/>
        <v>10</v>
      </c>
      <c r="EV21" s="378">
        <f t="shared" ca="1" si="209"/>
        <v>11</v>
      </c>
      <c r="EW21" s="378">
        <f t="shared" ca="1" si="210"/>
        <v>12</v>
      </c>
      <c r="EX21" s="378">
        <f t="shared" ca="1" si="211"/>
        <v>13</v>
      </c>
      <c r="EY21" s="378">
        <f t="shared" ca="1" si="212"/>
        <v>14</v>
      </c>
      <c r="EZ21" s="378">
        <f t="shared" ca="1" si="213"/>
        <v>15</v>
      </c>
      <c r="FA21" s="378">
        <f t="shared" ca="1" si="214"/>
        <v>16</v>
      </c>
      <c r="FB21" s="378">
        <f t="shared" ca="1" si="215"/>
        <v>17</v>
      </c>
      <c r="FC21" s="378">
        <f t="shared" ca="1" si="216"/>
        <v>18</v>
      </c>
      <c r="FD21" s="378">
        <f t="shared" ca="1" si="217"/>
        <v>19</v>
      </c>
      <c r="FE21" s="378">
        <f t="shared" ca="1" si="218"/>
        <v>20</v>
      </c>
      <c r="FG21" s="378">
        <f t="shared" ca="1" si="219"/>
        <v>1</v>
      </c>
      <c r="FH21" s="378">
        <f t="shared" ca="1" si="219"/>
        <v>6</v>
      </c>
      <c r="FI21" s="378">
        <f t="shared" ca="1" si="219"/>
        <v>4</v>
      </c>
      <c r="FJ21" s="378">
        <f t="shared" ca="1" si="219"/>
        <v>3</v>
      </c>
      <c r="FK21" s="378">
        <f t="shared" ca="1" si="219"/>
        <v>5</v>
      </c>
      <c r="FL21" s="378">
        <f t="shared" ca="1" si="219"/>
        <v>2</v>
      </c>
      <c r="FM21" s="378">
        <f t="shared" ca="1" si="219"/>
        <v>7</v>
      </c>
      <c r="FN21" s="378">
        <f t="shared" ca="1" si="219"/>
        <v>8</v>
      </c>
      <c r="FO21" s="378">
        <f t="shared" ca="1" si="219"/>
        <v>9</v>
      </c>
      <c r="FP21" s="378">
        <f t="shared" ca="1" si="219"/>
        <v>10</v>
      </c>
      <c r="FQ21" s="378">
        <f t="shared" ca="1" si="219"/>
        <v>11</v>
      </c>
      <c r="FR21" s="378">
        <f t="shared" ca="1" si="219"/>
        <v>12</v>
      </c>
      <c r="FS21" s="378">
        <f t="shared" ca="1" si="219"/>
        <v>13</v>
      </c>
      <c r="FT21" s="378">
        <f t="shared" ca="1" si="219"/>
        <v>14</v>
      </c>
      <c r="FU21" s="378">
        <f t="shared" ca="1" si="219"/>
        <v>15</v>
      </c>
      <c r="FV21" s="378">
        <f t="shared" ca="1" si="219"/>
        <v>16</v>
      </c>
      <c r="FW21" s="378">
        <f t="shared" ca="1" si="220"/>
        <v>17</v>
      </c>
      <c r="FX21" s="378">
        <f t="shared" ca="1" si="220"/>
        <v>18</v>
      </c>
      <c r="FY21" s="378">
        <f t="shared" ca="1" si="220"/>
        <v>19</v>
      </c>
      <c r="FZ21" s="378">
        <f t="shared" ca="1" si="220"/>
        <v>20</v>
      </c>
      <c r="GB21" s="275" t="str">
        <f t="shared" ca="1" si="221"/>
        <v>BI Applications (31%)</v>
      </c>
      <c r="GC21" s="231" t="str">
        <f t="shared" ca="1" si="222"/>
        <v>; Workflow and Collaboration (31%)</v>
      </c>
      <c r="GD21" s="231" t="str">
        <f t="shared" ca="1" si="223"/>
        <v>; Scorecards / Dashboards (15%)</v>
      </c>
      <c r="GE21" s="231" t="str">
        <f t="shared" ca="1" si="224"/>
        <v>; Reporting (12%)</v>
      </c>
      <c r="GF21" s="231" t="str">
        <f t="shared" ca="1" si="225"/>
        <v>; Analytical Tools (10%)</v>
      </c>
      <c r="GG21" s="231" t="str">
        <f t="shared" ca="1" si="226"/>
        <v/>
      </c>
      <c r="GH21" s="231" t="str">
        <f t="shared" ca="1" si="227"/>
        <v/>
      </c>
      <c r="GI21" s="231" t="str">
        <f t="shared" ca="1" si="228"/>
        <v/>
      </c>
      <c r="GJ21" s="231" t="str">
        <f t="shared" ca="1" si="229"/>
        <v/>
      </c>
      <c r="GK21" s="231" t="str">
        <f t="shared" ca="1" si="230"/>
        <v/>
      </c>
      <c r="GL21" s="231" t="str">
        <f t="shared" ca="1" si="231"/>
        <v/>
      </c>
      <c r="GM21" s="231" t="str">
        <f t="shared" ca="1" si="232"/>
        <v/>
      </c>
      <c r="GN21" s="231" t="str">
        <f t="shared" ca="1" si="233"/>
        <v/>
      </c>
      <c r="GO21" s="231" t="str">
        <f t="shared" ca="1" si="234"/>
        <v/>
      </c>
      <c r="GP21" s="231" t="str">
        <f t="shared" ca="1" si="235"/>
        <v/>
      </c>
      <c r="GQ21" s="231" t="str">
        <f t="shared" ca="1" si="236"/>
        <v/>
      </c>
      <c r="GR21" s="231" t="str">
        <f t="shared" ca="1" si="237"/>
        <v/>
      </c>
      <c r="GS21" s="231" t="str">
        <f t="shared" ca="1" si="238"/>
        <v/>
      </c>
      <c r="GT21" s="231" t="str">
        <f t="shared" ca="1" si="239"/>
        <v/>
      </c>
      <c r="GU21" s="231" t="str">
        <f t="shared" ca="1" si="240"/>
        <v/>
      </c>
    </row>
    <row r="22" spans="1:203" s="386" customFormat="1" ht="15" hidden="1" customHeight="1">
      <c r="B22" s="373"/>
      <c r="C22" s="81" t="str">
        <f>'Direct Savings'!D94</f>
        <v>Hardware</v>
      </c>
      <c r="D22" s="404">
        <f t="shared" ca="1" si="151"/>
        <v>6.2999370006299987E-2</v>
      </c>
      <c r="E22" s="374">
        <f>ROW(Initiatives!A118)</f>
        <v>118</v>
      </c>
      <c r="F22" s="374">
        <f>ROW(Initiatives!A178)</f>
        <v>178</v>
      </c>
      <c r="G22" s="374"/>
      <c r="H22" s="374"/>
      <c r="I22" s="374" t="s">
        <v>975</v>
      </c>
      <c r="J22" s="374" t="s">
        <v>975</v>
      </c>
      <c r="K22" s="374" t="s">
        <v>975</v>
      </c>
      <c r="L22" s="374" t="s">
        <v>975</v>
      </c>
      <c r="M22" s="374" t="s">
        <v>975</v>
      </c>
      <c r="N22" s="374" t="s">
        <v>975</v>
      </c>
      <c r="O22" s="374" t="s">
        <v>975</v>
      </c>
      <c r="P22" s="374" t="s">
        <v>975</v>
      </c>
      <c r="Q22" s="374" t="s">
        <v>975</v>
      </c>
      <c r="R22" s="374" t="s">
        <v>975</v>
      </c>
      <c r="S22" s="374" t="s">
        <v>975</v>
      </c>
      <c r="T22" s="374" t="s">
        <v>975</v>
      </c>
      <c r="U22" s="374" t="s">
        <v>975</v>
      </c>
      <c r="V22" s="374" t="s">
        <v>975</v>
      </c>
      <c r="W22" s="374" t="s">
        <v>975</v>
      </c>
      <c r="X22" s="374" t="s">
        <v>975</v>
      </c>
      <c r="Y22" s="392" t="str">
        <f ca="1">OFFSET(Initiatives!$D$1,E22-1,$BS$3)</f>
        <v>A single, central DW</v>
      </c>
      <c r="Z22" s="375">
        <v>7</v>
      </c>
      <c r="AA22" s="392" t="str">
        <f ca="1">OFFSET(Initiatives!$D$1,F22-1,$BS$3)</f>
        <v>Architecture Standards &amp; Adherence</v>
      </c>
      <c r="AB22" s="375">
        <v>3</v>
      </c>
      <c r="AC22" s="392" t="e">
        <f ca="1">OFFSET(Initiatives!$D$1,G22-1,$BS$3)</f>
        <v>#REF!</v>
      </c>
      <c r="AD22" s="375"/>
      <c r="AE22" s="392" t="e">
        <f ca="1">OFFSET(Initiatives!$D$1,H22-1,$BS$3)</f>
        <v>#REF!</v>
      </c>
      <c r="AF22" s="375"/>
      <c r="AG22" s="392" t="e">
        <f ca="1">OFFSET(Initiatives!$D$1,I22-1,$BS$3)</f>
        <v>#VALUE!</v>
      </c>
      <c r="AH22" s="375"/>
      <c r="AI22" s="392" t="e">
        <f ca="1">OFFSET(Initiatives!$D$1,J22-1,$BS$3)</f>
        <v>#VALUE!</v>
      </c>
      <c r="AJ22" s="375"/>
      <c r="AK22" s="392" t="e">
        <f ca="1">OFFSET(Initiatives!$D$1,K22-1,$BS$3)</f>
        <v>#VALUE!</v>
      </c>
      <c r="AL22" s="375"/>
      <c r="AM22" s="392" t="e">
        <f ca="1">OFFSET(Initiatives!$D$1,L22-1,$BS$3)</f>
        <v>#VALUE!</v>
      </c>
      <c r="AN22" s="375"/>
      <c r="AO22" s="392" t="e">
        <f ca="1">OFFSET(Initiatives!$D$1,M22-1,$BS$3)</f>
        <v>#VALUE!</v>
      </c>
      <c r="AP22" s="375"/>
      <c r="AQ22" s="392" t="e">
        <f ca="1">OFFSET(Initiatives!$D$1,N22-1,$BS$3)</f>
        <v>#VALUE!</v>
      </c>
      <c r="AR22" s="375"/>
      <c r="AS22" s="392" t="e">
        <f ca="1">OFFSET(Initiatives!$D$1,O22-1,$BS$3)</f>
        <v>#VALUE!</v>
      </c>
      <c r="AT22" s="375"/>
      <c r="AU22" s="392" t="e">
        <f ca="1">OFFSET(Initiatives!$D$1,P22-1,$BS$3)</f>
        <v>#VALUE!</v>
      </c>
      <c r="AV22" s="375"/>
      <c r="AW22" s="392" t="e">
        <f ca="1">OFFSET(Initiatives!$D$1,Q22-1,$BS$3)</f>
        <v>#VALUE!</v>
      </c>
      <c r="AX22" s="375"/>
      <c r="AY22" s="392" t="e">
        <f ca="1">OFFSET(Initiatives!$D$1,R22-1,$BS$3)</f>
        <v>#VALUE!</v>
      </c>
      <c r="AZ22" s="375"/>
      <c r="BA22" s="392" t="e">
        <f ca="1">OFFSET(Initiatives!$D$1,S22-1,$BS$3)</f>
        <v>#VALUE!</v>
      </c>
      <c r="BB22" s="375"/>
      <c r="BC22" s="392" t="e">
        <f ca="1">OFFSET(Initiatives!$D$1,T22-1,$BS$3)</f>
        <v>#VALUE!</v>
      </c>
      <c r="BD22" s="375"/>
      <c r="BE22" s="392" t="e">
        <f ca="1">OFFSET(Initiatives!$D$1,U22-1,$BS$3)</f>
        <v>#VALUE!</v>
      </c>
      <c r="BF22" s="375"/>
      <c r="BG22" s="392" t="e">
        <f ca="1">OFFSET(Initiatives!$D$1,V22-1,$BS$3)</f>
        <v>#VALUE!</v>
      </c>
      <c r="BH22" s="375"/>
      <c r="BI22" s="392" t="e">
        <f ca="1">OFFSET(Initiatives!$D$1,W22-1,$BS$3)</f>
        <v>#VALUE!</v>
      </c>
      <c r="BJ22" s="375"/>
      <c r="BK22" s="392" t="e">
        <f ca="1">OFFSET(Initiatives!$D$1,X22-1,$BS$3)</f>
        <v>#VALUE!</v>
      </c>
      <c r="BL22" s="375"/>
      <c r="BN22" s="101">
        <f t="shared" si="152"/>
        <v>10.0001</v>
      </c>
      <c r="BP22" s="231" t="str">
        <f t="shared" ca="1" si="153"/>
        <v>Architecture Standards &amp; Adherence (67%); A single, central DW (33%)</v>
      </c>
      <c r="BQ22" s="338">
        <v>0.01</v>
      </c>
      <c r="BR22" s="40">
        <f t="shared" ca="1" si="154"/>
        <v>2</v>
      </c>
      <c r="BS22" s="274">
        <v>0.05</v>
      </c>
      <c r="BT22" s="40">
        <f t="shared" ca="1" si="155"/>
        <v>2</v>
      </c>
      <c r="BU22" s="376">
        <v>7</v>
      </c>
      <c r="BV22" s="40">
        <f t="shared" ca="1" si="156"/>
        <v>2</v>
      </c>
      <c r="BY22" s="377">
        <f ca="1">IF(ISERROR(OFFSET(Initiatives!$D$1,E22-1,$BY$3)),,OFFSET(Initiatives!$D$1,E22-1,$BY$3))</f>
        <v>3.0000000000000027E-2</v>
      </c>
      <c r="BZ22" s="377">
        <f ca="1">IF(ISERROR(OFFSET(Initiatives!$D$1,F22-1,$BY$3)),,OFFSET(Initiatives!$D$1,F22-1,$BY$3))</f>
        <v>0.14000000000000012</v>
      </c>
      <c r="CA22" s="377">
        <f ca="1">IF(ISERROR(OFFSET(Initiatives!$D$1,G22-1,$BY$3)),,OFFSET(Initiatives!$D$1,G22-1,$BY$3))</f>
        <v>0</v>
      </c>
      <c r="CB22" s="377">
        <f ca="1">IF(ISERROR(OFFSET(Initiatives!$D$1,H22-1,$BY$3)),,OFFSET(Initiatives!$D$1,H22-1,$BY$3))</f>
        <v>0</v>
      </c>
      <c r="CC22" s="377">
        <f ca="1">IF(ISERROR(OFFSET(Initiatives!$D$1,I22-1,$BY$3)),,OFFSET(Initiatives!$D$1,I22-1,$BY$3))</f>
        <v>0</v>
      </c>
      <c r="CD22" s="377">
        <f ca="1">IF(ISERROR(OFFSET(Initiatives!$D$1,J22-1,$BY$3)),,OFFSET(Initiatives!$D$1,J22-1,$BY$3))</f>
        <v>0</v>
      </c>
      <c r="CE22" s="377">
        <f ca="1">IF(ISERROR(OFFSET(Initiatives!$D$1,K22-1,$BY$3)),,OFFSET(Initiatives!$D$1,K22-1,$BY$3))</f>
        <v>0</v>
      </c>
      <c r="CF22" s="377">
        <f ca="1">IF(ISERROR(OFFSET(Initiatives!$D$1,L22-1,$BY$3)),,OFFSET(Initiatives!$D$1,L22-1,$BY$3))</f>
        <v>0</v>
      </c>
      <c r="CG22" s="377">
        <f ca="1">IF(ISERROR(OFFSET(Initiatives!$D$1,M22-1,$BY$3)),,OFFSET(Initiatives!$D$1,M22-1,$BY$3))</f>
        <v>0</v>
      </c>
      <c r="CH22" s="377">
        <f ca="1">IF(ISERROR(OFFSET(Initiatives!$D$1,N22-1,$BY$3)),,OFFSET(Initiatives!$D$1,N22-1,$BY$3))</f>
        <v>0</v>
      </c>
      <c r="CI22" s="377">
        <f ca="1">IF(ISERROR(OFFSET(Initiatives!$D$1,O22-1,$BY$3)),,OFFSET(Initiatives!$D$1,O22-1,$BY$3))</f>
        <v>0</v>
      </c>
      <c r="CJ22" s="377">
        <f ca="1">IF(ISERROR(OFFSET(Initiatives!$D$1,P22-1,$BY$3)),,OFFSET(Initiatives!$D$1,P22-1,$BY$3))</f>
        <v>0</v>
      </c>
      <c r="CK22" s="377">
        <f ca="1">IF(ISERROR(OFFSET(Initiatives!$D$1,Q22-1,$BY$3)),,OFFSET(Initiatives!$D$1,Q22-1,$BY$3))</f>
        <v>0</v>
      </c>
      <c r="CL22" s="377">
        <f ca="1">IF(ISERROR(OFFSET(Initiatives!$D$1,R22-1,$BY$3)),,OFFSET(Initiatives!$D$1,R22-1,$BY$3))</f>
        <v>0</v>
      </c>
      <c r="CM22" s="377">
        <f ca="1">IF(ISERROR(OFFSET(Initiatives!$D$1,S22-1,$BY$3)),,OFFSET(Initiatives!$D$1,S22-1,$BY$3))</f>
        <v>0</v>
      </c>
      <c r="CN22" s="377">
        <f ca="1">IF(ISERROR(OFFSET(Initiatives!$D$1,T22-1,$BY$3)),,OFFSET(Initiatives!$D$1,T22-1,$BY$3))</f>
        <v>0</v>
      </c>
      <c r="CO22" s="377">
        <f ca="1">IF(ISERROR(OFFSET(Initiatives!$D$1,U22-1,$BY$3)),,OFFSET(Initiatives!$D$1,U22-1,$BY$3))</f>
        <v>0</v>
      </c>
      <c r="CP22" s="377">
        <f ca="1">IF(ISERROR(OFFSET(Initiatives!$D$1,V22-1,$BY$3)),,OFFSET(Initiatives!$D$1,V22-1,$BY$3))</f>
        <v>0</v>
      </c>
      <c r="CQ22" s="377">
        <f ca="1">IF(ISERROR(OFFSET(Initiatives!$D$1,W22-1,$BY$3)),,OFFSET(Initiatives!$D$1,W22-1,$BY$3))</f>
        <v>0</v>
      </c>
      <c r="CR22" s="377">
        <f ca="1">IF(ISERROR(OFFSET(Initiatives!$D$1,X22-1,$BY$3)),,OFFSET(Initiatives!$D$1,X22-1,$BY$3))</f>
        <v>0</v>
      </c>
      <c r="CT22" s="41">
        <f t="shared" ca="1" si="157"/>
        <v>2.0999790002099998E-2</v>
      </c>
      <c r="CU22" s="41">
        <f t="shared" ca="1" si="158"/>
        <v>4.1999580004199996E-2</v>
      </c>
      <c r="CV22" s="41">
        <f t="shared" ca="1" si="159"/>
        <v>0</v>
      </c>
      <c r="CW22" s="41">
        <f t="shared" ca="1" si="160"/>
        <v>0</v>
      </c>
      <c r="CX22" s="41">
        <f t="shared" ca="1" si="161"/>
        <v>0</v>
      </c>
      <c r="CY22" s="41">
        <f t="shared" ca="1" si="162"/>
        <v>0</v>
      </c>
      <c r="CZ22" s="41">
        <f t="shared" ca="1" si="163"/>
        <v>0</v>
      </c>
      <c r="DA22" s="41">
        <f t="shared" ca="1" si="164"/>
        <v>0</v>
      </c>
      <c r="DB22" s="41">
        <f t="shared" ca="1" si="165"/>
        <v>0</v>
      </c>
      <c r="DC22" s="41">
        <f t="shared" ca="1" si="166"/>
        <v>0</v>
      </c>
      <c r="DD22" s="41">
        <f t="shared" ca="1" si="167"/>
        <v>0</v>
      </c>
      <c r="DE22" s="41">
        <f t="shared" ca="1" si="168"/>
        <v>0</v>
      </c>
      <c r="DF22" s="41">
        <f t="shared" ca="1" si="169"/>
        <v>0</v>
      </c>
      <c r="DG22" s="41">
        <f t="shared" ca="1" si="170"/>
        <v>0</v>
      </c>
      <c r="DH22" s="41">
        <f t="shared" ca="1" si="171"/>
        <v>0</v>
      </c>
      <c r="DI22" s="41">
        <f t="shared" ca="1" si="172"/>
        <v>0</v>
      </c>
      <c r="DJ22" s="41">
        <f t="shared" ca="1" si="173"/>
        <v>0</v>
      </c>
      <c r="DK22" s="41">
        <f t="shared" ca="1" si="174"/>
        <v>0</v>
      </c>
      <c r="DL22" s="41">
        <f t="shared" ca="1" si="175"/>
        <v>0</v>
      </c>
      <c r="DM22" s="41">
        <f t="shared" ca="1" si="176"/>
        <v>0</v>
      </c>
      <c r="DN22" s="41">
        <f t="shared" ca="1" si="177"/>
        <v>6.2999370006299987E-2</v>
      </c>
      <c r="DP22" s="41">
        <f t="shared" ca="1" si="178"/>
        <v>0.33332333333333336</v>
      </c>
      <c r="DQ22" s="41">
        <f t="shared" ca="1" si="179"/>
        <v>0.66664666666666672</v>
      </c>
      <c r="DR22" s="41">
        <f t="shared" ca="1" si="180"/>
        <v>-3.0000000000000001E-5</v>
      </c>
      <c r="DS22" s="41">
        <f t="shared" ca="1" si="181"/>
        <v>-4.0000000000000003E-5</v>
      </c>
      <c r="DT22" s="41">
        <f t="shared" ca="1" si="182"/>
        <v>-5.0000000000000002E-5</v>
      </c>
      <c r="DU22" s="41">
        <f t="shared" ca="1" si="183"/>
        <v>-6.0000000000000002E-5</v>
      </c>
      <c r="DV22" s="41">
        <f t="shared" ca="1" si="184"/>
        <v>-6.9999999999999994E-5</v>
      </c>
      <c r="DW22" s="41">
        <f t="shared" ca="1" si="185"/>
        <v>-8.0000000000000007E-5</v>
      </c>
      <c r="DX22" s="41">
        <f t="shared" ca="1" si="186"/>
        <v>-9.0000000000000006E-5</v>
      </c>
      <c r="DY22" s="41">
        <f t="shared" ca="1" si="187"/>
        <v>-1E-4</v>
      </c>
      <c r="DZ22" s="41">
        <f t="shared" ca="1" si="188"/>
        <v>-1.1E-4</v>
      </c>
      <c r="EA22" s="41">
        <f t="shared" ca="1" si="189"/>
        <v>-1.2E-4</v>
      </c>
      <c r="EB22" s="41">
        <f t="shared" ca="1" si="190"/>
        <v>-1.2999999999999999E-4</v>
      </c>
      <c r="EC22" s="41">
        <f t="shared" ca="1" si="191"/>
        <v>-1.3999999999999999E-4</v>
      </c>
      <c r="ED22" s="41">
        <f t="shared" ca="1" si="192"/>
        <v>-1.4999999999999999E-4</v>
      </c>
      <c r="EE22" s="41">
        <f t="shared" ca="1" si="193"/>
        <v>-1.6000000000000001E-4</v>
      </c>
      <c r="EF22" s="41">
        <f t="shared" ca="1" si="194"/>
        <v>-1.7000000000000001E-4</v>
      </c>
      <c r="EG22" s="41">
        <f t="shared" ca="1" si="195"/>
        <v>-1.8000000000000001E-4</v>
      </c>
      <c r="EH22" s="41">
        <f t="shared" ca="1" si="196"/>
        <v>-1.9000000000000001E-4</v>
      </c>
      <c r="EI22" s="41">
        <f t="shared" ca="1" si="197"/>
        <v>-2.0000000000000001E-4</v>
      </c>
      <c r="EJ22" s="41">
        <f t="shared" ca="1" si="198"/>
        <v>0.99790000000000001</v>
      </c>
      <c r="EL22" s="378">
        <f t="shared" ca="1" si="199"/>
        <v>2</v>
      </c>
      <c r="EM22" s="378">
        <f t="shared" ca="1" si="200"/>
        <v>1</v>
      </c>
      <c r="EN22" s="378">
        <f t="shared" ca="1" si="201"/>
        <v>3</v>
      </c>
      <c r="EO22" s="378">
        <f t="shared" ca="1" si="202"/>
        <v>4</v>
      </c>
      <c r="EP22" s="378">
        <f t="shared" ca="1" si="203"/>
        <v>5</v>
      </c>
      <c r="EQ22" s="378">
        <f t="shared" ca="1" si="204"/>
        <v>6</v>
      </c>
      <c r="ER22" s="378">
        <f t="shared" ca="1" si="205"/>
        <v>7</v>
      </c>
      <c r="ES22" s="378">
        <f t="shared" ca="1" si="206"/>
        <v>8</v>
      </c>
      <c r="ET22" s="378">
        <f t="shared" ca="1" si="207"/>
        <v>9</v>
      </c>
      <c r="EU22" s="378">
        <f t="shared" ca="1" si="208"/>
        <v>10</v>
      </c>
      <c r="EV22" s="378">
        <f t="shared" ca="1" si="209"/>
        <v>11</v>
      </c>
      <c r="EW22" s="378">
        <f t="shared" ca="1" si="210"/>
        <v>12</v>
      </c>
      <c r="EX22" s="378">
        <f t="shared" ca="1" si="211"/>
        <v>13</v>
      </c>
      <c r="EY22" s="378">
        <f t="shared" ca="1" si="212"/>
        <v>14</v>
      </c>
      <c r="EZ22" s="378">
        <f t="shared" ca="1" si="213"/>
        <v>15</v>
      </c>
      <c r="FA22" s="378">
        <f t="shared" ca="1" si="214"/>
        <v>16</v>
      </c>
      <c r="FB22" s="378">
        <f t="shared" ca="1" si="215"/>
        <v>17</v>
      </c>
      <c r="FC22" s="378">
        <f t="shared" ca="1" si="216"/>
        <v>18</v>
      </c>
      <c r="FD22" s="378">
        <f t="shared" ca="1" si="217"/>
        <v>19</v>
      </c>
      <c r="FE22" s="378">
        <f t="shared" ca="1" si="218"/>
        <v>20</v>
      </c>
      <c r="FG22" s="378">
        <f t="shared" ca="1" si="219"/>
        <v>2</v>
      </c>
      <c r="FH22" s="378">
        <f t="shared" ca="1" si="219"/>
        <v>1</v>
      </c>
      <c r="FI22" s="378">
        <f t="shared" ca="1" si="219"/>
        <v>3</v>
      </c>
      <c r="FJ22" s="378">
        <f t="shared" ca="1" si="219"/>
        <v>4</v>
      </c>
      <c r="FK22" s="378">
        <f t="shared" ca="1" si="219"/>
        <v>5</v>
      </c>
      <c r="FL22" s="378">
        <f t="shared" ca="1" si="219"/>
        <v>6</v>
      </c>
      <c r="FM22" s="378">
        <f t="shared" ca="1" si="219"/>
        <v>7</v>
      </c>
      <c r="FN22" s="378">
        <f t="shared" ca="1" si="219"/>
        <v>8</v>
      </c>
      <c r="FO22" s="378">
        <f t="shared" ca="1" si="219"/>
        <v>9</v>
      </c>
      <c r="FP22" s="378">
        <f t="shared" ca="1" si="219"/>
        <v>10</v>
      </c>
      <c r="FQ22" s="378">
        <f t="shared" ca="1" si="219"/>
        <v>11</v>
      </c>
      <c r="FR22" s="378">
        <f t="shared" ca="1" si="219"/>
        <v>12</v>
      </c>
      <c r="FS22" s="378">
        <f t="shared" ca="1" si="219"/>
        <v>13</v>
      </c>
      <c r="FT22" s="378">
        <f t="shared" ca="1" si="219"/>
        <v>14</v>
      </c>
      <c r="FU22" s="378">
        <f t="shared" ca="1" si="219"/>
        <v>15</v>
      </c>
      <c r="FV22" s="378">
        <f t="shared" ca="1" si="219"/>
        <v>16</v>
      </c>
      <c r="FW22" s="378">
        <f t="shared" ca="1" si="220"/>
        <v>17</v>
      </c>
      <c r="FX22" s="378">
        <f t="shared" ca="1" si="220"/>
        <v>18</v>
      </c>
      <c r="FY22" s="378">
        <f t="shared" ca="1" si="220"/>
        <v>19</v>
      </c>
      <c r="FZ22" s="378">
        <f t="shared" ca="1" si="220"/>
        <v>20</v>
      </c>
      <c r="GB22" s="275" t="str">
        <f t="shared" ca="1" si="221"/>
        <v>Architecture Standards &amp; Adherence (67%)</v>
      </c>
      <c r="GC22" s="231" t="str">
        <f t="shared" ca="1" si="222"/>
        <v>; A single, central DW (33%)</v>
      </c>
      <c r="GD22" s="231" t="str">
        <f t="shared" ca="1" si="223"/>
        <v/>
      </c>
      <c r="GE22" s="231" t="str">
        <f t="shared" ca="1" si="224"/>
        <v/>
      </c>
      <c r="GF22" s="231" t="str">
        <f t="shared" ca="1" si="225"/>
        <v/>
      </c>
      <c r="GG22" s="231" t="str">
        <f t="shared" ca="1" si="226"/>
        <v/>
      </c>
      <c r="GH22" s="231" t="str">
        <f t="shared" ca="1" si="227"/>
        <v/>
      </c>
      <c r="GI22" s="231" t="str">
        <f t="shared" ca="1" si="228"/>
        <v/>
      </c>
      <c r="GJ22" s="231" t="str">
        <f t="shared" ca="1" si="229"/>
        <v/>
      </c>
      <c r="GK22" s="231" t="str">
        <f t="shared" ca="1" si="230"/>
        <v/>
      </c>
      <c r="GL22" s="231" t="str">
        <f t="shared" ca="1" si="231"/>
        <v/>
      </c>
      <c r="GM22" s="231" t="str">
        <f t="shared" ca="1" si="232"/>
        <v/>
      </c>
      <c r="GN22" s="231" t="str">
        <f t="shared" ca="1" si="233"/>
        <v/>
      </c>
      <c r="GO22" s="231" t="str">
        <f t="shared" ca="1" si="234"/>
        <v/>
      </c>
      <c r="GP22" s="231" t="str">
        <f t="shared" ca="1" si="235"/>
        <v/>
      </c>
      <c r="GQ22" s="231" t="str">
        <f t="shared" ca="1" si="236"/>
        <v/>
      </c>
      <c r="GR22" s="231" t="str">
        <f t="shared" ca="1" si="237"/>
        <v/>
      </c>
      <c r="GS22" s="231" t="str">
        <f t="shared" ca="1" si="238"/>
        <v/>
      </c>
      <c r="GT22" s="231" t="str">
        <f t="shared" ca="1" si="239"/>
        <v/>
      </c>
      <c r="GU22" s="231" t="str">
        <f t="shared" ca="1" si="240"/>
        <v/>
      </c>
    </row>
    <row r="23" spans="1:203" s="386" customFormat="1" ht="15" hidden="1" customHeight="1">
      <c r="B23" s="373"/>
      <c r="C23" s="81" t="str">
        <f>'Direct Savings'!D95</f>
        <v>IT Services</v>
      </c>
      <c r="D23" s="404">
        <f t="shared" ca="1" si="151"/>
        <v>0.37784558551954711</v>
      </c>
      <c r="E23" s="374">
        <f>ROW(Initiatives!A170)</f>
        <v>170</v>
      </c>
      <c r="F23" s="374">
        <f>ROW(Initiatives!A176)</f>
        <v>176</v>
      </c>
      <c r="G23" s="374">
        <f>ROW(Initiatives!A183)</f>
        <v>183</v>
      </c>
      <c r="H23" s="374">
        <f>ROW(Initiatives!A189)</f>
        <v>189</v>
      </c>
      <c r="I23" s="374" t="s">
        <v>975</v>
      </c>
      <c r="J23" s="374" t="s">
        <v>975</v>
      </c>
      <c r="K23" s="374" t="s">
        <v>975</v>
      </c>
      <c r="L23" s="374" t="s">
        <v>975</v>
      </c>
      <c r="M23" s="374" t="s">
        <v>975</v>
      </c>
      <c r="N23" s="374" t="s">
        <v>975</v>
      </c>
      <c r="O23" s="374" t="s">
        <v>975</v>
      </c>
      <c r="P23" s="374" t="s">
        <v>975</v>
      </c>
      <c r="Q23" s="374" t="s">
        <v>975</v>
      </c>
      <c r="R23" s="374" t="s">
        <v>975</v>
      </c>
      <c r="S23" s="374" t="s">
        <v>975</v>
      </c>
      <c r="T23" s="374" t="s">
        <v>975</v>
      </c>
      <c r="U23" s="374" t="s">
        <v>975</v>
      </c>
      <c r="V23" s="374" t="s">
        <v>975</v>
      </c>
      <c r="W23" s="374" t="s">
        <v>975</v>
      </c>
      <c r="X23" s="374" t="s">
        <v>975</v>
      </c>
      <c r="Y23" s="392" t="str">
        <f ca="1">OFFSET(Initiatives!$D$1,E23-1,$BS$3)</f>
        <v>BI Applications</v>
      </c>
      <c r="Z23" s="375">
        <v>4</v>
      </c>
      <c r="AA23" s="392" t="str">
        <f ca="1">OFFSET(Initiatives!$D$1,F23-1,$BS$3)</f>
        <v>Source System Inclusion / Integration</v>
      </c>
      <c r="AB23" s="375">
        <v>5</v>
      </c>
      <c r="AC23" s="392" t="str">
        <f ca="1">OFFSET(Initiatives!$D$1,G23-1,$BS$3)</f>
        <v>Enhance DW Platform</v>
      </c>
      <c r="AD23" s="375">
        <v>6</v>
      </c>
      <c r="AE23" s="392" t="str">
        <f ca="1">OFFSET(Initiatives!$D$1,H23-1,$BS$3)</f>
        <v>Enhance BI Platform</v>
      </c>
      <c r="AF23" s="375">
        <v>5</v>
      </c>
      <c r="AG23" s="392" t="e">
        <f ca="1">OFFSET(Initiatives!$D$1,I23-1,$BS$3)</f>
        <v>#VALUE!</v>
      </c>
      <c r="AH23" s="375"/>
      <c r="AI23" s="392" t="e">
        <f ca="1">OFFSET(Initiatives!$D$1,J23-1,$BS$3)</f>
        <v>#VALUE!</v>
      </c>
      <c r="AJ23" s="375"/>
      <c r="AK23" s="392" t="e">
        <f ca="1">OFFSET(Initiatives!$D$1,K23-1,$BS$3)</f>
        <v>#VALUE!</v>
      </c>
      <c r="AL23" s="375"/>
      <c r="AM23" s="392" t="e">
        <f ca="1">OFFSET(Initiatives!$D$1,L23-1,$BS$3)</f>
        <v>#VALUE!</v>
      </c>
      <c r="AN23" s="375"/>
      <c r="AO23" s="392" t="e">
        <f ca="1">OFFSET(Initiatives!$D$1,M23-1,$BS$3)</f>
        <v>#VALUE!</v>
      </c>
      <c r="AP23" s="375"/>
      <c r="AQ23" s="392" t="e">
        <f ca="1">OFFSET(Initiatives!$D$1,N23-1,$BS$3)</f>
        <v>#VALUE!</v>
      </c>
      <c r="AR23" s="375"/>
      <c r="AS23" s="392" t="e">
        <f ca="1">OFFSET(Initiatives!$D$1,O23-1,$BS$3)</f>
        <v>#VALUE!</v>
      </c>
      <c r="AT23" s="375"/>
      <c r="AU23" s="392" t="e">
        <f ca="1">OFFSET(Initiatives!$D$1,P23-1,$BS$3)</f>
        <v>#VALUE!</v>
      </c>
      <c r="AV23" s="375"/>
      <c r="AW23" s="392" t="e">
        <f ca="1">OFFSET(Initiatives!$D$1,Q23-1,$BS$3)</f>
        <v>#VALUE!</v>
      </c>
      <c r="AX23" s="375"/>
      <c r="AY23" s="392" t="e">
        <f ca="1">OFFSET(Initiatives!$D$1,R23-1,$BS$3)</f>
        <v>#VALUE!</v>
      </c>
      <c r="AZ23" s="375"/>
      <c r="BA23" s="392" t="e">
        <f ca="1">OFFSET(Initiatives!$D$1,S23-1,$BS$3)</f>
        <v>#VALUE!</v>
      </c>
      <c r="BB23" s="375"/>
      <c r="BC23" s="392" t="e">
        <f ca="1">OFFSET(Initiatives!$D$1,T23-1,$BS$3)</f>
        <v>#VALUE!</v>
      </c>
      <c r="BD23" s="375"/>
      <c r="BE23" s="392" t="e">
        <f ca="1">OFFSET(Initiatives!$D$1,U23-1,$BS$3)</f>
        <v>#VALUE!</v>
      </c>
      <c r="BF23" s="375"/>
      <c r="BG23" s="392" t="e">
        <f ca="1">OFFSET(Initiatives!$D$1,V23-1,$BS$3)</f>
        <v>#VALUE!</v>
      </c>
      <c r="BH23" s="375"/>
      <c r="BI23" s="392" t="e">
        <f ca="1">OFFSET(Initiatives!$D$1,W23-1,$BS$3)</f>
        <v>#VALUE!</v>
      </c>
      <c r="BJ23" s="375"/>
      <c r="BK23" s="392" t="e">
        <f ca="1">OFFSET(Initiatives!$D$1,X23-1,$BS$3)</f>
        <v>#VALUE!</v>
      </c>
      <c r="BL23" s="375"/>
      <c r="BN23" s="101">
        <f t="shared" si="152"/>
        <v>20.0001</v>
      </c>
      <c r="BP23" s="231" t="str">
        <f t="shared" ca="1" si="153"/>
        <v>Enhance BI Platform (40%); Source System Inclusion / Integration (30%); BI Applications (24%); Enhance DW Platform (6%)</v>
      </c>
      <c r="BQ23" s="338">
        <v>0.01</v>
      </c>
      <c r="BR23" s="40">
        <f t="shared" ca="1" si="154"/>
        <v>4</v>
      </c>
      <c r="BS23" s="274">
        <v>0.05</v>
      </c>
      <c r="BT23" s="40">
        <f t="shared" ca="1" si="155"/>
        <v>4</v>
      </c>
      <c r="BU23" s="376">
        <v>7</v>
      </c>
      <c r="BV23" s="40">
        <f t="shared" ca="1" si="156"/>
        <v>4</v>
      </c>
      <c r="BY23" s="377">
        <f ca="1">IF(ISERROR(OFFSET(Initiatives!$D$1,E23-1,$BY$3)),,OFFSET(Initiatives!$D$1,E23-1,$BY$3))</f>
        <v>0.45555555555555544</v>
      </c>
      <c r="BZ23" s="377">
        <f ca="1">IF(ISERROR(OFFSET(Initiatives!$D$1,F23-1,$BY$3)),,OFFSET(Initiatives!$D$1,F23-1,$BY$3))</f>
        <v>0.45454545454545436</v>
      </c>
      <c r="CA23" s="377">
        <f ca="1">IF(ISERROR(OFFSET(Initiatives!$D$1,G23-1,$BY$3)),,OFFSET(Initiatives!$D$1,G23-1,$BY$3))</f>
        <v>7.7000000000000179E-2</v>
      </c>
      <c r="CB23" s="377">
        <f ca="1">IF(ISERROR(OFFSET(Initiatives!$D$1,H23-1,$BY$3)),,OFFSET(Initiatives!$D$1,H23-1,$BY$3))</f>
        <v>0.6</v>
      </c>
      <c r="CC23" s="377">
        <f ca="1">IF(ISERROR(OFFSET(Initiatives!$D$1,I23-1,$BY$3)),,OFFSET(Initiatives!$D$1,I23-1,$BY$3))</f>
        <v>0</v>
      </c>
      <c r="CD23" s="377">
        <f ca="1">IF(ISERROR(OFFSET(Initiatives!$D$1,J23-1,$BY$3)),,OFFSET(Initiatives!$D$1,J23-1,$BY$3))</f>
        <v>0</v>
      </c>
      <c r="CE23" s="377">
        <f ca="1">IF(ISERROR(OFFSET(Initiatives!$D$1,K23-1,$BY$3)),,OFFSET(Initiatives!$D$1,K23-1,$BY$3))</f>
        <v>0</v>
      </c>
      <c r="CF23" s="377">
        <f ca="1">IF(ISERROR(OFFSET(Initiatives!$D$1,L23-1,$BY$3)),,OFFSET(Initiatives!$D$1,L23-1,$BY$3))</f>
        <v>0</v>
      </c>
      <c r="CG23" s="377">
        <f ca="1">IF(ISERROR(OFFSET(Initiatives!$D$1,M23-1,$BY$3)),,OFFSET(Initiatives!$D$1,M23-1,$BY$3))</f>
        <v>0</v>
      </c>
      <c r="CH23" s="377">
        <f ca="1">IF(ISERROR(OFFSET(Initiatives!$D$1,N23-1,$BY$3)),,OFFSET(Initiatives!$D$1,N23-1,$BY$3))</f>
        <v>0</v>
      </c>
      <c r="CI23" s="377">
        <f ca="1">IF(ISERROR(OFFSET(Initiatives!$D$1,O23-1,$BY$3)),,OFFSET(Initiatives!$D$1,O23-1,$BY$3))</f>
        <v>0</v>
      </c>
      <c r="CJ23" s="377">
        <f ca="1">IF(ISERROR(OFFSET(Initiatives!$D$1,P23-1,$BY$3)),,OFFSET(Initiatives!$D$1,P23-1,$BY$3))</f>
        <v>0</v>
      </c>
      <c r="CK23" s="377">
        <f ca="1">IF(ISERROR(OFFSET(Initiatives!$D$1,Q23-1,$BY$3)),,OFFSET(Initiatives!$D$1,Q23-1,$BY$3))</f>
        <v>0</v>
      </c>
      <c r="CL23" s="377">
        <f ca="1">IF(ISERROR(OFFSET(Initiatives!$D$1,R23-1,$BY$3)),,OFFSET(Initiatives!$D$1,R23-1,$BY$3))</f>
        <v>0</v>
      </c>
      <c r="CM23" s="377">
        <f ca="1">IF(ISERROR(OFFSET(Initiatives!$D$1,S23-1,$BY$3)),,OFFSET(Initiatives!$D$1,S23-1,$BY$3))</f>
        <v>0</v>
      </c>
      <c r="CN23" s="377">
        <f ca="1">IF(ISERROR(OFFSET(Initiatives!$D$1,T23-1,$BY$3)),,OFFSET(Initiatives!$D$1,T23-1,$BY$3))</f>
        <v>0</v>
      </c>
      <c r="CO23" s="377">
        <f ca="1">IF(ISERROR(OFFSET(Initiatives!$D$1,U23-1,$BY$3)),,OFFSET(Initiatives!$D$1,U23-1,$BY$3))</f>
        <v>0</v>
      </c>
      <c r="CP23" s="377">
        <f ca="1">IF(ISERROR(OFFSET(Initiatives!$D$1,V23-1,$BY$3)),,OFFSET(Initiatives!$D$1,V23-1,$BY$3))</f>
        <v>0</v>
      </c>
      <c r="CQ23" s="377">
        <f ca="1">IF(ISERROR(OFFSET(Initiatives!$D$1,W23-1,$BY$3)),,OFFSET(Initiatives!$D$1,W23-1,$BY$3))</f>
        <v>0</v>
      </c>
      <c r="CR23" s="377">
        <f ca="1">IF(ISERROR(OFFSET(Initiatives!$D$1,X23-1,$BY$3)),,OFFSET(Initiatives!$D$1,X23-1,$BY$3))</f>
        <v>0</v>
      </c>
      <c r="CT23" s="41">
        <f t="shared" ca="1" si="157"/>
        <v>9.1110655557833292E-2</v>
      </c>
      <c r="CU23" s="41">
        <f t="shared" ca="1" si="158"/>
        <v>0.11363579545738629</v>
      </c>
      <c r="CV23" s="41">
        <f t="shared" ca="1" si="159"/>
        <v>2.3099884500577553E-2</v>
      </c>
      <c r="CW23" s="41">
        <f t="shared" ca="1" si="160"/>
        <v>0.14999925000374997</v>
      </c>
      <c r="CX23" s="41">
        <f t="shared" ca="1" si="161"/>
        <v>0</v>
      </c>
      <c r="CY23" s="41">
        <f t="shared" ca="1" si="162"/>
        <v>0</v>
      </c>
      <c r="CZ23" s="41">
        <f t="shared" ca="1" si="163"/>
        <v>0</v>
      </c>
      <c r="DA23" s="41">
        <f t="shared" ca="1" si="164"/>
        <v>0</v>
      </c>
      <c r="DB23" s="41">
        <f t="shared" ca="1" si="165"/>
        <v>0</v>
      </c>
      <c r="DC23" s="41">
        <f t="shared" ca="1" si="166"/>
        <v>0</v>
      </c>
      <c r="DD23" s="41">
        <f t="shared" ca="1" si="167"/>
        <v>0</v>
      </c>
      <c r="DE23" s="41">
        <f t="shared" ca="1" si="168"/>
        <v>0</v>
      </c>
      <c r="DF23" s="41">
        <f t="shared" ca="1" si="169"/>
        <v>0</v>
      </c>
      <c r="DG23" s="41">
        <f t="shared" ca="1" si="170"/>
        <v>0</v>
      </c>
      <c r="DH23" s="41">
        <f t="shared" ca="1" si="171"/>
        <v>0</v>
      </c>
      <c r="DI23" s="41">
        <f t="shared" ca="1" si="172"/>
        <v>0</v>
      </c>
      <c r="DJ23" s="41">
        <f t="shared" ca="1" si="173"/>
        <v>0</v>
      </c>
      <c r="DK23" s="41">
        <f t="shared" ca="1" si="174"/>
        <v>0</v>
      </c>
      <c r="DL23" s="41">
        <f t="shared" ca="1" si="175"/>
        <v>0</v>
      </c>
      <c r="DM23" s="41">
        <f t="shared" ca="1" si="176"/>
        <v>0</v>
      </c>
      <c r="DN23" s="41">
        <f t="shared" ca="1" si="177"/>
        <v>0.37784558551954711</v>
      </c>
      <c r="DP23" s="41">
        <f t="shared" ca="1" si="178"/>
        <v>0.24112198367146162</v>
      </c>
      <c r="DQ23" s="41">
        <f t="shared" ca="1" si="179"/>
        <v>0.30072665369223311</v>
      </c>
      <c r="DR23" s="41">
        <f t="shared" ca="1" si="180"/>
        <v>6.1105779762557329E-2</v>
      </c>
      <c r="DS23" s="41">
        <f t="shared" ca="1" si="181"/>
        <v>0.39694558287374793</v>
      </c>
      <c r="DT23" s="41">
        <f t="shared" ca="1" si="182"/>
        <v>-5.0000000000000002E-5</v>
      </c>
      <c r="DU23" s="41">
        <f t="shared" ca="1" si="183"/>
        <v>-6.0000000000000002E-5</v>
      </c>
      <c r="DV23" s="41">
        <f t="shared" ca="1" si="184"/>
        <v>-6.9999999999999994E-5</v>
      </c>
      <c r="DW23" s="41">
        <f t="shared" ca="1" si="185"/>
        <v>-8.0000000000000007E-5</v>
      </c>
      <c r="DX23" s="41">
        <f t="shared" ca="1" si="186"/>
        <v>-9.0000000000000006E-5</v>
      </c>
      <c r="DY23" s="41">
        <f t="shared" ca="1" si="187"/>
        <v>-1E-4</v>
      </c>
      <c r="DZ23" s="41">
        <f t="shared" ca="1" si="188"/>
        <v>-1.1E-4</v>
      </c>
      <c r="EA23" s="41">
        <f t="shared" ca="1" si="189"/>
        <v>-1.2E-4</v>
      </c>
      <c r="EB23" s="41">
        <f t="shared" ca="1" si="190"/>
        <v>-1.2999999999999999E-4</v>
      </c>
      <c r="EC23" s="41">
        <f t="shared" ca="1" si="191"/>
        <v>-1.3999999999999999E-4</v>
      </c>
      <c r="ED23" s="41">
        <f t="shared" ca="1" si="192"/>
        <v>-1.4999999999999999E-4</v>
      </c>
      <c r="EE23" s="41">
        <f t="shared" ca="1" si="193"/>
        <v>-1.6000000000000001E-4</v>
      </c>
      <c r="EF23" s="41">
        <f t="shared" ca="1" si="194"/>
        <v>-1.7000000000000001E-4</v>
      </c>
      <c r="EG23" s="41">
        <f t="shared" ca="1" si="195"/>
        <v>-1.8000000000000001E-4</v>
      </c>
      <c r="EH23" s="41">
        <f t="shared" ca="1" si="196"/>
        <v>-1.9000000000000001E-4</v>
      </c>
      <c r="EI23" s="41">
        <f t="shared" ca="1" si="197"/>
        <v>-2.0000000000000001E-4</v>
      </c>
      <c r="EJ23" s="41">
        <f t="shared" ca="1" si="198"/>
        <v>0.99790000000000001</v>
      </c>
      <c r="EL23" s="378">
        <f t="shared" ca="1" si="199"/>
        <v>3</v>
      </c>
      <c r="EM23" s="378">
        <f t="shared" ca="1" si="200"/>
        <v>2</v>
      </c>
      <c r="EN23" s="378">
        <f t="shared" ca="1" si="201"/>
        <v>4</v>
      </c>
      <c r="EO23" s="378">
        <f t="shared" ca="1" si="202"/>
        <v>1</v>
      </c>
      <c r="EP23" s="378">
        <f t="shared" ca="1" si="203"/>
        <v>5</v>
      </c>
      <c r="EQ23" s="378">
        <f t="shared" ca="1" si="204"/>
        <v>6</v>
      </c>
      <c r="ER23" s="378">
        <f t="shared" ca="1" si="205"/>
        <v>7</v>
      </c>
      <c r="ES23" s="378">
        <f t="shared" ca="1" si="206"/>
        <v>8</v>
      </c>
      <c r="ET23" s="378">
        <f t="shared" ca="1" si="207"/>
        <v>9</v>
      </c>
      <c r="EU23" s="378">
        <f t="shared" ca="1" si="208"/>
        <v>10</v>
      </c>
      <c r="EV23" s="378">
        <f t="shared" ca="1" si="209"/>
        <v>11</v>
      </c>
      <c r="EW23" s="378">
        <f t="shared" ca="1" si="210"/>
        <v>12</v>
      </c>
      <c r="EX23" s="378">
        <f t="shared" ca="1" si="211"/>
        <v>13</v>
      </c>
      <c r="EY23" s="378">
        <f t="shared" ca="1" si="212"/>
        <v>14</v>
      </c>
      <c r="EZ23" s="378">
        <f t="shared" ca="1" si="213"/>
        <v>15</v>
      </c>
      <c r="FA23" s="378">
        <f t="shared" ca="1" si="214"/>
        <v>16</v>
      </c>
      <c r="FB23" s="378">
        <f t="shared" ca="1" si="215"/>
        <v>17</v>
      </c>
      <c r="FC23" s="378">
        <f t="shared" ca="1" si="216"/>
        <v>18</v>
      </c>
      <c r="FD23" s="378">
        <f t="shared" ca="1" si="217"/>
        <v>19</v>
      </c>
      <c r="FE23" s="378">
        <f t="shared" ca="1" si="218"/>
        <v>20</v>
      </c>
      <c r="FG23" s="378">
        <f t="shared" ca="1" si="219"/>
        <v>4</v>
      </c>
      <c r="FH23" s="378">
        <f t="shared" ca="1" si="219"/>
        <v>2</v>
      </c>
      <c r="FI23" s="378">
        <f t="shared" ca="1" si="219"/>
        <v>1</v>
      </c>
      <c r="FJ23" s="378">
        <f t="shared" ca="1" si="219"/>
        <v>3</v>
      </c>
      <c r="FK23" s="378">
        <f t="shared" ca="1" si="219"/>
        <v>5</v>
      </c>
      <c r="FL23" s="378">
        <f t="shared" ca="1" si="219"/>
        <v>6</v>
      </c>
      <c r="FM23" s="378">
        <f t="shared" ca="1" si="219"/>
        <v>7</v>
      </c>
      <c r="FN23" s="378">
        <f t="shared" ca="1" si="219"/>
        <v>8</v>
      </c>
      <c r="FO23" s="378">
        <f t="shared" ca="1" si="219"/>
        <v>9</v>
      </c>
      <c r="FP23" s="378">
        <f t="shared" ca="1" si="219"/>
        <v>10</v>
      </c>
      <c r="FQ23" s="378">
        <f t="shared" ca="1" si="219"/>
        <v>11</v>
      </c>
      <c r="FR23" s="378">
        <f t="shared" ca="1" si="219"/>
        <v>12</v>
      </c>
      <c r="FS23" s="378">
        <f t="shared" ca="1" si="219"/>
        <v>13</v>
      </c>
      <c r="FT23" s="378">
        <f t="shared" ca="1" si="219"/>
        <v>14</v>
      </c>
      <c r="FU23" s="378">
        <f t="shared" ca="1" si="219"/>
        <v>15</v>
      </c>
      <c r="FV23" s="378">
        <f t="shared" ca="1" si="219"/>
        <v>16</v>
      </c>
      <c r="FW23" s="378">
        <f t="shared" ca="1" si="220"/>
        <v>17</v>
      </c>
      <c r="FX23" s="378">
        <f t="shared" ca="1" si="220"/>
        <v>18</v>
      </c>
      <c r="FY23" s="378">
        <f t="shared" ca="1" si="220"/>
        <v>19</v>
      </c>
      <c r="FZ23" s="378">
        <f t="shared" ca="1" si="220"/>
        <v>20</v>
      </c>
      <c r="GB23" s="275" t="str">
        <f t="shared" ca="1" si="221"/>
        <v>Enhance BI Platform (40%)</v>
      </c>
      <c r="GC23" s="231" t="str">
        <f t="shared" ca="1" si="222"/>
        <v>; Source System Inclusion / Integration (30%)</v>
      </c>
      <c r="GD23" s="231" t="str">
        <f t="shared" ca="1" si="223"/>
        <v>; BI Applications (24%)</v>
      </c>
      <c r="GE23" s="231" t="str">
        <f t="shared" ca="1" si="224"/>
        <v>; Enhance DW Platform (6%)</v>
      </c>
      <c r="GF23" s="231" t="str">
        <f t="shared" ca="1" si="225"/>
        <v/>
      </c>
      <c r="GG23" s="231" t="str">
        <f t="shared" ca="1" si="226"/>
        <v/>
      </c>
      <c r="GH23" s="231" t="str">
        <f t="shared" ca="1" si="227"/>
        <v/>
      </c>
      <c r="GI23" s="231" t="str">
        <f t="shared" ca="1" si="228"/>
        <v/>
      </c>
      <c r="GJ23" s="231" t="str">
        <f t="shared" ca="1" si="229"/>
        <v/>
      </c>
      <c r="GK23" s="231" t="str">
        <f t="shared" ca="1" si="230"/>
        <v/>
      </c>
      <c r="GL23" s="231" t="str">
        <f t="shared" ca="1" si="231"/>
        <v/>
      </c>
      <c r="GM23" s="231" t="str">
        <f t="shared" ca="1" si="232"/>
        <v/>
      </c>
      <c r="GN23" s="231" t="str">
        <f t="shared" ca="1" si="233"/>
        <v/>
      </c>
      <c r="GO23" s="231" t="str">
        <f t="shared" ca="1" si="234"/>
        <v/>
      </c>
      <c r="GP23" s="231" t="str">
        <f t="shared" ca="1" si="235"/>
        <v/>
      </c>
      <c r="GQ23" s="231" t="str">
        <f t="shared" ca="1" si="236"/>
        <v/>
      </c>
      <c r="GR23" s="231" t="str">
        <f t="shared" ca="1" si="237"/>
        <v/>
      </c>
      <c r="GS23" s="231" t="str">
        <f t="shared" ca="1" si="238"/>
        <v/>
      </c>
      <c r="GT23" s="231" t="str">
        <f t="shared" ca="1" si="239"/>
        <v/>
      </c>
      <c r="GU23" s="231" t="str">
        <f t="shared" ca="1" si="240"/>
        <v/>
      </c>
    </row>
    <row r="24" spans="1:203" s="386" customFormat="1" ht="15" hidden="1" customHeight="1">
      <c r="B24" s="373"/>
      <c r="C24" s="81" t="str">
        <f>'Direct Savings'!D96</f>
        <v>Other IT Costs</v>
      </c>
      <c r="D24" s="404">
        <f t="shared" ca="1" si="151"/>
        <v>2.9999400011999789E-2</v>
      </c>
      <c r="E24" s="374">
        <f>ROW(Initiatives!A181)</f>
        <v>181</v>
      </c>
      <c r="F24" s="374"/>
      <c r="G24" s="374"/>
      <c r="H24" s="374"/>
      <c r="I24" s="374" t="s">
        <v>975</v>
      </c>
      <c r="J24" s="374" t="s">
        <v>975</v>
      </c>
      <c r="K24" s="374" t="s">
        <v>975</v>
      </c>
      <c r="L24" s="374" t="s">
        <v>975</v>
      </c>
      <c r="M24" s="374" t="s">
        <v>975</v>
      </c>
      <c r="N24" s="374" t="s">
        <v>975</v>
      </c>
      <c r="O24" s="374" t="s">
        <v>975</v>
      </c>
      <c r="P24" s="374" t="s">
        <v>975</v>
      </c>
      <c r="Q24" s="374" t="s">
        <v>975</v>
      </c>
      <c r="R24" s="374" t="s">
        <v>975</v>
      </c>
      <c r="S24" s="374" t="s">
        <v>975</v>
      </c>
      <c r="T24" s="374" t="s">
        <v>975</v>
      </c>
      <c r="U24" s="374" t="s">
        <v>975</v>
      </c>
      <c r="V24" s="374" t="s">
        <v>975</v>
      </c>
      <c r="W24" s="374" t="s">
        <v>975</v>
      </c>
      <c r="X24" s="374" t="s">
        <v>975</v>
      </c>
      <c r="Y24" s="392" t="str">
        <f ca="1">OFFSET(Initiatives!$D$1,E24-1,$BS$3)</f>
        <v>Data Warehouse / Data Marts</v>
      </c>
      <c r="Z24" s="375">
        <v>5</v>
      </c>
      <c r="AA24" s="392" t="e">
        <f ca="1">OFFSET(Initiatives!$D$1,F24-1,$BS$3)</f>
        <v>#REF!</v>
      </c>
      <c r="AB24" s="375"/>
      <c r="AC24" s="392" t="e">
        <f ca="1">OFFSET(Initiatives!$D$1,G24-1,$BS$3)</f>
        <v>#REF!</v>
      </c>
      <c r="AD24" s="375"/>
      <c r="AE24" s="392" t="e">
        <f ca="1">OFFSET(Initiatives!$D$1,H24-1,$BS$3)</f>
        <v>#REF!</v>
      </c>
      <c r="AF24" s="375"/>
      <c r="AG24" s="392" t="e">
        <f ca="1">OFFSET(Initiatives!$D$1,I24-1,$BS$3)</f>
        <v>#VALUE!</v>
      </c>
      <c r="AH24" s="375"/>
      <c r="AI24" s="392" t="e">
        <f ca="1">OFFSET(Initiatives!$D$1,J24-1,$BS$3)</f>
        <v>#VALUE!</v>
      </c>
      <c r="AJ24" s="375"/>
      <c r="AK24" s="392" t="e">
        <f ca="1">OFFSET(Initiatives!$D$1,K24-1,$BS$3)</f>
        <v>#VALUE!</v>
      </c>
      <c r="AL24" s="375"/>
      <c r="AM24" s="392" t="e">
        <f ca="1">OFFSET(Initiatives!$D$1,L24-1,$BS$3)</f>
        <v>#VALUE!</v>
      </c>
      <c r="AN24" s="375"/>
      <c r="AO24" s="392" t="e">
        <f ca="1">OFFSET(Initiatives!$D$1,M24-1,$BS$3)</f>
        <v>#VALUE!</v>
      </c>
      <c r="AP24" s="375"/>
      <c r="AQ24" s="392" t="e">
        <f ca="1">OFFSET(Initiatives!$D$1,N24-1,$BS$3)</f>
        <v>#VALUE!</v>
      </c>
      <c r="AR24" s="375"/>
      <c r="AS24" s="392" t="e">
        <f ca="1">OFFSET(Initiatives!$D$1,O24-1,$BS$3)</f>
        <v>#VALUE!</v>
      </c>
      <c r="AT24" s="375"/>
      <c r="AU24" s="392" t="e">
        <f ca="1">OFFSET(Initiatives!$D$1,P24-1,$BS$3)</f>
        <v>#VALUE!</v>
      </c>
      <c r="AV24" s="375"/>
      <c r="AW24" s="392" t="e">
        <f ca="1">OFFSET(Initiatives!$D$1,Q24-1,$BS$3)</f>
        <v>#VALUE!</v>
      </c>
      <c r="AX24" s="375"/>
      <c r="AY24" s="392" t="e">
        <f ca="1">OFFSET(Initiatives!$D$1,R24-1,$BS$3)</f>
        <v>#VALUE!</v>
      </c>
      <c r="AZ24" s="375"/>
      <c r="BA24" s="392" t="e">
        <f ca="1">OFFSET(Initiatives!$D$1,S24-1,$BS$3)</f>
        <v>#VALUE!</v>
      </c>
      <c r="BB24" s="375"/>
      <c r="BC24" s="392" t="e">
        <f ca="1">OFFSET(Initiatives!$D$1,T24-1,$BS$3)</f>
        <v>#VALUE!</v>
      </c>
      <c r="BD24" s="375"/>
      <c r="BE24" s="392" t="e">
        <f ca="1">OFFSET(Initiatives!$D$1,U24-1,$BS$3)</f>
        <v>#VALUE!</v>
      </c>
      <c r="BF24" s="375"/>
      <c r="BG24" s="392" t="e">
        <f ca="1">OFFSET(Initiatives!$D$1,V24-1,$BS$3)</f>
        <v>#VALUE!</v>
      </c>
      <c r="BH24" s="375"/>
      <c r="BI24" s="392" t="e">
        <f ca="1">OFFSET(Initiatives!$D$1,W24-1,$BS$3)</f>
        <v>#VALUE!</v>
      </c>
      <c r="BJ24" s="375"/>
      <c r="BK24" s="392" t="e">
        <f ca="1">OFFSET(Initiatives!$D$1,X24-1,$BS$3)</f>
        <v>#VALUE!</v>
      </c>
      <c r="BL24" s="375"/>
      <c r="BN24" s="101">
        <f t="shared" si="152"/>
        <v>5.0000999999999998</v>
      </c>
      <c r="BP24" s="231" t="str">
        <f t="shared" ca="1" si="153"/>
        <v>Data Warehouse / Data Marts (100%)</v>
      </c>
      <c r="BQ24" s="338">
        <v>0.01</v>
      </c>
      <c r="BR24" s="40">
        <f t="shared" ca="1" si="154"/>
        <v>1</v>
      </c>
      <c r="BS24" s="274">
        <v>0.05</v>
      </c>
      <c r="BT24" s="40">
        <f t="shared" ca="1" si="155"/>
        <v>1</v>
      </c>
      <c r="BU24" s="376">
        <v>7</v>
      </c>
      <c r="BV24" s="40">
        <f t="shared" ca="1" si="156"/>
        <v>1</v>
      </c>
      <c r="BY24" s="377">
        <f ca="1">IF(ISERROR(OFFSET(Initiatives!$D$1,E24-1,$BY$3)),,OFFSET(Initiatives!$D$1,E24-1,$BY$3))</f>
        <v>3.0000000000000027E-2</v>
      </c>
      <c r="BZ24" s="377">
        <f ca="1">IF(ISERROR(OFFSET(Initiatives!$D$1,F24-1,$BY$3)),,OFFSET(Initiatives!$D$1,F24-1,$BY$3))</f>
        <v>0</v>
      </c>
      <c r="CA24" s="377">
        <f ca="1">IF(ISERROR(OFFSET(Initiatives!$D$1,G24-1,$BY$3)),,OFFSET(Initiatives!$D$1,G24-1,$BY$3))</f>
        <v>0</v>
      </c>
      <c r="CB24" s="377">
        <f ca="1">IF(ISERROR(OFFSET(Initiatives!$D$1,H24-1,$BY$3)),,OFFSET(Initiatives!$D$1,H24-1,$BY$3))</f>
        <v>0</v>
      </c>
      <c r="CC24" s="377">
        <f ca="1">IF(ISERROR(OFFSET(Initiatives!$D$1,I24-1,$BY$3)),,OFFSET(Initiatives!$D$1,I24-1,$BY$3))</f>
        <v>0</v>
      </c>
      <c r="CD24" s="377">
        <f ca="1">IF(ISERROR(OFFSET(Initiatives!$D$1,J24-1,$BY$3)),,OFFSET(Initiatives!$D$1,J24-1,$BY$3))</f>
        <v>0</v>
      </c>
      <c r="CE24" s="377">
        <f ca="1">IF(ISERROR(OFFSET(Initiatives!$D$1,K24-1,$BY$3)),,OFFSET(Initiatives!$D$1,K24-1,$BY$3))</f>
        <v>0</v>
      </c>
      <c r="CF24" s="377">
        <f ca="1">IF(ISERROR(OFFSET(Initiatives!$D$1,L24-1,$BY$3)),,OFFSET(Initiatives!$D$1,L24-1,$BY$3))</f>
        <v>0</v>
      </c>
      <c r="CG24" s="377">
        <f ca="1">IF(ISERROR(OFFSET(Initiatives!$D$1,M24-1,$BY$3)),,OFFSET(Initiatives!$D$1,M24-1,$BY$3))</f>
        <v>0</v>
      </c>
      <c r="CH24" s="377">
        <f ca="1">IF(ISERROR(OFFSET(Initiatives!$D$1,N24-1,$BY$3)),,OFFSET(Initiatives!$D$1,N24-1,$BY$3))</f>
        <v>0</v>
      </c>
      <c r="CI24" s="377">
        <f ca="1">IF(ISERROR(OFFSET(Initiatives!$D$1,O24-1,$BY$3)),,OFFSET(Initiatives!$D$1,O24-1,$BY$3))</f>
        <v>0</v>
      </c>
      <c r="CJ24" s="377">
        <f ca="1">IF(ISERROR(OFFSET(Initiatives!$D$1,P24-1,$BY$3)),,OFFSET(Initiatives!$D$1,P24-1,$BY$3))</f>
        <v>0</v>
      </c>
      <c r="CK24" s="377">
        <f ca="1">IF(ISERROR(OFFSET(Initiatives!$D$1,Q24-1,$BY$3)),,OFFSET(Initiatives!$D$1,Q24-1,$BY$3))</f>
        <v>0</v>
      </c>
      <c r="CL24" s="377">
        <f ca="1">IF(ISERROR(OFFSET(Initiatives!$D$1,R24-1,$BY$3)),,OFFSET(Initiatives!$D$1,R24-1,$BY$3))</f>
        <v>0</v>
      </c>
      <c r="CM24" s="377">
        <f ca="1">IF(ISERROR(OFFSET(Initiatives!$D$1,S24-1,$BY$3)),,OFFSET(Initiatives!$D$1,S24-1,$BY$3))</f>
        <v>0</v>
      </c>
      <c r="CN24" s="377">
        <f ca="1">IF(ISERROR(OFFSET(Initiatives!$D$1,T24-1,$BY$3)),,OFFSET(Initiatives!$D$1,T24-1,$BY$3))</f>
        <v>0</v>
      </c>
      <c r="CO24" s="377">
        <f ca="1">IF(ISERROR(OFFSET(Initiatives!$D$1,U24-1,$BY$3)),,OFFSET(Initiatives!$D$1,U24-1,$BY$3))</f>
        <v>0</v>
      </c>
      <c r="CP24" s="377">
        <f ca="1">IF(ISERROR(OFFSET(Initiatives!$D$1,V24-1,$BY$3)),,OFFSET(Initiatives!$D$1,V24-1,$BY$3))</f>
        <v>0</v>
      </c>
      <c r="CQ24" s="377">
        <f ca="1">IF(ISERROR(OFFSET(Initiatives!$D$1,W24-1,$BY$3)),,OFFSET(Initiatives!$D$1,W24-1,$BY$3))</f>
        <v>0</v>
      </c>
      <c r="CR24" s="377">
        <f ca="1">IF(ISERROR(OFFSET(Initiatives!$D$1,X24-1,$BY$3)),,OFFSET(Initiatives!$D$1,X24-1,$BY$3))</f>
        <v>0</v>
      </c>
      <c r="CT24" s="41">
        <f t="shared" ca="1" si="157"/>
        <v>2.9999400011999789E-2</v>
      </c>
      <c r="CU24" s="41">
        <f t="shared" ca="1" si="158"/>
        <v>0</v>
      </c>
      <c r="CV24" s="41">
        <f t="shared" ca="1" si="159"/>
        <v>0</v>
      </c>
      <c r="CW24" s="41">
        <f t="shared" ca="1" si="160"/>
        <v>0</v>
      </c>
      <c r="CX24" s="41">
        <f t="shared" ca="1" si="161"/>
        <v>0</v>
      </c>
      <c r="CY24" s="41">
        <f t="shared" ca="1" si="162"/>
        <v>0</v>
      </c>
      <c r="CZ24" s="41">
        <f t="shared" ca="1" si="163"/>
        <v>0</v>
      </c>
      <c r="DA24" s="41">
        <f t="shared" ca="1" si="164"/>
        <v>0</v>
      </c>
      <c r="DB24" s="41">
        <f t="shared" ca="1" si="165"/>
        <v>0</v>
      </c>
      <c r="DC24" s="41">
        <f t="shared" ca="1" si="166"/>
        <v>0</v>
      </c>
      <c r="DD24" s="41">
        <f t="shared" ca="1" si="167"/>
        <v>0</v>
      </c>
      <c r="DE24" s="41">
        <f t="shared" ca="1" si="168"/>
        <v>0</v>
      </c>
      <c r="DF24" s="41">
        <f t="shared" ca="1" si="169"/>
        <v>0</v>
      </c>
      <c r="DG24" s="41">
        <f t="shared" ca="1" si="170"/>
        <v>0</v>
      </c>
      <c r="DH24" s="41">
        <f t="shared" ca="1" si="171"/>
        <v>0</v>
      </c>
      <c r="DI24" s="41">
        <f t="shared" ca="1" si="172"/>
        <v>0</v>
      </c>
      <c r="DJ24" s="41">
        <f t="shared" ca="1" si="173"/>
        <v>0</v>
      </c>
      <c r="DK24" s="41">
        <f t="shared" ca="1" si="174"/>
        <v>0</v>
      </c>
      <c r="DL24" s="41">
        <f t="shared" ca="1" si="175"/>
        <v>0</v>
      </c>
      <c r="DM24" s="41">
        <f t="shared" ca="1" si="176"/>
        <v>0</v>
      </c>
      <c r="DN24" s="41">
        <f t="shared" ca="1" si="177"/>
        <v>2.9999400011999789E-2</v>
      </c>
      <c r="DP24" s="41">
        <f t="shared" ca="1" si="178"/>
        <v>0.99999000000000005</v>
      </c>
      <c r="DQ24" s="41">
        <f t="shared" ca="1" si="179"/>
        <v>-2.0000000000000002E-5</v>
      </c>
      <c r="DR24" s="41">
        <f t="shared" ca="1" si="180"/>
        <v>-3.0000000000000001E-5</v>
      </c>
      <c r="DS24" s="41">
        <f t="shared" ca="1" si="181"/>
        <v>-4.0000000000000003E-5</v>
      </c>
      <c r="DT24" s="41">
        <f t="shared" ca="1" si="182"/>
        <v>-5.0000000000000002E-5</v>
      </c>
      <c r="DU24" s="41">
        <f t="shared" ca="1" si="183"/>
        <v>-6.0000000000000002E-5</v>
      </c>
      <c r="DV24" s="41">
        <f t="shared" ca="1" si="184"/>
        <v>-6.9999999999999994E-5</v>
      </c>
      <c r="DW24" s="41">
        <f t="shared" ca="1" si="185"/>
        <v>-8.0000000000000007E-5</v>
      </c>
      <c r="DX24" s="41">
        <f t="shared" ca="1" si="186"/>
        <v>-9.0000000000000006E-5</v>
      </c>
      <c r="DY24" s="41">
        <f t="shared" ca="1" si="187"/>
        <v>-1E-4</v>
      </c>
      <c r="DZ24" s="41">
        <f t="shared" ca="1" si="188"/>
        <v>-1.1E-4</v>
      </c>
      <c r="EA24" s="41">
        <f t="shared" ca="1" si="189"/>
        <v>-1.2E-4</v>
      </c>
      <c r="EB24" s="41">
        <f t="shared" ca="1" si="190"/>
        <v>-1.2999999999999999E-4</v>
      </c>
      <c r="EC24" s="41">
        <f t="shared" ca="1" si="191"/>
        <v>-1.3999999999999999E-4</v>
      </c>
      <c r="ED24" s="41">
        <f t="shared" ca="1" si="192"/>
        <v>-1.4999999999999999E-4</v>
      </c>
      <c r="EE24" s="41">
        <f t="shared" ca="1" si="193"/>
        <v>-1.6000000000000001E-4</v>
      </c>
      <c r="EF24" s="41">
        <f t="shared" ca="1" si="194"/>
        <v>-1.7000000000000001E-4</v>
      </c>
      <c r="EG24" s="41">
        <f t="shared" ca="1" si="195"/>
        <v>-1.8000000000000001E-4</v>
      </c>
      <c r="EH24" s="41">
        <f t="shared" ca="1" si="196"/>
        <v>-1.9000000000000001E-4</v>
      </c>
      <c r="EI24" s="41">
        <f t="shared" ca="1" si="197"/>
        <v>-2.0000000000000001E-4</v>
      </c>
      <c r="EJ24" s="41">
        <f t="shared" ca="1" si="198"/>
        <v>0.99790000000000001</v>
      </c>
      <c r="EL24" s="378">
        <f t="shared" ca="1" si="199"/>
        <v>1</v>
      </c>
      <c r="EM24" s="378">
        <f t="shared" ca="1" si="200"/>
        <v>2</v>
      </c>
      <c r="EN24" s="378">
        <f t="shared" ca="1" si="201"/>
        <v>3</v>
      </c>
      <c r="EO24" s="378">
        <f t="shared" ca="1" si="202"/>
        <v>4</v>
      </c>
      <c r="EP24" s="378">
        <f t="shared" ca="1" si="203"/>
        <v>5</v>
      </c>
      <c r="EQ24" s="378">
        <f t="shared" ca="1" si="204"/>
        <v>6</v>
      </c>
      <c r="ER24" s="378">
        <f t="shared" ca="1" si="205"/>
        <v>7</v>
      </c>
      <c r="ES24" s="378">
        <f t="shared" ca="1" si="206"/>
        <v>8</v>
      </c>
      <c r="ET24" s="378">
        <f t="shared" ca="1" si="207"/>
        <v>9</v>
      </c>
      <c r="EU24" s="378">
        <f t="shared" ca="1" si="208"/>
        <v>10</v>
      </c>
      <c r="EV24" s="378">
        <f t="shared" ca="1" si="209"/>
        <v>11</v>
      </c>
      <c r="EW24" s="378">
        <f t="shared" ca="1" si="210"/>
        <v>12</v>
      </c>
      <c r="EX24" s="378">
        <f t="shared" ca="1" si="211"/>
        <v>13</v>
      </c>
      <c r="EY24" s="378">
        <f t="shared" ca="1" si="212"/>
        <v>14</v>
      </c>
      <c r="EZ24" s="378">
        <f t="shared" ca="1" si="213"/>
        <v>15</v>
      </c>
      <c r="FA24" s="378">
        <f t="shared" ca="1" si="214"/>
        <v>16</v>
      </c>
      <c r="FB24" s="378">
        <f t="shared" ca="1" si="215"/>
        <v>17</v>
      </c>
      <c r="FC24" s="378">
        <f t="shared" ca="1" si="216"/>
        <v>18</v>
      </c>
      <c r="FD24" s="378">
        <f t="shared" ca="1" si="217"/>
        <v>19</v>
      </c>
      <c r="FE24" s="378">
        <f t="shared" ca="1" si="218"/>
        <v>20</v>
      </c>
      <c r="FG24" s="378">
        <f t="shared" ca="1" si="219"/>
        <v>1</v>
      </c>
      <c r="FH24" s="378">
        <f t="shared" ca="1" si="219"/>
        <v>2</v>
      </c>
      <c r="FI24" s="378">
        <f t="shared" ca="1" si="219"/>
        <v>3</v>
      </c>
      <c r="FJ24" s="378">
        <f t="shared" ca="1" si="219"/>
        <v>4</v>
      </c>
      <c r="FK24" s="378">
        <f t="shared" ca="1" si="219"/>
        <v>5</v>
      </c>
      <c r="FL24" s="378">
        <f t="shared" ca="1" si="219"/>
        <v>6</v>
      </c>
      <c r="FM24" s="378">
        <f t="shared" ca="1" si="219"/>
        <v>7</v>
      </c>
      <c r="FN24" s="378">
        <f t="shared" ca="1" si="219"/>
        <v>8</v>
      </c>
      <c r="FO24" s="378">
        <f t="shared" ca="1" si="219"/>
        <v>9</v>
      </c>
      <c r="FP24" s="378">
        <f t="shared" ca="1" si="219"/>
        <v>10</v>
      </c>
      <c r="FQ24" s="378">
        <f t="shared" ca="1" si="219"/>
        <v>11</v>
      </c>
      <c r="FR24" s="378">
        <f t="shared" ca="1" si="219"/>
        <v>12</v>
      </c>
      <c r="FS24" s="378">
        <f t="shared" ca="1" si="219"/>
        <v>13</v>
      </c>
      <c r="FT24" s="378">
        <f t="shared" ca="1" si="219"/>
        <v>14</v>
      </c>
      <c r="FU24" s="378">
        <f t="shared" ca="1" si="219"/>
        <v>15</v>
      </c>
      <c r="FV24" s="378">
        <f t="shared" ca="1" si="219"/>
        <v>16</v>
      </c>
      <c r="FW24" s="378">
        <f t="shared" ca="1" si="220"/>
        <v>17</v>
      </c>
      <c r="FX24" s="378">
        <f t="shared" ca="1" si="220"/>
        <v>18</v>
      </c>
      <c r="FY24" s="378">
        <f t="shared" ca="1" si="220"/>
        <v>19</v>
      </c>
      <c r="FZ24" s="378">
        <f t="shared" ca="1" si="220"/>
        <v>20</v>
      </c>
      <c r="GB24" s="275" t="str">
        <f t="shared" ca="1" si="221"/>
        <v>Data Warehouse / Data Marts (100%)</v>
      </c>
      <c r="GC24" s="231" t="str">
        <f t="shared" ca="1" si="222"/>
        <v/>
      </c>
      <c r="GD24" s="231" t="str">
        <f t="shared" ca="1" si="223"/>
        <v/>
      </c>
      <c r="GE24" s="231" t="str">
        <f t="shared" ca="1" si="224"/>
        <v/>
      </c>
      <c r="GF24" s="231" t="str">
        <f t="shared" ca="1" si="225"/>
        <v/>
      </c>
      <c r="GG24" s="231" t="str">
        <f t="shared" ca="1" si="226"/>
        <v/>
      </c>
      <c r="GH24" s="231" t="str">
        <f t="shared" ca="1" si="227"/>
        <v/>
      </c>
      <c r="GI24" s="231" t="str">
        <f t="shared" ca="1" si="228"/>
        <v/>
      </c>
      <c r="GJ24" s="231" t="str">
        <f t="shared" ca="1" si="229"/>
        <v/>
      </c>
      <c r="GK24" s="231" t="str">
        <f t="shared" ca="1" si="230"/>
        <v/>
      </c>
      <c r="GL24" s="231" t="str">
        <f t="shared" ca="1" si="231"/>
        <v/>
      </c>
      <c r="GM24" s="231" t="str">
        <f t="shared" ca="1" si="232"/>
        <v/>
      </c>
      <c r="GN24" s="231" t="str">
        <f t="shared" ca="1" si="233"/>
        <v/>
      </c>
      <c r="GO24" s="231" t="str">
        <f t="shared" ca="1" si="234"/>
        <v/>
      </c>
      <c r="GP24" s="231" t="str">
        <f t="shared" ca="1" si="235"/>
        <v/>
      </c>
      <c r="GQ24" s="231" t="str">
        <f t="shared" ca="1" si="236"/>
        <v/>
      </c>
      <c r="GR24" s="231" t="str">
        <f t="shared" ca="1" si="237"/>
        <v/>
      </c>
      <c r="GS24" s="231" t="str">
        <f t="shared" ca="1" si="238"/>
        <v/>
      </c>
      <c r="GT24" s="231" t="str">
        <f t="shared" ca="1" si="239"/>
        <v/>
      </c>
      <c r="GU24" s="231" t="str">
        <f t="shared" ca="1" si="240"/>
        <v/>
      </c>
    </row>
    <row r="25" spans="1:203" hidden="1">
      <c r="C25" s="386"/>
    </row>
    <row r="26" spans="1:203" hidden="1">
      <c r="C26" s="386"/>
    </row>
    <row r="27" spans="1:203" ht="15" hidden="1">
      <c r="B27" s="6" t="str">
        <f>'Direct Savings'!C99</f>
        <v>Business Savings</v>
      </c>
      <c r="C27" s="386"/>
    </row>
    <row r="28" spans="1:203" s="386" customFormat="1" ht="12.75" hidden="1" customHeight="1">
      <c r="B28" s="373"/>
      <c r="C28" s="81" t="str">
        <f>'Direct Savings'!D100</f>
        <v>Travel Expenses</v>
      </c>
      <c r="D28" s="404">
        <f t="shared" ref="D28:D30" ca="1" si="241">DN28</f>
        <v>0.50311167766397058</v>
      </c>
      <c r="E28" s="374">
        <f>ROW(Initiatives!A170)</f>
        <v>170</v>
      </c>
      <c r="F28" s="374">
        <f>ROW(Initiatives!A176)</f>
        <v>176</v>
      </c>
      <c r="G28" s="374">
        <f>ROW(Initiatives!A183)</f>
        <v>183</v>
      </c>
      <c r="H28" s="374">
        <f>ROW(Initiatives!A185)</f>
        <v>185</v>
      </c>
      <c r="I28" s="374">
        <f>ROW(Initiatives!A186)</f>
        <v>186</v>
      </c>
      <c r="J28" s="374">
        <f>ROW(Initiatives!A187)</f>
        <v>187</v>
      </c>
      <c r="K28" s="374">
        <f>ROW(Initiatives!A188)</f>
        <v>188</v>
      </c>
      <c r="L28" s="374" t="s">
        <v>975</v>
      </c>
      <c r="M28" s="374" t="s">
        <v>975</v>
      </c>
      <c r="N28" s="374" t="s">
        <v>975</v>
      </c>
      <c r="O28" s="374" t="s">
        <v>975</v>
      </c>
      <c r="P28" s="374" t="s">
        <v>975</v>
      </c>
      <c r="Q28" s="374" t="s">
        <v>975</v>
      </c>
      <c r="R28" s="374" t="s">
        <v>975</v>
      </c>
      <c r="S28" s="374" t="s">
        <v>975</v>
      </c>
      <c r="T28" s="374" t="s">
        <v>975</v>
      </c>
      <c r="U28" s="374" t="s">
        <v>975</v>
      </c>
      <c r="V28" s="374" t="s">
        <v>975</v>
      </c>
      <c r="W28" s="374" t="s">
        <v>975</v>
      </c>
      <c r="X28" s="374" t="s">
        <v>975</v>
      </c>
      <c r="Y28" s="392" t="str">
        <f ca="1">OFFSET(Initiatives!$D$1,E28-1,$BS$3)</f>
        <v>BI Applications</v>
      </c>
      <c r="Z28" s="375">
        <v>7</v>
      </c>
      <c r="AA28" s="392" t="str">
        <f ca="1">OFFSET(Initiatives!$D$1,F28-1,$BS$3)</f>
        <v>Source System Inclusion / Integration</v>
      </c>
      <c r="AB28" s="375">
        <v>4</v>
      </c>
      <c r="AC28" s="392" t="str">
        <f ca="1">OFFSET(Initiatives!$D$1,G28-1,$BS$3)</f>
        <v>Enhance DW Platform</v>
      </c>
      <c r="AD28" s="375">
        <v>5</v>
      </c>
      <c r="AE28" s="392" t="str">
        <f ca="1">OFFSET(Initiatives!$D$1,H28-1,$BS$3)</f>
        <v>Reporting</v>
      </c>
      <c r="AF28" s="375">
        <v>3</v>
      </c>
      <c r="AG28" s="392" t="str">
        <f ca="1">OFFSET(Initiatives!$D$1,I28-1,$BS$3)</f>
        <v>Scorecards / Dashboards</v>
      </c>
      <c r="AH28" s="375">
        <v>4</v>
      </c>
      <c r="AI28" s="392" t="str">
        <f ca="1">OFFSET(Initiatives!$D$1,J28-1,$BS$3)</f>
        <v>Analytical Tools</v>
      </c>
      <c r="AJ28" s="375">
        <v>4</v>
      </c>
      <c r="AK28" s="392" t="str">
        <f ca="1">OFFSET(Initiatives!$D$1,K28-1,$BS$3)</f>
        <v>Workflow and Collaboration</v>
      </c>
      <c r="AL28" s="375">
        <v>9</v>
      </c>
      <c r="AM28" s="392" t="e">
        <f ca="1">OFFSET(Initiatives!$D$1,L28-1,$BS$3)</f>
        <v>#VALUE!</v>
      </c>
      <c r="AN28" s="375"/>
      <c r="AO28" s="392" t="e">
        <f ca="1">OFFSET(Initiatives!$D$1,M28-1,$BS$3)</f>
        <v>#VALUE!</v>
      </c>
      <c r="AP28" s="375"/>
      <c r="AQ28" s="392" t="e">
        <f ca="1">OFFSET(Initiatives!$D$1,N28-1,$BS$3)</f>
        <v>#VALUE!</v>
      </c>
      <c r="AR28" s="375"/>
      <c r="AS28" s="392" t="e">
        <f ca="1">OFFSET(Initiatives!$D$1,O28-1,$BS$3)</f>
        <v>#VALUE!</v>
      </c>
      <c r="AT28" s="375"/>
      <c r="AU28" s="392" t="e">
        <f ca="1">OFFSET(Initiatives!$D$1,P28-1,$BS$3)</f>
        <v>#VALUE!</v>
      </c>
      <c r="AV28" s="375"/>
      <c r="AW28" s="392" t="e">
        <f ca="1">OFFSET(Initiatives!$D$1,Q28-1,$BS$3)</f>
        <v>#VALUE!</v>
      </c>
      <c r="AX28" s="375"/>
      <c r="AY28" s="392" t="e">
        <f ca="1">OFFSET(Initiatives!$D$1,R28-1,$BS$3)</f>
        <v>#VALUE!</v>
      </c>
      <c r="AZ28" s="375"/>
      <c r="BA28" s="392" t="e">
        <f ca="1">OFFSET(Initiatives!$D$1,S28-1,$BS$3)</f>
        <v>#VALUE!</v>
      </c>
      <c r="BB28" s="375"/>
      <c r="BC28" s="392" t="e">
        <f ca="1">OFFSET(Initiatives!$D$1,T28-1,$BS$3)</f>
        <v>#VALUE!</v>
      </c>
      <c r="BD28" s="375"/>
      <c r="BE28" s="392" t="e">
        <f ca="1">OFFSET(Initiatives!$D$1,U28-1,$BS$3)</f>
        <v>#VALUE!</v>
      </c>
      <c r="BF28" s="375"/>
      <c r="BG28" s="392" t="e">
        <f ca="1">OFFSET(Initiatives!$D$1,V28-1,$BS$3)</f>
        <v>#VALUE!</v>
      </c>
      <c r="BH28" s="375"/>
      <c r="BI28" s="392" t="e">
        <f ca="1">OFFSET(Initiatives!$D$1,W28-1,$BS$3)</f>
        <v>#VALUE!</v>
      </c>
      <c r="BJ28" s="375"/>
      <c r="BK28" s="392" t="e">
        <f ca="1">OFFSET(Initiatives!$D$1,X28-1,$BS$3)</f>
        <v>#VALUE!</v>
      </c>
      <c r="BL28" s="375"/>
      <c r="BN28" s="101">
        <f t="shared" ref="BN28:BN30" si="242">SUM(Z28,AB28,AD28,AF28,AH28,AJ28,AL28,AN28,AP28,AR28,AT28,AV28,AX28,AZ28,BB28,BD28,BF28,BH28,BJ28,BL28)+0.0001</f>
        <v>36.000100000000003</v>
      </c>
      <c r="BP28" s="231" t="str">
        <f t="shared" ref="BP28:BP30" ca="1" si="243">CONCATENATE(GB28,GC28,GD28,GE28,GF28,GG28,GH28,GI28,GJ28,GK28,GL28,GM28,GN28,GO28,GP28,GQ28,GR28,GS28,GT28,GU28)</f>
        <v>Workflow and Collaboration (36%); BI Applications (18%); Scorecards / Dashboards (13%); Analytical Tools (13%); Source System Inclusion / Integration (10%); Reporting (8%)</v>
      </c>
      <c r="BQ28" s="338">
        <v>0.01</v>
      </c>
      <c r="BR28" s="40">
        <f t="shared" ref="BR28:BR30" ca="1" si="244">COUNTIF(CT28:DM28,"&gt;"&amp;BQ28)</f>
        <v>7</v>
      </c>
      <c r="BS28" s="274">
        <v>0.05</v>
      </c>
      <c r="BT28" s="40">
        <f t="shared" ref="BT28:BT30" ca="1" si="245">COUNTIF(DP28:EI28,"&gt;"&amp;BS28)</f>
        <v>6</v>
      </c>
      <c r="BU28" s="376">
        <v>7</v>
      </c>
      <c r="BV28" s="40">
        <f t="shared" ref="BV28:BV30" ca="1" si="246">MIN(BR28,BT28,BU28)</f>
        <v>6</v>
      </c>
      <c r="BY28" s="377">
        <f ca="1">IF(ISERROR(OFFSET(Initiatives!$D$1,E28-1,$BY$3)),,OFFSET(Initiatives!$D$1,E28-1,$BY$3))</f>
        <v>0.45555555555555544</v>
      </c>
      <c r="BZ28" s="377">
        <f ca="1">IF(ISERROR(OFFSET(Initiatives!$D$1,F28-1,$BY$3)),,OFFSET(Initiatives!$D$1,F28-1,$BY$3))</f>
        <v>0.45454545454545436</v>
      </c>
      <c r="CA28" s="377">
        <f ca="1">IF(ISERROR(OFFSET(Initiatives!$D$1,G28-1,$BY$3)),,OFFSET(Initiatives!$D$1,G28-1,$BY$3))</f>
        <v>7.7000000000000179E-2</v>
      </c>
      <c r="CB28" s="377">
        <f ca="1">IF(ISERROR(OFFSET(Initiatives!$D$1,H28-1,$BY$3)),,OFFSET(Initiatives!$D$1,H28-1,$BY$3))</f>
        <v>0.48</v>
      </c>
      <c r="CC28" s="377">
        <f ca="1">IF(ISERROR(OFFSET(Initiatives!$D$1,I28-1,$BY$3)),,OFFSET(Initiatives!$D$1,I28-1,$BY$3))</f>
        <v>0.6</v>
      </c>
      <c r="CD28" s="377">
        <f ca="1">IF(ISERROR(OFFSET(Initiatives!$D$1,J28-1,$BY$3)),,OFFSET(Initiatives!$D$1,J28-1,$BY$3))</f>
        <v>0.6</v>
      </c>
      <c r="CE28" s="377">
        <f ca="1">IF(ISERROR(OFFSET(Initiatives!$D$1,K28-1,$BY$3)),,OFFSET(Initiatives!$D$1,K28-1,$BY$3))</f>
        <v>0.72000000000000008</v>
      </c>
      <c r="CF28" s="377">
        <f ca="1">IF(ISERROR(OFFSET(Initiatives!$D$1,L28-1,$BY$3)),,OFFSET(Initiatives!$D$1,L28-1,$BY$3))</f>
        <v>0</v>
      </c>
      <c r="CG28" s="377">
        <f ca="1">IF(ISERROR(OFFSET(Initiatives!$D$1,M28-1,$BY$3)),,OFFSET(Initiatives!$D$1,M28-1,$BY$3))</f>
        <v>0</v>
      </c>
      <c r="CH28" s="377">
        <f ca="1">IF(ISERROR(OFFSET(Initiatives!$D$1,N28-1,$BY$3)),,OFFSET(Initiatives!$D$1,N28-1,$BY$3))</f>
        <v>0</v>
      </c>
      <c r="CI28" s="377">
        <f ca="1">IF(ISERROR(OFFSET(Initiatives!$D$1,O28-1,$BY$3)),,OFFSET(Initiatives!$D$1,O28-1,$BY$3))</f>
        <v>0</v>
      </c>
      <c r="CJ28" s="377">
        <f ca="1">IF(ISERROR(OFFSET(Initiatives!$D$1,P28-1,$BY$3)),,OFFSET(Initiatives!$D$1,P28-1,$BY$3))</f>
        <v>0</v>
      </c>
      <c r="CK28" s="377">
        <f ca="1">IF(ISERROR(OFFSET(Initiatives!$D$1,Q28-1,$BY$3)),,OFFSET(Initiatives!$D$1,Q28-1,$BY$3))</f>
        <v>0</v>
      </c>
      <c r="CL28" s="377">
        <f ca="1">IF(ISERROR(OFFSET(Initiatives!$D$1,R28-1,$BY$3)),,OFFSET(Initiatives!$D$1,R28-1,$BY$3))</f>
        <v>0</v>
      </c>
      <c r="CM28" s="377">
        <f ca="1">IF(ISERROR(OFFSET(Initiatives!$D$1,S28-1,$BY$3)),,OFFSET(Initiatives!$D$1,S28-1,$BY$3))</f>
        <v>0</v>
      </c>
      <c r="CN28" s="377">
        <f ca="1">IF(ISERROR(OFFSET(Initiatives!$D$1,T28-1,$BY$3)),,OFFSET(Initiatives!$D$1,T28-1,$BY$3))</f>
        <v>0</v>
      </c>
      <c r="CO28" s="377">
        <f ca="1">IF(ISERROR(OFFSET(Initiatives!$D$1,U28-1,$BY$3)),,OFFSET(Initiatives!$D$1,U28-1,$BY$3))</f>
        <v>0</v>
      </c>
      <c r="CP28" s="377">
        <f ca="1">IF(ISERROR(OFFSET(Initiatives!$D$1,V28-1,$BY$3)),,OFFSET(Initiatives!$D$1,V28-1,$BY$3))</f>
        <v>0</v>
      </c>
      <c r="CQ28" s="377">
        <f ca="1">IF(ISERROR(OFFSET(Initiatives!$D$1,W28-1,$BY$3)),,OFFSET(Initiatives!$D$1,W28-1,$BY$3))</f>
        <v>0</v>
      </c>
      <c r="CR28" s="377">
        <f ca="1">IF(ISERROR(OFFSET(Initiatives!$D$1,X28-1,$BY$3)),,OFFSET(Initiatives!$D$1,X28-1,$BY$3))</f>
        <v>0</v>
      </c>
      <c r="CT28" s="41">
        <f t="shared" ref="CT28:CT30" ca="1" si="247">BY28*Z28/$BN28</f>
        <v>8.8580000858022284E-2</v>
      </c>
      <c r="CU28" s="41">
        <f t="shared" ref="CU28:CU30" ca="1" si="248">BZ28*AB28/$BN28</f>
        <v>5.0504910213633222E-2</v>
      </c>
      <c r="CV28" s="41">
        <f t="shared" ref="CV28:CV30" ca="1" si="249">CA28*AD28/$BN28</f>
        <v>1.0694414737736864E-2</v>
      </c>
      <c r="CW28" s="41">
        <f t="shared" ref="CW28:CW30" ca="1" si="250">CB28*AF28/$BN28</f>
        <v>3.9999888889197525E-2</v>
      </c>
      <c r="CX28" s="41">
        <f t="shared" ref="CX28:CX30" ca="1" si="251">CC28*AH28/$BN28</f>
        <v>6.6666481481995873E-2</v>
      </c>
      <c r="CY28" s="41">
        <f t="shared" ref="CY28:CY30" ca="1" si="252">CD28*AJ28/$BN28</f>
        <v>6.6666481481995873E-2</v>
      </c>
      <c r="CZ28" s="41">
        <f t="shared" ref="CZ28:CZ30" ca="1" si="253">CE28*AL28/$BN28</f>
        <v>0.17999950000138887</v>
      </c>
      <c r="DA28" s="41">
        <f t="shared" ref="DA28:DA30" ca="1" si="254">CF28*AN28/$BN28</f>
        <v>0</v>
      </c>
      <c r="DB28" s="41">
        <f t="shared" ref="DB28:DB30" ca="1" si="255">CG28*AP28/$BN28</f>
        <v>0</v>
      </c>
      <c r="DC28" s="41">
        <f t="shared" ref="DC28:DC30" ca="1" si="256">CH28*AR28/$BN28</f>
        <v>0</v>
      </c>
      <c r="DD28" s="41">
        <f t="shared" ref="DD28:DD30" ca="1" si="257">CI28*AT28/$BN28</f>
        <v>0</v>
      </c>
      <c r="DE28" s="41">
        <f t="shared" ref="DE28:DE30" ca="1" si="258">CJ28*AV28/$BN28</f>
        <v>0</v>
      </c>
      <c r="DF28" s="41">
        <f t="shared" ref="DF28:DF30" ca="1" si="259">CK28*AX28/$BN28</f>
        <v>0</v>
      </c>
      <c r="DG28" s="41">
        <f t="shared" ref="DG28:DG30" ca="1" si="260">CL28*AZ28/$BN28</f>
        <v>0</v>
      </c>
      <c r="DH28" s="41">
        <f t="shared" ref="DH28:DH30" ca="1" si="261">CM28*BB28/$BN28</f>
        <v>0</v>
      </c>
      <c r="DI28" s="41">
        <f t="shared" ref="DI28:DI30" ca="1" si="262">CN28*BD28/$BN28</f>
        <v>0</v>
      </c>
      <c r="DJ28" s="41">
        <f t="shared" ref="DJ28:DJ30" ca="1" si="263">CO28*BF28/$BN28</f>
        <v>0</v>
      </c>
      <c r="DK28" s="41">
        <f t="shared" ref="DK28:DK30" ca="1" si="264">CP28*BH28/$BN28</f>
        <v>0</v>
      </c>
      <c r="DL28" s="41">
        <f t="shared" ref="DL28:DL30" ca="1" si="265">CQ28*BJ28/$BN28</f>
        <v>0</v>
      </c>
      <c r="DM28" s="41">
        <f t="shared" ref="DM28:DM30" ca="1" si="266">CR28*BL28/$BN28</f>
        <v>0</v>
      </c>
      <c r="DN28" s="41">
        <f t="shared" ref="DN28:DN30" ca="1" si="267">SUM(CT28:DM28)</f>
        <v>0.50311167766397058</v>
      </c>
      <c r="DP28" s="41">
        <f t="shared" ref="DP28:DP30" ca="1" si="268">CT28/$DN28-DP$5/100000</f>
        <v>0.17605429107214057</v>
      </c>
      <c r="DQ28" s="41">
        <f t="shared" ref="DQ28:DQ30" ca="1" si="269">CU28/$DN28-DQ$5/100000</f>
        <v>0.10036508835282007</v>
      </c>
      <c r="DR28" s="41">
        <f t="shared" ref="DR28:DR30" ca="1" si="270">CV28/$DN28-DR$5/100000</f>
        <v>2.122654245870971E-2</v>
      </c>
      <c r="DS28" s="41">
        <f t="shared" ref="DS28:DS30" ca="1" si="271">CW28/$DN28-DS$5/100000</f>
        <v>7.9464989975433525E-2</v>
      </c>
      <c r="DT28" s="41">
        <f t="shared" ref="DT28:DT30" ca="1" si="272">CX28/$DN28-DT$5/100000</f>
        <v>0.13245831662572255</v>
      </c>
      <c r="DU28" s="41">
        <f t="shared" ref="DU28:DU30" ca="1" si="273">CY28/$DN28-DU$5/100000</f>
        <v>0.13244831662572254</v>
      </c>
      <c r="DV28" s="41">
        <f t="shared" ref="DV28:DV30" ca="1" si="274">CZ28/$DN28-DV$5/100000</f>
        <v>0.35770245488945085</v>
      </c>
      <c r="DW28" s="41">
        <f t="shared" ref="DW28:DW30" ca="1" si="275">DA28/$DN28-DW$5/100000</f>
        <v>-8.0000000000000007E-5</v>
      </c>
      <c r="DX28" s="41">
        <f t="shared" ref="DX28:DX30" ca="1" si="276">DB28/$DN28-DX$5/100000</f>
        <v>-9.0000000000000006E-5</v>
      </c>
      <c r="DY28" s="41">
        <f t="shared" ref="DY28:DY30" ca="1" si="277">DC28/$DN28-DY$5/100000</f>
        <v>-1E-4</v>
      </c>
      <c r="DZ28" s="41">
        <f t="shared" ref="DZ28:DZ30" ca="1" si="278">DD28/$DN28-DZ$5/100000</f>
        <v>-1.1E-4</v>
      </c>
      <c r="EA28" s="41">
        <f t="shared" ref="EA28:EA30" ca="1" si="279">DE28/$DN28-EA$5/100000</f>
        <v>-1.2E-4</v>
      </c>
      <c r="EB28" s="41">
        <f t="shared" ref="EB28:EB30" ca="1" si="280">DF28/$DN28-EB$5/100000</f>
        <v>-1.2999999999999999E-4</v>
      </c>
      <c r="EC28" s="41">
        <f t="shared" ref="EC28:EC30" ca="1" si="281">DG28/$DN28-EC$5/100000</f>
        <v>-1.3999999999999999E-4</v>
      </c>
      <c r="ED28" s="41">
        <f t="shared" ref="ED28:ED30" ca="1" si="282">DH28/$DN28-ED$5/100000</f>
        <v>-1.4999999999999999E-4</v>
      </c>
      <c r="EE28" s="41">
        <f t="shared" ref="EE28:EE30" ca="1" si="283">DI28/$DN28-EE$5/100000</f>
        <v>-1.6000000000000001E-4</v>
      </c>
      <c r="EF28" s="41">
        <f t="shared" ref="EF28:EF30" ca="1" si="284">DJ28/$DN28-EF$5/100000</f>
        <v>-1.7000000000000001E-4</v>
      </c>
      <c r="EG28" s="41">
        <f t="shared" ref="EG28:EG30" ca="1" si="285">DK28/$DN28-EG$5/100000</f>
        <v>-1.8000000000000001E-4</v>
      </c>
      <c r="EH28" s="41">
        <f t="shared" ref="EH28:EH30" ca="1" si="286">DL28/$DN28-EH$5/100000</f>
        <v>-1.9000000000000001E-4</v>
      </c>
      <c r="EI28" s="41">
        <f t="shared" ref="EI28:EI30" ca="1" si="287">DM28/$DN28-EI$5/100000</f>
        <v>-2.0000000000000001E-4</v>
      </c>
      <c r="EJ28" s="41">
        <f t="shared" ref="EJ28:EJ30" ca="1" si="288">SUM(DP28:EI28)</f>
        <v>0.99789999999999968</v>
      </c>
      <c r="EL28" s="378">
        <f t="shared" ref="EL28:EL30" ca="1" si="289">RANK(DP28,$DP28:$EI28)</f>
        <v>2</v>
      </c>
      <c r="EM28" s="378">
        <f t="shared" ref="EM28:EM30" ca="1" si="290">RANK(DQ28,$DP28:$EI28)</f>
        <v>5</v>
      </c>
      <c r="EN28" s="378">
        <f t="shared" ref="EN28:EN30" ca="1" si="291">RANK(DR28,$DP28:$EI28)</f>
        <v>7</v>
      </c>
      <c r="EO28" s="378">
        <f t="shared" ref="EO28:EO30" ca="1" si="292">RANK(DS28,$DP28:$EI28)</f>
        <v>6</v>
      </c>
      <c r="EP28" s="378">
        <f t="shared" ref="EP28:EP30" ca="1" si="293">RANK(DT28,$DP28:$EI28)</f>
        <v>3</v>
      </c>
      <c r="EQ28" s="378">
        <f t="shared" ref="EQ28:EQ30" ca="1" si="294">RANK(DU28,$DP28:$EI28)</f>
        <v>4</v>
      </c>
      <c r="ER28" s="378">
        <f t="shared" ref="ER28:ER30" ca="1" si="295">RANK(DV28,$DP28:$EI28)</f>
        <v>1</v>
      </c>
      <c r="ES28" s="378">
        <f t="shared" ref="ES28:ES30" ca="1" si="296">RANK(DW28,$DP28:$EI28)</f>
        <v>8</v>
      </c>
      <c r="ET28" s="378">
        <f t="shared" ref="ET28:ET30" ca="1" si="297">RANK(DX28,$DP28:$EI28)</f>
        <v>9</v>
      </c>
      <c r="EU28" s="378">
        <f t="shared" ref="EU28:EU30" ca="1" si="298">RANK(DY28,$DP28:$EI28)</f>
        <v>10</v>
      </c>
      <c r="EV28" s="378">
        <f t="shared" ref="EV28:EV30" ca="1" si="299">RANK(DZ28,$DP28:$EI28)</f>
        <v>11</v>
      </c>
      <c r="EW28" s="378">
        <f t="shared" ref="EW28:EW30" ca="1" si="300">RANK(EA28,$DP28:$EI28)</f>
        <v>12</v>
      </c>
      <c r="EX28" s="378">
        <f t="shared" ref="EX28:EX30" ca="1" si="301">RANK(EB28,$DP28:$EI28)</f>
        <v>13</v>
      </c>
      <c r="EY28" s="378">
        <f t="shared" ref="EY28:EY30" ca="1" si="302">RANK(EC28,$DP28:$EI28)</f>
        <v>14</v>
      </c>
      <c r="EZ28" s="378">
        <f t="shared" ref="EZ28:EZ30" ca="1" si="303">RANK(ED28,$DP28:$EI28)</f>
        <v>15</v>
      </c>
      <c r="FA28" s="378">
        <f t="shared" ref="FA28:FA30" ca="1" si="304">RANK(EE28,$DP28:$EI28)</f>
        <v>16</v>
      </c>
      <c r="FB28" s="378">
        <f t="shared" ref="FB28:FB30" ca="1" si="305">RANK(EF28,$DP28:$EI28)</f>
        <v>17</v>
      </c>
      <c r="FC28" s="378">
        <f t="shared" ref="FC28:FC30" ca="1" si="306">RANK(EG28,$DP28:$EI28)</f>
        <v>18</v>
      </c>
      <c r="FD28" s="378">
        <f t="shared" ref="FD28:FD30" ca="1" si="307">RANK(EH28,$DP28:$EI28)</f>
        <v>19</v>
      </c>
      <c r="FE28" s="378">
        <f t="shared" ref="FE28:FE30" ca="1" si="308">RANK(EI28,$DP28:$EI28)</f>
        <v>20</v>
      </c>
      <c r="FG28" s="378">
        <f t="shared" ref="FG28:FV36" ca="1" si="309">MATCH(FG$5,$EL28:$FE28,0)</f>
        <v>7</v>
      </c>
      <c r="FH28" s="378">
        <f t="shared" ca="1" si="309"/>
        <v>1</v>
      </c>
      <c r="FI28" s="378">
        <f t="shared" ca="1" si="309"/>
        <v>5</v>
      </c>
      <c r="FJ28" s="378">
        <f t="shared" ca="1" si="309"/>
        <v>6</v>
      </c>
      <c r="FK28" s="378">
        <f t="shared" ca="1" si="309"/>
        <v>2</v>
      </c>
      <c r="FL28" s="378">
        <f t="shared" ca="1" si="309"/>
        <v>4</v>
      </c>
      <c r="FM28" s="378">
        <f t="shared" ca="1" si="309"/>
        <v>3</v>
      </c>
      <c r="FN28" s="378">
        <f t="shared" ca="1" si="309"/>
        <v>8</v>
      </c>
      <c r="FO28" s="378">
        <f t="shared" ca="1" si="309"/>
        <v>9</v>
      </c>
      <c r="FP28" s="378">
        <f t="shared" ca="1" si="309"/>
        <v>10</v>
      </c>
      <c r="FQ28" s="378">
        <f t="shared" ca="1" si="309"/>
        <v>11</v>
      </c>
      <c r="FR28" s="378">
        <f t="shared" ca="1" si="309"/>
        <v>12</v>
      </c>
      <c r="FS28" s="378">
        <f t="shared" ca="1" si="309"/>
        <v>13</v>
      </c>
      <c r="FT28" s="378">
        <f t="shared" ca="1" si="309"/>
        <v>14</v>
      </c>
      <c r="FU28" s="378">
        <f t="shared" ca="1" si="309"/>
        <v>15</v>
      </c>
      <c r="FV28" s="378">
        <f t="shared" ca="1" si="309"/>
        <v>16</v>
      </c>
      <c r="FW28" s="378">
        <f t="shared" ref="FW28:FZ36" ca="1" si="310">MATCH(FW$5,$EL28:$FE28,0)</f>
        <v>17</v>
      </c>
      <c r="FX28" s="378">
        <f t="shared" ca="1" si="310"/>
        <v>18</v>
      </c>
      <c r="FY28" s="378">
        <f t="shared" ca="1" si="310"/>
        <v>19</v>
      </c>
      <c r="FZ28" s="378">
        <f t="shared" ca="1" si="310"/>
        <v>20</v>
      </c>
      <c r="GB28" s="275" t="str">
        <f t="shared" ref="GB28:GB30" ca="1" si="311">IF(GB$5&lt;=$BV28,INDEX($Y28:$BL28,1,FG28*2-1)&amp;" ("&amp;TEXT(INDEX($DP28:$EI28,1,FG28),"0%")&amp;")","")</f>
        <v>Workflow and Collaboration (36%)</v>
      </c>
      <c r="GC28" s="231" t="str">
        <f t="shared" ref="GC28:GC30" ca="1" si="312">IF(GC$5&lt;=$BV28,"; "&amp;INDEX($Y28:$BL28,1,FH28*2-1)&amp;" ("&amp;TEXT(INDEX($DP28:$EI28,1,FH28),"0%")&amp;")","")</f>
        <v>; BI Applications (18%)</v>
      </c>
      <c r="GD28" s="231" t="str">
        <f t="shared" ref="GD28:GD30" ca="1" si="313">IF(GD$5&lt;=$BV28,"; "&amp;INDEX($Y28:$BL28,1,FI28*2-1)&amp;" ("&amp;TEXT(INDEX($DP28:$EI28,1,FI28),"0%")&amp;")","")</f>
        <v>; Scorecards / Dashboards (13%)</v>
      </c>
      <c r="GE28" s="231" t="str">
        <f t="shared" ref="GE28:GE30" ca="1" si="314">IF(GE$5&lt;=$BV28,"; "&amp;INDEX($Y28:$BL28,1,FJ28*2-1)&amp;" ("&amp;TEXT(INDEX($DP28:$EI28,1,FJ28),"0%")&amp;")","")</f>
        <v>; Analytical Tools (13%)</v>
      </c>
      <c r="GF28" s="231" t="str">
        <f t="shared" ref="GF28:GF30" ca="1" si="315">IF(GF$5&lt;=$BV28,"; "&amp;INDEX($Y28:$BL28,1,FK28*2-1)&amp;" ("&amp;TEXT(INDEX($DP28:$EI28,1,FK28),"0%")&amp;")","")</f>
        <v>; Source System Inclusion / Integration (10%)</v>
      </c>
      <c r="GG28" s="231" t="str">
        <f t="shared" ref="GG28:GG30" ca="1" si="316">IF(GG$5&lt;=$BV28,"; "&amp;INDEX($Y28:$BL28,1,FL28*2-1)&amp;" ("&amp;TEXT(INDEX($DP28:$EI28,1,FL28),"0%")&amp;")","")</f>
        <v>; Reporting (8%)</v>
      </c>
      <c r="GH28" s="231" t="str">
        <f t="shared" ref="GH28:GH30" ca="1" si="317">IF(GH$5&lt;=$BV28,"; "&amp;INDEX($Y28:$BL28,1,FM28*2-1)&amp;" ("&amp;TEXT(INDEX($DP28:$EI28,1,FM28),"0%")&amp;")","")</f>
        <v/>
      </c>
      <c r="GI28" s="231" t="str">
        <f t="shared" ref="GI28:GI30" ca="1" si="318">IF(GI$5&lt;=$BV28,"; "&amp;INDEX($Y28:$BL28,1,FN28*2-1)&amp;" ("&amp;TEXT(INDEX($DP28:$EI28,1,FN28),"0%")&amp;")","")</f>
        <v/>
      </c>
      <c r="GJ28" s="231" t="str">
        <f t="shared" ref="GJ28:GJ30" ca="1" si="319">IF(GJ$5&lt;=$BV28,"; "&amp;INDEX($Y28:$BL28,1,FO28*2-1)&amp;" ("&amp;TEXT(INDEX($DP28:$EI28,1,FO28),"0%")&amp;")","")</f>
        <v/>
      </c>
      <c r="GK28" s="231" t="str">
        <f t="shared" ref="GK28:GK30" ca="1" si="320">IF(GK$5&lt;=$BV28,"; "&amp;INDEX($Y28:$BL28,1,FP28*2-1)&amp;" ("&amp;TEXT(INDEX($DP28:$EI28,1,FP28),"0%")&amp;")","")</f>
        <v/>
      </c>
      <c r="GL28" s="231" t="str">
        <f t="shared" ref="GL28:GL30" ca="1" si="321">IF(GL$5&lt;=$BV28,"; "&amp;INDEX($Y28:$BL28,1,FQ28*2-1)&amp;" ("&amp;TEXT(INDEX($DP28:$EI28,1,FQ28),"0%")&amp;")","")</f>
        <v/>
      </c>
      <c r="GM28" s="231" t="str">
        <f t="shared" ref="GM28:GM30" ca="1" si="322">IF(GM$5&lt;=$BV28,"; "&amp;INDEX($Y28:$BL28,1,FR28*2-1)&amp;" ("&amp;TEXT(INDEX($DP28:$EI28,1,FR28),"0%")&amp;")","")</f>
        <v/>
      </c>
      <c r="GN28" s="231" t="str">
        <f t="shared" ref="GN28:GN30" ca="1" si="323">IF(GN$5&lt;=$BV28,"; "&amp;INDEX($Y28:$BL28,1,FS28*2-1)&amp;" ("&amp;TEXT(INDEX($DP28:$EI28,1,FS28),"0%")&amp;")","")</f>
        <v/>
      </c>
      <c r="GO28" s="231" t="str">
        <f t="shared" ref="GO28:GO30" ca="1" si="324">IF(GO$5&lt;=$BV28,"; "&amp;INDEX($Y28:$BL28,1,FT28*2-1)&amp;" ("&amp;TEXT(INDEX($DP28:$EI28,1,FT28),"0%")&amp;")","")</f>
        <v/>
      </c>
      <c r="GP28" s="231" t="str">
        <f t="shared" ref="GP28:GP30" ca="1" si="325">IF(GP$5&lt;=$BV28,"; "&amp;INDEX($Y28:$BL28,1,FU28*2-1)&amp;" ("&amp;TEXT(INDEX($DP28:$EI28,1,FU28),"0%")&amp;")","")</f>
        <v/>
      </c>
      <c r="GQ28" s="231" t="str">
        <f t="shared" ref="GQ28:GQ30" ca="1" si="326">IF(GQ$5&lt;=$BV28,"; "&amp;INDEX($Y28:$BL28,1,FV28*2-1)&amp;" ("&amp;TEXT(INDEX($DP28:$EI28,1,FV28),"0%")&amp;")","")</f>
        <v/>
      </c>
      <c r="GR28" s="231" t="str">
        <f t="shared" ref="GR28:GR30" ca="1" si="327">IF(GR$5&lt;=$BV28,"; "&amp;INDEX($Y28:$BL28,1,FW28*2-1)&amp;" ("&amp;TEXT(INDEX($DP28:$EI28,1,FW28),"0%")&amp;")","")</f>
        <v/>
      </c>
      <c r="GS28" s="231" t="str">
        <f t="shared" ref="GS28:GS30" ca="1" si="328">IF(GS$5&lt;=$BV28,"; "&amp;INDEX($Y28:$BL28,1,FX28*2-1)&amp;" ("&amp;TEXT(INDEX($DP28:$EI28,1,FX28),"0%")&amp;")","")</f>
        <v/>
      </c>
      <c r="GT28" s="231" t="str">
        <f t="shared" ref="GT28:GT30" ca="1" si="329">IF(GT$5&lt;=$BV28,"; "&amp;INDEX($Y28:$BL28,1,FY28*2-1)&amp;" ("&amp;TEXT(INDEX($DP28:$EI28,1,FY28),"0%")&amp;")","")</f>
        <v/>
      </c>
      <c r="GU28" s="231" t="str">
        <f t="shared" ref="GU28:GU30" ca="1" si="330">IF(GU$5&lt;=$BV28,"; "&amp;INDEX($Y28:$BL28,1,FZ28*2-1)&amp;" ("&amp;TEXT(INDEX($DP28:$EI28,1,FZ28),"0%")&amp;")","")</f>
        <v/>
      </c>
    </row>
    <row r="29" spans="1:203" s="386" customFormat="1" ht="15" hidden="1">
      <c r="B29" s="6" t="str">
        <f>'Direct Savings'!C64</f>
        <v>Reduce External Business Services</v>
      </c>
      <c r="BP29" s="29"/>
    </row>
    <row r="30" spans="1:203" s="386" customFormat="1" ht="14.25" hidden="1" customHeight="1">
      <c r="B30" s="373"/>
      <c r="C30" s="81" t="str">
        <f>'Direct Savings'!D66</f>
        <v>Consulting Services (Hours)</v>
      </c>
      <c r="D30" s="404">
        <f t="shared" ca="1" si="241"/>
        <v>0.40868271535404865</v>
      </c>
      <c r="E30" s="374">
        <f>ROW(Initiatives!A170)</f>
        <v>170</v>
      </c>
      <c r="F30" s="374">
        <f>ROW(Initiatives!A176)</f>
        <v>176</v>
      </c>
      <c r="G30" s="374">
        <f>ROW(Initiatives!A183)</f>
        <v>183</v>
      </c>
      <c r="H30" s="374">
        <f>ROW(Initiatives!A189)</f>
        <v>189</v>
      </c>
      <c r="I30" s="374" t="s">
        <v>975</v>
      </c>
      <c r="J30" s="374" t="s">
        <v>975</v>
      </c>
      <c r="K30" s="374" t="s">
        <v>975</v>
      </c>
      <c r="L30" s="374" t="s">
        <v>975</v>
      </c>
      <c r="M30" s="374" t="s">
        <v>975</v>
      </c>
      <c r="N30" s="374" t="s">
        <v>975</v>
      </c>
      <c r="O30" s="374" t="s">
        <v>975</v>
      </c>
      <c r="P30" s="374" t="s">
        <v>975</v>
      </c>
      <c r="Q30" s="374" t="s">
        <v>975</v>
      </c>
      <c r="R30" s="374" t="s">
        <v>975</v>
      </c>
      <c r="S30" s="374" t="s">
        <v>975</v>
      </c>
      <c r="T30" s="374" t="s">
        <v>975</v>
      </c>
      <c r="U30" s="374" t="s">
        <v>975</v>
      </c>
      <c r="V30" s="374" t="s">
        <v>975</v>
      </c>
      <c r="W30" s="374" t="s">
        <v>975</v>
      </c>
      <c r="X30" s="374" t="s">
        <v>975</v>
      </c>
      <c r="Y30" s="392" t="str">
        <f ca="1">OFFSET(Initiatives!$D$1,E30-1,$BS$3)</f>
        <v>BI Applications</v>
      </c>
      <c r="Z30" s="375">
        <v>6</v>
      </c>
      <c r="AA30" s="392" t="str">
        <f ca="1">OFFSET(Initiatives!$D$1,F30-1,$BS$3)</f>
        <v>Source System Inclusion / Integration</v>
      </c>
      <c r="AB30" s="375">
        <v>5</v>
      </c>
      <c r="AC30" s="392" t="str">
        <f ca="1">OFFSET(Initiatives!$D$1,G30-1,$BS$3)</f>
        <v>Enhance DW Platform</v>
      </c>
      <c r="AD30" s="375">
        <v>5</v>
      </c>
      <c r="AE30" s="392" t="str">
        <f ca="1">OFFSET(Initiatives!$D$1,H30-1,$BS$3)</f>
        <v>Enhance BI Platform</v>
      </c>
      <c r="AF30" s="375">
        <v>6</v>
      </c>
      <c r="AG30" s="392" t="e">
        <f ca="1">OFFSET(Initiatives!$D$1,I30-1,$BS$3)</f>
        <v>#VALUE!</v>
      </c>
      <c r="AH30" s="375"/>
      <c r="AI30" s="392" t="e">
        <f ca="1">OFFSET(Initiatives!$D$1,J30-1,$BS$3)</f>
        <v>#VALUE!</v>
      </c>
      <c r="AJ30" s="375"/>
      <c r="AK30" s="392" t="e">
        <f ca="1">OFFSET(Initiatives!$D$1,K30-1,$BS$3)</f>
        <v>#VALUE!</v>
      </c>
      <c r="AL30" s="375"/>
      <c r="AM30" s="392" t="e">
        <f ca="1">OFFSET(Initiatives!$D$1,L30-1,$BS$3)</f>
        <v>#VALUE!</v>
      </c>
      <c r="AN30" s="375"/>
      <c r="AO30" s="392" t="e">
        <f ca="1">OFFSET(Initiatives!$D$1,M30-1,$BS$3)</f>
        <v>#VALUE!</v>
      </c>
      <c r="AP30" s="375"/>
      <c r="AQ30" s="392" t="e">
        <f ca="1">OFFSET(Initiatives!$D$1,N30-1,$BS$3)</f>
        <v>#VALUE!</v>
      </c>
      <c r="AR30" s="375"/>
      <c r="AS30" s="392" t="e">
        <f ca="1">OFFSET(Initiatives!$D$1,O30-1,$BS$3)</f>
        <v>#VALUE!</v>
      </c>
      <c r="AT30" s="375"/>
      <c r="AU30" s="392" t="e">
        <f ca="1">OFFSET(Initiatives!$D$1,P30-1,$BS$3)</f>
        <v>#VALUE!</v>
      </c>
      <c r="AV30" s="375"/>
      <c r="AW30" s="392" t="e">
        <f ca="1">OFFSET(Initiatives!$D$1,Q30-1,$BS$3)</f>
        <v>#VALUE!</v>
      </c>
      <c r="AX30" s="375"/>
      <c r="AY30" s="392" t="e">
        <f ca="1">OFFSET(Initiatives!$D$1,R30-1,$BS$3)</f>
        <v>#VALUE!</v>
      </c>
      <c r="AZ30" s="375"/>
      <c r="BA30" s="392" t="e">
        <f ca="1">OFFSET(Initiatives!$D$1,S30-1,$BS$3)</f>
        <v>#VALUE!</v>
      </c>
      <c r="BB30" s="375"/>
      <c r="BC30" s="392" t="e">
        <f ca="1">OFFSET(Initiatives!$D$1,T30-1,$BS$3)</f>
        <v>#VALUE!</v>
      </c>
      <c r="BD30" s="375"/>
      <c r="BE30" s="392" t="e">
        <f ca="1">OFFSET(Initiatives!$D$1,U30-1,$BS$3)</f>
        <v>#VALUE!</v>
      </c>
      <c r="BF30" s="375"/>
      <c r="BG30" s="392" t="e">
        <f ca="1">OFFSET(Initiatives!$D$1,V30-1,$BS$3)</f>
        <v>#VALUE!</v>
      </c>
      <c r="BH30" s="375"/>
      <c r="BI30" s="392" t="e">
        <f ca="1">OFFSET(Initiatives!$D$1,W30-1,$BS$3)</f>
        <v>#VALUE!</v>
      </c>
      <c r="BJ30" s="375"/>
      <c r="BK30" s="392" t="e">
        <f ca="1">OFFSET(Initiatives!$D$1,X30-1,$BS$3)</f>
        <v>#VALUE!</v>
      </c>
      <c r="BL30" s="375"/>
      <c r="BN30" s="101">
        <f t="shared" si="242"/>
        <v>22.0001</v>
      </c>
      <c r="BP30" s="231" t="str">
        <f t="shared" ca="1" si="243"/>
        <v>Enhance BI Platform (40%); BI Applications (30%); Source System Inclusion / Integration (25%)</v>
      </c>
      <c r="BQ30" s="338">
        <v>0.01</v>
      </c>
      <c r="BR30" s="40">
        <f t="shared" ca="1" si="244"/>
        <v>4</v>
      </c>
      <c r="BS30" s="274">
        <v>0.05</v>
      </c>
      <c r="BT30" s="40">
        <f t="shared" ca="1" si="245"/>
        <v>3</v>
      </c>
      <c r="BU30" s="376">
        <v>7</v>
      </c>
      <c r="BV30" s="40">
        <f t="shared" ca="1" si="246"/>
        <v>3</v>
      </c>
      <c r="BY30" s="377">
        <f ca="1">IF(ISERROR(OFFSET(Initiatives!$D$1,E30-1,$BY$3)),,OFFSET(Initiatives!$D$1,E30-1,$BY$3))</f>
        <v>0.45555555555555544</v>
      </c>
      <c r="BZ30" s="377">
        <f ca="1">IF(ISERROR(OFFSET(Initiatives!$D$1,F30-1,$BY$3)),,OFFSET(Initiatives!$D$1,F30-1,$BY$3))</f>
        <v>0.45454545454545436</v>
      </c>
      <c r="CA30" s="377">
        <f ca="1">IF(ISERROR(OFFSET(Initiatives!$D$1,G30-1,$BY$3)),,OFFSET(Initiatives!$D$1,G30-1,$BY$3))</f>
        <v>7.7000000000000179E-2</v>
      </c>
      <c r="CB30" s="377">
        <f ca="1">IF(ISERROR(OFFSET(Initiatives!$D$1,H30-1,$BY$3)),,OFFSET(Initiatives!$D$1,H30-1,$BY$3))</f>
        <v>0.6</v>
      </c>
      <c r="CC30" s="377">
        <f ca="1">IF(ISERROR(OFFSET(Initiatives!$D$1,I30-1,$BY$3)),,OFFSET(Initiatives!$D$1,I30-1,$BY$3))</f>
        <v>0</v>
      </c>
      <c r="CD30" s="377">
        <f ca="1">IF(ISERROR(OFFSET(Initiatives!$D$1,J30-1,$BY$3)),,OFFSET(Initiatives!$D$1,J30-1,$BY$3))</f>
        <v>0</v>
      </c>
      <c r="CE30" s="377">
        <f ca="1">IF(ISERROR(OFFSET(Initiatives!$D$1,K30-1,$BY$3)),,OFFSET(Initiatives!$D$1,K30-1,$BY$3))</f>
        <v>0</v>
      </c>
      <c r="CF30" s="377">
        <f ca="1">IF(ISERROR(OFFSET(Initiatives!$D$1,L30-1,$BY$3)),,OFFSET(Initiatives!$D$1,L30-1,$BY$3))</f>
        <v>0</v>
      </c>
      <c r="CG30" s="377">
        <f ca="1">IF(ISERROR(OFFSET(Initiatives!$D$1,M30-1,$BY$3)),,OFFSET(Initiatives!$D$1,M30-1,$BY$3))</f>
        <v>0</v>
      </c>
      <c r="CH30" s="377">
        <f ca="1">IF(ISERROR(OFFSET(Initiatives!$D$1,N30-1,$BY$3)),,OFFSET(Initiatives!$D$1,N30-1,$BY$3))</f>
        <v>0</v>
      </c>
      <c r="CI30" s="377">
        <f ca="1">IF(ISERROR(OFFSET(Initiatives!$D$1,O30-1,$BY$3)),,OFFSET(Initiatives!$D$1,O30-1,$BY$3))</f>
        <v>0</v>
      </c>
      <c r="CJ30" s="377">
        <f ca="1">IF(ISERROR(OFFSET(Initiatives!$D$1,P30-1,$BY$3)),,OFFSET(Initiatives!$D$1,P30-1,$BY$3))</f>
        <v>0</v>
      </c>
      <c r="CK30" s="377">
        <f ca="1">IF(ISERROR(OFFSET(Initiatives!$D$1,Q30-1,$BY$3)),,OFFSET(Initiatives!$D$1,Q30-1,$BY$3))</f>
        <v>0</v>
      </c>
      <c r="CL30" s="377">
        <f ca="1">IF(ISERROR(OFFSET(Initiatives!$D$1,R30-1,$BY$3)),,OFFSET(Initiatives!$D$1,R30-1,$BY$3))</f>
        <v>0</v>
      </c>
      <c r="CM30" s="377">
        <f ca="1">IF(ISERROR(OFFSET(Initiatives!$D$1,S30-1,$BY$3)),,OFFSET(Initiatives!$D$1,S30-1,$BY$3))</f>
        <v>0</v>
      </c>
      <c r="CN30" s="377">
        <f ca="1">IF(ISERROR(OFFSET(Initiatives!$D$1,T30-1,$BY$3)),,OFFSET(Initiatives!$D$1,T30-1,$BY$3))</f>
        <v>0</v>
      </c>
      <c r="CO30" s="377">
        <f ca="1">IF(ISERROR(OFFSET(Initiatives!$D$1,U30-1,$BY$3)),,OFFSET(Initiatives!$D$1,U30-1,$BY$3))</f>
        <v>0</v>
      </c>
      <c r="CP30" s="377">
        <f ca="1">IF(ISERROR(OFFSET(Initiatives!$D$1,V30-1,$BY$3)),,OFFSET(Initiatives!$D$1,V30-1,$BY$3))</f>
        <v>0</v>
      </c>
      <c r="CQ30" s="377">
        <f ca="1">IF(ISERROR(OFFSET(Initiatives!$D$1,W30-1,$BY$3)),,OFFSET(Initiatives!$D$1,W30-1,$BY$3))</f>
        <v>0</v>
      </c>
      <c r="CR30" s="377">
        <f ca="1">IF(ISERROR(OFFSET(Initiatives!$D$1,X30-1,$BY$3)),,OFFSET(Initiatives!$D$1,X30-1,$BY$3))</f>
        <v>0</v>
      </c>
      <c r="CT30" s="41">
        <f t="shared" ca="1" si="247"/>
        <v>0.12424185950669918</v>
      </c>
      <c r="CU30" s="41">
        <f t="shared" ca="1" si="248"/>
        <v>0.10330531555435074</v>
      </c>
      <c r="CV30" s="41">
        <f t="shared" ca="1" si="249"/>
        <v>1.7499920454907066E-2</v>
      </c>
      <c r="CW30" s="41">
        <f t="shared" ca="1" si="250"/>
        <v>0.16363561983809163</v>
      </c>
      <c r="CX30" s="41">
        <f t="shared" ca="1" si="251"/>
        <v>0</v>
      </c>
      <c r="CY30" s="41">
        <f t="shared" ca="1" si="252"/>
        <v>0</v>
      </c>
      <c r="CZ30" s="41">
        <f t="shared" ca="1" si="253"/>
        <v>0</v>
      </c>
      <c r="DA30" s="41">
        <f t="shared" ca="1" si="254"/>
        <v>0</v>
      </c>
      <c r="DB30" s="41">
        <f t="shared" ca="1" si="255"/>
        <v>0</v>
      </c>
      <c r="DC30" s="41">
        <f t="shared" ca="1" si="256"/>
        <v>0</v>
      </c>
      <c r="DD30" s="41">
        <f t="shared" ca="1" si="257"/>
        <v>0</v>
      </c>
      <c r="DE30" s="41">
        <f t="shared" ca="1" si="258"/>
        <v>0</v>
      </c>
      <c r="DF30" s="41">
        <f t="shared" ca="1" si="259"/>
        <v>0</v>
      </c>
      <c r="DG30" s="41">
        <f t="shared" ca="1" si="260"/>
        <v>0</v>
      </c>
      <c r="DH30" s="41">
        <f t="shared" ca="1" si="261"/>
        <v>0</v>
      </c>
      <c r="DI30" s="41">
        <f t="shared" ca="1" si="262"/>
        <v>0</v>
      </c>
      <c r="DJ30" s="41">
        <f t="shared" ca="1" si="263"/>
        <v>0</v>
      </c>
      <c r="DK30" s="41">
        <f t="shared" ca="1" si="264"/>
        <v>0</v>
      </c>
      <c r="DL30" s="41">
        <f t="shared" ca="1" si="265"/>
        <v>0</v>
      </c>
      <c r="DM30" s="41">
        <f t="shared" ca="1" si="266"/>
        <v>0</v>
      </c>
      <c r="DN30" s="41">
        <f t="shared" ca="1" si="267"/>
        <v>0.40868271535404865</v>
      </c>
      <c r="DP30" s="41">
        <f t="shared" ca="1" si="268"/>
        <v>0.30399566218971696</v>
      </c>
      <c r="DQ30" s="41">
        <f t="shared" ca="1" si="269"/>
        <v>0.25275632665442094</v>
      </c>
      <c r="DR30" s="41">
        <f t="shared" ca="1" si="270"/>
        <v>4.2790309735259033E-2</v>
      </c>
      <c r="DS30" s="41">
        <f t="shared" ca="1" si="271"/>
        <v>0.40035770142060295</v>
      </c>
      <c r="DT30" s="41">
        <f t="shared" ca="1" si="272"/>
        <v>-5.0000000000000002E-5</v>
      </c>
      <c r="DU30" s="41">
        <f t="shared" ca="1" si="273"/>
        <v>-6.0000000000000002E-5</v>
      </c>
      <c r="DV30" s="41">
        <f t="shared" ca="1" si="274"/>
        <v>-6.9999999999999994E-5</v>
      </c>
      <c r="DW30" s="41">
        <f t="shared" ca="1" si="275"/>
        <v>-8.0000000000000007E-5</v>
      </c>
      <c r="DX30" s="41">
        <f t="shared" ca="1" si="276"/>
        <v>-9.0000000000000006E-5</v>
      </c>
      <c r="DY30" s="41">
        <f t="shared" ca="1" si="277"/>
        <v>-1E-4</v>
      </c>
      <c r="DZ30" s="41">
        <f t="shared" ca="1" si="278"/>
        <v>-1.1E-4</v>
      </c>
      <c r="EA30" s="41">
        <f t="shared" ca="1" si="279"/>
        <v>-1.2E-4</v>
      </c>
      <c r="EB30" s="41">
        <f t="shared" ca="1" si="280"/>
        <v>-1.2999999999999999E-4</v>
      </c>
      <c r="EC30" s="41">
        <f t="shared" ca="1" si="281"/>
        <v>-1.3999999999999999E-4</v>
      </c>
      <c r="ED30" s="41">
        <f t="shared" ca="1" si="282"/>
        <v>-1.4999999999999999E-4</v>
      </c>
      <c r="EE30" s="41">
        <f t="shared" ca="1" si="283"/>
        <v>-1.6000000000000001E-4</v>
      </c>
      <c r="EF30" s="41">
        <f t="shared" ca="1" si="284"/>
        <v>-1.7000000000000001E-4</v>
      </c>
      <c r="EG30" s="41">
        <f t="shared" ca="1" si="285"/>
        <v>-1.8000000000000001E-4</v>
      </c>
      <c r="EH30" s="41">
        <f t="shared" ca="1" si="286"/>
        <v>-1.9000000000000001E-4</v>
      </c>
      <c r="EI30" s="41">
        <f t="shared" ca="1" si="287"/>
        <v>-2.0000000000000001E-4</v>
      </c>
      <c r="EJ30" s="41">
        <f t="shared" ca="1" si="288"/>
        <v>0.99789999999999979</v>
      </c>
      <c r="EL30" s="378">
        <f t="shared" ca="1" si="289"/>
        <v>2</v>
      </c>
      <c r="EM30" s="378">
        <f t="shared" ca="1" si="290"/>
        <v>3</v>
      </c>
      <c r="EN30" s="378">
        <f t="shared" ca="1" si="291"/>
        <v>4</v>
      </c>
      <c r="EO30" s="378">
        <f t="shared" ca="1" si="292"/>
        <v>1</v>
      </c>
      <c r="EP30" s="378">
        <f t="shared" ca="1" si="293"/>
        <v>5</v>
      </c>
      <c r="EQ30" s="378">
        <f t="shared" ca="1" si="294"/>
        <v>6</v>
      </c>
      <c r="ER30" s="378">
        <f t="shared" ca="1" si="295"/>
        <v>7</v>
      </c>
      <c r="ES30" s="378">
        <f t="shared" ca="1" si="296"/>
        <v>8</v>
      </c>
      <c r="ET30" s="378">
        <f t="shared" ca="1" si="297"/>
        <v>9</v>
      </c>
      <c r="EU30" s="378">
        <f t="shared" ca="1" si="298"/>
        <v>10</v>
      </c>
      <c r="EV30" s="378">
        <f t="shared" ca="1" si="299"/>
        <v>11</v>
      </c>
      <c r="EW30" s="378">
        <f t="shared" ca="1" si="300"/>
        <v>12</v>
      </c>
      <c r="EX30" s="378">
        <f t="shared" ca="1" si="301"/>
        <v>13</v>
      </c>
      <c r="EY30" s="378">
        <f t="shared" ca="1" si="302"/>
        <v>14</v>
      </c>
      <c r="EZ30" s="378">
        <f t="shared" ca="1" si="303"/>
        <v>15</v>
      </c>
      <c r="FA30" s="378">
        <f t="shared" ca="1" si="304"/>
        <v>16</v>
      </c>
      <c r="FB30" s="378">
        <f t="shared" ca="1" si="305"/>
        <v>17</v>
      </c>
      <c r="FC30" s="378">
        <f t="shared" ca="1" si="306"/>
        <v>18</v>
      </c>
      <c r="FD30" s="378">
        <f t="shared" ca="1" si="307"/>
        <v>19</v>
      </c>
      <c r="FE30" s="378">
        <f t="shared" ca="1" si="308"/>
        <v>20</v>
      </c>
      <c r="FG30" s="378">
        <f t="shared" ca="1" si="309"/>
        <v>4</v>
      </c>
      <c r="FH30" s="378">
        <f t="shared" ca="1" si="309"/>
        <v>1</v>
      </c>
      <c r="FI30" s="378">
        <f t="shared" ca="1" si="309"/>
        <v>2</v>
      </c>
      <c r="FJ30" s="378">
        <f t="shared" ca="1" si="309"/>
        <v>3</v>
      </c>
      <c r="FK30" s="378">
        <f t="shared" ca="1" si="309"/>
        <v>5</v>
      </c>
      <c r="FL30" s="378">
        <f t="shared" ca="1" si="309"/>
        <v>6</v>
      </c>
      <c r="FM30" s="378">
        <f t="shared" ca="1" si="309"/>
        <v>7</v>
      </c>
      <c r="FN30" s="378">
        <f t="shared" ca="1" si="309"/>
        <v>8</v>
      </c>
      <c r="FO30" s="378">
        <f t="shared" ca="1" si="309"/>
        <v>9</v>
      </c>
      <c r="FP30" s="378">
        <f t="shared" ca="1" si="309"/>
        <v>10</v>
      </c>
      <c r="FQ30" s="378">
        <f t="shared" ca="1" si="309"/>
        <v>11</v>
      </c>
      <c r="FR30" s="378">
        <f t="shared" ca="1" si="309"/>
        <v>12</v>
      </c>
      <c r="FS30" s="378">
        <f t="shared" ca="1" si="309"/>
        <v>13</v>
      </c>
      <c r="FT30" s="378">
        <f t="shared" ca="1" si="309"/>
        <v>14</v>
      </c>
      <c r="FU30" s="378">
        <f t="shared" ca="1" si="309"/>
        <v>15</v>
      </c>
      <c r="FV30" s="378">
        <f t="shared" ca="1" si="309"/>
        <v>16</v>
      </c>
      <c r="FW30" s="378">
        <f t="shared" ca="1" si="310"/>
        <v>17</v>
      </c>
      <c r="FX30" s="378">
        <f t="shared" ca="1" si="310"/>
        <v>18</v>
      </c>
      <c r="FY30" s="378">
        <f t="shared" ca="1" si="310"/>
        <v>19</v>
      </c>
      <c r="FZ30" s="378">
        <f t="shared" ca="1" si="310"/>
        <v>20</v>
      </c>
      <c r="GB30" s="275" t="str">
        <f t="shared" ca="1" si="311"/>
        <v>Enhance BI Platform (40%)</v>
      </c>
      <c r="GC30" s="231" t="str">
        <f t="shared" ca="1" si="312"/>
        <v>; BI Applications (30%)</v>
      </c>
      <c r="GD30" s="231" t="str">
        <f t="shared" ca="1" si="313"/>
        <v>; Source System Inclusion / Integration (25%)</v>
      </c>
      <c r="GE30" s="231" t="str">
        <f t="shared" ca="1" si="314"/>
        <v/>
      </c>
      <c r="GF30" s="231" t="str">
        <f t="shared" ca="1" si="315"/>
        <v/>
      </c>
      <c r="GG30" s="231" t="str">
        <f t="shared" ca="1" si="316"/>
        <v/>
      </c>
      <c r="GH30" s="231" t="str">
        <f t="shared" ca="1" si="317"/>
        <v/>
      </c>
      <c r="GI30" s="231" t="str">
        <f t="shared" ca="1" si="318"/>
        <v/>
      </c>
      <c r="GJ30" s="231" t="str">
        <f t="shared" ca="1" si="319"/>
        <v/>
      </c>
      <c r="GK30" s="231" t="str">
        <f t="shared" ca="1" si="320"/>
        <v/>
      </c>
      <c r="GL30" s="231" t="str">
        <f t="shared" ca="1" si="321"/>
        <v/>
      </c>
      <c r="GM30" s="231" t="str">
        <f t="shared" ca="1" si="322"/>
        <v/>
      </c>
      <c r="GN30" s="231" t="str">
        <f t="shared" ca="1" si="323"/>
        <v/>
      </c>
      <c r="GO30" s="231" t="str">
        <f t="shared" ca="1" si="324"/>
        <v/>
      </c>
      <c r="GP30" s="231" t="str">
        <f t="shared" ca="1" si="325"/>
        <v/>
      </c>
      <c r="GQ30" s="231" t="str">
        <f t="shared" ca="1" si="326"/>
        <v/>
      </c>
      <c r="GR30" s="231" t="str">
        <f t="shared" ca="1" si="327"/>
        <v/>
      </c>
      <c r="GS30" s="231" t="str">
        <f t="shared" ca="1" si="328"/>
        <v/>
      </c>
      <c r="GT30" s="231" t="str">
        <f t="shared" ca="1" si="329"/>
        <v/>
      </c>
      <c r="GU30" s="231" t="str">
        <f t="shared" ca="1" si="330"/>
        <v/>
      </c>
    </row>
    <row r="31" spans="1:203" s="386" customFormat="1" ht="14.25" hidden="1" customHeight="1">
      <c r="B31" s="373"/>
      <c r="C31" s="81" t="str">
        <f>'Direct Savings'!D67</f>
        <v>Outsourcing (Hours)</v>
      </c>
      <c r="D31" s="404">
        <f t="shared" ref="D31:D36" ca="1" si="331">DN31</f>
        <v>0.41360335211420196</v>
      </c>
      <c r="E31" s="374">
        <f>ROW(Initiatives!A170)</f>
        <v>170</v>
      </c>
      <c r="F31" s="374">
        <f>ROW(Initiatives!A176)</f>
        <v>176</v>
      </c>
      <c r="G31" s="374">
        <f>ROW(Initiatives!A183)</f>
        <v>183</v>
      </c>
      <c r="H31" s="374">
        <f>ROW(Initiatives!A189)</f>
        <v>189</v>
      </c>
      <c r="I31" s="374" t="s">
        <v>975</v>
      </c>
      <c r="J31" s="374" t="s">
        <v>975</v>
      </c>
      <c r="K31" s="374" t="s">
        <v>975</v>
      </c>
      <c r="L31" s="374" t="s">
        <v>975</v>
      </c>
      <c r="M31" s="374" t="s">
        <v>975</v>
      </c>
      <c r="N31" s="374" t="s">
        <v>975</v>
      </c>
      <c r="O31" s="374" t="s">
        <v>975</v>
      </c>
      <c r="P31" s="374" t="s">
        <v>975</v>
      </c>
      <c r="Q31" s="374" t="s">
        <v>975</v>
      </c>
      <c r="R31" s="374" t="s">
        <v>975</v>
      </c>
      <c r="S31" s="374" t="s">
        <v>975</v>
      </c>
      <c r="T31" s="374" t="s">
        <v>975</v>
      </c>
      <c r="U31" s="374" t="s">
        <v>975</v>
      </c>
      <c r="V31" s="374" t="s">
        <v>975</v>
      </c>
      <c r="W31" s="374" t="s">
        <v>975</v>
      </c>
      <c r="X31" s="374" t="s">
        <v>975</v>
      </c>
      <c r="Y31" s="392" t="str">
        <f ca="1">OFFSET(Initiatives!$D$1,E31-1,$BS$3)</f>
        <v>BI Applications</v>
      </c>
      <c r="Z31" s="375">
        <v>5</v>
      </c>
      <c r="AA31" s="392" t="str">
        <f ca="1">OFFSET(Initiatives!$D$1,F31-1,$BS$3)</f>
        <v>Source System Inclusion / Integration</v>
      </c>
      <c r="AB31" s="375">
        <v>5</v>
      </c>
      <c r="AC31" s="392" t="str">
        <f ca="1">OFFSET(Initiatives!$D$1,G31-1,$BS$3)</f>
        <v>Enhance DW Platform</v>
      </c>
      <c r="AD31" s="375">
        <v>4</v>
      </c>
      <c r="AE31" s="392" t="str">
        <f ca="1">OFFSET(Initiatives!$D$1,H31-1,$BS$3)</f>
        <v>Enhance BI Platform</v>
      </c>
      <c r="AF31" s="375">
        <v>5</v>
      </c>
      <c r="AG31" s="392" t="e">
        <f ca="1">OFFSET(Initiatives!$D$1,I31-1,$BS$3)</f>
        <v>#VALUE!</v>
      </c>
      <c r="AH31" s="375"/>
      <c r="AI31" s="392" t="e">
        <f ca="1">OFFSET(Initiatives!$D$1,J31-1,$BS$3)</f>
        <v>#VALUE!</v>
      </c>
      <c r="AJ31" s="375"/>
      <c r="AK31" s="392" t="e">
        <f ca="1">OFFSET(Initiatives!$D$1,K31-1,$BS$3)</f>
        <v>#VALUE!</v>
      </c>
      <c r="AL31" s="375"/>
      <c r="AM31" s="392" t="e">
        <f ca="1">OFFSET(Initiatives!$D$1,L31-1,$BS$3)</f>
        <v>#VALUE!</v>
      </c>
      <c r="AN31" s="375"/>
      <c r="AO31" s="392" t="e">
        <f ca="1">OFFSET(Initiatives!$D$1,M31-1,$BS$3)</f>
        <v>#VALUE!</v>
      </c>
      <c r="AP31" s="375"/>
      <c r="AQ31" s="392" t="e">
        <f ca="1">OFFSET(Initiatives!$D$1,N31-1,$BS$3)</f>
        <v>#VALUE!</v>
      </c>
      <c r="AR31" s="375"/>
      <c r="AS31" s="392" t="e">
        <f ca="1">OFFSET(Initiatives!$D$1,O31-1,$BS$3)</f>
        <v>#VALUE!</v>
      </c>
      <c r="AT31" s="375"/>
      <c r="AU31" s="392" t="e">
        <f ca="1">OFFSET(Initiatives!$D$1,P31-1,$BS$3)</f>
        <v>#VALUE!</v>
      </c>
      <c r="AV31" s="375"/>
      <c r="AW31" s="392" t="e">
        <f ca="1">OFFSET(Initiatives!$D$1,Q31-1,$BS$3)</f>
        <v>#VALUE!</v>
      </c>
      <c r="AX31" s="375"/>
      <c r="AY31" s="392" t="e">
        <f ca="1">OFFSET(Initiatives!$D$1,R31-1,$BS$3)</f>
        <v>#VALUE!</v>
      </c>
      <c r="AZ31" s="375"/>
      <c r="BA31" s="392" t="e">
        <f ca="1">OFFSET(Initiatives!$D$1,S31-1,$BS$3)</f>
        <v>#VALUE!</v>
      </c>
      <c r="BB31" s="375"/>
      <c r="BC31" s="392" t="e">
        <f ca="1">OFFSET(Initiatives!$D$1,T31-1,$BS$3)</f>
        <v>#VALUE!</v>
      </c>
      <c r="BD31" s="375"/>
      <c r="BE31" s="392" t="e">
        <f ca="1">OFFSET(Initiatives!$D$1,U31-1,$BS$3)</f>
        <v>#VALUE!</v>
      </c>
      <c r="BF31" s="375"/>
      <c r="BG31" s="392" t="e">
        <f ca="1">OFFSET(Initiatives!$D$1,V31-1,$BS$3)</f>
        <v>#VALUE!</v>
      </c>
      <c r="BH31" s="375"/>
      <c r="BI31" s="392" t="e">
        <f ca="1">OFFSET(Initiatives!$D$1,W31-1,$BS$3)</f>
        <v>#VALUE!</v>
      </c>
      <c r="BJ31" s="375"/>
      <c r="BK31" s="392" t="e">
        <f ca="1">OFFSET(Initiatives!$D$1,X31-1,$BS$3)</f>
        <v>#VALUE!</v>
      </c>
      <c r="BL31" s="375"/>
      <c r="BN31" s="101">
        <f t="shared" ref="BN31:BN36" si="332">SUM(Z31,AB31,AD31,AF31,AH31,AJ31,AL31,AN31,AP31,AR31,AT31,AV31,AX31,AZ31,BB31,BD31,BF31,BH31,BJ31,BL31)+0.0001</f>
        <v>19.0001</v>
      </c>
      <c r="BP31" s="231" t="str">
        <f t="shared" ref="BP31:BP36" ca="1" si="333">CONCATENATE(GB31,GC31,GD31,GE31,GF31,GG31,GH31,GI31,GJ31,GK31,GL31,GM31,GN31,GO31,GP31,GQ31,GR31,GS31,GT31,GU31)</f>
        <v>Enhance BI Platform (38%); BI Applications (29%); Source System Inclusion / Integration (29%)</v>
      </c>
      <c r="BQ31" s="338">
        <v>0.01</v>
      </c>
      <c r="BR31" s="40">
        <f t="shared" ref="BR31:BR36" ca="1" si="334">COUNTIF(CT31:DM31,"&gt;"&amp;BQ31)</f>
        <v>4</v>
      </c>
      <c r="BS31" s="274">
        <v>0.05</v>
      </c>
      <c r="BT31" s="40">
        <f t="shared" ref="BT31:BT36" ca="1" si="335">COUNTIF(DP31:EI31,"&gt;"&amp;BS31)</f>
        <v>3</v>
      </c>
      <c r="BU31" s="376">
        <v>7</v>
      </c>
      <c r="BV31" s="40">
        <f t="shared" ref="BV31:BV36" ca="1" si="336">MIN(BR31,BT31,BU31)</f>
        <v>3</v>
      </c>
      <c r="BY31" s="377">
        <f ca="1">IF(ISERROR(OFFSET(Initiatives!$D$1,E31-1,$BY$3)),,OFFSET(Initiatives!$D$1,E31-1,$BY$3))</f>
        <v>0.45555555555555544</v>
      </c>
      <c r="BZ31" s="377">
        <f ca="1">IF(ISERROR(OFFSET(Initiatives!$D$1,F31-1,$BY$3)),,OFFSET(Initiatives!$D$1,F31-1,$BY$3))</f>
        <v>0.45454545454545436</v>
      </c>
      <c r="CA31" s="377">
        <f ca="1">IF(ISERROR(OFFSET(Initiatives!$D$1,G31-1,$BY$3)),,OFFSET(Initiatives!$D$1,G31-1,$BY$3))</f>
        <v>7.7000000000000179E-2</v>
      </c>
      <c r="CB31" s="377">
        <f ca="1">IF(ISERROR(OFFSET(Initiatives!$D$1,H31-1,$BY$3)),,OFFSET(Initiatives!$D$1,H31-1,$BY$3))</f>
        <v>0.6</v>
      </c>
      <c r="CC31" s="377">
        <f ca="1">IF(ISERROR(OFFSET(Initiatives!$D$1,I31-1,$BY$3)),,OFFSET(Initiatives!$D$1,I31-1,$BY$3))</f>
        <v>0</v>
      </c>
      <c r="CD31" s="377">
        <f ca="1">IF(ISERROR(OFFSET(Initiatives!$D$1,J31-1,$BY$3)),,OFFSET(Initiatives!$D$1,J31-1,$BY$3))</f>
        <v>0</v>
      </c>
      <c r="CE31" s="377">
        <f ca="1">IF(ISERROR(OFFSET(Initiatives!$D$1,K31-1,$BY$3)),,OFFSET(Initiatives!$D$1,K31-1,$BY$3))</f>
        <v>0</v>
      </c>
      <c r="CF31" s="377">
        <f ca="1">IF(ISERROR(OFFSET(Initiatives!$D$1,L31-1,$BY$3)),,OFFSET(Initiatives!$D$1,L31-1,$BY$3))</f>
        <v>0</v>
      </c>
      <c r="CG31" s="377">
        <f ca="1">IF(ISERROR(OFFSET(Initiatives!$D$1,M31-1,$BY$3)),,OFFSET(Initiatives!$D$1,M31-1,$BY$3))</f>
        <v>0</v>
      </c>
      <c r="CH31" s="377">
        <f ca="1">IF(ISERROR(OFFSET(Initiatives!$D$1,N31-1,$BY$3)),,OFFSET(Initiatives!$D$1,N31-1,$BY$3))</f>
        <v>0</v>
      </c>
      <c r="CI31" s="377">
        <f ca="1">IF(ISERROR(OFFSET(Initiatives!$D$1,O31-1,$BY$3)),,OFFSET(Initiatives!$D$1,O31-1,$BY$3))</f>
        <v>0</v>
      </c>
      <c r="CJ31" s="377">
        <f ca="1">IF(ISERROR(OFFSET(Initiatives!$D$1,P31-1,$BY$3)),,OFFSET(Initiatives!$D$1,P31-1,$BY$3))</f>
        <v>0</v>
      </c>
      <c r="CK31" s="377">
        <f ca="1">IF(ISERROR(OFFSET(Initiatives!$D$1,Q31-1,$BY$3)),,OFFSET(Initiatives!$D$1,Q31-1,$BY$3))</f>
        <v>0</v>
      </c>
      <c r="CL31" s="377">
        <f ca="1">IF(ISERROR(OFFSET(Initiatives!$D$1,R31-1,$BY$3)),,OFFSET(Initiatives!$D$1,R31-1,$BY$3))</f>
        <v>0</v>
      </c>
      <c r="CM31" s="377">
        <f ca="1">IF(ISERROR(OFFSET(Initiatives!$D$1,S31-1,$BY$3)),,OFFSET(Initiatives!$D$1,S31-1,$BY$3))</f>
        <v>0</v>
      </c>
      <c r="CN31" s="377">
        <f ca="1">IF(ISERROR(OFFSET(Initiatives!$D$1,T31-1,$BY$3)),,OFFSET(Initiatives!$D$1,T31-1,$BY$3))</f>
        <v>0</v>
      </c>
      <c r="CO31" s="377">
        <f ca="1">IF(ISERROR(OFFSET(Initiatives!$D$1,U31-1,$BY$3)),,OFFSET(Initiatives!$D$1,U31-1,$BY$3))</f>
        <v>0</v>
      </c>
      <c r="CP31" s="377">
        <f ca="1">IF(ISERROR(OFFSET(Initiatives!$D$1,V31-1,$BY$3)),,OFFSET(Initiatives!$D$1,V31-1,$BY$3))</f>
        <v>0</v>
      </c>
      <c r="CQ31" s="377">
        <f ca="1">IF(ISERROR(OFFSET(Initiatives!$D$1,W31-1,$BY$3)),,OFFSET(Initiatives!$D$1,W31-1,$BY$3))</f>
        <v>0</v>
      </c>
      <c r="CR31" s="377">
        <f ca="1">IF(ISERROR(OFFSET(Initiatives!$D$1,X31-1,$BY$3)),,OFFSET(Initiatives!$D$1,X31-1,$BY$3))</f>
        <v>0</v>
      </c>
      <c r="CT31" s="41">
        <f t="shared" ref="CT31:CT36" ca="1" si="337">BY31*Z31/$BN31</f>
        <v>0.11988240997561998</v>
      </c>
      <c r="CU31" s="41">
        <f t="shared" ref="CU31:CU36" ca="1" si="338">BZ31*AB31/$BN31</f>
        <v>0.11961659531935472</v>
      </c>
      <c r="CV31" s="41">
        <f t="shared" ref="CV31:CV36" ca="1" si="339">CA31*AD31/$BN31</f>
        <v>1.6210440997678998E-2</v>
      </c>
      <c r="CW31" s="41">
        <f t="shared" ref="CW31:CW36" ca="1" si="340">CB31*AF31/$BN31</f>
        <v>0.1578939058215483</v>
      </c>
      <c r="CX31" s="41">
        <f t="shared" ref="CX31:CX36" ca="1" si="341">CC31*AH31/$BN31</f>
        <v>0</v>
      </c>
      <c r="CY31" s="41">
        <f t="shared" ref="CY31:CY36" ca="1" si="342">CD31*AJ31/$BN31</f>
        <v>0</v>
      </c>
      <c r="CZ31" s="41">
        <f t="shared" ref="CZ31:CZ36" ca="1" si="343">CE31*AL31/$BN31</f>
        <v>0</v>
      </c>
      <c r="DA31" s="41">
        <f t="shared" ref="DA31:DA36" ca="1" si="344">CF31*AN31/$BN31</f>
        <v>0</v>
      </c>
      <c r="DB31" s="41">
        <f t="shared" ref="DB31:DB36" ca="1" si="345">CG31*AP31/$BN31</f>
        <v>0</v>
      </c>
      <c r="DC31" s="41">
        <f t="shared" ref="DC31:DC36" ca="1" si="346">CH31*AR31/$BN31</f>
        <v>0</v>
      </c>
      <c r="DD31" s="41">
        <f t="shared" ref="DD31:DD36" ca="1" si="347">CI31*AT31/$BN31</f>
        <v>0</v>
      </c>
      <c r="DE31" s="41">
        <f t="shared" ref="DE31:DE36" ca="1" si="348">CJ31*AV31/$BN31</f>
        <v>0</v>
      </c>
      <c r="DF31" s="41">
        <f t="shared" ref="DF31:DF36" ca="1" si="349">CK31*AX31/$BN31</f>
        <v>0</v>
      </c>
      <c r="DG31" s="41">
        <f t="shared" ref="DG31:DG36" ca="1" si="350">CL31*AZ31/$BN31</f>
        <v>0</v>
      </c>
      <c r="DH31" s="41">
        <f t="shared" ref="DH31:DH36" ca="1" si="351">CM31*BB31/$BN31</f>
        <v>0</v>
      </c>
      <c r="DI31" s="41">
        <f t="shared" ref="DI31:DI36" ca="1" si="352">CN31*BD31/$BN31</f>
        <v>0</v>
      </c>
      <c r="DJ31" s="41">
        <f t="shared" ref="DJ31:DJ36" ca="1" si="353">CO31*BF31/$BN31</f>
        <v>0</v>
      </c>
      <c r="DK31" s="41">
        <f t="shared" ref="DK31:DK36" ca="1" si="354">CP31*BH31/$BN31</f>
        <v>0</v>
      </c>
      <c r="DL31" s="41">
        <f t="shared" ref="DL31:DL36" ca="1" si="355">CQ31*BJ31/$BN31</f>
        <v>0</v>
      </c>
      <c r="DM31" s="41">
        <f t="shared" ref="DM31:DM36" ca="1" si="356">CR31*BL31/$BN31</f>
        <v>0</v>
      </c>
      <c r="DN31" s="41">
        <f t="shared" ref="DN31:DN36" ca="1" si="357">SUM(CT31:DM31)</f>
        <v>0.41360335211420196</v>
      </c>
      <c r="DP31" s="41">
        <f t="shared" ref="DP31:DP36" ca="1" si="358">CT31/$DN31-DP$5/100000</f>
        <v>0.28983873880451211</v>
      </c>
      <c r="DQ31" s="41">
        <f t="shared" ref="DQ31:DQ36" ca="1" si="359">CU31/$DN31-DQ$5/100000</f>
        <v>0.28918605867412506</v>
      </c>
      <c r="DR31" s="41">
        <f t="shared" ref="DR31:DR36" ca="1" si="360">CV31/$DN31-DR$5/100000</f>
        <v>3.9163205071517541E-2</v>
      </c>
      <c r="DS31" s="41">
        <f t="shared" ref="DS31:DS36" ca="1" si="361">CW31/$DN31-DS$5/100000</f>
        <v>0.38171199744984535</v>
      </c>
      <c r="DT31" s="41">
        <f t="shared" ref="DT31:DT36" ca="1" si="362">CX31/$DN31-DT$5/100000</f>
        <v>-5.0000000000000002E-5</v>
      </c>
      <c r="DU31" s="41">
        <f t="shared" ref="DU31:DU36" ca="1" si="363">CY31/$DN31-DU$5/100000</f>
        <v>-6.0000000000000002E-5</v>
      </c>
      <c r="DV31" s="41">
        <f t="shared" ref="DV31:DV36" ca="1" si="364">CZ31/$DN31-DV$5/100000</f>
        <v>-6.9999999999999994E-5</v>
      </c>
      <c r="DW31" s="41">
        <f t="shared" ref="DW31:DW36" ca="1" si="365">DA31/$DN31-DW$5/100000</f>
        <v>-8.0000000000000007E-5</v>
      </c>
      <c r="DX31" s="41">
        <f t="shared" ref="DX31:DX36" ca="1" si="366">DB31/$DN31-DX$5/100000</f>
        <v>-9.0000000000000006E-5</v>
      </c>
      <c r="DY31" s="41">
        <f t="shared" ref="DY31:DY36" ca="1" si="367">DC31/$DN31-DY$5/100000</f>
        <v>-1E-4</v>
      </c>
      <c r="DZ31" s="41">
        <f t="shared" ref="DZ31:DZ36" ca="1" si="368">DD31/$DN31-DZ$5/100000</f>
        <v>-1.1E-4</v>
      </c>
      <c r="EA31" s="41">
        <f t="shared" ref="EA31:EA36" ca="1" si="369">DE31/$DN31-EA$5/100000</f>
        <v>-1.2E-4</v>
      </c>
      <c r="EB31" s="41">
        <f t="shared" ref="EB31:EB36" ca="1" si="370">DF31/$DN31-EB$5/100000</f>
        <v>-1.2999999999999999E-4</v>
      </c>
      <c r="EC31" s="41">
        <f t="shared" ref="EC31:EC36" ca="1" si="371">DG31/$DN31-EC$5/100000</f>
        <v>-1.3999999999999999E-4</v>
      </c>
      <c r="ED31" s="41">
        <f t="shared" ref="ED31:ED36" ca="1" si="372">DH31/$DN31-ED$5/100000</f>
        <v>-1.4999999999999999E-4</v>
      </c>
      <c r="EE31" s="41">
        <f t="shared" ref="EE31:EE36" ca="1" si="373">DI31/$DN31-EE$5/100000</f>
        <v>-1.6000000000000001E-4</v>
      </c>
      <c r="EF31" s="41">
        <f t="shared" ref="EF31:EF36" ca="1" si="374">DJ31/$DN31-EF$5/100000</f>
        <v>-1.7000000000000001E-4</v>
      </c>
      <c r="EG31" s="41">
        <f t="shared" ref="EG31:EG36" ca="1" si="375">DK31/$DN31-EG$5/100000</f>
        <v>-1.8000000000000001E-4</v>
      </c>
      <c r="EH31" s="41">
        <f t="shared" ref="EH31:EH36" ca="1" si="376">DL31/$DN31-EH$5/100000</f>
        <v>-1.9000000000000001E-4</v>
      </c>
      <c r="EI31" s="41">
        <f t="shared" ref="EI31:EI36" ca="1" si="377">DM31/$DN31-EI$5/100000</f>
        <v>-2.0000000000000001E-4</v>
      </c>
      <c r="EJ31" s="41">
        <f t="shared" ref="EJ31:EJ36" ca="1" si="378">SUM(DP31:EI31)</f>
        <v>0.99790000000000001</v>
      </c>
      <c r="EL31" s="378">
        <f t="shared" ref="EL31:EL36" ca="1" si="379">RANK(DP31,$DP31:$EI31)</f>
        <v>2</v>
      </c>
      <c r="EM31" s="378">
        <f t="shared" ref="EM31:EM36" ca="1" si="380">RANK(DQ31,$DP31:$EI31)</f>
        <v>3</v>
      </c>
      <c r="EN31" s="378">
        <f t="shared" ref="EN31:EN36" ca="1" si="381">RANK(DR31,$DP31:$EI31)</f>
        <v>4</v>
      </c>
      <c r="EO31" s="378">
        <f t="shared" ref="EO31:EO36" ca="1" si="382">RANK(DS31,$DP31:$EI31)</f>
        <v>1</v>
      </c>
      <c r="EP31" s="378">
        <f t="shared" ref="EP31:EP36" ca="1" si="383">RANK(DT31,$DP31:$EI31)</f>
        <v>5</v>
      </c>
      <c r="EQ31" s="378">
        <f t="shared" ref="EQ31:EQ36" ca="1" si="384">RANK(DU31,$DP31:$EI31)</f>
        <v>6</v>
      </c>
      <c r="ER31" s="378">
        <f t="shared" ref="ER31:ER36" ca="1" si="385">RANK(DV31,$DP31:$EI31)</f>
        <v>7</v>
      </c>
      <c r="ES31" s="378">
        <f t="shared" ref="ES31:ES36" ca="1" si="386">RANK(DW31,$DP31:$EI31)</f>
        <v>8</v>
      </c>
      <c r="ET31" s="378">
        <f t="shared" ref="ET31:ET36" ca="1" si="387">RANK(DX31,$DP31:$EI31)</f>
        <v>9</v>
      </c>
      <c r="EU31" s="378">
        <f t="shared" ref="EU31:EU36" ca="1" si="388">RANK(DY31,$DP31:$EI31)</f>
        <v>10</v>
      </c>
      <c r="EV31" s="378">
        <f t="shared" ref="EV31:EV36" ca="1" si="389">RANK(DZ31,$DP31:$EI31)</f>
        <v>11</v>
      </c>
      <c r="EW31" s="378">
        <f t="shared" ref="EW31:EW36" ca="1" si="390">RANK(EA31,$DP31:$EI31)</f>
        <v>12</v>
      </c>
      <c r="EX31" s="378">
        <f t="shared" ref="EX31:EX36" ca="1" si="391">RANK(EB31,$DP31:$EI31)</f>
        <v>13</v>
      </c>
      <c r="EY31" s="378">
        <f t="shared" ref="EY31:EY36" ca="1" si="392">RANK(EC31,$DP31:$EI31)</f>
        <v>14</v>
      </c>
      <c r="EZ31" s="378">
        <f t="shared" ref="EZ31:EZ36" ca="1" si="393">RANK(ED31,$DP31:$EI31)</f>
        <v>15</v>
      </c>
      <c r="FA31" s="378">
        <f t="shared" ref="FA31:FA36" ca="1" si="394">RANK(EE31,$DP31:$EI31)</f>
        <v>16</v>
      </c>
      <c r="FB31" s="378">
        <f t="shared" ref="FB31:FB36" ca="1" si="395">RANK(EF31,$DP31:$EI31)</f>
        <v>17</v>
      </c>
      <c r="FC31" s="378">
        <f t="shared" ref="FC31:FC36" ca="1" si="396">RANK(EG31,$DP31:$EI31)</f>
        <v>18</v>
      </c>
      <c r="FD31" s="378">
        <f t="shared" ref="FD31:FD36" ca="1" si="397">RANK(EH31,$DP31:$EI31)</f>
        <v>19</v>
      </c>
      <c r="FE31" s="378">
        <f t="shared" ref="FE31:FE36" ca="1" si="398">RANK(EI31,$DP31:$EI31)</f>
        <v>20</v>
      </c>
      <c r="FG31" s="378">
        <f t="shared" ca="1" si="309"/>
        <v>4</v>
      </c>
      <c r="FH31" s="378">
        <f t="shared" ca="1" si="309"/>
        <v>1</v>
      </c>
      <c r="FI31" s="378">
        <f t="shared" ca="1" si="309"/>
        <v>2</v>
      </c>
      <c r="FJ31" s="378">
        <f t="shared" ca="1" si="309"/>
        <v>3</v>
      </c>
      <c r="FK31" s="378">
        <f t="shared" ca="1" si="309"/>
        <v>5</v>
      </c>
      <c r="FL31" s="378">
        <f t="shared" ca="1" si="309"/>
        <v>6</v>
      </c>
      <c r="FM31" s="378">
        <f t="shared" ca="1" si="309"/>
        <v>7</v>
      </c>
      <c r="FN31" s="378">
        <f t="shared" ca="1" si="309"/>
        <v>8</v>
      </c>
      <c r="FO31" s="378">
        <f t="shared" ca="1" si="309"/>
        <v>9</v>
      </c>
      <c r="FP31" s="378">
        <f t="shared" ca="1" si="309"/>
        <v>10</v>
      </c>
      <c r="FQ31" s="378">
        <f t="shared" ca="1" si="309"/>
        <v>11</v>
      </c>
      <c r="FR31" s="378">
        <f t="shared" ca="1" si="309"/>
        <v>12</v>
      </c>
      <c r="FS31" s="378">
        <f t="shared" ca="1" si="309"/>
        <v>13</v>
      </c>
      <c r="FT31" s="378">
        <f t="shared" ca="1" si="309"/>
        <v>14</v>
      </c>
      <c r="FU31" s="378">
        <f t="shared" ca="1" si="309"/>
        <v>15</v>
      </c>
      <c r="FV31" s="378">
        <f t="shared" ca="1" si="309"/>
        <v>16</v>
      </c>
      <c r="FW31" s="378">
        <f t="shared" ca="1" si="310"/>
        <v>17</v>
      </c>
      <c r="FX31" s="378">
        <f t="shared" ca="1" si="310"/>
        <v>18</v>
      </c>
      <c r="FY31" s="378">
        <f t="shared" ca="1" si="310"/>
        <v>19</v>
      </c>
      <c r="FZ31" s="378">
        <f t="shared" ca="1" si="310"/>
        <v>20</v>
      </c>
      <c r="GB31" s="275" t="str">
        <f t="shared" ref="GB31:GB36" ca="1" si="399">IF(GB$5&lt;=$BV31,INDEX($Y31:$BL31,1,FG31*2-1)&amp;" ("&amp;TEXT(INDEX($DP31:$EI31,1,FG31),"0%")&amp;")","")</f>
        <v>Enhance BI Platform (38%)</v>
      </c>
      <c r="GC31" s="231" t="str">
        <f t="shared" ref="GC31:GC36" ca="1" si="400">IF(GC$5&lt;=$BV31,"; "&amp;INDEX($Y31:$BL31,1,FH31*2-1)&amp;" ("&amp;TEXT(INDEX($DP31:$EI31,1,FH31),"0%")&amp;")","")</f>
        <v>; BI Applications (29%)</v>
      </c>
      <c r="GD31" s="231" t="str">
        <f t="shared" ref="GD31:GD36" ca="1" si="401">IF(GD$5&lt;=$BV31,"; "&amp;INDEX($Y31:$BL31,1,FI31*2-1)&amp;" ("&amp;TEXT(INDEX($DP31:$EI31,1,FI31),"0%")&amp;")","")</f>
        <v>; Source System Inclusion / Integration (29%)</v>
      </c>
      <c r="GE31" s="231" t="str">
        <f t="shared" ref="GE31:GE36" ca="1" si="402">IF(GE$5&lt;=$BV31,"; "&amp;INDEX($Y31:$BL31,1,FJ31*2-1)&amp;" ("&amp;TEXT(INDEX($DP31:$EI31,1,FJ31),"0%")&amp;")","")</f>
        <v/>
      </c>
      <c r="GF31" s="231" t="str">
        <f t="shared" ref="GF31:GF36" ca="1" si="403">IF(GF$5&lt;=$BV31,"; "&amp;INDEX($Y31:$BL31,1,FK31*2-1)&amp;" ("&amp;TEXT(INDEX($DP31:$EI31,1,FK31),"0%")&amp;")","")</f>
        <v/>
      </c>
      <c r="GG31" s="231" t="str">
        <f t="shared" ref="GG31:GG36" ca="1" si="404">IF(GG$5&lt;=$BV31,"; "&amp;INDEX($Y31:$BL31,1,FL31*2-1)&amp;" ("&amp;TEXT(INDEX($DP31:$EI31,1,FL31),"0%")&amp;")","")</f>
        <v/>
      </c>
      <c r="GH31" s="231" t="str">
        <f t="shared" ref="GH31:GH36" ca="1" si="405">IF(GH$5&lt;=$BV31,"; "&amp;INDEX($Y31:$BL31,1,FM31*2-1)&amp;" ("&amp;TEXT(INDEX($DP31:$EI31,1,FM31),"0%")&amp;")","")</f>
        <v/>
      </c>
      <c r="GI31" s="231" t="str">
        <f t="shared" ref="GI31:GI36" ca="1" si="406">IF(GI$5&lt;=$BV31,"; "&amp;INDEX($Y31:$BL31,1,FN31*2-1)&amp;" ("&amp;TEXT(INDEX($DP31:$EI31,1,FN31),"0%")&amp;")","")</f>
        <v/>
      </c>
      <c r="GJ31" s="231" t="str">
        <f t="shared" ref="GJ31:GJ36" ca="1" si="407">IF(GJ$5&lt;=$BV31,"; "&amp;INDEX($Y31:$BL31,1,FO31*2-1)&amp;" ("&amp;TEXT(INDEX($DP31:$EI31,1,FO31),"0%")&amp;")","")</f>
        <v/>
      </c>
      <c r="GK31" s="231" t="str">
        <f t="shared" ref="GK31:GK36" ca="1" si="408">IF(GK$5&lt;=$BV31,"; "&amp;INDEX($Y31:$BL31,1,FP31*2-1)&amp;" ("&amp;TEXT(INDEX($DP31:$EI31,1,FP31),"0%")&amp;")","")</f>
        <v/>
      </c>
      <c r="GL31" s="231" t="str">
        <f t="shared" ref="GL31:GL36" ca="1" si="409">IF(GL$5&lt;=$BV31,"; "&amp;INDEX($Y31:$BL31,1,FQ31*2-1)&amp;" ("&amp;TEXT(INDEX($DP31:$EI31,1,FQ31),"0%")&amp;")","")</f>
        <v/>
      </c>
      <c r="GM31" s="231" t="str">
        <f t="shared" ref="GM31:GM36" ca="1" si="410">IF(GM$5&lt;=$BV31,"; "&amp;INDEX($Y31:$BL31,1,FR31*2-1)&amp;" ("&amp;TEXT(INDEX($DP31:$EI31,1,FR31),"0%")&amp;")","")</f>
        <v/>
      </c>
      <c r="GN31" s="231" t="str">
        <f t="shared" ref="GN31:GN36" ca="1" si="411">IF(GN$5&lt;=$BV31,"; "&amp;INDEX($Y31:$BL31,1,FS31*2-1)&amp;" ("&amp;TEXT(INDEX($DP31:$EI31,1,FS31),"0%")&amp;")","")</f>
        <v/>
      </c>
      <c r="GO31" s="231" t="str">
        <f t="shared" ref="GO31:GO36" ca="1" si="412">IF(GO$5&lt;=$BV31,"; "&amp;INDEX($Y31:$BL31,1,FT31*2-1)&amp;" ("&amp;TEXT(INDEX($DP31:$EI31,1,FT31),"0%")&amp;")","")</f>
        <v/>
      </c>
      <c r="GP31" s="231" t="str">
        <f t="shared" ref="GP31:GP36" ca="1" si="413">IF(GP$5&lt;=$BV31,"; "&amp;INDEX($Y31:$BL31,1,FU31*2-1)&amp;" ("&amp;TEXT(INDEX($DP31:$EI31,1,FU31),"0%")&amp;")","")</f>
        <v/>
      </c>
      <c r="GQ31" s="231" t="str">
        <f t="shared" ref="GQ31:GQ36" ca="1" si="414">IF(GQ$5&lt;=$BV31,"; "&amp;INDEX($Y31:$BL31,1,FV31*2-1)&amp;" ("&amp;TEXT(INDEX($DP31:$EI31,1,FV31),"0%")&amp;")","")</f>
        <v/>
      </c>
      <c r="GR31" s="231" t="str">
        <f t="shared" ref="GR31:GR36" ca="1" si="415">IF(GR$5&lt;=$BV31,"; "&amp;INDEX($Y31:$BL31,1,FW31*2-1)&amp;" ("&amp;TEXT(INDEX($DP31:$EI31,1,FW31),"0%")&amp;")","")</f>
        <v/>
      </c>
      <c r="GS31" s="231" t="str">
        <f t="shared" ref="GS31:GS36" ca="1" si="416">IF(GS$5&lt;=$BV31,"; "&amp;INDEX($Y31:$BL31,1,FX31*2-1)&amp;" ("&amp;TEXT(INDEX($DP31:$EI31,1,FX31),"0%")&amp;")","")</f>
        <v/>
      </c>
      <c r="GT31" s="231" t="str">
        <f t="shared" ref="GT31:GT36" ca="1" si="417">IF(GT$5&lt;=$BV31,"; "&amp;INDEX($Y31:$BL31,1,FY31*2-1)&amp;" ("&amp;TEXT(INDEX($DP31:$EI31,1,FY31),"0%")&amp;")","")</f>
        <v/>
      </c>
      <c r="GU31" s="231" t="str">
        <f t="shared" ref="GU31:GU36" ca="1" si="418">IF(GU$5&lt;=$BV31,"; "&amp;INDEX($Y31:$BL31,1,FZ31*2-1)&amp;" ("&amp;TEXT(INDEX($DP31:$EI31,1,FZ31),"0%")&amp;")","")</f>
        <v/>
      </c>
    </row>
    <row r="32" spans="1:203" s="386" customFormat="1" ht="14.25" hidden="1" customHeight="1">
      <c r="B32" s="373"/>
      <c r="C32" s="81" t="str">
        <f>'Direct Savings'!D68</f>
        <v>Security incident remediation-related expenses (incidents/yr)</v>
      </c>
      <c r="D32" s="404">
        <f t="shared" ca="1" si="331"/>
        <v>0.122307378699029</v>
      </c>
      <c r="E32" s="374">
        <f>ROW(Initiatives!A100)</f>
        <v>100</v>
      </c>
      <c r="F32" s="374">
        <f>ROW(Initiatives!A101)</f>
        <v>101</v>
      </c>
      <c r="G32" s="374">
        <f>ROW(Initiatives!A102)</f>
        <v>102</v>
      </c>
      <c r="H32" s="374">
        <f>ROW(Initiatives!A109)</f>
        <v>109</v>
      </c>
      <c r="I32" s="374">
        <f>ROW(Initiatives!A117)</f>
        <v>117</v>
      </c>
      <c r="J32" s="374">
        <f>ROW(Initiatives!A118)</f>
        <v>118</v>
      </c>
      <c r="K32" s="374">
        <f>ROW(Initiatives!A126)</f>
        <v>126</v>
      </c>
      <c r="L32" s="374">
        <f>ROW(Initiatives!A189)</f>
        <v>189</v>
      </c>
      <c r="M32" s="374" t="s">
        <v>975</v>
      </c>
      <c r="N32" s="374" t="s">
        <v>975</v>
      </c>
      <c r="O32" s="374" t="s">
        <v>975</v>
      </c>
      <c r="P32" s="374" t="s">
        <v>975</v>
      </c>
      <c r="Q32" s="374" t="s">
        <v>975</v>
      </c>
      <c r="R32" s="374" t="s">
        <v>975</v>
      </c>
      <c r="S32" s="374" t="s">
        <v>975</v>
      </c>
      <c r="T32" s="374" t="s">
        <v>975</v>
      </c>
      <c r="U32" s="374" t="s">
        <v>975</v>
      </c>
      <c r="V32" s="374" t="s">
        <v>975</v>
      </c>
      <c r="W32" s="374" t="s">
        <v>975</v>
      </c>
      <c r="X32" s="374" t="s">
        <v>975</v>
      </c>
      <c r="Y32" s="392" t="str">
        <f ca="1">OFFSET(Initiatives!$D$1,E32-1,$BS$3)</f>
        <v>Governance</v>
      </c>
      <c r="Z32" s="375">
        <v>6</v>
      </c>
      <c r="AA32" s="392" t="str">
        <f ca="1">OFFSET(Initiatives!$D$1,F32-1,$BS$3)</f>
        <v>Architecture</v>
      </c>
      <c r="AB32" s="375">
        <v>6</v>
      </c>
      <c r="AC32" s="392" t="str">
        <f ca="1">OFFSET(Initiatives!$D$1,G32-1,$BS$3)</f>
        <v>Robust security</v>
      </c>
      <c r="AD32" s="375">
        <v>9</v>
      </c>
      <c r="AE32" s="392" t="str">
        <f ca="1">OFFSET(Initiatives!$D$1,H32-1,$BS$3)</f>
        <v>Data Management</v>
      </c>
      <c r="AF32" s="375">
        <v>3</v>
      </c>
      <c r="AG32" s="392" t="str">
        <f ca="1">OFFSET(Initiatives!$D$1,I32-1,$BS$3)</f>
        <v>Standardized data marts</v>
      </c>
      <c r="AH32" s="375">
        <v>4</v>
      </c>
      <c r="AI32" s="392" t="str">
        <f ca="1">OFFSET(Initiatives!$D$1,J32-1,$BS$3)</f>
        <v>A single, central DW</v>
      </c>
      <c r="AJ32" s="375">
        <v>5</v>
      </c>
      <c r="AK32" s="392" t="str">
        <f ca="1">OFFSET(Initiatives!$D$1,K32-1,$BS$3)</f>
        <v>Development</v>
      </c>
      <c r="AL32" s="375">
        <v>4</v>
      </c>
      <c r="AM32" s="392" t="str">
        <f ca="1">OFFSET(Initiatives!$D$1,L32-1,$BS$3)</f>
        <v>Enhance BI Platform</v>
      </c>
      <c r="AN32" s="375">
        <v>2</v>
      </c>
      <c r="AO32" s="392" t="e">
        <f ca="1">OFFSET(Initiatives!$D$1,M32-1,$BS$3)</f>
        <v>#VALUE!</v>
      </c>
      <c r="AP32" s="375"/>
      <c r="AQ32" s="392" t="e">
        <f ca="1">OFFSET(Initiatives!$D$1,N32-1,$BS$3)</f>
        <v>#VALUE!</v>
      </c>
      <c r="AR32" s="375"/>
      <c r="AS32" s="392" t="e">
        <f ca="1">OFFSET(Initiatives!$D$1,O32-1,$BS$3)</f>
        <v>#VALUE!</v>
      </c>
      <c r="AT32" s="375"/>
      <c r="AU32" s="392" t="e">
        <f ca="1">OFFSET(Initiatives!$D$1,P32-1,$BS$3)</f>
        <v>#VALUE!</v>
      </c>
      <c r="AV32" s="375"/>
      <c r="AW32" s="392" t="e">
        <f ca="1">OFFSET(Initiatives!$D$1,Q32-1,$BS$3)</f>
        <v>#VALUE!</v>
      </c>
      <c r="AX32" s="375"/>
      <c r="AY32" s="392" t="e">
        <f ca="1">OFFSET(Initiatives!$D$1,R32-1,$BS$3)</f>
        <v>#VALUE!</v>
      </c>
      <c r="AZ32" s="375"/>
      <c r="BA32" s="392" t="e">
        <f ca="1">OFFSET(Initiatives!$D$1,S32-1,$BS$3)</f>
        <v>#VALUE!</v>
      </c>
      <c r="BB32" s="375"/>
      <c r="BC32" s="392" t="e">
        <f ca="1">OFFSET(Initiatives!$D$1,T32-1,$BS$3)</f>
        <v>#VALUE!</v>
      </c>
      <c r="BD32" s="375"/>
      <c r="BE32" s="392" t="e">
        <f ca="1">OFFSET(Initiatives!$D$1,U32-1,$BS$3)</f>
        <v>#VALUE!</v>
      </c>
      <c r="BF32" s="375"/>
      <c r="BG32" s="392" t="e">
        <f ca="1">OFFSET(Initiatives!$D$1,V32-1,$BS$3)</f>
        <v>#VALUE!</v>
      </c>
      <c r="BH32" s="375"/>
      <c r="BI32" s="392" t="e">
        <f ca="1">OFFSET(Initiatives!$D$1,W32-1,$BS$3)</f>
        <v>#VALUE!</v>
      </c>
      <c r="BJ32" s="375"/>
      <c r="BK32" s="392" t="e">
        <f ca="1">OFFSET(Initiatives!$D$1,X32-1,$BS$3)</f>
        <v>#VALUE!</v>
      </c>
      <c r="BL32" s="375"/>
      <c r="BN32" s="101">
        <f t="shared" si="332"/>
        <v>39.000100000000003</v>
      </c>
      <c r="BP32" s="231" t="str">
        <f t="shared" ca="1" si="333"/>
        <v>Robust security (26%); Enhance BI Platform (25%); Governance (18%); Architecture (18%)</v>
      </c>
      <c r="BQ32" s="338">
        <v>0.01</v>
      </c>
      <c r="BR32" s="40">
        <f t="shared" ca="1" si="334"/>
        <v>4</v>
      </c>
      <c r="BS32" s="274">
        <v>0.05</v>
      </c>
      <c r="BT32" s="40">
        <f t="shared" ca="1" si="335"/>
        <v>5</v>
      </c>
      <c r="BU32" s="376">
        <v>7</v>
      </c>
      <c r="BV32" s="40">
        <f t="shared" ca="1" si="336"/>
        <v>4</v>
      </c>
      <c r="BY32" s="377">
        <f ca="1">IF(ISERROR(OFFSET(Initiatives!$D$1,E32-1,$BY$3)),,OFFSET(Initiatives!$D$1,E32-1,$BY$3))</f>
        <v>0.14000000000000001</v>
      </c>
      <c r="BZ32" s="377">
        <f ca="1">IF(ISERROR(OFFSET(Initiatives!$D$1,F32-1,$BY$3)),,OFFSET(Initiatives!$D$1,F32-1,$BY$3))</f>
        <v>0.14000000000000001</v>
      </c>
      <c r="CA32" s="377">
        <f ca="1">IF(ISERROR(OFFSET(Initiatives!$D$1,G32-1,$BY$3)),,OFFSET(Initiatives!$D$1,G32-1,$BY$3))</f>
        <v>0.14000000000000001</v>
      </c>
      <c r="CB32" s="377">
        <f ca="1">IF(ISERROR(OFFSET(Initiatives!$D$1,H32-1,$BY$3)),,OFFSET(Initiatives!$D$1,H32-1,$BY$3))</f>
        <v>9.9999999999999978E-2</v>
      </c>
      <c r="CC32" s="377">
        <f ca="1">IF(ISERROR(OFFSET(Initiatives!$D$1,I32-1,$BY$3)),,OFFSET(Initiatives!$D$1,I32-1,$BY$3))</f>
        <v>3.0000000000000027E-2</v>
      </c>
      <c r="CD32" s="377">
        <f ca="1">IF(ISERROR(OFFSET(Initiatives!$D$1,J32-1,$BY$3)),,OFFSET(Initiatives!$D$1,J32-1,$BY$3))</f>
        <v>3.0000000000000027E-2</v>
      </c>
      <c r="CE32" s="377">
        <f ca="1">IF(ISERROR(OFFSET(Initiatives!$D$1,K32-1,$BY$3)),,OFFSET(Initiatives!$D$1,K32-1,$BY$3))</f>
        <v>1.5000000000000124E-2</v>
      </c>
      <c r="CF32" s="377">
        <f ca="1">IF(ISERROR(OFFSET(Initiatives!$D$1,L32-1,$BY$3)),,OFFSET(Initiatives!$D$1,L32-1,$BY$3))</f>
        <v>0.6</v>
      </c>
      <c r="CG32" s="377">
        <f ca="1">IF(ISERROR(OFFSET(Initiatives!$D$1,M32-1,$BY$3)),,OFFSET(Initiatives!$D$1,M32-1,$BY$3))</f>
        <v>0</v>
      </c>
      <c r="CH32" s="377">
        <f ca="1">IF(ISERROR(OFFSET(Initiatives!$D$1,N32-1,$BY$3)),,OFFSET(Initiatives!$D$1,N32-1,$BY$3))</f>
        <v>0</v>
      </c>
      <c r="CI32" s="377">
        <f ca="1">IF(ISERROR(OFFSET(Initiatives!$D$1,O32-1,$BY$3)),,OFFSET(Initiatives!$D$1,O32-1,$BY$3))</f>
        <v>0</v>
      </c>
      <c r="CJ32" s="377">
        <f ca="1">IF(ISERROR(OFFSET(Initiatives!$D$1,P32-1,$BY$3)),,OFFSET(Initiatives!$D$1,P32-1,$BY$3))</f>
        <v>0</v>
      </c>
      <c r="CK32" s="377">
        <f ca="1">IF(ISERROR(OFFSET(Initiatives!$D$1,Q32-1,$BY$3)),,OFFSET(Initiatives!$D$1,Q32-1,$BY$3))</f>
        <v>0</v>
      </c>
      <c r="CL32" s="377">
        <f ca="1">IF(ISERROR(OFFSET(Initiatives!$D$1,R32-1,$BY$3)),,OFFSET(Initiatives!$D$1,R32-1,$BY$3))</f>
        <v>0</v>
      </c>
      <c r="CM32" s="377">
        <f ca="1">IF(ISERROR(OFFSET(Initiatives!$D$1,S32-1,$BY$3)),,OFFSET(Initiatives!$D$1,S32-1,$BY$3))</f>
        <v>0</v>
      </c>
      <c r="CN32" s="377">
        <f ca="1">IF(ISERROR(OFFSET(Initiatives!$D$1,T32-1,$BY$3)),,OFFSET(Initiatives!$D$1,T32-1,$BY$3))</f>
        <v>0</v>
      </c>
      <c r="CO32" s="377">
        <f ca="1">IF(ISERROR(OFFSET(Initiatives!$D$1,U32-1,$BY$3)),,OFFSET(Initiatives!$D$1,U32-1,$BY$3))</f>
        <v>0</v>
      </c>
      <c r="CP32" s="377">
        <f ca="1">IF(ISERROR(OFFSET(Initiatives!$D$1,V32-1,$BY$3)),,OFFSET(Initiatives!$D$1,V32-1,$BY$3))</f>
        <v>0</v>
      </c>
      <c r="CQ32" s="377">
        <f ca="1">IF(ISERROR(OFFSET(Initiatives!$D$1,W32-1,$BY$3)),,OFFSET(Initiatives!$D$1,W32-1,$BY$3))</f>
        <v>0</v>
      </c>
      <c r="CR32" s="377">
        <f ca="1">IF(ISERROR(OFFSET(Initiatives!$D$1,X32-1,$BY$3)),,OFFSET(Initiatives!$D$1,X32-1,$BY$3))</f>
        <v>0</v>
      </c>
      <c r="CT32" s="41">
        <f t="shared" ca="1" si="337"/>
        <v>2.1538406311778689E-2</v>
      </c>
      <c r="CU32" s="41">
        <f t="shared" ca="1" si="338"/>
        <v>2.1538406311778689E-2</v>
      </c>
      <c r="CV32" s="41">
        <f t="shared" ca="1" si="339"/>
        <v>3.2307609467668037E-2</v>
      </c>
      <c r="CW32" s="41">
        <f t="shared" ca="1" si="340"/>
        <v>7.692287968492386E-3</v>
      </c>
      <c r="CX32" s="41">
        <f t="shared" ca="1" si="341"/>
        <v>3.0769151873969577E-3</v>
      </c>
      <c r="CY32" s="41">
        <f t="shared" ca="1" si="342"/>
        <v>3.8461439842461973E-3</v>
      </c>
      <c r="CZ32" s="41">
        <f t="shared" ca="1" si="343"/>
        <v>1.5384575936984903E-3</v>
      </c>
      <c r="DA32" s="41">
        <f t="shared" ca="1" si="344"/>
        <v>3.0769151873969551E-2</v>
      </c>
      <c r="DB32" s="41">
        <f t="shared" ca="1" si="345"/>
        <v>0</v>
      </c>
      <c r="DC32" s="41">
        <f t="shared" ca="1" si="346"/>
        <v>0</v>
      </c>
      <c r="DD32" s="41">
        <f t="shared" ca="1" si="347"/>
        <v>0</v>
      </c>
      <c r="DE32" s="41">
        <f t="shared" ca="1" si="348"/>
        <v>0</v>
      </c>
      <c r="DF32" s="41">
        <f t="shared" ca="1" si="349"/>
        <v>0</v>
      </c>
      <c r="DG32" s="41">
        <f t="shared" ca="1" si="350"/>
        <v>0</v>
      </c>
      <c r="DH32" s="41">
        <f t="shared" ca="1" si="351"/>
        <v>0</v>
      </c>
      <c r="DI32" s="41">
        <f t="shared" ca="1" si="352"/>
        <v>0</v>
      </c>
      <c r="DJ32" s="41">
        <f t="shared" ca="1" si="353"/>
        <v>0</v>
      </c>
      <c r="DK32" s="41">
        <f t="shared" ca="1" si="354"/>
        <v>0</v>
      </c>
      <c r="DL32" s="41">
        <f t="shared" ca="1" si="355"/>
        <v>0</v>
      </c>
      <c r="DM32" s="41">
        <f t="shared" ca="1" si="356"/>
        <v>0</v>
      </c>
      <c r="DN32" s="41">
        <f t="shared" ca="1" si="357"/>
        <v>0.122307378699029</v>
      </c>
      <c r="DP32" s="41">
        <f t="shared" ca="1" si="358"/>
        <v>0.17609062893081759</v>
      </c>
      <c r="DQ32" s="41">
        <f t="shared" ca="1" si="359"/>
        <v>0.17608062893081761</v>
      </c>
      <c r="DR32" s="41">
        <f t="shared" ca="1" si="360"/>
        <v>0.26412094339622644</v>
      </c>
      <c r="DS32" s="41">
        <f t="shared" ca="1" si="361"/>
        <v>6.2853081761006263E-2</v>
      </c>
      <c r="DT32" s="41">
        <f t="shared" ca="1" si="362"/>
        <v>2.510723270440253E-2</v>
      </c>
      <c r="DU32" s="41">
        <f t="shared" ca="1" si="363"/>
        <v>3.1386540880503168E-2</v>
      </c>
      <c r="DV32" s="41">
        <f t="shared" ca="1" si="364"/>
        <v>1.2508616352201359E-2</v>
      </c>
      <c r="DW32" s="41">
        <f t="shared" ca="1" si="365"/>
        <v>0.25149232704402508</v>
      </c>
      <c r="DX32" s="41">
        <f t="shared" ca="1" si="366"/>
        <v>-9.0000000000000006E-5</v>
      </c>
      <c r="DY32" s="41">
        <f t="shared" ca="1" si="367"/>
        <v>-1E-4</v>
      </c>
      <c r="DZ32" s="41">
        <f t="shared" ca="1" si="368"/>
        <v>-1.1E-4</v>
      </c>
      <c r="EA32" s="41">
        <f t="shared" ca="1" si="369"/>
        <v>-1.2E-4</v>
      </c>
      <c r="EB32" s="41">
        <f t="shared" ca="1" si="370"/>
        <v>-1.2999999999999999E-4</v>
      </c>
      <c r="EC32" s="41">
        <f t="shared" ca="1" si="371"/>
        <v>-1.3999999999999999E-4</v>
      </c>
      <c r="ED32" s="41">
        <f t="shared" ca="1" si="372"/>
        <v>-1.4999999999999999E-4</v>
      </c>
      <c r="EE32" s="41">
        <f t="shared" ca="1" si="373"/>
        <v>-1.6000000000000001E-4</v>
      </c>
      <c r="EF32" s="41">
        <f t="shared" ca="1" si="374"/>
        <v>-1.7000000000000001E-4</v>
      </c>
      <c r="EG32" s="41">
        <f t="shared" ca="1" si="375"/>
        <v>-1.8000000000000001E-4</v>
      </c>
      <c r="EH32" s="41">
        <f t="shared" ca="1" si="376"/>
        <v>-1.9000000000000001E-4</v>
      </c>
      <c r="EI32" s="41">
        <f t="shared" ca="1" si="377"/>
        <v>-2.0000000000000001E-4</v>
      </c>
      <c r="EJ32" s="41">
        <f t="shared" ca="1" si="378"/>
        <v>0.99789999999999979</v>
      </c>
      <c r="EL32" s="378">
        <f t="shared" ca="1" si="379"/>
        <v>3</v>
      </c>
      <c r="EM32" s="378">
        <f t="shared" ca="1" si="380"/>
        <v>4</v>
      </c>
      <c r="EN32" s="378">
        <f t="shared" ca="1" si="381"/>
        <v>1</v>
      </c>
      <c r="EO32" s="378">
        <f t="shared" ca="1" si="382"/>
        <v>5</v>
      </c>
      <c r="EP32" s="378">
        <f t="shared" ca="1" si="383"/>
        <v>7</v>
      </c>
      <c r="EQ32" s="378">
        <f t="shared" ca="1" si="384"/>
        <v>6</v>
      </c>
      <c r="ER32" s="378">
        <f t="shared" ca="1" si="385"/>
        <v>8</v>
      </c>
      <c r="ES32" s="378">
        <f t="shared" ca="1" si="386"/>
        <v>2</v>
      </c>
      <c r="ET32" s="378">
        <f t="shared" ca="1" si="387"/>
        <v>9</v>
      </c>
      <c r="EU32" s="378">
        <f t="shared" ca="1" si="388"/>
        <v>10</v>
      </c>
      <c r="EV32" s="378">
        <f t="shared" ca="1" si="389"/>
        <v>11</v>
      </c>
      <c r="EW32" s="378">
        <f t="shared" ca="1" si="390"/>
        <v>12</v>
      </c>
      <c r="EX32" s="378">
        <f t="shared" ca="1" si="391"/>
        <v>13</v>
      </c>
      <c r="EY32" s="378">
        <f t="shared" ca="1" si="392"/>
        <v>14</v>
      </c>
      <c r="EZ32" s="378">
        <f t="shared" ca="1" si="393"/>
        <v>15</v>
      </c>
      <c r="FA32" s="378">
        <f t="shared" ca="1" si="394"/>
        <v>16</v>
      </c>
      <c r="FB32" s="378">
        <f t="shared" ca="1" si="395"/>
        <v>17</v>
      </c>
      <c r="FC32" s="378">
        <f t="shared" ca="1" si="396"/>
        <v>18</v>
      </c>
      <c r="FD32" s="378">
        <f t="shared" ca="1" si="397"/>
        <v>19</v>
      </c>
      <c r="FE32" s="378">
        <f t="shared" ca="1" si="398"/>
        <v>20</v>
      </c>
      <c r="FG32" s="378">
        <f t="shared" ca="1" si="309"/>
        <v>3</v>
      </c>
      <c r="FH32" s="378">
        <f t="shared" ca="1" si="309"/>
        <v>8</v>
      </c>
      <c r="FI32" s="378">
        <f t="shared" ca="1" si="309"/>
        <v>1</v>
      </c>
      <c r="FJ32" s="378">
        <f t="shared" ca="1" si="309"/>
        <v>2</v>
      </c>
      <c r="FK32" s="378">
        <f t="shared" ca="1" si="309"/>
        <v>4</v>
      </c>
      <c r="FL32" s="378">
        <f t="shared" ca="1" si="309"/>
        <v>6</v>
      </c>
      <c r="FM32" s="378">
        <f t="shared" ca="1" si="309"/>
        <v>5</v>
      </c>
      <c r="FN32" s="378">
        <f t="shared" ca="1" si="309"/>
        <v>7</v>
      </c>
      <c r="FO32" s="378">
        <f t="shared" ca="1" si="309"/>
        <v>9</v>
      </c>
      <c r="FP32" s="378">
        <f t="shared" ca="1" si="309"/>
        <v>10</v>
      </c>
      <c r="FQ32" s="378">
        <f t="shared" ca="1" si="309"/>
        <v>11</v>
      </c>
      <c r="FR32" s="378">
        <f t="shared" ca="1" si="309"/>
        <v>12</v>
      </c>
      <c r="FS32" s="378">
        <f t="shared" ca="1" si="309"/>
        <v>13</v>
      </c>
      <c r="FT32" s="378">
        <f t="shared" ca="1" si="309"/>
        <v>14</v>
      </c>
      <c r="FU32" s="378">
        <f t="shared" ca="1" si="309"/>
        <v>15</v>
      </c>
      <c r="FV32" s="378">
        <f t="shared" ca="1" si="309"/>
        <v>16</v>
      </c>
      <c r="FW32" s="378">
        <f t="shared" ca="1" si="310"/>
        <v>17</v>
      </c>
      <c r="FX32" s="378">
        <f t="shared" ca="1" si="310"/>
        <v>18</v>
      </c>
      <c r="FY32" s="378">
        <f t="shared" ca="1" si="310"/>
        <v>19</v>
      </c>
      <c r="FZ32" s="378">
        <f t="shared" ca="1" si="310"/>
        <v>20</v>
      </c>
      <c r="GB32" s="275" t="str">
        <f t="shared" ca="1" si="399"/>
        <v>Robust security (26%)</v>
      </c>
      <c r="GC32" s="231" t="str">
        <f t="shared" ca="1" si="400"/>
        <v>; Enhance BI Platform (25%)</v>
      </c>
      <c r="GD32" s="231" t="str">
        <f t="shared" ca="1" si="401"/>
        <v>; Governance (18%)</v>
      </c>
      <c r="GE32" s="231" t="str">
        <f t="shared" ca="1" si="402"/>
        <v>; Architecture (18%)</v>
      </c>
      <c r="GF32" s="231" t="str">
        <f t="shared" ca="1" si="403"/>
        <v/>
      </c>
      <c r="GG32" s="231" t="str">
        <f t="shared" ca="1" si="404"/>
        <v/>
      </c>
      <c r="GH32" s="231" t="str">
        <f t="shared" ca="1" si="405"/>
        <v/>
      </c>
      <c r="GI32" s="231" t="str">
        <f t="shared" ca="1" si="406"/>
        <v/>
      </c>
      <c r="GJ32" s="231" t="str">
        <f t="shared" ca="1" si="407"/>
        <v/>
      </c>
      <c r="GK32" s="231" t="str">
        <f t="shared" ca="1" si="408"/>
        <v/>
      </c>
      <c r="GL32" s="231" t="str">
        <f t="shared" ca="1" si="409"/>
        <v/>
      </c>
      <c r="GM32" s="231" t="str">
        <f t="shared" ca="1" si="410"/>
        <v/>
      </c>
      <c r="GN32" s="231" t="str">
        <f t="shared" ca="1" si="411"/>
        <v/>
      </c>
      <c r="GO32" s="231" t="str">
        <f t="shared" ca="1" si="412"/>
        <v/>
      </c>
      <c r="GP32" s="231" t="str">
        <f t="shared" ca="1" si="413"/>
        <v/>
      </c>
      <c r="GQ32" s="231" t="str">
        <f t="shared" ca="1" si="414"/>
        <v/>
      </c>
      <c r="GR32" s="231" t="str">
        <f t="shared" ca="1" si="415"/>
        <v/>
      </c>
      <c r="GS32" s="231" t="str">
        <f t="shared" ca="1" si="416"/>
        <v/>
      </c>
      <c r="GT32" s="231" t="str">
        <f t="shared" ca="1" si="417"/>
        <v/>
      </c>
      <c r="GU32" s="231" t="str">
        <f t="shared" ca="1" si="418"/>
        <v/>
      </c>
    </row>
    <row r="33" spans="2:203" s="386" customFormat="1" ht="14.25" hidden="1" customHeight="1">
      <c r="B33" s="373"/>
      <c r="C33" s="81" t="str">
        <f>'Direct Savings'!D69</f>
        <v>Other external services (Hours)</v>
      </c>
      <c r="D33" s="404">
        <f t="shared" ca="1" si="331"/>
        <v>0.41360335211420196</v>
      </c>
      <c r="E33" s="374">
        <f>ROW(Initiatives!A170)</f>
        <v>170</v>
      </c>
      <c r="F33" s="374">
        <f>ROW(Initiatives!A176)</f>
        <v>176</v>
      </c>
      <c r="G33" s="374">
        <f>ROW(Initiatives!A183)</f>
        <v>183</v>
      </c>
      <c r="H33" s="374">
        <f>ROW(Initiatives!A189)</f>
        <v>189</v>
      </c>
      <c r="I33" s="374" t="s">
        <v>975</v>
      </c>
      <c r="J33" s="374" t="s">
        <v>975</v>
      </c>
      <c r="K33" s="374" t="s">
        <v>975</v>
      </c>
      <c r="L33" s="374" t="s">
        <v>975</v>
      </c>
      <c r="M33" s="374" t="s">
        <v>975</v>
      </c>
      <c r="N33" s="374" t="s">
        <v>975</v>
      </c>
      <c r="O33" s="374" t="s">
        <v>975</v>
      </c>
      <c r="P33" s="374" t="s">
        <v>975</v>
      </c>
      <c r="Q33" s="374" t="s">
        <v>975</v>
      </c>
      <c r="R33" s="374" t="s">
        <v>975</v>
      </c>
      <c r="S33" s="374" t="s">
        <v>975</v>
      </c>
      <c r="T33" s="374" t="s">
        <v>975</v>
      </c>
      <c r="U33" s="374" t="s">
        <v>975</v>
      </c>
      <c r="V33" s="374" t="s">
        <v>975</v>
      </c>
      <c r="W33" s="374" t="s">
        <v>975</v>
      </c>
      <c r="X33" s="374" t="s">
        <v>975</v>
      </c>
      <c r="Y33" s="392" t="str">
        <f ca="1">OFFSET(Initiatives!$D$1,E33-1,$BS$3)</f>
        <v>BI Applications</v>
      </c>
      <c r="Z33" s="375">
        <v>5</v>
      </c>
      <c r="AA33" s="392" t="str">
        <f ca="1">OFFSET(Initiatives!$D$1,F33-1,$BS$3)</f>
        <v>Source System Inclusion / Integration</v>
      </c>
      <c r="AB33" s="375">
        <v>5</v>
      </c>
      <c r="AC33" s="392" t="str">
        <f ca="1">OFFSET(Initiatives!$D$1,G33-1,$BS$3)</f>
        <v>Enhance DW Platform</v>
      </c>
      <c r="AD33" s="375">
        <v>4</v>
      </c>
      <c r="AE33" s="392" t="str">
        <f ca="1">OFFSET(Initiatives!$D$1,H33-1,$BS$3)</f>
        <v>Enhance BI Platform</v>
      </c>
      <c r="AF33" s="375">
        <v>5</v>
      </c>
      <c r="AG33" s="392" t="e">
        <f ca="1">OFFSET(Initiatives!$D$1,I33-1,$BS$3)</f>
        <v>#VALUE!</v>
      </c>
      <c r="AH33" s="375"/>
      <c r="AI33" s="392" t="e">
        <f ca="1">OFFSET(Initiatives!$D$1,J33-1,$BS$3)</f>
        <v>#VALUE!</v>
      </c>
      <c r="AJ33" s="375"/>
      <c r="AK33" s="392" t="e">
        <f ca="1">OFFSET(Initiatives!$D$1,K33-1,$BS$3)</f>
        <v>#VALUE!</v>
      </c>
      <c r="AL33" s="375"/>
      <c r="AM33" s="392" t="e">
        <f ca="1">OFFSET(Initiatives!$D$1,L33-1,$BS$3)</f>
        <v>#VALUE!</v>
      </c>
      <c r="AN33" s="375"/>
      <c r="AO33" s="392" t="e">
        <f ca="1">OFFSET(Initiatives!$D$1,M33-1,$BS$3)</f>
        <v>#VALUE!</v>
      </c>
      <c r="AP33" s="375"/>
      <c r="AQ33" s="392" t="e">
        <f ca="1">OFFSET(Initiatives!$D$1,N33-1,$BS$3)</f>
        <v>#VALUE!</v>
      </c>
      <c r="AR33" s="375"/>
      <c r="AS33" s="392" t="e">
        <f ca="1">OFFSET(Initiatives!$D$1,O33-1,$BS$3)</f>
        <v>#VALUE!</v>
      </c>
      <c r="AT33" s="375"/>
      <c r="AU33" s="392" t="e">
        <f ca="1">OFFSET(Initiatives!$D$1,P33-1,$BS$3)</f>
        <v>#VALUE!</v>
      </c>
      <c r="AV33" s="375"/>
      <c r="AW33" s="392" t="e">
        <f ca="1">OFFSET(Initiatives!$D$1,Q33-1,$BS$3)</f>
        <v>#VALUE!</v>
      </c>
      <c r="AX33" s="375"/>
      <c r="AY33" s="392" t="e">
        <f ca="1">OFFSET(Initiatives!$D$1,R33-1,$BS$3)</f>
        <v>#VALUE!</v>
      </c>
      <c r="AZ33" s="375"/>
      <c r="BA33" s="392" t="e">
        <f ca="1">OFFSET(Initiatives!$D$1,S33-1,$BS$3)</f>
        <v>#VALUE!</v>
      </c>
      <c r="BB33" s="375"/>
      <c r="BC33" s="392" t="e">
        <f ca="1">OFFSET(Initiatives!$D$1,T33-1,$BS$3)</f>
        <v>#VALUE!</v>
      </c>
      <c r="BD33" s="375"/>
      <c r="BE33" s="392" t="e">
        <f ca="1">OFFSET(Initiatives!$D$1,U33-1,$BS$3)</f>
        <v>#VALUE!</v>
      </c>
      <c r="BF33" s="375"/>
      <c r="BG33" s="392" t="e">
        <f ca="1">OFFSET(Initiatives!$D$1,V33-1,$BS$3)</f>
        <v>#VALUE!</v>
      </c>
      <c r="BH33" s="375"/>
      <c r="BI33" s="392" t="e">
        <f ca="1">OFFSET(Initiatives!$D$1,W33-1,$BS$3)</f>
        <v>#VALUE!</v>
      </c>
      <c r="BJ33" s="375"/>
      <c r="BK33" s="392" t="e">
        <f ca="1">OFFSET(Initiatives!$D$1,X33-1,$BS$3)</f>
        <v>#VALUE!</v>
      </c>
      <c r="BL33" s="375"/>
      <c r="BN33" s="101">
        <f t="shared" si="332"/>
        <v>19.0001</v>
      </c>
      <c r="BP33" s="231" t="str">
        <f t="shared" ca="1" si="333"/>
        <v>Enhance BI Platform (38%); BI Applications (29%); Source System Inclusion / Integration (29%)</v>
      </c>
      <c r="BQ33" s="338">
        <v>0.01</v>
      </c>
      <c r="BR33" s="40">
        <f t="shared" ca="1" si="334"/>
        <v>4</v>
      </c>
      <c r="BS33" s="274">
        <v>0.05</v>
      </c>
      <c r="BT33" s="40">
        <f t="shared" ca="1" si="335"/>
        <v>3</v>
      </c>
      <c r="BU33" s="376">
        <v>7</v>
      </c>
      <c r="BV33" s="40">
        <f t="shared" ca="1" si="336"/>
        <v>3</v>
      </c>
      <c r="BY33" s="377">
        <f ca="1">IF(ISERROR(OFFSET(Initiatives!$D$1,E33-1,$BY$3)),,OFFSET(Initiatives!$D$1,E33-1,$BY$3))</f>
        <v>0.45555555555555544</v>
      </c>
      <c r="BZ33" s="377">
        <f ca="1">IF(ISERROR(OFFSET(Initiatives!$D$1,F33-1,$BY$3)),,OFFSET(Initiatives!$D$1,F33-1,$BY$3))</f>
        <v>0.45454545454545436</v>
      </c>
      <c r="CA33" s="377">
        <f ca="1">IF(ISERROR(OFFSET(Initiatives!$D$1,G33-1,$BY$3)),,OFFSET(Initiatives!$D$1,G33-1,$BY$3))</f>
        <v>7.7000000000000179E-2</v>
      </c>
      <c r="CB33" s="377">
        <f ca="1">IF(ISERROR(OFFSET(Initiatives!$D$1,H33-1,$BY$3)),,OFFSET(Initiatives!$D$1,H33-1,$BY$3))</f>
        <v>0.6</v>
      </c>
      <c r="CC33" s="377">
        <f ca="1">IF(ISERROR(OFFSET(Initiatives!$D$1,I33-1,$BY$3)),,OFFSET(Initiatives!$D$1,I33-1,$BY$3))</f>
        <v>0</v>
      </c>
      <c r="CD33" s="377">
        <f ca="1">IF(ISERROR(OFFSET(Initiatives!$D$1,J33-1,$BY$3)),,OFFSET(Initiatives!$D$1,J33-1,$BY$3))</f>
        <v>0</v>
      </c>
      <c r="CE33" s="377">
        <f ca="1">IF(ISERROR(OFFSET(Initiatives!$D$1,K33-1,$BY$3)),,OFFSET(Initiatives!$D$1,K33-1,$BY$3))</f>
        <v>0</v>
      </c>
      <c r="CF33" s="377">
        <f ca="1">IF(ISERROR(OFFSET(Initiatives!$D$1,L33-1,$BY$3)),,OFFSET(Initiatives!$D$1,L33-1,$BY$3))</f>
        <v>0</v>
      </c>
      <c r="CG33" s="377">
        <f ca="1">IF(ISERROR(OFFSET(Initiatives!$D$1,M33-1,$BY$3)),,OFFSET(Initiatives!$D$1,M33-1,$BY$3))</f>
        <v>0</v>
      </c>
      <c r="CH33" s="377">
        <f ca="1">IF(ISERROR(OFFSET(Initiatives!$D$1,N33-1,$BY$3)),,OFFSET(Initiatives!$D$1,N33-1,$BY$3))</f>
        <v>0</v>
      </c>
      <c r="CI33" s="377">
        <f ca="1">IF(ISERROR(OFFSET(Initiatives!$D$1,O33-1,$BY$3)),,OFFSET(Initiatives!$D$1,O33-1,$BY$3))</f>
        <v>0</v>
      </c>
      <c r="CJ33" s="377">
        <f ca="1">IF(ISERROR(OFFSET(Initiatives!$D$1,P33-1,$BY$3)),,OFFSET(Initiatives!$D$1,P33-1,$BY$3))</f>
        <v>0</v>
      </c>
      <c r="CK33" s="377">
        <f ca="1">IF(ISERROR(OFFSET(Initiatives!$D$1,Q33-1,$BY$3)),,OFFSET(Initiatives!$D$1,Q33-1,$BY$3))</f>
        <v>0</v>
      </c>
      <c r="CL33" s="377">
        <f ca="1">IF(ISERROR(OFFSET(Initiatives!$D$1,R33-1,$BY$3)),,OFFSET(Initiatives!$D$1,R33-1,$BY$3))</f>
        <v>0</v>
      </c>
      <c r="CM33" s="377">
        <f ca="1">IF(ISERROR(OFFSET(Initiatives!$D$1,S33-1,$BY$3)),,OFFSET(Initiatives!$D$1,S33-1,$BY$3))</f>
        <v>0</v>
      </c>
      <c r="CN33" s="377">
        <f ca="1">IF(ISERROR(OFFSET(Initiatives!$D$1,T33-1,$BY$3)),,OFFSET(Initiatives!$D$1,T33-1,$BY$3))</f>
        <v>0</v>
      </c>
      <c r="CO33" s="377">
        <f ca="1">IF(ISERROR(OFFSET(Initiatives!$D$1,U33-1,$BY$3)),,OFFSET(Initiatives!$D$1,U33-1,$BY$3))</f>
        <v>0</v>
      </c>
      <c r="CP33" s="377">
        <f ca="1">IF(ISERROR(OFFSET(Initiatives!$D$1,V33-1,$BY$3)),,OFFSET(Initiatives!$D$1,V33-1,$BY$3))</f>
        <v>0</v>
      </c>
      <c r="CQ33" s="377">
        <f ca="1">IF(ISERROR(OFFSET(Initiatives!$D$1,W33-1,$BY$3)),,OFFSET(Initiatives!$D$1,W33-1,$BY$3))</f>
        <v>0</v>
      </c>
      <c r="CR33" s="377">
        <f ca="1">IF(ISERROR(OFFSET(Initiatives!$D$1,X33-1,$BY$3)),,OFFSET(Initiatives!$D$1,X33-1,$BY$3))</f>
        <v>0</v>
      </c>
      <c r="CT33" s="41">
        <f t="shared" ca="1" si="337"/>
        <v>0.11988240997561998</v>
      </c>
      <c r="CU33" s="41">
        <f t="shared" ca="1" si="338"/>
        <v>0.11961659531935472</v>
      </c>
      <c r="CV33" s="41">
        <f t="shared" ca="1" si="339"/>
        <v>1.6210440997678998E-2</v>
      </c>
      <c r="CW33" s="41">
        <f t="shared" ca="1" si="340"/>
        <v>0.1578939058215483</v>
      </c>
      <c r="CX33" s="41">
        <f t="shared" ca="1" si="341"/>
        <v>0</v>
      </c>
      <c r="CY33" s="41">
        <f t="shared" ca="1" si="342"/>
        <v>0</v>
      </c>
      <c r="CZ33" s="41">
        <f t="shared" ca="1" si="343"/>
        <v>0</v>
      </c>
      <c r="DA33" s="41">
        <f t="shared" ca="1" si="344"/>
        <v>0</v>
      </c>
      <c r="DB33" s="41">
        <f t="shared" ca="1" si="345"/>
        <v>0</v>
      </c>
      <c r="DC33" s="41">
        <f t="shared" ca="1" si="346"/>
        <v>0</v>
      </c>
      <c r="DD33" s="41">
        <f t="shared" ca="1" si="347"/>
        <v>0</v>
      </c>
      <c r="DE33" s="41">
        <f t="shared" ca="1" si="348"/>
        <v>0</v>
      </c>
      <c r="DF33" s="41">
        <f t="shared" ca="1" si="349"/>
        <v>0</v>
      </c>
      <c r="DG33" s="41">
        <f t="shared" ca="1" si="350"/>
        <v>0</v>
      </c>
      <c r="DH33" s="41">
        <f t="shared" ca="1" si="351"/>
        <v>0</v>
      </c>
      <c r="DI33" s="41">
        <f t="shared" ca="1" si="352"/>
        <v>0</v>
      </c>
      <c r="DJ33" s="41">
        <f t="shared" ca="1" si="353"/>
        <v>0</v>
      </c>
      <c r="DK33" s="41">
        <f t="shared" ca="1" si="354"/>
        <v>0</v>
      </c>
      <c r="DL33" s="41">
        <f t="shared" ca="1" si="355"/>
        <v>0</v>
      </c>
      <c r="DM33" s="41">
        <f t="shared" ca="1" si="356"/>
        <v>0</v>
      </c>
      <c r="DN33" s="41">
        <f t="shared" ca="1" si="357"/>
        <v>0.41360335211420196</v>
      </c>
      <c r="DP33" s="41">
        <f t="shared" ca="1" si="358"/>
        <v>0.28983873880451211</v>
      </c>
      <c r="DQ33" s="41">
        <f t="shared" ca="1" si="359"/>
        <v>0.28918605867412506</v>
      </c>
      <c r="DR33" s="41">
        <f t="shared" ca="1" si="360"/>
        <v>3.9163205071517541E-2</v>
      </c>
      <c r="DS33" s="41">
        <f t="shared" ca="1" si="361"/>
        <v>0.38171199744984535</v>
      </c>
      <c r="DT33" s="41">
        <f t="shared" ca="1" si="362"/>
        <v>-5.0000000000000002E-5</v>
      </c>
      <c r="DU33" s="41">
        <f t="shared" ca="1" si="363"/>
        <v>-6.0000000000000002E-5</v>
      </c>
      <c r="DV33" s="41">
        <f t="shared" ca="1" si="364"/>
        <v>-6.9999999999999994E-5</v>
      </c>
      <c r="DW33" s="41">
        <f t="shared" ca="1" si="365"/>
        <v>-8.0000000000000007E-5</v>
      </c>
      <c r="DX33" s="41">
        <f t="shared" ca="1" si="366"/>
        <v>-9.0000000000000006E-5</v>
      </c>
      <c r="DY33" s="41">
        <f t="shared" ca="1" si="367"/>
        <v>-1E-4</v>
      </c>
      <c r="DZ33" s="41">
        <f t="shared" ca="1" si="368"/>
        <v>-1.1E-4</v>
      </c>
      <c r="EA33" s="41">
        <f t="shared" ca="1" si="369"/>
        <v>-1.2E-4</v>
      </c>
      <c r="EB33" s="41">
        <f t="shared" ca="1" si="370"/>
        <v>-1.2999999999999999E-4</v>
      </c>
      <c r="EC33" s="41">
        <f t="shared" ca="1" si="371"/>
        <v>-1.3999999999999999E-4</v>
      </c>
      <c r="ED33" s="41">
        <f t="shared" ca="1" si="372"/>
        <v>-1.4999999999999999E-4</v>
      </c>
      <c r="EE33" s="41">
        <f t="shared" ca="1" si="373"/>
        <v>-1.6000000000000001E-4</v>
      </c>
      <c r="EF33" s="41">
        <f t="shared" ca="1" si="374"/>
        <v>-1.7000000000000001E-4</v>
      </c>
      <c r="EG33" s="41">
        <f t="shared" ca="1" si="375"/>
        <v>-1.8000000000000001E-4</v>
      </c>
      <c r="EH33" s="41">
        <f t="shared" ca="1" si="376"/>
        <v>-1.9000000000000001E-4</v>
      </c>
      <c r="EI33" s="41">
        <f t="shared" ca="1" si="377"/>
        <v>-2.0000000000000001E-4</v>
      </c>
      <c r="EJ33" s="41">
        <f t="shared" ca="1" si="378"/>
        <v>0.99790000000000001</v>
      </c>
      <c r="EL33" s="378">
        <f t="shared" ca="1" si="379"/>
        <v>2</v>
      </c>
      <c r="EM33" s="378">
        <f t="shared" ca="1" si="380"/>
        <v>3</v>
      </c>
      <c r="EN33" s="378">
        <f t="shared" ca="1" si="381"/>
        <v>4</v>
      </c>
      <c r="EO33" s="378">
        <f t="shared" ca="1" si="382"/>
        <v>1</v>
      </c>
      <c r="EP33" s="378">
        <f t="shared" ca="1" si="383"/>
        <v>5</v>
      </c>
      <c r="EQ33" s="378">
        <f t="shared" ca="1" si="384"/>
        <v>6</v>
      </c>
      <c r="ER33" s="378">
        <f t="shared" ca="1" si="385"/>
        <v>7</v>
      </c>
      <c r="ES33" s="378">
        <f t="shared" ca="1" si="386"/>
        <v>8</v>
      </c>
      <c r="ET33" s="378">
        <f t="shared" ca="1" si="387"/>
        <v>9</v>
      </c>
      <c r="EU33" s="378">
        <f t="shared" ca="1" si="388"/>
        <v>10</v>
      </c>
      <c r="EV33" s="378">
        <f t="shared" ca="1" si="389"/>
        <v>11</v>
      </c>
      <c r="EW33" s="378">
        <f t="shared" ca="1" si="390"/>
        <v>12</v>
      </c>
      <c r="EX33" s="378">
        <f t="shared" ca="1" si="391"/>
        <v>13</v>
      </c>
      <c r="EY33" s="378">
        <f t="shared" ca="1" si="392"/>
        <v>14</v>
      </c>
      <c r="EZ33" s="378">
        <f t="shared" ca="1" si="393"/>
        <v>15</v>
      </c>
      <c r="FA33" s="378">
        <f t="shared" ca="1" si="394"/>
        <v>16</v>
      </c>
      <c r="FB33" s="378">
        <f t="shared" ca="1" si="395"/>
        <v>17</v>
      </c>
      <c r="FC33" s="378">
        <f t="shared" ca="1" si="396"/>
        <v>18</v>
      </c>
      <c r="FD33" s="378">
        <f t="shared" ca="1" si="397"/>
        <v>19</v>
      </c>
      <c r="FE33" s="378">
        <f t="shared" ca="1" si="398"/>
        <v>20</v>
      </c>
      <c r="FG33" s="378">
        <f t="shared" ca="1" si="309"/>
        <v>4</v>
      </c>
      <c r="FH33" s="378">
        <f t="shared" ca="1" si="309"/>
        <v>1</v>
      </c>
      <c r="FI33" s="378">
        <f t="shared" ca="1" si="309"/>
        <v>2</v>
      </c>
      <c r="FJ33" s="378">
        <f t="shared" ca="1" si="309"/>
        <v>3</v>
      </c>
      <c r="FK33" s="378">
        <f t="shared" ca="1" si="309"/>
        <v>5</v>
      </c>
      <c r="FL33" s="378">
        <f t="shared" ca="1" si="309"/>
        <v>6</v>
      </c>
      <c r="FM33" s="378">
        <f t="shared" ca="1" si="309"/>
        <v>7</v>
      </c>
      <c r="FN33" s="378">
        <f t="shared" ca="1" si="309"/>
        <v>8</v>
      </c>
      <c r="FO33" s="378">
        <f t="shared" ca="1" si="309"/>
        <v>9</v>
      </c>
      <c r="FP33" s="378">
        <f t="shared" ca="1" si="309"/>
        <v>10</v>
      </c>
      <c r="FQ33" s="378">
        <f t="shared" ca="1" si="309"/>
        <v>11</v>
      </c>
      <c r="FR33" s="378">
        <f t="shared" ca="1" si="309"/>
        <v>12</v>
      </c>
      <c r="FS33" s="378">
        <f t="shared" ca="1" si="309"/>
        <v>13</v>
      </c>
      <c r="FT33" s="378">
        <f t="shared" ca="1" si="309"/>
        <v>14</v>
      </c>
      <c r="FU33" s="378">
        <f t="shared" ca="1" si="309"/>
        <v>15</v>
      </c>
      <c r="FV33" s="378">
        <f t="shared" ca="1" si="309"/>
        <v>16</v>
      </c>
      <c r="FW33" s="378">
        <f t="shared" ca="1" si="310"/>
        <v>17</v>
      </c>
      <c r="FX33" s="378">
        <f t="shared" ca="1" si="310"/>
        <v>18</v>
      </c>
      <c r="FY33" s="378">
        <f t="shared" ca="1" si="310"/>
        <v>19</v>
      </c>
      <c r="FZ33" s="378">
        <f t="shared" ca="1" si="310"/>
        <v>20</v>
      </c>
      <c r="GB33" s="275" t="str">
        <f t="shared" ca="1" si="399"/>
        <v>Enhance BI Platform (38%)</v>
      </c>
      <c r="GC33" s="231" t="str">
        <f t="shared" ca="1" si="400"/>
        <v>; BI Applications (29%)</v>
      </c>
      <c r="GD33" s="231" t="str">
        <f t="shared" ca="1" si="401"/>
        <v>; Source System Inclusion / Integration (29%)</v>
      </c>
      <c r="GE33" s="231" t="str">
        <f t="shared" ca="1" si="402"/>
        <v/>
      </c>
      <c r="GF33" s="231" t="str">
        <f t="shared" ca="1" si="403"/>
        <v/>
      </c>
      <c r="GG33" s="231" t="str">
        <f t="shared" ca="1" si="404"/>
        <v/>
      </c>
      <c r="GH33" s="231" t="str">
        <f t="shared" ca="1" si="405"/>
        <v/>
      </c>
      <c r="GI33" s="231" t="str">
        <f t="shared" ca="1" si="406"/>
        <v/>
      </c>
      <c r="GJ33" s="231" t="str">
        <f t="shared" ca="1" si="407"/>
        <v/>
      </c>
      <c r="GK33" s="231" t="str">
        <f t="shared" ca="1" si="408"/>
        <v/>
      </c>
      <c r="GL33" s="231" t="str">
        <f t="shared" ca="1" si="409"/>
        <v/>
      </c>
      <c r="GM33" s="231" t="str">
        <f t="shared" ca="1" si="410"/>
        <v/>
      </c>
      <c r="GN33" s="231" t="str">
        <f t="shared" ca="1" si="411"/>
        <v/>
      </c>
      <c r="GO33" s="231" t="str">
        <f t="shared" ca="1" si="412"/>
        <v/>
      </c>
      <c r="GP33" s="231" t="str">
        <f t="shared" ca="1" si="413"/>
        <v/>
      </c>
      <c r="GQ33" s="231" t="str">
        <f t="shared" ca="1" si="414"/>
        <v/>
      </c>
      <c r="GR33" s="231" t="str">
        <f t="shared" ca="1" si="415"/>
        <v/>
      </c>
      <c r="GS33" s="231" t="str">
        <f t="shared" ca="1" si="416"/>
        <v/>
      </c>
      <c r="GT33" s="231" t="str">
        <f t="shared" ca="1" si="417"/>
        <v/>
      </c>
      <c r="GU33" s="231" t="str">
        <f t="shared" ca="1" si="418"/>
        <v/>
      </c>
    </row>
    <row r="34" spans="2:203" s="386" customFormat="1" ht="14.25" hidden="1" customHeight="1">
      <c r="B34" s="373"/>
      <c r="C34" s="81" t="str">
        <f>'Direct Savings'!D70</f>
        <v>Other</v>
      </c>
      <c r="D34" s="404">
        <f t="shared" ca="1" si="331"/>
        <v>0</v>
      </c>
      <c r="E34" s="374"/>
      <c r="F34" s="374"/>
      <c r="G34" s="374"/>
      <c r="H34" s="374"/>
      <c r="I34" s="374" t="s">
        <v>975</v>
      </c>
      <c r="J34" s="374" t="s">
        <v>975</v>
      </c>
      <c r="K34" s="374" t="s">
        <v>975</v>
      </c>
      <c r="L34" s="374" t="s">
        <v>975</v>
      </c>
      <c r="M34" s="374" t="s">
        <v>975</v>
      </c>
      <c r="N34" s="374" t="s">
        <v>975</v>
      </c>
      <c r="O34" s="374" t="s">
        <v>975</v>
      </c>
      <c r="P34" s="374" t="s">
        <v>975</v>
      </c>
      <c r="Q34" s="374" t="s">
        <v>975</v>
      </c>
      <c r="R34" s="374" t="s">
        <v>975</v>
      </c>
      <c r="S34" s="374" t="s">
        <v>975</v>
      </c>
      <c r="T34" s="374" t="s">
        <v>975</v>
      </c>
      <c r="U34" s="374" t="s">
        <v>975</v>
      </c>
      <c r="V34" s="374" t="s">
        <v>975</v>
      </c>
      <c r="W34" s="374" t="s">
        <v>975</v>
      </c>
      <c r="X34" s="374" t="s">
        <v>975</v>
      </c>
      <c r="Y34" s="392" t="e">
        <f ca="1">OFFSET(Initiatives!$D$1,E34-1,$BS$3)</f>
        <v>#REF!</v>
      </c>
      <c r="Z34" s="375"/>
      <c r="AA34" s="392" t="e">
        <f ca="1">OFFSET(Initiatives!$D$1,F34-1,$BS$3)</f>
        <v>#REF!</v>
      </c>
      <c r="AB34" s="375"/>
      <c r="AC34" s="392" t="e">
        <f ca="1">OFFSET(Initiatives!$D$1,G34-1,$BS$3)</f>
        <v>#REF!</v>
      </c>
      <c r="AD34" s="375"/>
      <c r="AE34" s="392" t="e">
        <f ca="1">OFFSET(Initiatives!$D$1,H34-1,$BS$3)</f>
        <v>#REF!</v>
      </c>
      <c r="AF34" s="375"/>
      <c r="AG34" s="392" t="e">
        <f ca="1">OFFSET(Initiatives!$D$1,I34-1,$BS$3)</f>
        <v>#VALUE!</v>
      </c>
      <c r="AH34" s="375"/>
      <c r="AI34" s="392" t="e">
        <f ca="1">OFFSET(Initiatives!$D$1,J34-1,$BS$3)</f>
        <v>#VALUE!</v>
      </c>
      <c r="AJ34" s="375"/>
      <c r="AK34" s="392" t="e">
        <f ca="1">OFFSET(Initiatives!$D$1,K34-1,$BS$3)</f>
        <v>#VALUE!</v>
      </c>
      <c r="AL34" s="375"/>
      <c r="AM34" s="392" t="e">
        <f ca="1">OFFSET(Initiatives!$D$1,L34-1,$BS$3)</f>
        <v>#VALUE!</v>
      </c>
      <c r="AN34" s="375"/>
      <c r="AO34" s="392" t="e">
        <f ca="1">OFFSET(Initiatives!$D$1,M34-1,$BS$3)</f>
        <v>#VALUE!</v>
      </c>
      <c r="AP34" s="375"/>
      <c r="AQ34" s="392" t="e">
        <f ca="1">OFFSET(Initiatives!$D$1,N34-1,$BS$3)</f>
        <v>#VALUE!</v>
      </c>
      <c r="AR34" s="375"/>
      <c r="AS34" s="392" t="e">
        <f ca="1">OFFSET(Initiatives!$D$1,O34-1,$BS$3)</f>
        <v>#VALUE!</v>
      </c>
      <c r="AT34" s="375"/>
      <c r="AU34" s="392" t="e">
        <f ca="1">OFFSET(Initiatives!$D$1,P34-1,$BS$3)</f>
        <v>#VALUE!</v>
      </c>
      <c r="AV34" s="375"/>
      <c r="AW34" s="392" t="e">
        <f ca="1">OFFSET(Initiatives!$D$1,Q34-1,$BS$3)</f>
        <v>#VALUE!</v>
      </c>
      <c r="AX34" s="375"/>
      <c r="AY34" s="392" t="e">
        <f ca="1">OFFSET(Initiatives!$D$1,R34-1,$BS$3)</f>
        <v>#VALUE!</v>
      </c>
      <c r="AZ34" s="375"/>
      <c r="BA34" s="392" t="e">
        <f ca="1">OFFSET(Initiatives!$D$1,S34-1,$BS$3)</f>
        <v>#VALUE!</v>
      </c>
      <c r="BB34" s="375"/>
      <c r="BC34" s="392" t="e">
        <f ca="1">OFFSET(Initiatives!$D$1,T34-1,$BS$3)</f>
        <v>#VALUE!</v>
      </c>
      <c r="BD34" s="375"/>
      <c r="BE34" s="392" t="e">
        <f ca="1">OFFSET(Initiatives!$D$1,U34-1,$BS$3)</f>
        <v>#VALUE!</v>
      </c>
      <c r="BF34" s="375"/>
      <c r="BG34" s="392" t="e">
        <f ca="1">OFFSET(Initiatives!$D$1,V34-1,$BS$3)</f>
        <v>#VALUE!</v>
      </c>
      <c r="BH34" s="375"/>
      <c r="BI34" s="392" t="e">
        <f ca="1">OFFSET(Initiatives!$D$1,W34-1,$BS$3)</f>
        <v>#VALUE!</v>
      </c>
      <c r="BJ34" s="375"/>
      <c r="BK34" s="392" t="e">
        <f ca="1">OFFSET(Initiatives!$D$1,X34-1,$BS$3)</f>
        <v>#VALUE!</v>
      </c>
      <c r="BL34" s="375"/>
      <c r="BN34" s="101">
        <f t="shared" si="332"/>
        <v>1E-4</v>
      </c>
      <c r="BP34" s="231" t="str">
        <f t="shared" ca="1" si="333"/>
        <v/>
      </c>
      <c r="BQ34" s="338">
        <v>0.01</v>
      </c>
      <c r="BR34" s="40">
        <f t="shared" ca="1" si="334"/>
        <v>0</v>
      </c>
      <c r="BS34" s="274">
        <v>0.05</v>
      </c>
      <c r="BT34" s="40">
        <f t="shared" ca="1" si="335"/>
        <v>0</v>
      </c>
      <c r="BU34" s="376">
        <v>7</v>
      </c>
      <c r="BV34" s="40">
        <f t="shared" ca="1" si="336"/>
        <v>0</v>
      </c>
      <c r="BY34" s="377">
        <f ca="1">IF(ISERROR(OFFSET(Initiatives!$D$1,E34-1,$BY$3)),,OFFSET(Initiatives!$D$1,E34-1,$BY$3))</f>
        <v>0</v>
      </c>
      <c r="BZ34" s="377">
        <f ca="1">IF(ISERROR(OFFSET(Initiatives!$D$1,F34-1,$BY$3)),,OFFSET(Initiatives!$D$1,F34-1,$BY$3))</f>
        <v>0</v>
      </c>
      <c r="CA34" s="377">
        <f ca="1">IF(ISERROR(OFFSET(Initiatives!$D$1,G34-1,$BY$3)),,OFFSET(Initiatives!$D$1,G34-1,$BY$3))</f>
        <v>0</v>
      </c>
      <c r="CB34" s="377">
        <f ca="1">IF(ISERROR(OFFSET(Initiatives!$D$1,H34-1,$BY$3)),,OFFSET(Initiatives!$D$1,H34-1,$BY$3))</f>
        <v>0</v>
      </c>
      <c r="CC34" s="377">
        <f ca="1">IF(ISERROR(OFFSET(Initiatives!$D$1,I34-1,$BY$3)),,OFFSET(Initiatives!$D$1,I34-1,$BY$3))</f>
        <v>0</v>
      </c>
      <c r="CD34" s="377">
        <f ca="1">IF(ISERROR(OFFSET(Initiatives!$D$1,J34-1,$BY$3)),,OFFSET(Initiatives!$D$1,J34-1,$BY$3))</f>
        <v>0</v>
      </c>
      <c r="CE34" s="377">
        <f ca="1">IF(ISERROR(OFFSET(Initiatives!$D$1,K34-1,$BY$3)),,OFFSET(Initiatives!$D$1,K34-1,$BY$3))</f>
        <v>0</v>
      </c>
      <c r="CF34" s="377">
        <f ca="1">IF(ISERROR(OFFSET(Initiatives!$D$1,L34-1,$BY$3)),,OFFSET(Initiatives!$D$1,L34-1,$BY$3))</f>
        <v>0</v>
      </c>
      <c r="CG34" s="377">
        <f ca="1">IF(ISERROR(OFFSET(Initiatives!$D$1,M34-1,$BY$3)),,OFFSET(Initiatives!$D$1,M34-1,$BY$3))</f>
        <v>0</v>
      </c>
      <c r="CH34" s="377">
        <f ca="1">IF(ISERROR(OFFSET(Initiatives!$D$1,N34-1,$BY$3)),,OFFSET(Initiatives!$D$1,N34-1,$BY$3))</f>
        <v>0</v>
      </c>
      <c r="CI34" s="377">
        <f ca="1">IF(ISERROR(OFFSET(Initiatives!$D$1,O34-1,$BY$3)),,OFFSET(Initiatives!$D$1,O34-1,$BY$3))</f>
        <v>0</v>
      </c>
      <c r="CJ34" s="377">
        <f ca="1">IF(ISERROR(OFFSET(Initiatives!$D$1,P34-1,$BY$3)),,OFFSET(Initiatives!$D$1,P34-1,$BY$3))</f>
        <v>0</v>
      </c>
      <c r="CK34" s="377">
        <f ca="1">IF(ISERROR(OFFSET(Initiatives!$D$1,Q34-1,$BY$3)),,OFFSET(Initiatives!$D$1,Q34-1,$BY$3))</f>
        <v>0</v>
      </c>
      <c r="CL34" s="377">
        <f ca="1">IF(ISERROR(OFFSET(Initiatives!$D$1,R34-1,$BY$3)),,OFFSET(Initiatives!$D$1,R34-1,$BY$3))</f>
        <v>0</v>
      </c>
      <c r="CM34" s="377">
        <f ca="1">IF(ISERROR(OFFSET(Initiatives!$D$1,S34-1,$BY$3)),,OFFSET(Initiatives!$D$1,S34-1,$BY$3))</f>
        <v>0</v>
      </c>
      <c r="CN34" s="377">
        <f ca="1">IF(ISERROR(OFFSET(Initiatives!$D$1,T34-1,$BY$3)),,OFFSET(Initiatives!$D$1,T34-1,$BY$3))</f>
        <v>0</v>
      </c>
      <c r="CO34" s="377">
        <f ca="1">IF(ISERROR(OFFSET(Initiatives!$D$1,U34-1,$BY$3)),,OFFSET(Initiatives!$D$1,U34-1,$BY$3))</f>
        <v>0</v>
      </c>
      <c r="CP34" s="377">
        <f ca="1">IF(ISERROR(OFFSET(Initiatives!$D$1,V34-1,$BY$3)),,OFFSET(Initiatives!$D$1,V34-1,$BY$3))</f>
        <v>0</v>
      </c>
      <c r="CQ34" s="377">
        <f ca="1">IF(ISERROR(OFFSET(Initiatives!$D$1,W34-1,$BY$3)),,OFFSET(Initiatives!$D$1,W34-1,$BY$3))</f>
        <v>0</v>
      </c>
      <c r="CR34" s="377">
        <f ca="1">IF(ISERROR(OFFSET(Initiatives!$D$1,X34-1,$BY$3)),,OFFSET(Initiatives!$D$1,X34-1,$BY$3))</f>
        <v>0</v>
      </c>
      <c r="CT34" s="41">
        <f t="shared" ca="1" si="337"/>
        <v>0</v>
      </c>
      <c r="CU34" s="41">
        <f t="shared" ca="1" si="338"/>
        <v>0</v>
      </c>
      <c r="CV34" s="41">
        <f t="shared" ca="1" si="339"/>
        <v>0</v>
      </c>
      <c r="CW34" s="41">
        <f t="shared" ca="1" si="340"/>
        <v>0</v>
      </c>
      <c r="CX34" s="41">
        <f t="shared" ca="1" si="341"/>
        <v>0</v>
      </c>
      <c r="CY34" s="41">
        <f t="shared" ca="1" si="342"/>
        <v>0</v>
      </c>
      <c r="CZ34" s="41">
        <f t="shared" ca="1" si="343"/>
        <v>0</v>
      </c>
      <c r="DA34" s="41">
        <f t="shared" ca="1" si="344"/>
        <v>0</v>
      </c>
      <c r="DB34" s="41">
        <f t="shared" ca="1" si="345"/>
        <v>0</v>
      </c>
      <c r="DC34" s="41">
        <f t="shared" ca="1" si="346"/>
        <v>0</v>
      </c>
      <c r="DD34" s="41">
        <f t="shared" ca="1" si="347"/>
        <v>0</v>
      </c>
      <c r="DE34" s="41">
        <f t="shared" ca="1" si="348"/>
        <v>0</v>
      </c>
      <c r="DF34" s="41">
        <f t="shared" ca="1" si="349"/>
        <v>0</v>
      </c>
      <c r="DG34" s="41">
        <f t="shared" ca="1" si="350"/>
        <v>0</v>
      </c>
      <c r="DH34" s="41">
        <f t="shared" ca="1" si="351"/>
        <v>0</v>
      </c>
      <c r="DI34" s="41">
        <f t="shared" ca="1" si="352"/>
        <v>0</v>
      </c>
      <c r="DJ34" s="41">
        <f t="shared" ca="1" si="353"/>
        <v>0</v>
      </c>
      <c r="DK34" s="41">
        <f t="shared" ca="1" si="354"/>
        <v>0</v>
      </c>
      <c r="DL34" s="41">
        <f t="shared" ca="1" si="355"/>
        <v>0</v>
      </c>
      <c r="DM34" s="41">
        <f t="shared" ca="1" si="356"/>
        <v>0</v>
      </c>
      <c r="DN34" s="41">
        <f t="shared" ca="1" si="357"/>
        <v>0</v>
      </c>
      <c r="DP34" s="41" t="e">
        <f t="shared" ca="1" si="358"/>
        <v>#DIV/0!</v>
      </c>
      <c r="DQ34" s="41" t="e">
        <f t="shared" ca="1" si="359"/>
        <v>#DIV/0!</v>
      </c>
      <c r="DR34" s="41" t="e">
        <f t="shared" ca="1" si="360"/>
        <v>#DIV/0!</v>
      </c>
      <c r="DS34" s="41" t="e">
        <f t="shared" ca="1" si="361"/>
        <v>#DIV/0!</v>
      </c>
      <c r="DT34" s="41" t="e">
        <f t="shared" ca="1" si="362"/>
        <v>#DIV/0!</v>
      </c>
      <c r="DU34" s="41" t="e">
        <f t="shared" ca="1" si="363"/>
        <v>#DIV/0!</v>
      </c>
      <c r="DV34" s="41" t="e">
        <f t="shared" ca="1" si="364"/>
        <v>#DIV/0!</v>
      </c>
      <c r="DW34" s="41" t="e">
        <f t="shared" ca="1" si="365"/>
        <v>#DIV/0!</v>
      </c>
      <c r="DX34" s="41" t="e">
        <f t="shared" ca="1" si="366"/>
        <v>#DIV/0!</v>
      </c>
      <c r="DY34" s="41" t="e">
        <f t="shared" ca="1" si="367"/>
        <v>#DIV/0!</v>
      </c>
      <c r="DZ34" s="41" t="e">
        <f t="shared" ca="1" si="368"/>
        <v>#DIV/0!</v>
      </c>
      <c r="EA34" s="41" t="e">
        <f t="shared" ca="1" si="369"/>
        <v>#DIV/0!</v>
      </c>
      <c r="EB34" s="41" t="e">
        <f t="shared" ca="1" si="370"/>
        <v>#DIV/0!</v>
      </c>
      <c r="EC34" s="41" t="e">
        <f t="shared" ca="1" si="371"/>
        <v>#DIV/0!</v>
      </c>
      <c r="ED34" s="41" t="e">
        <f t="shared" ca="1" si="372"/>
        <v>#DIV/0!</v>
      </c>
      <c r="EE34" s="41" t="e">
        <f t="shared" ca="1" si="373"/>
        <v>#DIV/0!</v>
      </c>
      <c r="EF34" s="41" t="e">
        <f t="shared" ca="1" si="374"/>
        <v>#DIV/0!</v>
      </c>
      <c r="EG34" s="41" t="e">
        <f t="shared" ca="1" si="375"/>
        <v>#DIV/0!</v>
      </c>
      <c r="EH34" s="41" t="e">
        <f t="shared" ca="1" si="376"/>
        <v>#DIV/0!</v>
      </c>
      <c r="EI34" s="41" t="e">
        <f t="shared" ca="1" si="377"/>
        <v>#DIV/0!</v>
      </c>
      <c r="EJ34" s="41" t="e">
        <f t="shared" ca="1" si="378"/>
        <v>#DIV/0!</v>
      </c>
      <c r="EL34" s="378" t="e">
        <f t="shared" ca="1" si="379"/>
        <v>#DIV/0!</v>
      </c>
      <c r="EM34" s="378" t="e">
        <f t="shared" ca="1" si="380"/>
        <v>#DIV/0!</v>
      </c>
      <c r="EN34" s="378" t="e">
        <f t="shared" ca="1" si="381"/>
        <v>#DIV/0!</v>
      </c>
      <c r="EO34" s="378" t="e">
        <f t="shared" ca="1" si="382"/>
        <v>#DIV/0!</v>
      </c>
      <c r="EP34" s="378" t="e">
        <f t="shared" ca="1" si="383"/>
        <v>#DIV/0!</v>
      </c>
      <c r="EQ34" s="378" t="e">
        <f t="shared" ca="1" si="384"/>
        <v>#DIV/0!</v>
      </c>
      <c r="ER34" s="378" t="e">
        <f t="shared" ca="1" si="385"/>
        <v>#DIV/0!</v>
      </c>
      <c r="ES34" s="378" t="e">
        <f t="shared" ca="1" si="386"/>
        <v>#DIV/0!</v>
      </c>
      <c r="ET34" s="378" t="e">
        <f t="shared" ca="1" si="387"/>
        <v>#DIV/0!</v>
      </c>
      <c r="EU34" s="378" t="e">
        <f t="shared" ca="1" si="388"/>
        <v>#DIV/0!</v>
      </c>
      <c r="EV34" s="378" t="e">
        <f t="shared" ca="1" si="389"/>
        <v>#DIV/0!</v>
      </c>
      <c r="EW34" s="378" t="e">
        <f t="shared" ca="1" si="390"/>
        <v>#DIV/0!</v>
      </c>
      <c r="EX34" s="378" t="e">
        <f t="shared" ca="1" si="391"/>
        <v>#DIV/0!</v>
      </c>
      <c r="EY34" s="378" t="e">
        <f t="shared" ca="1" si="392"/>
        <v>#DIV/0!</v>
      </c>
      <c r="EZ34" s="378" t="e">
        <f t="shared" ca="1" si="393"/>
        <v>#DIV/0!</v>
      </c>
      <c r="FA34" s="378" t="e">
        <f t="shared" ca="1" si="394"/>
        <v>#DIV/0!</v>
      </c>
      <c r="FB34" s="378" t="e">
        <f t="shared" ca="1" si="395"/>
        <v>#DIV/0!</v>
      </c>
      <c r="FC34" s="378" t="e">
        <f t="shared" ca="1" si="396"/>
        <v>#DIV/0!</v>
      </c>
      <c r="FD34" s="378" t="e">
        <f t="shared" ca="1" si="397"/>
        <v>#DIV/0!</v>
      </c>
      <c r="FE34" s="378" t="e">
        <f t="shared" ca="1" si="398"/>
        <v>#DIV/0!</v>
      </c>
      <c r="FG34" s="378" t="e">
        <f t="shared" ca="1" si="309"/>
        <v>#N/A</v>
      </c>
      <c r="FH34" s="378" t="e">
        <f t="shared" ca="1" si="309"/>
        <v>#N/A</v>
      </c>
      <c r="FI34" s="378" t="e">
        <f t="shared" ca="1" si="309"/>
        <v>#N/A</v>
      </c>
      <c r="FJ34" s="378" t="e">
        <f t="shared" ca="1" si="309"/>
        <v>#N/A</v>
      </c>
      <c r="FK34" s="378" t="e">
        <f t="shared" ca="1" si="309"/>
        <v>#N/A</v>
      </c>
      <c r="FL34" s="378" t="e">
        <f t="shared" ca="1" si="309"/>
        <v>#N/A</v>
      </c>
      <c r="FM34" s="378" t="e">
        <f t="shared" ca="1" si="309"/>
        <v>#N/A</v>
      </c>
      <c r="FN34" s="378" t="e">
        <f t="shared" ca="1" si="309"/>
        <v>#N/A</v>
      </c>
      <c r="FO34" s="378" t="e">
        <f t="shared" ca="1" si="309"/>
        <v>#N/A</v>
      </c>
      <c r="FP34" s="378" t="e">
        <f t="shared" ca="1" si="309"/>
        <v>#N/A</v>
      </c>
      <c r="FQ34" s="378" t="e">
        <f t="shared" ca="1" si="309"/>
        <v>#N/A</v>
      </c>
      <c r="FR34" s="378" t="e">
        <f t="shared" ca="1" si="309"/>
        <v>#N/A</v>
      </c>
      <c r="FS34" s="378" t="e">
        <f t="shared" ca="1" si="309"/>
        <v>#N/A</v>
      </c>
      <c r="FT34" s="378" t="e">
        <f t="shared" ca="1" si="309"/>
        <v>#N/A</v>
      </c>
      <c r="FU34" s="378" t="e">
        <f t="shared" ca="1" si="309"/>
        <v>#N/A</v>
      </c>
      <c r="FV34" s="378" t="e">
        <f t="shared" ca="1" si="309"/>
        <v>#N/A</v>
      </c>
      <c r="FW34" s="378" t="e">
        <f t="shared" ca="1" si="310"/>
        <v>#N/A</v>
      </c>
      <c r="FX34" s="378" t="e">
        <f t="shared" ca="1" si="310"/>
        <v>#N/A</v>
      </c>
      <c r="FY34" s="378" t="e">
        <f t="shared" ca="1" si="310"/>
        <v>#N/A</v>
      </c>
      <c r="FZ34" s="378" t="e">
        <f t="shared" ca="1" si="310"/>
        <v>#N/A</v>
      </c>
      <c r="GB34" s="275" t="str">
        <f t="shared" ca="1" si="399"/>
        <v/>
      </c>
      <c r="GC34" s="231" t="str">
        <f t="shared" ca="1" si="400"/>
        <v/>
      </c>
      <c r="GD34" s="231" t="str">
        <f t="shared" ca="1" si="401"/>
        <v/>
      </c>
      <c r="GE34" s="231" t="str">
        <f t="shared" ca="1" si="402"/>
        <v/>
      </c>
      <c r="GF34" s="231" t="str">
        <f t="shared" ca="1" si="403"/>
        <v/>
      </c>
      <c r="GG34" s="231" t="str">
        <f t="shared" ca="1" si="404"/>
        <v/>
      </c>
      <c r="GH34" s="231" t="str">
        <f t="shared" ca="1" si="405"/>
        <v/>
      </c>
      <c r="GI34" s="231" t="str">
        <f t="shared" ca="1" si="406"/>
        <v/>
      </c>
      <c r="GJ34" s="231" t="str">
        <f t="shared" ca="1" si="407"/>
        <v/>
      </c>
      <c r="GK34" s="231" t="str">
        <f t="shared" ca="1" si="408"/>
        <v/>
      </c>
      <c r="GL34" s="231" t="str">
        <f t="shared" ca="1" si="409"/>
        <v/>
      </c>
      <c r="GM34" s="231" t="str">
        <f t="shared" ca="1" si="410"/>
        <v/>
      </c>
      <c r="GN34" s="231" t="str">
        <f t="shared" ca="1" si="411"/>
        <v/>
      </c>
      <c r="GO34" s="231" t="str">
        <f t="shared" ca="1" si="412"/>
        <v/>
      </c>
      <c r="GP34" s="231" t="str">
        <f t="shared" ca="1" si="413"/>
        <v/>
      </c>
      <c r="GQ34" s="231" t="str">
        <f t="shared" ca="1" si="414"/>
        <v/>
      </c>
      <c r="GR34" s="231" t="str">
        <f t="shared" ca="1" si="415"/>
        <v/>
      </c>
      <c r="GS34" s="231" t="str">
        <f t="shared" ca="1" si="416"/>
        <v/>
      </c>
      <c r="GT34" s="231" t="str">
        <f t="shared" ca="1" si="417"/>
        <v/>
      </c>
      <c r="GU34" s="231" t="str">
        <f t="shared" ca="1" si="418"/>
        <v/>
      </c>
    </row>
    <row r="35" spans="2:203" s="386" customFormat="1" ht="14.25" hidden="1" customHeight="1">
      <c r="B35" s="373"/>
      <c r="C35" s="81" t="str">
        <f>'Direct Savings'!D71</f>
        <v>Other</v>
      </c>
      <c r="D35" s="404">
        <f t="shared" ca="1" si="331"/>
        <v>0</v>
      </c>
      <c r="E35" s="374"/>
      <c r="F35" s="374"/>
      <c r="G35" s="374"/>
      <c r="H35" s="374"/>
      <c r="I35" s="374" t="s">
        <v>975</v>
      </c>
      <c r="J35" s="374" t="s">
        <v>975</v>
      </c>
      <c r="K35" s="374" t="s">
        <v>975</v>
      </c>
      <c r="L35" s="374" t="s">
        <v>975</v>
      </c>
      <c r="M35" s="374" t="s">
        <v>975</v>
      </c>
      <c r="N35" s="374" t="s">
        <v>975</v>
      </c>
      <c r="O35" s="374" t="s">
        <v>975</v>
      </c>
      <c r="P35" s="374" t="s">
        <v>975</v>
      </c>
      <c r="Q35" s="374" t="s">
        <v>975</v>
      </c>
      <c r="R35" s="374" t="s">
        <v>975</v>
      </c>
      <c r="S35" s="374" t="s">
        <v>975</v>
      </c>
      <c r="T35" s="374" t="s">
        <v>975</v>
      </c>
      <c r="U35" s="374" t="s">
        <v>975</v>
      </c>
      <c r="V35" s="374" t="s">
        <v>975</v>
      </c>
      <c r="W35" s="374" t="s">
        <v>975</v>
      </c>
      <c r="X35" s="374" t="s">
        <v>975</v>
      </c>
      <c r="Y35" s="392" t="e">
        <f ca="1">OFFSET(Initiatives!$D$1,E35-1,$BS$3)</f>
        <v>#REF!</v>
      </c>
      <c r="Z35" s="375"/>
      <c r="AA35" s="392" t="e">
        <f ca="1">OFFSET(Initiatives!$D$1,F35-1,$BS$3)</f>
        <v>#REF!</v>
      </c>
      <c r="AB35" s="375"/>
      <c r="AC35" s="392" t="e">
        <f ca="1">OFFSET(Initiatives!$D$1,G35-1,$BS$3)</f>
        <v>#REF!</v>
      </c>
      <c r="AD35" s="375"/>
      <c r="AE35" s="392" t="e">
        <f ca="1">OFFSET(Initiatives!$D$1,H35-1,$BS$3)</f>
        <v>#REF!</v>
      </c>
      <c r="AF35" s="375"/>
      <c r="AG35" s="392" t="e">
        <f ca="1">OFFSET(Initiatives!$D$1,I35-1,$BS$3)</f>
        <v>#VALUE!</v>
      </c>
      <c r="AH35" s="375"/>
      <c r="AI35" s="392" t="e">
        <f ca="1">OFFSET(Initiatives!$D$1,J35-1,$BS$3)</f>
        <v>#VALUE!</v>
      </c>
      <c r="AJ35" s="375"/>
      <c r="AK35" s="392" t="e">
        <f ca="1">OFFSET(Initiatives!$D$1,K35-1,$BS$3)</f>
        <v>#VALUE!</v>
      </c>
      <c r="AL35" s="375"/>
      <c r="AM35" s="392" t="e">
        <f ca="1">OFFSET(Initiatives!$D$1,L35-1,$BS$3)</f>
        <v>#VALUE!</v>
      </c>
      <c r="AN35" s="375"/>
      <c r="AO35" s="392" t="e">
        <f ca="1">OFFSET(Initiatives!$D$1,M35-1,$BS$3)</f>
        <v>#VALUE!</v>
      </c>
      <c r="AP35" s="375"/>
      <c r="AQ35" s="392" t="e">
        <f ca="1">OFFSET(Initiatives!$D$1,N35-1,$BS$3)</f>
        <v>#VALUE!</v>
      </c>
      <c r="AR35" s="375"/>
      <c r="AS35" s="392" t="e">
        <f ca="1">OFFSET(Initiatives!$D$1,O35-1,$BS$3)</f>
        <v>#VALUE!</v>
      </c>
      <c r="AT35" s="375"/>
      <c r="AU35" s="392" t="e">
        <f ca="1">OFFSET(Initiatives!$D$1,P35-1,$BS$3)</f>
        <v>#VALUE!</v>
      </c>
      <c r="AV35" s="375"/>
      <c r="AW35" s="392" t="e">
        <f ca="1">OFFSET(Initiatives!$D$1,Q35-1,$BS$3)</f>
        <v>#VALUE!</v>
      </c>
      <c r="AX35" s="375"/>
      <c r="AY35" s="392" t="e">
        <f ca="1">OFFSET(Initiatives!$D$1,R35-1,$BS$3)</f>
        <v>#VALUE!</v>
      </c>
      <c r="AZ35" s="375"/>
      <c r="BA35" s="392" t="e">
        <f ca="1">OFFSET(Initiatives!$D$1,S35-1,$BS$3)</f>
        <v>#VALUE!</v>
      </c>
      <c r="BB35" s="375"/>
      <c r="BC35" s="392" t="e">
        <f ca="1">OFFSET(Initiatives!$D$1,T35-1,$BS$3)</f>
        <v>#VALUE!</v>
      </c>
      <c r="BD35" s="375"/>
      <c r="BE35" s="392" t="e">
        <f ca="1">OFFSET(Initiatives!$D$1,U35-1,$BS$3)</f>
        <v>#VALUE!</v>
      </c>
      <c r="BF35" s="375"/>
      <c r="BG35" s="392" t="e">
        <f ca="1">OFFSET(Initiatives!$D$1,V35-1,$BS$3)</f>
        <v>#VALUE!</v>
      </c>
      <c r="BH35" s="375"/>
      <c r="BI35" s="392" t="e">
        <f ca="1">OFFSET(Initiatives!$D$1,W35-1,$BS$3)</f>
        <v>#VALUE!</v>
      </c>
      <c r="BJ35" s="375"/>
      <c r="BK35" s="392" t="e">
        <f ca="1">OFFSET(Initiatives!$D$1,X35-1,$BS$3)</f>
        <v>#VALUE!</v>
      </c>
      <c r="BL35" s="375"/>
      <c r="BN35" s="101">
        <f t="shared" si="332"/>
        <v>1E-4</v>
      </c>
      <c r="BP35" s="231" t="str">
        <f t="shared" ca="1" si="333"/>
        <v/>
      </c>
      <c r="BQ35" s="338">
        <v>0.01</v>
      </c>
      <c r="BR35" s="40">
        <f t="shared" ca="1" si="334"/>
        <v>0</v>
      </c>
      <c r="BS35" s="274">
        <v>0.05</v>
      </c>
      <c r="BT35" s="40">
        <f t="shared" ca="1" si="335"/>
        <v>0</v>
      </c>
      <c r="BU35" s="376">
        <v>7</v>
      </c>
      <c r="BV35" s="40">
        <f t="shared" ca="1" si="336"/>
        <v>0</v>
      </c>
      <c r="BY35" s="377">
        <f ca="1">IF(ISERROR(OFFSET(Initiatives!$D$1,E35-1,$BY$3)),,OFFSET(Initiatives!$D$1,E35-1,$BY$3))</f>
        <v>0</v>
      </c>
      <c r="BZ35" s="377">
        <f ca="1">IF(ISERROR(OFFSET(Initiatives!$D$1,F35-1,$BY$3)),,OFFSET(Initiatives!$D$1,F35-1,$BY$3))</f>
        <v>0</v>
      </c>
      <c r="CA35" s="377">
        <f ca="1">IF(ISERROR(OFFSET(Initiatives!$D$1,G35-1,$BY$3)),,OFFSET(Initiatives!$D$1,G35-1,$BY$3))</f>
        <v>0</v>
      </c>
      <c r="CB35" s="377">
        <f ca="1">IF(ISERROR(OFFSET(Initiatives!$D$1,H35-1,$BY$3)),,OFFSET(Initiatives!$D$1,H35-1,$BY$3))</f>
        <v>0</v>
      </c>
      <c r="CC35" s="377">
        <f ca="1">IF(ISERROR(OFFSET(Initiatives!$D$1,I35-1,$BY$3)),,OFFSET(Initiatives!$D$1,I35-1,$BY$3))</f>
        <v>0</v>
      </c>
      <c r="CD35" s="377">
        <f ca="1">IF(ISERROR(OFFSET(Initiatives!$D$1,J35-1,$BY$3)),,OFFSET(Initiatives!$D$1,J35-1,$BY$3))</f>
        <v>0</v>
      </c>
      <c r="CE35" s="377">
        <f ca="1">IF(ISERROR(OFFSET(Initiatives!$D$1,K35-1,$BY$3)),,OFFSET(Initiatives!$D$1,K35-1,$BY$3))</f>
        <v>0</v>
      </c>
      <c r="CF35" s="377">
        <f ca="1">IF(ISERROR(OFFSET(Initiatives!$D$1,L35-1,$BY$3)),,OFFSET(Initiatives!$D$1,L35-1,$BY$3))</f>
        <v>0</v>
      </c>
      <c r="CG35" s="377">
        <f ca="1">IF(ISERROR(OFFSET(Initiatives!$D$1,M35-1,$BY$3)),,OFFSET(Initiatives!$D$1,M35-1,$BY$3))</f>
        <v>0</v>
      </c>
      <c r="CH35" s="377">
        <f ca="1">IF(ISERROR(OFFSET(Initiatives!$D$1,N35-1,$BY$3)),,OFFSET(Initiatives!$D$1,N35-1,$BY$3))</f>
        <v>0</v>
      </c>
      <c r="CI35" s="377">
        <f ca="1">IF(ISERROR(OFFSET(Initiatives!$D$1,O35-1,$BY$3)),,OFFSET(Initiatives!$D$1,O35-1,$BY$3))</f>
        <v>0</v>
      </c>
      <c r="CJ35" s="377">
        <f ca="1">IF(ISERROR(OFFSET(Initiatives!$D$1,P35-1,$BY$3)),,OFFSET(Initiatives!$D$1,P35-1,$BY$3))</f>
        <v>0</v>
      </c>
      <c r="CK35" s="377">
        <f ca="1">IF(ISERROR(OFFSET(Initiatives!$D$1,Q35-1,$BY$3)),,OFFSET(Initiatives!$D$1,Q35-1,$BY$3))</f>
        <v>0</v>
      </c>
      <c r="CL35" s="377">
        <f ca="1">IF(ISERROR(OFFSET(Initiatives!$D$1,R35-1,$BY$3)),,OFFSET(Initiatives!$D$1,R35-1,$BY$3))</f>
        <v>0</v>
      </c>
      <c r="CM35" s="377">
        <f ca="1">IF(ISERROR(OFFSET(Initiatives!$D$1,S35-1,$BY$3)),,OFFSET(Initiatives!$D$1,S35-1,$BY$3))</f>
        <v>0</v>
      </c>
      <c r="CN35" s="377">
        <f ca="1">IF(ISERROR(OFFSET(Initiatives!$D$1,T35-1,$BY$3)),,OFFSET(Initiatives!$D$1,T35-1,$BY$3))</f>
        <v>0</v>
      </c>
      <c r="CO35" s="377">
        <f ca="1">IF(ISERROR(OFFSET(Initiatives!$D$1,U35-1,$BY$3)),,OFFSET(Initiatives!$D$1,U35-1,$BY$3))</f>
        <v>0</v>
      </c>
      <c r="CP35" s="377">
        <f ca="1">IF(ISERROR(OFFSET(Initiatives!$D$1,V35-1,$BY$3)),,OFFSET(Initiatives!$D$1,V35-1,$BY$3))</f>
        <v>0</v>
      </c>
      <c r="CQ35" s="377">
        <f ca="1">IF(ISERROR(OFFSET(Initiatives!$D$1,W35-1,$BY$3)),,OFFSET(Initiatives!$D$1,W35-1,$BY$3))</f>
        <v>0</v>
      </c>
      <c r="CR35" s="377">
        <f ca="1">IF(ISERROR(OFFSET(Initiatives!$D$1,X35-1,$BY$3)),,OFFSET(Initiatives!$D$1,X35-1,$BY$3))</f>
        <v>0</v>
      </c>
      <c r="CT35" s="41">
        <f t="shared" ca="1" si="337"/>
        <v>0</v>
      </c>
      <c r="CU35" s="41">
        <f t="shared" ca="1" si="338"/>
        <v>0</v>
      </c>
      <c r="CV35" s="41">
        <f t="shared" ca="1" si="339"/>
        <v>0</v>
      </c>
      <c r="CW35" s="41">
        <f t="shared" ca="1" si="340"/>
        <v>0</v>
      </c>
      <c r="CX35" s="41">
        <f t="shared" ca="1" si="341"/>
        <v>0</v>
      </c>
      <c r="CY35" s="41">
        <f t="shared" ca="1" si="342"/>
        <v>0</v>
      </c>
      <c r="CZ35" s="41">
        <f t="shared" ca="1" si="343"/>
        <v>0</v>
      </c>
      <c r="DA35" s="41">
        <f t="shared" ca="1" si="344"/>
        <v>0</v>
      </c>
      <c r="DB35" s="41">
        <f t="shared" ca="1" si="345"/>
        <v>0</v>
      </c>
      <c r="DC35" s="41">
        <f t="shared" ca="1" si="346"/>
        <v>0</v>
      </c>
      <c r="DD35" s="41">
        <f t="shared" ca="1" si="347"/>
        <v>0</v>
      </c>
      <c r="DE35" s="41">
        <f t="shared" ca="1" si="348"/>
        <v>0</v>
      </c>
      <c r="DF35" s="41">
        <f t="shared" ca="1" si="349"/>
        <v>0</v>
      </c>
      <c r="DG35" s="41">
        <f t="shared" ca="1" si="350"/>
        <v>0</v>
      </c>
      <c r="DH35" s="41">
        <f t="shared" ca="1" si="351"/>
        <v>0</v>
      </c>
      <c r="DI35" s="41">
        <f t="shared" ca="1" si="352"/>
        <v>0</v>
      </c>
      <c r="DJ35" s="41">
        <f t="shared" ca="1" si="353"/>
        <v>0</v>
      </c>
      <c r="DK35" s="41">
        <f t="shared" ca="1" si="354"/>
        <v>0</v>
      </c>
      <c r="DL35" s="41">
        <f t="shared" ca="1" si="355"/>
        <v>0</v>
      </c>
      <c r="DM35" s="41">
        <f t="shared" ca="1" si="356"/>
        <v>0</v>
      </c>
      <c r="DN35" s="41">
        <f t="shared" ca="1" si="357"/>
        <v>0</v>
      </c>
      <c r="DP35" s="41" t="e">
        <f t="shared" ca="1" si="358"/>
        <v>#DIV/0!</v>
      </c>
      <c r="DQ35" s="41" t="e">
        <f t="shared" ca="1" si="359"/>
        <v>#DIV/0!</v>
      </c>
      <c r="DR35" s="41" t="e">
        <f t="shared" ca="1" si="360"/>
        <v>#DIV/0!</v>
      </c>
      <c r="DS35" s="41" t="e">
        <f t="shared" ca="1" si="361"/>
        <v>#DIV/0!</v>
      </c>
      <c r="DT35" s="41" t="e">
        <f t="shared" ca="1" si="362"/>
        <v>#DIV/0!</v>
      </c>
      <c r="DU35" s="41" t="e">
        <f t="shared" ca="1" si="363"/>
        <v>#DIV/0!</v>
      </c>
      <c r="DV35" s="41" t="e">
        <f t="shared" ca="1" si="364"/>
        <v>#DIV/0!</v>
      </c>
      <c r="DW35" s="41" t="e">
        <f t="shared" ca="1" si="365"/>
        <v>#DIV/0!</v>
      </c>
      <c r="DX35" s="41" t="e">
        <f t="shared" ca="1" si="366"/>
        <v>#DIV/0!</v>
      </c>
      <c r="DY35" s="41" t="e">
        <f t="shared" ca="1" si="367"/>
        <v>#DIV/0!</v>
      </c>
      <c r="DZ35" s="41" t="e">
        <f t="shared" ca="1" si="368"/>
        <v>#DIV/0!</v>
      </c>
      <c r="EA35" s="41" t="e">
        <f t="shared" ca="1" si="369"/>
        <v>#DIV/0!</v>
      </c>
      <c r="EB35" s="41" t="e">
        <f t="shared" ca="1" si="370"/>
        <v>#DIV/0!</v>
      </c>
      <c r="EC35" s="41" t="e">
        <f t="shared" ca="1" si="371"/>
        <v>#DIV/0!</v>
      </c>
      <c r="ED35" s="41" t="e">
        <f t="shared" ca="1" si="372"/>
        <v>#DIV/0!</v>
      </c>
      <c r="EE35" s="41" t="e">
        <f t="shared" ca="1" si="373"/>
        <v>#DIV/0!</v>
      </c>
      <c r="EF35" s="41" t="e">
        <f t="shared" ca="1" si="374"/>
        <v>#DIV/0!</v>
      </c>
      <c r="EG35" s="41" t="e">
        <f t="shared" ca="1" si="375"/>
        <v>#DIV/0!</v>
      </c>
      <c r="EH35" s="41" t="e">
        <f t="shared" ca="1" si="376"/>
        <v>#DIV/0!</v>
      </c>
      <c r="EI35" s="41" t="e">
        <f t="shared" ca="1" si="377"/>
        <v>#DIV/0!</v>
      </c>
      <c r="EJ35" s="41" t="e">
        <f t="shared" ca="1" si="378"/>
        <v>#DIV/0!</v>
      </c>
      <c r="EL35" s="378" t="e">
        <f t="shared" ca="1" si="379"/>
        <v>#DIV/0!</v>
      </c>
      <c r="EM35" s="378" t="e">
        <f t="shared" ca="1" si="380"/>
        <v>#DIV/0!</v>
      </c>
      <c r="EN35" s="378" t="e">
        <f t="shared" ca="1" si="381"/>
        <v>#DIV/0!</v>
      </c>
      <c r="EO35" s="378" t="e">
        <f t="shared" ca="1" si="382"/>
        <v>#DIV/0!</v>
      </c>
      <c r="EP35" s="378" t="e">
        <f t="shared" ca="1" si="383"/>
        <v>#DIV/0!</v>
      </c>
      <c r="EQ35" s="378" t="e">
        <f t="shared" ca="1" si="384"/>
        <v>#DIV/0!</v>
      </c>
      <c r="ER35" s="378" t="e">
        <f t="shared" ca="1" si="385"/>
        <v>#DIV/0!</v>
      </c>
      <c r="ES35" s="378" t="e">
        <f t="shared" ca="1" si="386"/>
        <v>#DIV/0!</v>
      </c>
      <c r="ET35" s="378" t="e">
        <f t="shared" ca="1" si="387"/>
        <v>#DIV/0!</v>
      </c>
      <c r="EU35" s="378" t="e">
        <f t="shared" ca="1" si="388"/>
        <v>#DIV/0!</v>
      </c>
      <c r="EV35" s="378" t="e">
        <f t="shared" ca="1" si="389"/>
        <v>#DIV/0!</v>
      </c>
      <c r="EW35" s="378" t="e">
        <f t="shared" ca="1" si="390"/>
        <v>#DIV/0!</v>
      </c>
      <c r="EX35" s="378" t="e">
        <f t="shared" ca="1" si="391"/>
        <v>#DIV/0!</v>
      </c>
      <c r="EY35" s="378" t="e">
        <f t="shared" ca="1" si="392"/>
        <v>#DIV/0!</v>
      </c>
      <c r="EZ35" s="378" t="e">
        <f t="shared" ca="1" si="393"/>
        <v>#DIV/0!</v>
      </c>
      <c r="FA35" s="378" t="e">
        <f t="shared" ca="1" si="394"/>
        <v>#DIV/0!</v>
      </c>
      <c r="FB35" s="378" t="e">
        <f t="shared" ca="1" si="395"/>
        <v>#DIV/0!</v>
      </c>
      <c r="FC35" s="378" t="e">
        <f t="shared" ca="1" si="396"/>
        <v>#DIV/0!</v>
      </c>
      <c r="FD35" s="378" t="e">
        <f t="shared" ca="1" si="397"/>
        <v>#DIV/0!</v>
      </c>
      <c r="FE35" s="378" t="e">
        <f t="shared" ca="1" si="398"/>
        <v>#DIV/0!</v>
      </c>
      <c r="FG35" s="378" t="e">
        <f t="shared" ca="1" si="309"/>
        <v>#N/A</v>
      </c>
      <c r="FH35" s="378" t="e">
        <f t="shared" ca="1" si="309"/>
        <v>#N/A</v>
      </c>
      <c r="FI35" s="378" t="e">
        <f t="shared" ca="1" si="309"/>
        <v>#N/A</v>
      </c>
      <c r="FJ35" s="378" t="e">
        <f t="shared" ca="1" si="309"/>
        <v>#N/A</v>
      </c>
      <c r="FK35" s="378" t="e">
        <f t="shared" ca="1" si="309"/>
        <v>#N/A</v>
      </c>
      <c r="FL35" s="378" t="e">
        <f t="shared" ca="1" si="309"/>
        <v>#N/A</v>
      </c>
      <c r="FM35" s="378" t="e">
        <f t="shared" ca="1" si="309"/>
        <v>#N/A</v>
      </c>
      <c r="FN35" s="378" t="e">
        <f t="shared" ca="1" si="309"/>
        <v>#N/A</v>
      </c>
      <c r="FO35" s="378" t="e">
        <f t="shared" ca="1" si="309"/>
        <v>#N/A</v>
      </c>
      <c r="FP35" s="378" t="e">
        <f t="shared" ca="1" si="309"/>
        <v>#N/A</v>
      </c>
      <c r="FQ35" s="378" t="e">
        <f t="shared" ca="1" si="309"/>
        <v>#N/A</v>
      </c>
      <c r="FR35" s="378" t="e">
        <f t="shared" ca="1" si="309"/>
        <v>#N/A</v>
      </c>
      <c r="FS35" s="378" t="e">
        <f t="shared" ca="1" si="309"/>
        <v>#N/A</v>
      </c>
      <c r="FT35" s="378" t="e">
        <f t="shared" ca="1" si="309"/>
        <v>#N/A</v>
      </c>
      <c r="FU35" s="378" t="e">
        <f t="shared" ca="1" si="309"/>
        <v>#N/A</v>
      </c>
      <c r="FV35" s="378" t="e">
        <f t="shared" ca="1" si="309"/>
        <v>#N/A</v>
      </c>
      <c r="FW35" s="378" t="e">
        <f t="shared" ca="1" si="310"/>
        <v>#N/A</v>
      </c>
      <c r="FX35" s="378" t="e">
        <f t="shared" ca="1" si="310"/>
        <v>#N/A</v>
      </c>
      <c r="FY35" s="378" t="e">
        <f t="shared" ca="1" si="310"/>
        <v>#N/A</v>
      </c>
      <c r="FZ35" s="378" t="e">
        <f t="shared" ca="1" si="310"/>
        <v>#N/A</v>
      </c>
      <c r="GB35" s="275" t="str">
        <f t="shared" ca="1" si="399"/>
        <v/>
      </c>
      <c r="GC35" s="231" t="str">
        <f t="shared" ca="1" si="400"/>
        <v/>
      </c>
      <c r="GD35" s="231" t="str">
        <f t="shared" ca="1" si="401"/>
        <v/>
      </c>
      <c r="GE35" s="231" t="str">
        <f t="shared" ca="1" si="402"/>
        <v/>
      </c>
      <c r="GF35" s="231" t="str">
        <f t="shared" ca="1" si="403"/>
        <v/>
      </c>
      <c r="GG35" s="231" t="str">
        <f t="shared" ca="1" si="404"/>
        <v/>
      </c>
      <c r="GH35" s="231" t="str">
        <f t="shared" ca="1" si="405"/>
        <v/>
      </c>
      <c r="GI35" s="231" t="str">
        <f t="shared" ca="1" si="406"/>
        <v/>
      </c>
      <c r="GJ35" s="231" t="str">
        <f t="shared" ca="1" si="407"/>
        <v/>
      </c>
      <c r="GK35" s="231" t="str">
        <f t="shared" ca="1" si="408"/>
        <v/>
      </c>
      <c r="GL35" s="231" t="str">
        <f t="shared" ca="1" si="409"/>
        <v/>
      </c>
      <c r="GM35" s="231" t="str">
        <f t="shared" ca="1" si="410"/>
        <v/>
      </c>
      <c r="GN35" s="231" t="str">
        <f t="shared" ca="1" si="411"/>
        <v/>
      </c>
      <c r="GO35" s="231" t="str">
        <f t="shared" ca="1" si="412"/>
        <v/>
      </c>
      <c r="GP35" s="231" t="str">
        <f t="shared" ca="1" si="413"/>
        <v/>
      </c>
      <c r="GQ35" s="231" t="str">
        <f t="shared" ca="1" si="414"/>
        <v/>
      </c>
      <c r="GR35" s="231" t="str">
        <f t="shared" ca="1" si="415"/>
        <v/>
      </c>
      <c r="GS35" s="231" t="str">
        <f t="shared" ca="1" si="416"/>
        <v/>
      </c>
      <c r="GT35" s="231" t="str">
        <f t="shared" ca="1" si="417"/>
        <v/>
      </c>
      <c r="GU35" s="231" t="str">
        <f t="shared" ca="1" si="418"/>
        <v/>
      </c>
    </row>
    <row r="36" spans="2:203" s="386" customFormat="1" ht="14.25" hidden="1" customHeight="1">
      <c r="B36" s="373"/>
      <c r="C36" s="81" t="str">
        <f>'Direct Savings'!D72</f>
        <v>Other</v>
      </c>
      <c r="D36" s="404">
        <f t="shared" ca="1" si="331"/>
        <v>0</v>
      </c>
      <c r="E36" s="374"/>
      <c r="F36" s="374"/>
      <c r="G36" s="374"/>
      <c r="H36" s="374"/>
      <c r="I36" s="374" t="s">
        <v>975</v>
      </c>
      <c r="J36" s="374" t="s">
        <v>975</v>
      </c>
      <c r="K36" s="374" t="s">
        <v>975</v>
      </c>
      <c r="L36" s="374" t="s">
        <v>975</v>
      </c>
      <c r="M36" s="374" t="s">
        <v>975</v>
      </c>
      <c r="N36" s="374" t="s">
        <v>975</v>
      </c>
      <c r="O36" s="374" t="s">
        <v>975</v>
      </c>
      <c r="P36" s="374" t="s">
        <v>975</v>
      </c>
      <c r="Q36" s="374" t="s">
        <v>975</v>
      </c>
      <c r="R36" s="374" t="s">
        <v>975</v>
      </c>
      <c r="S36" s="374" t="s">
        <v>975</v>
      </c>
      <c r="T36" s="374" t="s">
        <v>975</v>
      </c>
      <c r="U36" s="374" t="s">
        <v>975</v>
      </c>
      <c r="V36" s="374" t="s">
        <v>975</v>
      </c>
      <c r="W36" s="374" t="s">
        <v>975</v>
      </c>
      <c r="X36" s="374" t="s">
        <v>975</v>
      </c>
      <c r="Y36" s="392" t="e">
        <f ca="1">OFFSET(Initiatives!$D$1,E36-1,$BS$3)</f>
        <v>#REF!</v>
      </c>
      <c r="Z36" s="375"/>
      <c r="AA36" s="392" t="e">
        <f ca="1">OFFSET(Initiatives!$D$1,F36-1,$BS$3)</f>
        <v>#REF!</v>
      </c>
      <c r="AB36" s="375"/>
      <c r="AC36" s="392" t="e">
        <f ca="1">OFFSET(Initiatives!$D$1,G36-1,$BS$3)</f>
        <v>#REF!</v>
      </c>
      <c r="AD36" s="375"/>
      <c r="AE36" s="392" t="e">
        <f ca="1">OFFSET(Initiatives!$D$1,H36-1,$BS$3)</f>
        <v>#REF!</v>
      </c>
      <c r="AF36" s="375"/>
      <c r="AG36" s="392" t="e">
        <f ca="1">OFFSET(Initiatives!$D$1,I36-1,$BS$3)</f>
        <v>#VALUE!</v>
      </c>
      <c r="AH36" s="375"/>
      <c r="AI36" s="392" t="e">
        <f ca="1">OFFSET(Initiatives!$D$1,J36-1,$BS$3)</f>
        <v>#VALUE!</v>
      </c>
      <c r="AJ36" s="375"/>
      <c r="AK36" s="392" t="e">
        <f ca="1">OFFSET(Initiatives!$D$1,K36-1,$BS$3)</f>
        <v>#VALUE!</v>
      </c>
      <c r="AL36" s="375"/>
      <c r="AM36" s="392" t="e">
        <f ca="1">OFFSET(Initiatives!$D$1,L36-1,$BS$3)</f>
        <v>#VALUE!</v>
      </c>
      <c r="AN36" s="375"/>
      <c r="AO36" s="392" t="e">
        <f ca="1">OFFSET(Initiatives!$D$1,M36-1,$BS$3)</f>
        <v>#VALUE!</v>
      </c>
      <c r="AP36" s="375"/>
      <c r="AQ36" s="392" t="e">
        <f ca="1">OFFSET(Initiatives!$D$1,N36-1,$BS$3)</f>
        <v>#VALUE!</v>
      </c>
      <c r="AR36" s="375"/>
      <c r="AS36" s="392" t="e">
        <f ca="1">OFFSET(Initiatives!$D$1,O36-1,$BS$3)</f>
        <v>#VALUE!</v>
      </c>
      <c r="AT36" s="375"/>
      <c r="AU36" s="392" t="e">
        <f ca="1">OFFSET(Initiatives!$D$1,P36-1,$BS$3)</f>
        <v>#VALUE!</v>
      </c>
      <c r="AV36" s="375"/>
      <c r="AW36" s="392" t="e">
        <f ca="1">OFFSET(Initiatives!$D$1,Q36-1,$BS$3)</f>
        <v>#VALUE!</v>
      </c>
      <c r="AX36" s="375"/>
      <c r="AY36" s="392" t="e">
        <f ca="1">OFFSET(Initiatives!$D$1,R36-1,$BS$3)</f>
        <v>#VALUE!</v>
      </c>
      <c r="AZ36" s="375"/>
      <c r="BA36" s="392" t="e">
        <f ca="1">OFFSET(Initiatives!$D$1,S36-1,$BS$3)</f>
        <v>#VALUE!</v>
      </c>
      <c r="BB36" s="375"/>
      <c r="BC36" s="392" t="e">
        <f ca="1">OFFSET(Initiatives!$D$1,T36-1,$BS$3)</f>
        <v>#VALUE!</v>
      </c>
      <c r="BD36" s="375"/>
      <c r="BE36" s="392" t="e">
        <f ca="1">OFFSET(Initiatives!$D$1,U36-1,$BS$3)</f>
        <v>#VALUE!</v>
      </c>
      <c r="BF36" s="375"/>
      <c r="BG36" s="392" t="e">
        <f ca="1">OFFSET(Initiatives!$D$1,V36-1,$BS$3)</f>
        <v>#VALUE!</v>
      </c>
      <c r="BH36" s="375"/>
      <c r="BI36" s="392" t="e">
        <f ca="1">OFFSET(Initiatives!$D$1,W36-1,$BS$3)</f>
        <v>#VALUE!</v>
      </c>
      <c r="BJ36" s="375"/>
      <c r="BK36" s="392" t="e">
        <f ca="1">OFFSET(Initiatives!$D$1,X36-1,$BS$3)</f>
        <v>#VALUE!</v>
      </c>
      <c r="BL36" s="375"/>
      <c r="BN36" s="101">
        <f t="shared" si="332"/>
        <v>1E-4</v>
      </c>
      <c r="BP36" s="231" t="str">
        <f t="shared" ca="1" si="333"/>
        <v/>
      </c>
      <c r="BQ36" s="338">
        <v>0.01</v>
      </c>
      <c r="BR36" s="40">
        <f t="shared" ca="1" si="334"/>
        <v>0</v>
      </c>
      <c r="BS36" s="274">
        <v>0.05</v>
      </c>
      <c r="BT36" s="40">
        <f t="shared" ca="1" si="335"/>
        <v>0</v>
      </c>
      <c r="BU36" s="376">
        <v>7</v>
      </c>
      <c r="BV36" s="40">
        <f t="shared" ca="1" si="336"/>
        <v>0</v>
      </c>
      <c r="BY36" s="377">
        <f ca="1">IF(ISERROR(OFFSET(Initiatives!$D$1,E36-1,$BY$3)),,OFFSET(Initiatives!$D$1,E36-1,$BY$3))</f>
        <v>0</v>
      </c>
      <c r="BZ36" s="377">
        <f ca="1">IF(ISERROR(OFFSET(Initiatives!$D$1,F36-1,$BY$3)),,OFFSET(Initiatives!$D$1,F36-1,$BY$3))</f>
        <v>0</v>
      </c>
      <c r="CA36" s="377">
        <f ca="1">IF(ISERROR(OFFSET(Initiatives!$D$1,G36-1,$BY$3)),,OFFSET(Initiatives!$D$1,G36-1,$BY$3))</f>
        <v>0</v>
      </c>
      <c r="CB36" s="377">
        <f ca="1">IF(ISERROR(OFFSET(Initiatives!$D$1,H36-1,$BY$3)),,OFFSET(Initiatives!$D$1,H36-1,$BY$3))</f>
        <v>0</v>
      </c>
      <c r="CC36" s="377">
        <f ca="1">IF(ISERROR(OFFSET(Initiatives!$D$1,I36-1,$BY$3)),,OFFSET(Initiatives!$D$1,I36-1,$BY$3))</f>
        <v>0</v>
      </c>
      <c r="CD36" s="377">
        <f ca="1">IF(ISERROR(OFFSET(Initiatives!$D$1,J36-1,$BY$3)),,OFFSET(Initiatives!$D$1,J36-1,$BY$3))</f>
        <v>0</v>
      </c>
      <c r="CE36" s="377">
        <f ca="1">IF(ISERROR(OFFSET(Initiatives!$D$1,K36-1,$BY$3)),,OFFSET(Initiatives!$D$1,K36-1,$BY$3))</f>
        <v>0</v>
      </c>
      <c r="CF36" s="377">
        <f ca="1">IF(ISERROR(OFFSET(Initiatives!$D$1,L36-1,$BY$3)),,OFFSET(Initiatives!$D$1,L36-1,$BY$3))</f>
        <v>0</v>
      </c>
      <c r="CG36" s="377">
        <f ca="1">IF(ISERROR(OFFSET(Initiatives!$D$1,M36-1,$BY$3)),,OFFSET(Initiatives!$D$1,M36-1,$BY$3))</f>
        <v>0</v>
      </c>
      <c r="CH36" s="377">
        <f ca="1">IF(ISERROR(OFFSET(Initiatives!$D$1,N36-1,$BY$3)),,OFFSET(Initiatives!$D$1,N36-1,$BY$3))</f>
        <v>0</v>
      </c>
      <c r="CI36" s="377">
        <f ca="1">IF(ISERROR(OFFSET(Initiatives!$D$1,O36-1,$BY$3)),,OFFSET(Initiatives!$D$1,O36-1,$BY$3))</f>
        <v>0</v>
      </c>
      <c r="CJ36" s="377">
        <f ca="1">IF(ISERROR(OFFSET(Initiatives!$D$1,P36-1,$BY$3)),,OFFSET(Initiatives!$D$1,P36-1,$BY$3))</f>
        <v>0</v>
      </c>
      <c r="CK36" s="377">
        <f ca="1">IF(ISERROR(OFFSET(Initiatives!$D$1,Q36-1,$BY$3)),,OFFSET(Initiatives!$D$1,Q36-1,$BY$3))</f>
        <v>0</v>
      </c>
      <c r="CL36" s="377">
        <f ca="1">IF(ISERROR(OFFSET(Initiatives!$D$1,R36-1,$BY$3)),,OFFSET(Initiatives!$D$1,R36-1,$BY$3))</f>
        <v>0</v>
      </c>
      <c r="CM36" s="377">
        <f ca="1">IF(ISERROR(OFFSET(Initiatives!$D$1,S36-1,$BY$3)),,OFFSET(Initiatives!$D$1,S36-1,$BY$3))</f>
        <v>0</v>
      </c>
      <c r="CN36" s="377">
        <f ca="1">IF(ISERROR(OFFSET(Initiatives!$D$1,T36-1,$BY$3)),,OFFSET(Initiatives!$D$1,T36-1,$BY$3))</f>
        <v>0</v>
      </c>
      <c r="CO36" s="377">
        <f ca="1">IF(ISERROR(OFFSET(Initiatives!$D$1,U36-1,$BY$3)),,OFFSET(Initiatives!$D$1,U36-1,$BY$3))</f>
        <v>0</v>
      </c>
      <c r="CP36" s="377">
        <f ca="1">IF(ISERROR(OFFSET(Initiatives!$D$1,V36-1,$BY$3)),,OFFSET(Initiatives!$D$1,V36-1,$BY$3))</f>
        <v>0</v>
      </c>
      <c r="CQ36" s="377">
        <f ca="1">IF(ISERROR(OFFSET(Initiatives!$D$1,W36-1,$BY$3)),,OFFSET(Initiatives!$D$1,W36-1,$BY$3))</f>
        <v>0</v>
      </c>
      <c r="CR36" s="377">
        <f ca="1">IF(ISERROR(OFFSET(Initiatives!$D$1,X36-1,$BY$3)),,OFFSET(Initiatives!$D$1,X36-1,$BY$3))</f>
        <v>0</v>
      </c>
      <c r="CT36" s="41">
        <f t="shared" ca="1" si="337"/>
        <v>0</v>
      </c>
      <c r="CU36" s="41">
        <f t="shared" ca="1" si="338"/>
        <v>0</v>
      </c>
      <c r="CV36" s="41">
        <f t="shared" ca="1" si="339"/>
        <v>0</v>
      </c>
      <c r="CW36" s="41">
        <f t="shared" ca="1" si="340"/>
        <v>0</v>
      </c>
      <c r="CX36" s="41">
        <f t="shared" ca="1" si="341"/>
        <v>0</v>
      </c>
      <c r="CY36" s="41">
        <f t="shared" ca="1" si="342"/>
        <v>0</v>
      </c>
      <c r="CZ36" s="41">
        <f t="shared" ca="1" si="343"/>
        <v>0</v>
      </c>
      <c r="DA36" s="41">
        <f t="shared" ca="1" si="344"/>
        <v>0</v>
      </c>
      <c r="DB36" s="41">
        <f t="shared" ca="1" si="345"/>
        <v>0</v>
      </c>
      <c r="DC36" s="41">
        <f t="shared" ca="1" si="346"/>
        <v>0</v>
      </c>
      <c r="DD36" s="41">
        <f t="shared" ca="1" si="347"/>
        <v>0</v>
      </c>
      <c r="DE36" s="41">
        <f t="shared" ca="1" si="348"/>
        <v>0</v>
      </c>
      <c r="DF36" s="41">
        <f t="shared" ca="1" si="349"/>
        <v>0</v>
      </c>
      <c r="DG36" s="41">
        <f t="shared" ca="1" si="350"/>
        <v>0</v>
      </c>
      <c r="DH36" s="41">
        <f t="shared" ca="1" si="351"/>
        <v>0</v>
      </c>
      <c r="DI36" s="41">
        <f t="shared" ca="1" si="352"/>
        <v>0</v>
      </c>
      <c r="DJ36" s="41">
        <f t="shared" ca="1" si="353"/>
        <v>0</v>
      </c>
      <c r="DK36" s="41">
        <f t="shared" ca="1" si="354"/>
        <v>0</v>
      </c>
      <c r="DL36" s="41">
        <f t="shared" ca="1" si="355"/>
        <v>0</v>
      </c>
      <c r="DM36" s="41">
        <f t="shared" ca="1" si="356"/>
        <v>0</v>
      </c>
      <c r="DN36" s="41">
        <f t="shared" ca="1" si="357"/>
        <v>0</v>
      </c>
      <c r="DP36" s="41" t="e">
        <f t="shared" ca="1" si="358"/>
        <v>#DIV/0!</v>
      </c>
      <c r="DQ36" s="41" t="e">
        <f t="shared" ca="1" si="359"/>
        <v>#DIV/0!</v>
      </c>
      <c r="DR36" s="41" t="e">
        <f t="shared" ca="1" si="360"/>
        <v>#DIV/0!</v>
      </c>
      <c r="DS36" s="41" t="e">
        <f t="shared" ca="1" si="361"/>
        <v>#DIV/0!</v>
      </c>
      <c r="DT36" s="41" t="e">
        <f t="shared" ca="1" si="362"/>
        <v>#DIV/0!</v>
      </c>
      <c r="DU36" s="41" t="e">
        <f t="shared" ca="1" si="363"/>
        <v>#DIV/0!</v>
      </c>
      <c r="DV36" s="41" t="e">
        <f t="shared" ca="1" si="364"/>
        <v>#DIV/0!</v>
      </c>
      <c r="DW36" s="41" t="e">
        <f t="shared" ca="1" si="365"/>
        <v>#DIV/0!</v>
      </c>
      <c r="DX36" s="41" t="e">
        <f t="shared" ca="1" si="366"/>
        <v>#DIV/0!</v>
      </c>
      <c r="DY36" s="41" t="e">
        <f t="shared" ca="1" si="367"/>
        <v>#DIV/0!</v>
      </c>
      <c r="DZ36" s="41" t="e">
        <f t="shared" ca="1" si="368"/>
        <v>#DIV/0!</v>
      </c>
      <c r="EA36" s="41" t="e">
        <f t="shared" ca="1" si="369"/>
        <v>#DIV/0!</v>
      </c>
      <c r="EB36" s="41" t="e">
        <f t="shared" ca="1" si="370"/>
        <v>#DIV/0!</v>
      </c>
      <c r="EC36" s="41" t="e">
        <f t="shared" ca="1" si="371"/>
        <v>#DIV/0!</v>
      </c>
      <c r="ED36" s="41" t="e">
        <f t="shared" ca="1" si="372"/>
        <v>#DIV/0!</v>
      </c>
      <c r="EE36" s="41" t="e">
        <f t="shared" ca="1" si="373"/>
        <v>#DIV/0!</v>
      </c>
      <c r="EF36" s="41" t="e">
        <f t="shared" ca="1" si="374"/>
        <v>#DIV/0!</v>
      </c>
      <c r="EG36" s="41" t="e">
        <f t="shared" ca="1" si="375"/>
        <v>#DIV/0!</v>
      </c>
      <c r="EH36" s="41" t="e">
        <f t="shared" ca="1" si="376"/>
        <v>#DIV/0!</v>
      </c>
      <c r="EI36" s="41" t="e">
        <f t="shared" ca="1" si="377"/>
        <v>#DIV/0!</v>
      </c>
      <c r="EJ36" s="41" t="e">
        <f t="shared" ca="1" si="378"/>
        <v>#DIV/0!</v>
      </c>
      <c r="EL36" s="378" t="e">
        <f t="shared" ca="1" si="379"/>
        <v>#DIV/0!</v>
      </c>
      <c r="EM36" s="378" t="e">
        <f t="shared" ca="1" si="380"/>
        <v>#DIV/0!</v>
      </c>
      <c r="EN36" s="378" t="e">
        <f t="shared" ca="1" si="381"/>
        <v>#DIV/0!</v>
      </c>
      <c r="EO36" s="378" t="e">
        <f t="shared" ca="1" si="382"/>
        <v>#DIV/0!</v>
      </c>
      <c r="EP36" s="378" t="e">
        <f t="shared" ca="1" si="383"/>
        <v>#DIV/0!</v>
      </c>
      <c r="EQ36" s="378" t="e">
        <f t="shared" ca="1" si="384"/>
        <v>#DIV/0!</v>
      </c>
      <c r="ER36" s="378" t="e">
        <f t="shared" ca="1" si="385"/>
        <v>#DIV/0!</v>
      </c>
      <c r="ES36" s="378" t="e">
        <f t="shared" ca="1" si="386"/>
        <v>#DIV/0!</v>
      </c>
      <c r="ET36" s="378" t="e">
        <f t="shared" ca="1" si="387"/>
        <v>#DIV/0!</v>
      </c>
      <c r="EU36" s="378" t="e">
        <f t="shared" ca="1" si="388"/>
        <v>#DIV/0!</v>
      </c>
      <c r="EV36" s="378" t="e">
        <f t="shared" ca="1" si="389"/>
        <v>#DIV/0!</v>
      </c>
      <c r="EW36" s="378" t="e">
        <f t="shared" ca="1" si="390"/>
        <v>#DIV/0!</v>
      </c>
      <c r="EX36" s="378" t="e">
        <f t="shared" ca="1" si="391"/>
        <v>#DIV/0!</v>
      </c>
      <c r="EY36" s="378" t="e">
        <f t="shared" ca="1" si="392"/>
        <v>#DIV/0!</v>
      </c>
      <c r="EZ36" s="378" t="e">
        <f t="shared" ca="1" si="393"/>
        <v>#DIV/0!</v>
      </c>
      <c r="FA36" s="378" t="e">
        <f t="shared" ca="1" si="394"/>
        <v>#DIV/0!</v>
      </c>
      <c r="FB36" s="378" t="e">
        <f t="shared" ca="1" si="395"/>
        <v>#DIV/0!</v>
      </c>
      <c r="FC36" s="378" t="e">
        <f t="shared" ca="1" si="396"/>
        <v>#DIV/0!</v>
      </c>
      <c r="FD36" s="378" t="e">
        <f t="shared" ca="1" si="397"/>
        <v>#DIV/0!</v>
      </c>
      <c r="FE36" s="378" t="e">
        <f t="shared" ca="1" si="398"/>
        <v>#DIV/0!</v>
      </c>
      <c r="FG36" s="378" t="e">
        <f t="shared" ca="1" si="309"/>
        <v>#N/A</v>
      </c>
      <c r="FH36" s="378" t="e">
        <f t="shared" ca="1" si="309"/>
        <v>#N/A</v>
      </c>
      <c r="FI36" s="378" t="e">
        <f t="shared" ca="1" si="309"/>
        <v>#N/A</v>
      </c>
      <c r="FJ36" s="378" t="e">
        <f t="shared" ca="1" si="309"/>
        <v>#N/A</v>
      </c>
      <c r="FK36" s="378" t="e">
        <f t="shared" ca="1" si="309"/>
        <v>#N/A</v>
      </c>
      <c r="FL36" s="378" t="e">
        <f t="shared" ca="1" si="309"/>
        <v>#N/A</v>
      </c>
      <c r="FM36" s="378" t="e">
        <f t="shared" ca="1" si="309"/>
        <v>#N/A</v>
      </c>
      <c r="FN36" s="378" t="e">
        <f t="shared" ca="1" si="309"/>
        <v>#N/A</v>
      </c>
      <c r="FO36" s="378" t="e">
        <f t="shared" ca="1" si="309"/>
        <v>#N/A</v>
      </c>
      <c r="FP36" s="378" t="e">
        <f t="shared" ca="1" si="309"/>
        <v>#N/A</v>
      </c>
      <c r="FQ36" s="378" t="e">
        <f t="shared" ca="1" si="309"/>
        <v>#N/A</v>
      </c>
      <c r="FR36" s="378" t="e">
        <f t="shared" ca="1" si="309"/>
        <v>#N/A</v>
      </c>
      <c r="FS36" s="378" t="e">
        <f t="shared" ca="1" si="309"/>
        <v>#N/A</v>
      </c>
      <c r="FT36" s="378" t="e">
        <f t="shared" ca="1" si="309"/>
        <v>#N/A</v>
      </c>
      <c r="FU36" s="378" t="e">
        <f t="shared" ca="1" si="309"/>
        <v>#N/A</v>
      </c>
      <c r="FV36" s="378" t="e">
        <f t="shared" ca="1" si="309"/>
        <v>#N/A</v>
      </c>
      <c r="FW36" s="378" t="e">
        <f t="shared" ca="1" si="310"/>
        <v>#N/A</v>
      </c>
      <c r="FX36" s="378" t="e">
        <f t="shared" ca="1" si="310"/>
        <v>#N/A</v>
      </c>
      <c r="FY36" s="378" t="e">
        <f t="shared" ca="1" si="310"/>
        <v>#N/A</v>
      </c>
      <c r="FZ36" s="378" t="e">
        <f t="shared" ca="1" si="310"/>
        <v>#N/A</v>
      </c>
      <c r="GB36" s="275" t="str">
        <f t="shared" ca="1" si="399"/>
        <v/>
      </c>
      <c r="GC36" s="231" t="str">
        <f t="shared" ca="1" si="400"/>
        <v/>
      </c>
      <c r="GD36" s="231" t="str">
        <f t="shared" ca="1" si="401"/>
        <v/>
      </c>
      <c r="GE36" s="231" t="str">
        <f t="shared" ca="1" si="402"/>
        <v/>
      </c>
      <c r="GF36" s="231" t="str">
        <f t="shared" ca="1" si="403"/>
        <v/>
      </c>
      <c r="GG36" s="231" t="str">
        <f t="shared" ca="1" si="404"/>
        <v/>
      </c>
      <c r="GH36" s="231" t="str">
        <f t="shared" ca="1" si="405"/>
        <v/>
      </c>
      <c r="GI36" s="231" t="str">
        <f t="shared" ca="1" si="406"/>
        <v/>
      </c>
      <c r="GJ36" s="231" t="str">
        <f t="shared" ca="1" si="407"/>
        <v/>
      </c>
      <c r="GK36" s="231" t="str">
        <f t="shared" ca="1" si="408"/>
        <v/>
      </c>
      <c r="GL36" s="231" t="str">
        <f t="shared" ca="1" si="409"/>
        <v/>
      </c>
      <c r="GM36" s="231" t="str">
        <f t="shared" ca="1" si="410"/>
        <v/>
      </c>
      <c r="GN36" s="231" t="str">
        <f t="shared" ca="1" si="411"/>
        <v/>
      </c>
      <c r="GO36" s="231" t="str">
        <f t="shared" ca="1" si="412"/>
        <v/>
      </c>
      <c r="GP36" s="231" t="str">
        <f t="shared" ca="1" si="413"/>
        <v/>
      </c>
      <c r="GQ36" s="231" t="str">
        <f t="shared" ca="1" si="414"/>
        <v/>
      </c>
      <c r="GR36" s="231" t="str">
        <f t="shared" ca="1" si="415"/>
        <v/>
      </c>
      <c r="GS36" s="231" t="str">
        <f t="shared" ca="1" si="416"/>
        <v/>
      </c>
      <c r="GT36" s="231" t="str">
        <f t="shared" ca="1" si="417"/>
        <v/>
      </c>
      <c r="GU36" s="231" t="str">
        <f t="shared" ca="1" si="418"/>
        <v/>
      </c>
    </row>
    <row r="37" spans="2:203" hidden="1"/>
    <row r="38" spans="2:203" s="386" customFormat="1" ht="15" hidden="1">
      <c r="B38" s="6" t="str">
        <f>'Direct Savings'!C75</f>
        <v>Reduce Operational/Administrative Expenses</v>
      </c>
      <c r="BP38" s="29"/>
    </row>
    <row r="39" spans="2:203" s="386" customFormat="1" ht="15" hidden="1" customHeight="1">
      <c r="B39" s="373"/>
      <c r="C39" s="81" t="str">
        <f>'Direct Savings'!D77</f>
        <v>Supply costs</v>
      </c>
      <c r="D39" s="404">
        <f t="shared" ref="D39:D45" ca="1" si="419">DN39</f>
        <v>0.39760219506548616</v>
      </c>
      <c r="E39" s="374">
        <f>ROW(Initiatives!A18)</f>
        <v>18</v>
      </c>
      <c r="F39" s="374">
        <f>ROW(Initiatives!A19)</f>
        <v>19</v>
      </c>
      <c r="G39" s="374">
        <f>ROW(Initiatives!A20)</f>
        <v>20</v>
      </c>
      <c r="H39" s="374">
        <f>ROW(Initiatives!A21)</f>
        <v>21</v>
      </c>
      <c r="I39" s="374">
        <f>ROW(Initiatives!A22)</f>
        <v>22</v>
      </c>
      <c r="J39" s="374">
        <f>ROW(Initiatives!A24)</f>
        <v>24</v>
      </c>
      <c r="K39" s="374">
        <f>ROW(Initiatives!A25)</f>
        <v>25</v>
      </c>
      <c r="L39" s="374">
        <f>ROW(Initiatives!A32)</f>
        <v>32</v>
      </c>
      <c r="M39" s="374">
        <f>ROW(Initiatives!A33)</f>
        <v>33</v>
      </c>
      <c r="N39" s="374">
        <f>ROW(Initiatives!A43)</f>
        <v>43</v>
      </c>
      <c r="O39" s="374">
        <f>ROW(Initiatives!A44)</f>
        <v>44</v>
      </c>
      <c r="P39" s="374">
        <f>ROW(Initiatives!A45)</f>
        <v>45</v>
      </c>
      <c r="Q39" s="374">
        <f>ROW(Initiatives!A46)</f>
        <v>46</v>
      </c>
      <c r="R39" s="374">
        <f>ROW(Initiatives!A47)</f>
        <v>47</v>
      </c>
      <c r="S39" s="374">
        <f>ROW(Initiatives!A172)</f>
        <v>172</v>
      </c>
      <c r="T39" s="374">
        <f>ROW(Initiatives!A173)</f>
        <v>173</v>
      </c>
      <c r="U39" s="374">
        <f>ROW(Initiatives!A174)</f>
        <v>174</v>
      </c>
      <c r="V39" s="374">
        <f>ROW(Initiatives!A175)</f>
        <v>175</v>
      </c>
      <c r="W39" s="374">
        <f>ROW(Initiatives!A183)</f>
        <v>183</v>
      </c>
      <c r="X39" s="374">
        <f>ROW(Initiatives!A189)</f>
        <v>189</v>
      </c>
      <c r="Y39" s="392" t="str">
        <f ca="1">OFFSET(Initiatives!$D$1,E39-1,$BS$3)</f>
        <v>Supply chain analytics/optimization</v>
      </c>
      <c r="Z39" s="375">
        <v>7</v>
      </c>
      <c r="AA39" s="392" t="str">
        <f ca="1">OFFSET(Initiatives!$D$1,F39-1,$BS$3)</f>
        <v>Production and inventory analysis</v>
      </c>
      <c r="AB39" s="375">
        <v>7</v>
      </c>
      <c r="AC39" s="392" t="str">
        <f ca="1">OFFSET(Initiatives!$D$1,G39-1,$BS$3)</f>
        <v>Demand forecasting/planning</v>
      </c>
      <c r="AD39" s="375">
        <v>9</v>
      </c>
      <c r="AE39" s="392" t="str">
        <f ca="1">OFFSET(Initiatives!$D$1,H39-1,$BS$3)</f>
        <v>Fulfillment management analysis</v>
      </c>
      <c r="AF39" s="375">
        <v>9</v>
      </c>
      <c r="AG39" s="392" t="str">
        <f ca="1">OFFSET(Initiatives!$D$1,I39-1,$BS$3)</f>
        <v>Logistics management analysis</v>
      </c>
      <c r="AH39" s="375">
        <v>6</v>
      </c>
      <c r="AI39" s="392" t="str">
        <f ca="1">OFFSET(Initiatives!$D$1,J39-1,$BS$3)</f>
        <v>Business process/activity monitoring (BAM)</v>
      </c>
      <c r="AJ39" s="375">
        <v>2</v>
      </c>
      <c r="AK39" s="392" t="str">
        <f ca="1">OFFSET(Initiatives!$D$1,K39-1,$BS$3)</f>
        <v>Web analytics</v>
      </c>
      <c r="AL39" s="375"/>
      <c r="AM39" s="392" t="str">
        <f ca="1">OFFSET(Initiatives!$D$1,L39-1,$BS$3)</f>
        <v>Profitability management</v>
      </c>
      <c r="AN39" s="375">
        <v>3</v>
      </c>
      <c r="AO39" s="392" t="str">
        <f ca="1">OFFSET(Initiatives!$D$1,M39-1,$BS$3)</f>
        <v>Activity-based costing</v>
      </c>
      <c r="AP39" s="375">
        <v>5</v>
      </c>
      <c r="AQ39" s="392" t="str">
        <f ca="1">OFFSET(Initiatives!$D$1,N39-1,$BS$3)</f>
        <v>Fraud, waste, and abuse detection</v>
      </c>
      <c r="AR39" s="375"/>
      <c r="AS39" s="392" t="str">
        <f ca="1">OFFSET(Initiatives!$D$1,O39-1,$BS$3)</f>
        <v>HR/workforce analytics</v>
      </c>
      <c r="AT39" s="375"/>
      <c r="AU39" s="392" t="str">
        <f ca="1">OFFSET(Initiatives!$D$1,P39-1,$BS$3)</f>
        <v>Competitive intelligence analysis</v>
      </c>
      <c r="AV39" s="375"/>
      <c r="AW39" s="392" t="str">
        <f ca="1">OFFSET(Initiatives!$D$1,Q39-1,$BS$3)</f>
        <v>Risk mgmt analysis</v>
      </c>
      <c r="AX39" s="375"/>
      <c r="AY39" s="392" t="str">
        <f ca="1">OFFSET(Initiatives!$D$1,R39-1,$BS$3)</f>
        <v>Compliance mgmt analysis</v>
      </c>
      <c r="AZ39" s="375">
        <v>1</v>
      </c>
      <c r="BA39" s="392" t="str">
        <f ca="1">OFFSET(Initiatives!$D$1,S39-1,$BS$3)</f>
        <v>Marketing / Sales Data Integration</v>
      </c>
      <c r="BB39" s="375">
        <v>2</v>
      </c>
      <c r="BC39" s="392" t="str">
        <f ca="1">OFFSET(Initiatives!$D$1,T39-1,$BS$3)</f>
        <v>Supply Chain / Ops Data Integration</v>
      </c>
      <c r="BD39" s="375">
        <v>9</v>
      </c>
      <c r="BE39" s="392" t="str">
        <f ca="1">OFFSET(Initiatives!$D$1,U39-1,$BS$3)</f>
        <v>Financial Data Integration</v>
      </c>
      <c r="BF39" s="375">
        <v>3</v>
      </c>
      <c r="BG39" s="392" t="str">
        <f ca="1">OFFSET(Initiatives!$D$1,V39-1,$BS$3)</f>
        <v>Other Data Integration</v>
      </c>
      <c r="BH39" s="375"/>
      <c r="BI39" s="392" t="str">
        <f ca="1">OFFSET(Initiatives!$D$1,W39-1,$BS$3)</f>
        <v>Enhance DW Platform</v>
      </c>
      <c r="BJ39" s="375">
        <v>5</v>
      </c>
      <c r="BK39" s="392" t="str">
        <f ca="1">OFFSET(Initiatives!$D$1,X39-1,$BS$3)</f>
        <v>Enhance BI Platform</v>
      </c>
      <c r="BL39" s="375">
        <v>5</v>
      </c>
      <c r="BN39" s="101">
        <f t="shared" ref="BN39:BN45" si="420">SUM(Z39,AB39,AD39,AF39,AH39,AJ39,AL39,AN39,AP39,AR39,AT39,AV39,AX39,AZ39,BB39,BD39,BF39,BH39,BJ39,BL39)+0.0001</f>
        <v>73.000100000000003</v>
      </c>
      <c r="BP39" s="231" t="str">
        <f t="shared" ref="BP39:BP45" ca="1" si="421">CONCATENATE(GB39,GC39,GD39,GE39,GF39,GG39,GH39,GI39,GJ39,GK39,GL39,GM39,GN39,GO39,GP39,GQ39,GR39,GS39,GT39,GU39)</f>
        <v>Supply Chain / Ops Data Integration (21%); Enhance BI Platform (10%); Demand forecasting/planning (10%); Fulfillment management analysis (10%); Activity-based costing (10%); Supply chain analytics/optimization (8%); Production and inventory analysis (8%)</v>
      </c>
      <c r="BQ39" s="338">
        <v>0.01</v>
      </c>
      <c r="BR39" s="40">
        <f t="shared" ref="BR39:BR45" ca="1" si="422">COUNTIF(CT39:DM39,"&gt;"&amp;BQ39)</f>
        <v>10</v>
      </c>
      <c r="BS39" s="274">
        <v>0.05</v>
      </c>
      <c r="BT39" s="40">
        <f t="shared" ref="BT39:BT45" ca="1" si="423">COUNTIF(DP39:EI39,"&gt;"&amp;BS39)</f>
        <v>9</v>
      </c>
      <c r="BU39" s="376">
        <v>7</v>
      </c>
      <c r="BV39" s="40">
        <f t="shared" ref="BV39:BV45" ca="1" si="424">MIN(BR39,BT39,BU39)</f>
        <v>7</v>
      </c>
      <c r="BY39" s="377">
        <f ca="1">IF(ISERROR(OFFSET(Initiatives!$D$1,E39-1,$BY$3)),,OFFSET(Initiatives!$D$1,E39-1,$BY$3))</f>
        <v>0.32</v>
      </c>
      <c r="BZ39" s="377">
        <f ca="1">IF(ISERROR(OFFSET(Initiatives!$D$1,F39-1,$BY$3)),,OFFSET(Initiatives!$D$1,F39-1,$BY$3))</f>
        <v>0.32</v>
      </c>
      <c r="CA39" s="377">
        <f ca="1">IF(ISERROR(OFFSET(Initiatives!$D$1,G39-1,$BY$3)),,OFFSET(Initiatives!$D$1,G39-1,$BY$3))</f>
        <v>0.32</v>
      </c>
      <c r="CB39" s="377">
        <f ca="1">IF(ISERROR(OFFSET(Initiatives!$D$1,H39-1,$BY$3)),,OFFSET(Initiatives!$D$1,H39-1,$BY$3))</f>
        <v>0.32</v>
      </c>
      <c r="CC39" s="377">
        <f ca="1">IF(ISERROR(OFFSET(Initiatives!$D$1,I39-1,$BY$3)),,OFFSET(Initiatives!$D$1,I39-1,$BY$3))</f>
        <v>0.32</v>
      </c>
      <c r="CD39" s="377">
        <f ca="1">IF(ISERROR(OFFSET(Initiatives!$D$1,J39-1,$BY$3)),,OFFSET(Initiatives!$D$1,J39-1,$BY$3))</f>
        <v>0.32</v>
      </c>
      <c r="CE39" s="377">
        <f ca="1">IF(ISERROR(OFFSET(Initiatives!$D$1,K39-1,$BY$3)),,OFFSET(Initiatives!$D$1,K39-1,$BY$3))</f>
        <v>0.32</v>
      </c>
      <c r="CF39" s="377">
        <f ca="1">IF(ISERROR(OFFSET(Initiatives!$D$1,L39-1,$BY$3)),,OFFSET(Initiatives!$D$1,L39-1,$BY$3))</f>
        <v>0.55999999999999983</v>
      </c>
      <c r="CG39" s="377">
        <f ca="1">IF(ISERROR(OFFSET(Initiatives!$D$1,M39-1,$BY$3)),,OFFSET(Initiatives!$D$1,M39-1,$BY$3))</f>
        <v>0.55999999999999983</v>
      </c>
      <c r="CH39" s="377">
        <f ca="1">IF(ISERROR(OFFSET(Initiatives!$D$1,N39-1,$BY$3)),,OFFSET(Initiatives!$D$1,N39-1,$BY$3))</f>
        <v>0.68</v>
      </c>
      <c r="CI39" s="377">
        <f ca="1">IF(ISERROR(OFFSET(Initiatives!$D$1,O39-1,$BY$3)),,OFFSET(Initiatives!$D$1,O39-1,$BY$3))</f>
        <v>0.68</v>
      </c>
      <c r="CJ39" s="377">
        <f ca="1">IF(ISERROR(OFFSET(Initiatives!$D$1,P39-1,$BY$3)),,OFFSET(Initiatives!$D$1,P39-1,$BY$3))</f>
        <v>0.68</v>
      </c>
      <c r="CK39" s="377">
        <f ca="1">IF(ISERROR(OFFSET(Initiatives!$D$1,Q39-1,$BY$3)),,OFFSET(Initiatives!$D$1,Q39-1,$BY$3))</f>
        <v>0.68</v>
      </c>
      <c r="CL39" s="377">
        <f ca="1">IF(ISERROR(OFFSET(Initiatives!$D$1,R39-1,$BY$3)),,OFFSET(Initiatives!$D$1,R39-1,$BY$3))</f>
        <v>0.68</v>
      </c>
      <c r="CM39" s="377">
        <f ca="1">IF(ISERROR(OFFSET(Initiatives!$D$1,S39-1,$BY$3)),,OFFSET(Initiatives!$D$1,S39-1,$BY$3))</f>
        <v>0.3600000000000001</v>
      </c>
      <c r="CN39" s="377">
        <f ca="1">IF(ISERROR(OFFSET(Initiatives!$D$1,T39-1,$BY$3)),,OFFSET(Initiatives!$D$1,T39-1,$BY$3))</f>
        <v>0.68000000000000016</v>
      </c>
      <c r="CO39" s="377">
        <f ca="1">IF(ISERROR(OFFSET(Initiatives!$D$1,U39-1,$BY$3)),,OFFSET(Initiatives!$D$1,U39-1,$BY$3))</f>
        <v>0.27999999999999958</v>
      </c>
      <c r="CP39" s="377">
        <f ca="1">IF(ISERROR(OFFSET(Initiatives!$D$1,V39-1,$BY$3)),,OFFSET(Initiatives!$D$1,V39-1,$BY$3))</f>
        <v>0.64000000000000012</v>
      </c>
      <c r="CQ39" s="377">
        <f ca="1">IF(ISERROR(OFFSET(Initiatives!$D$1,W39-1,$BY$3)),,OFFSET(Initiatives!$D$1,W39-1,$BY$3))</f>
        <v>7.7000000000000179E-2</v>
      </c>
      <c r="CR39" s="377">
        <f ca="1">IF(ISERROR(OFFSET(Initiatives!$D$1,X39-1,$BY$3)),,OFFSET(Initiatives!$D$1,X39-1,$BY$3))</f>
        <v>0.6</v>
      </c>
      <c r="CT39" s="41">
        <f t="shared" ref="CT39:CT45" ca="1" si="425">BY39*Z39/$BN39</f>
        <v>3.0684889472754148E-2</v>
      </c>
      <c r="CU39" s="41">
        <f t="shared" ref="CU39:CU45" ca="1" si="426">BZ39*AB39/$BN39</f>
        <v>3.0684889472754148E-2</v>
      </c>
      <c r="CV39" s="41">
        <f t="shared" ref="CV39:CV45" ca="1" si="427">CA39*AD39/$BN39</f>
        <v>3.9452000750683898E-2</v>
      </c>
      <c r="CW39" s="41">
        <f t="shared" ref="CW39:CW45" ca="1" si="428">CB39*AF39/$BN39</f>
        <v>3.9452000750683898E-2</v>
      </c>
      <c r="CX39" s="41">
        <f t="shared" ref="CX39:CX45" ca="1" si="429">CC39*AH39/$BN39</f>
        <v>2.6301333833789266E-2</v>
      </c>
      <c r="CY39" s="41">
        <f t="shared" ref="CY39:CY45" ca="1" si="430">CD39*AJ39/$BN39</f>
        <v>8.7671112779297566E-3</v>
      </c>
      <c r="CZ39" s="41">
        <f t="shared" ref="CZ39:CZ45" ca="1" si="431">CE39*AL39/$BN39</f>
        <v>0</v>
      </c>
      <c r="DA39" s="41">
        <f t="shared" ref="DA39:DA45" ca="1" si="432">CF39*AN39/$BN39</f>
        <v>2.3013667104565601E-2</v>
      </c>
      <c r="DB39" s="41">
        <f t="shared" ref="DB39:DB45" ca="1" si="433">CG39*AP39/$BN39</f>
        <v>3.8356111840942668E-2</v>
      </c>
      <c r="DC39" s="41">
        <f t="shared" ref="DC39:DC45" ca="1" si="434">CH39*AR39/$BN39</f>
        <v>0</v>
      </c>
      <c r="DD39" s="41">
        <f t="shared" ref="DD39:DD45" ca="1" si="435">CI39*AT39/$BN39</f>
        <v>0</v>
      </c>
      <c r="DE39" s="41">
        <f t="shared" ref="DE39:DE45" ca="1" si="436">CJ39*AV39/$BN39</f>
        <v>0</v>
      </c>
      <c r="DF39" s="41">
        <f t="shared" ref="DF39:DF45" ca="1" si="437">CK39*AX39/$BN39</f>
        <v>0</v>
      </c>
      <c r="DG39" s="41">
        <f t="shared" ref="DG39:DG45" ca="1" si="438">CL39*AZ39/$BN39</f>
        <v>9.3150557328003664E-3</v>
      </c>
      <c r="DH39" s="41">
        <f t="shared" ref="DH39:DH45" ca="1" si="439">CM39*BB39/$BN39</f>
        <v>9.863000187670978E-3</v>
      </c>
      <c r="DI39" s="41">
        <f t="shared" ref="DI39:DI45" ca="1" si="440">CN39*BD39/$BN39</f>
        <v>8.383550159520331E-2</v>
      </c>
      <c r="DJ39" s="41">
        <f t="shared" ref="DJ39:DJ45" ca="1" si="441">CO39*BF39/$BN39</f>
        <v>1.1506833552282788E-2</v>
      </c>
      <c r="DK39" s="41">
        <f t="shared" ref="DK39:DK45" ca="1" si="442">CP39*BH39/$BN39</f>
        <v>0</v>
      </c>
      <c r="DL39" s="41">
        <f t="shared" ref="DL39:DL45" ca="1" si="443">CQ39*BJ39/$BN39</f>
        <v>5.2739653781296312E-3</v>
      </c>
      <c r="DM39" s="41">
        <f t="shared" ref="DM39:DM45" ca="1" si="444">CR39*BL39/$BN39</f>
        <v>4.1095834115295729E-2</v>
      </c>
      <c r="DN39" s="41">
        <f t="shared" ref="DN39:DN45" ca="1" si="445">SUM(CT39:DM39)</f>
        <v>0.39760219506548616</v>
      </c>
      <c r="DP39" s="41">
        <f t="shared" ref="DP39:DP45" ca="1" si="446">CT39/$DN39-DP$5/100000</f>
        <v>7.7164849267872537E-2</v>
      </c>
      <c r="DQ39" s="41">
        <f t="shared" ref="DQ39:DQ45" ca="1" si="447">CU39/$DN39-DQ$5/100000</f>
        <v>7.7154849267872527E-2</v>
      </c>
      <c r="DR39" s="41">
        <f t="shared" ref="DR39:DR45" ca="1" si="448">CV39/$DN39-DR$5/100000</f>
        <v>9.9194806201550384E-2</v>
      </c>
      <c r="DS39" s="41">
        <f t="shared" ref="DS39:DS45" ca="1" si="449">CW39/$DN39-DS$5/100000</f>
        <v>9.9184806201550388E-2</v>
      </c>
      <c r="DT39" s="41">
        <f t="shared" ref="DT39:DT45" ca="1" si="450">CX39/$DN39-DT$5/100000</f>
        <v>6.6099870801033606E-2</v>
      </c>
      <c r="DU39" s="41">
        <f t="shared" ref="DU39:DU45" ca="1" si="451">CY39/$DN39-DU$5/100000</f>
        <v>2.1989956933677866E-2</v>
      </c>
      <c r="DV39" s="41">
        <f t="shared" ref="DV39:DV45" ca="1" si="452">CZ39/$DN39-DV$5/100000</f>
        <v>-6.9999999999999994E-5</v>
      </c>
      <c r="DW39" s="41">
        <f t="shared" ref="DW39:DW45" ca="1" si="453">DA39/$DN39-DW$5/100000</f>
        <v>5.7801136950904379E-2</v>
      </c>
      <c r="DX39" s="41">
        <f t="shared" ref="DX39:DX45" ca="1" si="454">DB39/$DN39-DX$5/100000</f>
        <v>9.6378561584840622E-2</v>
      </c>
      <c r="DY39" s="41">
        <f t="shared" ref="DY39:DY45" ca="1" si="455">DC39/$DN39-DY$5/100000</f>
        <v>-1E-4</v>
      </c>
      <c r="DZ39" s="41">
        <f t="shared" ref="DZ39:DZ45" ca="1" si="456">DD39/$DN39-DZ$5/100000</f>
        <v>-1.1E-4</v>
      </c>
      <c r="EA39" s="41">
        <f t="shared" ref="EA39:EA45" ca="1" si="457">DE39/$DN39-EA$5/100000</f>
        <v>-1.2E-4</v>
      </c>
      <c r="EB39" s="41">
        <f t="shared" ref="EB39:EB45" ca="1" si="458">DF39/$DN39-EB$5/100000</f>
        <v>-1.2999999999999999E-4</v>
      </c>
      <c r="EC39" s="41">
        <f t="shared" ref="EC39:EC45" ca="1" si="459">DG39/$DN39-EC$5/100000</f>
        <v>2.3288079242032734E-2</v>
      </c>
      <c r="ED39" s="41">
        <f t="shared" ref="ED39:ED45" ca="1" si="460">DH39/$DN39-ED$5/100000</f>
        <v>2.4656201550387606E-2</v>
      </c>
      <c r="EE39" s="41">
        <f t="shared" ref="EE39:EE45" ca="1" si="461">DI39/$DN39-EE$5/100000</f>
        <v>0.21069271317829463</v>
      </c>
      <c r="EF39" s="41">
        <f t="shared" ref="EF39:EF45" ca="1" si="462">DJ39/$DN39-EF$5/100000</f>
        <v>2.8770568475452157E-2</v>
      </c>
      <c r="EG39" s="41">
        <f t="shared" ref="EG39:EG45" ca="1" si="463">DK39/$DN39-EG$5/100000</f>
        <v>-1.8000000000000001E-4</v>
      </c>
      <c r="EH39" s="41">
        <f t="shared" ref="EH39:EH45" ca="1" si="464">DL39/$DN39-EH$5/100000</f>
        <v>1.3074427217915623E-2</v>
      </c>
      <c r="EI39" s="41">
        <f t="shared" ref="EI39:EI45" ca="1" si="465">DM39/$DN39-EI$5/100000</f>
        <v>0.10315917312661499</v>
      </c>
      <c r="EJ39" s="41">
        <f t="shared" ref="EJ39:EJ45" ca="1" si="466">SUM(DP39:EI39)</f>
        <v>0.99790000000000001</v>
      </c>
      <c r="EL39" s="378">
        <f t="shared" ref="EL39:EL45" ca="1" si="467">RANK(DP39,$DP39:$EI39)</f>
        <v>6</v>
      </c>
      <c r="EM39" s="378">
        <f t="shared" ref="EM39:EM45" ca="1" si="468">RANK(DQ39,$DP39:$EI39)</f>
        <v>7</v>
      </c>
      <c r="EN39" s="378">
        <f t="shared" ref="EN39:EN45" ca="1" si="469">RANK(DR39,$DP39:$EI39)</f>
        <v>3</v>
      </c>
      <c r="EO39" s="378">
        <f t="shared" ref="EO39:EO45" ca="1" si="470">RANK(DS39,$DP39:$EI39)</f>
        <v>4</v>
      </c>
      <c r="EP39" s="378">
        <f t="shared" ref="EP39:EP45" ca="1" si="471">RANK(DT39,$DP39:$EI39)</f>
        <v>8</v>
      </c>
      <c r="EQ39" s="378">
        <f t="shared" ref="EQ39:EQ45" ca="1" si="472">RANK(DU39,$DP39:$EI39)</f>
        <v>13</v>
      </c>
      <c r="ER39" s="378">
        <f t="shared" ref="ER39:ER45" ca="1" si="473">RANK(DV39,$DP39:$EI39)</f>
        <v>15</v>
      </c>
      <c r="ES39" s="378">
        <f t="shared" ref="ES39:ES45" ca="1" si="474">RANK(DW39,$DP39:$EI39)</f>
        <v>9</v>
      </c>
      <c r="ET39" s="378">
        <f t="shared" ref="ET39:ET45" ca="1" si="475">RANK(DX39,$DP39:$EI39)</f>
        <v>5</v>
      </c>
      <c r="EU39" s="378">
        <f t="shared" ref="EU39:EU45" ca="1" si="476">RANK(DY39,$DP39:$EI39)</f>
        <v>16</v>
      </c>
      <c r="EV39" s="378">
        <f t="shared" ref="EV39:EV45" ca="1" si="477">RANK(DZ39,$DP39:$EI39)</f>
        <v>17</v>
      </c>
      <c r="EW39" s="378">
        <f t="shared" ref="EW39:EW45" ca="1" si="478">RANK(EA39,$DP39:$EI39)</f>
        <v>18</v>
      </c>
      <c r="EX39" s="378">
        <f t="shared" ref="EX39:EX45" ca="1" si="479">RANK(EB39,$DP39:$EI39)</f>
        <v>19</v>
      </c>
      <c r="EY39" s="378">
        <f t="shared" ref="EY39:EY45" ca="1" si="480">RANK(EC39,$DP39:$EI39)</f>
        <v>12</v>
      </c>
      <c r="EZ39" s="378">
        <f t="shared" ref="EZ39:EZ45" ca="1" si="481">RANK(ED39,$DP39:$EI39)</f>
        <v>11</v>
      </c>
      <c r="FA39" s="378">
        <f t="shared" ref="FA39:FA45" ca="1" si="482">RANK(EE39,$DP39:$EI39)</f>
        <v>1</v>
      </c>
      <c r="FB39" s="378">
        <f t="shared" ref="FB39:FB45" ca="1" si="483">RANK(EF39,$DP39:$EI39)</f>
        <v>10</v>
      </c>
      <c r="FC39" s="378">
        <f t="shared" ref="FC39:FC45" ca="1" si="484">RANK(EG39,$DP39:$EI39)</f>
        <v>20</v>
      </c>
      <c r="FD39" s="378">
        <f t="shared" ref="FD39:FD45" ca="1" si="485">RANK(EH39,$DP39:$EI39)</f>
        <v>14</v>
      </c>
      <c r="FE39" s="378">
        <f t="shared" ref="FE39:FE45" ca="1" si="486">RANK(EI39,$DP39:$EI39)</f>
        <v>2</v>
      </c>
      <c r="FG39" s="378">
        <f t="shared" ref="FG39:FV48" ca="1" si="487">MATCH(FG$5,$EL39:$FE39,0)</f>
        <v>16</v>
      </c>
      <c r="FH39" s="378">
        <f t="shared" ca="1" si="487"/>
        <v>20</v>
      </c>
      <c r="FI39" s="378">
        <f t="shared" ca="1" si="487"/>
        <v>3</v>
      </c>
      <c r="FJ39" s="378">
        <f t="shared" ca="1" si="487"/>
        <v>4</v>
      </c>
      <c r="FK39" s="378">
        <f t="shared" ca="1" si="487"/>
        <v>9</v>
      </c>
      <c r="FL39" s="378">
        <f t="shared" ca="1" si="487"/>
        <v>1</v>
      </c>
      <c r="FM39" s="378">
        <f t="shared" ca="1" si="487"/>
        <v>2</v>
      </c>
      <c r="FN39" s="378">
        <f t="shared" ca="1" si="487"/>
        <v>5</v>
      </c>
      <c r="FO39" s="378">
        <f t="shared" ca="1" si="487"/>
        <v>8</v>
      </c>
      <c r="FP39" s="378">
        <f t="shared" ca="1" si="487"/>
        <v>17</v>
      </c>
      <c r="FQ39" s="378">
        <f t="shared" ca="1" si="487"/>
        <v>15</v>
      </c>
      <c r="FR39" s="378">
        <f t="shared" ca="1" si="487"/>
        <v>14</v>
      </c>
      <c r="FS39" s="378">
        <f t="shared" ca="1" si="487"/>
        <v>6</v>
      </c>
      <c r="FT39" s="378">
        <f t="shared" ca="1" si="487"/>
        <v>19</v>
      </c>
      <c r="FU39" s="378">
        <f t="shared" ca="1" si="487"/>
        <v>7</v>
      </c>
      <c r="FV39" s="378">
        <f t="shared" ca="1" si="487"/>
        <v>10</v>
      </c>
      <c r="FW39" s="378">
        <f t="shared" ref="FW39:FZ48" ca="1" si="488">MATCH(FW$5,$EL39:$FE39,0)</f>
        <v>11</v>
      </c>
      <c r="FX39" s="378">
        <f t="shared" ca="1" si="488"/>
        <v>12</v>
      </c>
      <c r="FY39" s="378">
        <f t="shared" ca="1" si="488"/>
        <v>13</v>
      </c>
      <c r="FZ39" s="378">
        <f t="shared" ca="1" si="488"/>
        <v>18</v>
      </c>
      <c r="GB39" s="275" t="str">
        <f t="shared" ref="GB39:GB45" ca="1" si="489">IF(GB$5&lt;=$BV39,INDEX($Y39:$BL39,1,FG39*2-1)&amp;" ("&amp;TEXT(INDEX($DP39:$EI39,1,FG39),"0%")&amp;")","")</f>
        <v>Supply Chain / Ops Data Integration (21%)</v>
      </c>
      <c r="GC39" s="231" t="str">
        <f t="shared" ref="GC39:GC45" ca="1" si="490">IF(GC$5&lt;=$BV39,"; "&amp;INDEX($Y39:$BL39,1,FH39*2-1)&amp;" ("&amp;TEXT(INDEX($DP39:$EI39,1,FH39),"0%")&amp;")","")</f>
        <v>; Enhance BI Platform (10%)</v>
      </c>
      <c r="GD39" s="231" t="str">
        <f t="shared" ref="GD39:GD45" ca="1" si="491">IF(GD$5&lt;=$BV39,"; "&amp;INDEX($Y39:$BL39,1,FI39*2-1)&amp;" ("&amp;TEXT(INDEX($DP39:$EI39,1,FI39),"0%")&amp;")","")</f>
        <v>; Demand forecasting/planning (10%)</v>
      </c>
      <c r="GE39" s="231" t="str">
        <f t="shared" ref="GE39:GE45" ca="1" si="492">IF(GE$5&lt;=$BV39,"; "&amp;INDEX($Y39:$BL39,1,FJ39*2-1)&amp;" ("&amp;TEXT(INDEX($DP39:$EI39,1,FJ39),"0%")&amp;")","")</f>
        <v>; Fulfillment management analysis (10%)</v>
      </c>
      <c r="GF39" s="231" t="str">
        <f t="shared" ref="GF39:GF45" ca="1" si="493">IF(GF$5&lt;=$BV39,"; "&amp;INDEX($Y39:$BL39,1,FK39*2-1)&amp;" ("&amp;TEXT(INDEX($DP39:$EI39,1,FK39),"0%")&amp;")","")</f>
        <v>; Activity-based costing (10%)</v>
      </c>
      <c r="GG39" s="231" t="str">
        <f t="shared" ref="GG39:GG45" ca="1" si="494">IF(GG$5&lt;=$BV39,"; "&amp;INDEX($Y39:$BL39,1,FL39*2-1)&amp;" ("&amp;TEXT(INDEX($DP39:$EI39,1,FL39),"0%")&amp;")","")</f>
        <v>; Supply chain analytics/optimization (8%)</v>
      </c>
      <c r="GH39" s="231" t="str">
        <f t="shared" ref="GH39:GH45" ca="1" si="495">IF(GH$5&lt;=$BV39,"; "&amp;INDEX($Y39:$BL39,1,FM39*2-1)&amp;" ("&amp;TEXT(INDEX($DP39:$EI39,1,FM39),"0%")&amp;")","")</f>
        <v>; Production and inventory analysis (8%)</v>
      </c>
      <c r="GI39" s="231" t="str">
        <f t="shared" ref="GI39:GI45" ca="1" si="496">IF(GI$5&lt;=$BV39,"; "&amp;INDEX($Y39:$BL39,1,FN39*2-1)&amp;" ("&amp;TEXT(INDEX($DP39:$EI39,1,FN39),"0%")&amp;")","")</f>
        <v/>
      </c>
      <c r="GJ39" s="231" t="str">
        <f t="shared" ref="GJ39:GJ45" ca="1" si="497">IF(GJ$5&lt;=$BV39,"; "&amp;INDEX($Y39:$BL39,1,FO39*2-1)&amp;" ("&amp;TEXT(INDEX($DP39:$EI39,1,FO39),"0%")&amp;")","")</f>
        <v/>
      </c>
      <c r="GK39" s="231" t="str">
        <f t="shared" ref="GK39:GK45" ca="1" si="498">IF(GK$5&lt;=$BV39,"; "&amp;INDEX($Y39:$BL39,1,FP39*2-1)&amp;" ("&amp;TEXT(INDEX($DP39:$EI39,1,FP39),"0%")&amp;")","")</f>
        <v/>
      </c>
      <c r="GL39" s="231" t="str">
        <f t="shared" ref="GL39:GL45" ca="1" si="499">IF(GL$5&lt;=$BV39,"; "&amp;INDEX($Y39:$BL39,1,FQ39*2-1)&amp;" ("&amp;TEXT(INDEX($DP39:$EI39,1,FQ39),"0%")&amp;")","")</f>
        <v/>
      </c>
      <c r="GM39" s="231" t="str">
        <f t="shared" ref="GM39:GM45" ca="1" si="500">IF(GM$5&lt;=$BV39,"; "&amp;INDEX($Y39:$BL39,1,FR39*2-1)&amp;" ("&amp;TEXT(INDEX($DP39:$EI39,1,FR39),"0%")&amp;")","")</f>
        <v/>
      </c>
      <c r="GN39" s="231" t="str">
        <f t="shared" ref="GN39:GN45" ca="1" si="501">IF(GN$5&lt;=$BV39,"; "&amp;INDEX($Y39:$BL39,1,FS39*2-1)&amp;" ("&amp;TEXT(INDEX($DP39:$EI39,1,FS39),"0%")&amp;")","")</f>
        <v/>
      </c>
      <c r="GO39" s="231" t="str">
        <f t="shared" ref="GO39:GO45" ca="1" si="502">IF(GO$5&lt;=$BV39,"; "&amp;INDEX($Y39:$BL39,1,FT39*2-1)&amp;" ("&amp;TEXT(INDEX($DP39:$EI39,1,FT39),"0%")&amp;")","")</f>
        <v/>
      </c>
      <c r="GP39" s="231" t="str">
        <f t="shared" ref="GP39:GP45" ca="1" si="503">IF(GP$5&lt;=$BV39,"; "&amp;INDEX($Y39:$BL39,1,FU39*2-1)&amp;" ("&amp;TEXT(INDEX($DP39:$EI39,1,FU39),"0%")&amp;")","")</f>
        <v/>
      </c>
      <c r="GQ39" s="231" t="str">
        <f t="shared" ref="GQ39:GQ45" ca="1" si="504">IF(GQ$5&lt;=$BV39,"; "&amp;INDEX($Y39:$BL39,1,FV39*2-1)&amp;" ("&amp;TEXT(INDEX($DP39:$EI39,1,FV39),"0%")&amp;")","")</f>
        <v/>
      </c>
      <c r="GR39" s="231" t="str">
        <f t="shared" ref="GR39:GR45" ca="1" si="505">IF(GR$5&lt;=$BV39,"; "&amp;INDEX($Y39:$BL39,1,FW39*2-1)&amp;" ("&amp;TEXT(INDEX($DP39:$EI39,1,FW39),"0%")&amp;")","")</f>
        <v/>
      </c>
      <c r="GS39" s="231" t="str">
        <f t="shared" ref="GS39:GS45" ca="1" si="506">IF(GS$5&lt;=$BV39,"; "&amp;INDEX($Y39:$BL39,1,FX39*2-1)&amp;" ("&amp;TEXT(INDEX($DP39:$EI39,1,FX39),"0%")&amp;")","")</f>
        <v/>
      </c>
      <c r="GT39" s="231" t="str">
        <f t="shared" ref="GT39:GT45" ca="1" si="507">IF(GT$5&lt;=$BV39,"; "&amp;INDEX($Y39:$BL39,1,FY39*2-1)&amp;" ("&amp;TEXT(INDEX($DP39:$EI39,1,FY39),"0%")&amp;")","")</f>
        <v/>
      </c>
      <c r="GU39" s="231" t="str">
        <f t="shared" ref="GU39:GU45" ca="1" si="508">IF(GU$5&lt;=$BV39,"; "&amp;INDEX($Y39:$BL39,1,FZ39*2-1)&amp;" ("&amp;TEXT(INDEX($DP39:$EI39,1,FZ39),"0%")&amp;")","")</f>
        <v/>
      </c>
    </row>
    <row r="40" spans="2:203" s="386" customFormat="1" ht="15" hidden="1" customHeight="1">
      <c r="B40" s="373"/>
      <c r="C40" s="81" t="str">
        <f>'Direct Savings'!D78</f>
        <v>Inventory carrying costs</v>
      </c>
      <c r="D40" s="404">
        <f t="shared" ca="1" si="419"/>
        <v>0.41231281744355597</v>
      </c>
      <c r="E40" s="374">
        <f>ROW(Initiatives!A18)</f>
        <v>18</v>
      </c>
      <c r="F40" s="374">
        <f>ROW(Initiatives!A19)</f>
        <v>19</v>
      </c>
      <c r="G40" s="374">
        <f>ROW(Initiatives!A20)</f>
        <v>20</v>
      </c>
      <c r="H40" s="374">
        <f>ROW(Initiatives!A21)</f>
        <v>21</v>
      </c>
      <c r="I40" s="374">
        <f>ROW(Initiatives!A22)</f>
        <v>22</v>
      </c>
      <c r="J40" s="374">
        <f>ROW(Initiatives!A24)</f>
        <v>24</v>
      </c>
      <c r="K40" s="374">
        <f>ROW(Initiatives!A25)</f>
        <v>25</v>
      </c>
      <c r="L40" s="374">
        <f>ROW(Initiatives!A32)</f>
        <v>32</v>
      </c>
      <c r="M40" s="374">
        <f>ROW(Initiatives!A33)</f>
        <v>33</v>
      </c>
      <c r="N40" s="374">
        <f>ROW(Initiatives!A43)</f>
        <v>43</v>
      </c>
      <c r="O40" s="374">
        <f>ROW(Initiatives!A44)</f>
        <v>44</v>
      </c>
      <c r="P40" s="374">
        <f>ROW(Initiatives!A45)</f>
        <v>45</v>
      </c>
      <c r="Q40" s="374">
        <f>ROW(Initiatives!A46)</f>
        <v>46</v>
      </c>
      <c r="R40" s="374">
        <f>ROW(Initiatives!A47)</f>
        <v>47</v>
      </c>
      <c r="S40" s="374">
        <f>ROW(Initiatives!A172)</f>
        <v>172</v>
      </c>
      <c r="T40" s="374">
        <f>ROW(Initiatives!A173)</f>
        <v>173</v>
      </c>
      <c r="U40" s="374">
        <f>ROW(Initiatives!A174)</f>
        <v>174</v>
      </c>
      <c r="V40" s="374">
        <f>ROW(Initiatives!A175)</f>
        <v>175</v>
      </c>
      <c r="W40" s="374">
        <f>ROW(Initiatives!A183)</f>
        <v>183</v>
      </c>
      <c r="X40" s="374">
        <f>ROW(Initiatives!A189)</f>
        <v>189</v>
      </c>
      <c r="Y40" s="392" t="str">
        <f ca="1">OFFSET(Initiatives!$D$1,E40-1,$BS$3)</f>
        <v>Supply chain analytics/optimization</v>
      </c>
      <c r="Z40" s="375">
        <v>5</v>
      </c>
      <c r="AA40" s="392" t="str">
        <f ca="1">OFFSET(Initiatives!$D$1,F40-1,$BS$3)</f>
        <v>Production and inventory analysis</v>
      </c>
      <c r="AB40" s="375">
        <v>9</v>
      </c>
      <c r="AC40" s="392" t="str">
        <f ca="1">OFFSET(Initiatives!$D$1,G40-1,$BS$3)</f>
        <v>Demand forecasting/planning</v>
      </c>
      <c r="AD40" s="375">
        <v>8</v>
      </c>
      <c r="AE40" s="392" t="str">
        <f ca="1">OFFSET(Initiatives!$D$1,H40-1,$BS$3)</f>
        <v>Fulfillment management analysis</v>
      </c>
      <c r="AF40" s="375">
        <v>6</v>
      </c>
      <c r="AG40" s="392" t="str">
        <f ca="1">OFFSET(Initiatives!$D$1,I40-1,$BS$3)</f>
        <v>Logistics management analysis</v>
      </c>
      <c r="AH40" s="375">
        <v>4</v>
      </c>
      <c r="AI40" s="392" t="str">
        <f ca="1">OFFSET(Initiatives!$D$1,J40-1,$BS$3)</f>
        <v>Business process/activity monitoring (BAM)</v>
      </c>
      <c r="AJ40" s="375">
        <v>3</v>
      </c>
      <c r="AK40" s="392" t="str">
        <f ca="1">OFFSET(Initiatives!$D$1,K40-1,$BS$3)</f>
        <v>Web analytics</v>
      </c>
      <c r="AL40" s="375"/>
      <c r="AM40" s="392" t="str">
        <f ca="1">OFFSET(Initiatives!$D$1,L40-1,$BS$3)</f>
        <v>Profitability management</v>
      </c>
      <c r="AN40" s="375">
        <v>2</v>
      </c>
      <c r="AO40" s="392" t="str">
        <f ca="1">OFFSET(Initiatives!$D$1,M40-1,$BS$3)</f>
        <v>Activity-based costing</v>
      </c>
      <c r="AP40" s="375">
        <v>3</v>
      </c>
      <c r="AQ40" s="392" t="str">
        <f ca="1">OFFSET(Initiatives!$D$1,N40-1,$BS$3)</f>
        <v>Fraud, waste, and abuse detection</v>
      </c>
      <c r="AR40" s="375">
        <v>3</v>
      </c>
      <c r="AS40" s="392" t="str">
        <f ca="1">OFFSET(Initiatives!$D$1,O40-1,$BS$3)</f>
        <v>HR/workforce analytics</v>
      </c>
      <c r="AT40" s="375"/>
      <c r="AU40" s="392" t="str">
        <f ca="1">OFFSET(Initiatives!$D$1,P40-1,$BS$3)</f>
        <v>Competitive intelligence analysis</v>
      </c>
      <c r="AV40" s="375"/>
      <c r="AW40" s="392" t="str">
        <f ca="1">OFFSET(Initiatives!$D$1,Q40-1,$BS$3)</f>
        <v>Risk mgmt analysis</v>
      </c>
      <c r="AX40" s="375"/>
      <c r="AY40" s="392" t="str">
        <f ca="1">OFFSET(Initiatives!$D$1,R40-1,$BS$3)</f>
        <v>Compliance mgmt analysis</v>
      </c>
      <c r="AZ40" s="375"/>
      <c r="BA40" s="392" t="str">
        <f ca="1">OFFSET(Initiatives!$D$1,S40-1,$BS$3)</f>
        <v>Marketing / Sales Data Integration</v>
      </c>
      <c r="BB40" s="375"/>
      <c r="BC40" s="392" t="str">
        <f ca="1">OFFSET(Initiatives!$D$1,T40-1,$BS$3)</f>
        <v>Supply Chain / Ops Data Integration</v>
      </c>
      <c r="BD40" s="375">
        <v>8</v>
      </c>
      <c r="BE40" s="392" t="str">
        <f ca="1">OFFSET(Initiatives!$D$1,U40-1,$BS$3)</f>
        <v>Financial Data Integration</v>
      </c>
      <c r="BF40" s="375">
        <v>3</v>
      </c>
      <c r="BG40" s="392" t="str">
        <f ca="1">OFFSET(Initiatives!$D$1,V40-1,$BS$3)</f>
        <v>Other Data Integration</v>
      </c>
      <c r="BH40" s="375">
        <v>3</v>
      </c>
      <c r="BI40" s="392" t="str">
        <f ca="1">OFFSET(Initiatives!$D$1,W40-1,$BS$3)</f>
        <v>Enhance DW Platform</v>
      </c>
      <c r="BJ40" s="375">
        <v>5</v>
      </c>
      <c r="BK40" s="392" t="str">
        <f ca="1">OFFSET(Initiatives!$D$1,X40-1,$BS$3)</f>
        <v>Enhance BI Platform</v>
      </c>
      <c r="BL40" s="375">
        <v>5</v>
      </c>
      <c r="BN40" s="101">
        <f t="shared" si="420"/>
        <v>67.000100000000003</v>
      </c>
      <c r="BP40" s="231" t="str">
        <f t="shared" ca="1" si="421"/>
        <v>Supply Chain / Ops Data Integration (20%); Enhance BI Platform (11%); Production and inventory analysis (10%); Demand forecasting/planning (9%); Fraud, waste, and abuse detection (7%); Fulfillment management analysis (7%); Other Data Integration (7%)</v>
      </c>
      <c r="BQ40" s="338">
        <v>0.01</v>
      </c>
      <c r="BR40" s="40">
        <f t="shared" ca="1" si="422"/>
        <v>13</v>
      </c>
      <c r="BS40" s="274">
        <v>0.05</v>
      </c>
      <c r="BT40" s="40">
        <f t="shared" ca="1" si="423"/>
        <v>9</v>
      </c>
      <c r="BU40" s="376">
        <v>7</v>
      </c>
      <c r="BV40" s="40">
        <f t="shared" ca="1" si="424"/>
        <v>7</v>
      </c>
      <c r="BY40" s="377">
        <f ca="1">IF(ISERROR(OFFSET(Initiatives!$D$1,E40-1,$BY$3)),,OFFSET(Initiatives!$D$1,E40-1,$BY$3))</f>
        <v>0.32</v>
      </c>
      <c r="BZ40" s="377">
        <f ca="1">IF(ISERROR(OFFSET(Initiatives!$D$1,F40-1,$BY$3)),,OFFSET(Initiatives!$D$1,F40-1,$BY$3))</f>
        <v>0.32</v>
      </c>
      <c r="CA40" s="377">
        <f ca="1">IF(ISERROR(OFFSET(Initiatives!$D$1,G40-1,$BY$3)),,OFFSET(Initiatives!$D$1,G40-1,$BY$3))</f>
        <v>0.32</v>
      </c>
      <c r="CB40" s="377">
        <f ca="1">IF(ISERROR(OFFSET(Initiatives!$D$1,H40-1,$BY$3)),,OFFSET(Initiatives!$D$1,H40-1,$BY$3))</f>
        <v>0.32</v>
      </c>
      <c r="CC40" s="377">
        <f ca="1">IF(ISERROR(OFFSET(Initiatives!$D$1,I40-1,$BY$3)),,OFFSET(Initiatives!$D$1,I40-1,$BY$3))</f>
        <v>0.32</v>
      </c>
      <c r="CD40" s="377">
        <f ca="1">IF(ISERROR(OFFSET(Initiatives!$D$1,J40-1,$BY$3)),,OFFSET(Initiatives!$D$1,J40-1,$BY$3))</f>
        <v>0.32</v>
      </c>
      <c r="CE40" s="377">
        <f ca="1">IF(ISERROR(OFFSET(Initiatives!$D$1,K40-1,$BY$3)),,OFFSET(Initiatives!$D$1,K40-1,$BY$3))</f>
        <v>0.32</v>
      </c>
      <c r="CF40" s="377">
        <f ca="1">IF(ISERROR(OFFSET(Initiatives!$D$1,L40-1,$BY$3)),,OFFSET(Initiatives!$D$1,L40-1,$BY$3))</f>
        <v>0.55999999999999983</v>
      </c>
      <c r="CG40" s="377">
        <f ca="1">IF(ISERROR(OFFSET(Initiatives!$D$1,M40-1,$BY$3)),,OFFSET(Initiatives!$D$1,M40-1,$BY$3))</f>
        <v>0.55999999999999983</v>
      </c>
      <c r="CH40" s="377">
        <f ca="1">IF(ISERROR(OFFSET(Initiatives!$D$1,N40-1,$BY$3)),,OFFSET(Initiatives!$D$1,N40-1,$BY$3))</f>
        <v>0.68</v>
      </c>
      <c r="CI40" s="377">
        <f ca="1">IF(ISERROR(OFFSET(Initiatives!$D$1,O40-1,$BY$3)),,OFFSET(Initiatives!$D$1,O40-1,$BY$3))</f>
        <v>0.68</v>
      </c>
      <c r="CJ40" s="377">
        <f ca="1">IF(ISERROR(OFFSET(Initiatives!$D$1,P40-1,$BY$3)),,OFFSET(Initiatives!$D$1,P40-1,$BY$3))</f>
        <v>0.68</v>
      </c>
      <c r="CK40" s="377">
        <f ca="1">IF(ISERROR(OFFSET(Initiatives!$D$1,Q40-1,$BY$3)),,OFFSET(Initiatives!$D$1,Q40-1,$BY$3))</f>
        <v>0.68</v>
      </c>
      <c r="CL40" s="377">
        <f ca="1">IF(ISERROR(OFFSET(Initiatives!$D$1,R40-1,$BY$3)),,OFFSET(Initiatives!$D$1,R40-1,$BY$3))</f>
        <v>0.68</v>
      </c>
      <c r="CM40" s="377">
        <f ca="1">IF(ISERROR(OFFSET(Initiatives!$D$1,S40-1,$BY$3)),,OFFSET(Initiatives!$D$1,S40-1,$BY$3))</f>
        <v>0.3600000000000001</v>
      </c>
      <c r="CN40" s="377">
        <f ca="1">IF(ISERROR(OFFSET(Initiatives!$D$1,T40-1,$BY$3)),,OFFSET(Initiatives!$D$1,T40-1,$BY$3))</f>
        <v>0.68000000000000016</v>
      </c>
      <c r="CO40" s="377">
        <f ca="1">IF(ISERROR(OFFSET(Initiatives!$D$1,U40-1,$BY$3)),,OFFSET(Initiatives!$D$1,U40-1,$BY$3))</f>
        <v>0.27999999999999958</v>
      </c>
      <c r="CP40" s="377">
        <f ca="1">IF(ISERROR(OFFSET(Initiatives!$D$1,V40-1,$BY$3)),,OFFSET(Initiatives!$D$1,V40-1,$BY$3))</f>
        <v>0.64000000000000012</v>
      </c>
      <c r="CQ40" s="377">
        <f ca="1">IF(ISERROR(OFFSET(Initiatives!$D$1,W40-1,$BY$3)),,OFFSET(Initiatives!$D$1,W40-1,$BY$3))</f>
        <v>7.7000000000000179E-2</v>
      </c>
      <c r="CR40" s="377">
        <f ca="1">IF(ISERROR(OFFSET(Initiatives!$D$1,X40-1,$BY$3)),,OFFSET(Initiatives!$D$1,X40-1,$BY$3))</f>
        <v>0.6</v>
      </c>
      <c r="CT40" s="41">
        <f t="shared" ca="1" si="425"/>
        <v>2.3880561372296459E-2</v>
      </c>
      <c r="CU40" s="41">
        <f t="shared" ca="1" si="426"/>
        <v>4.2985010470133624E-2</v>
      </c>
      <c r="CV40" s="41">
        <f t="shared" ca="1" si="427"/>
        <v>3.8208898195674336E-2</v>
      </c>
      <c r="CW40" s="41">
        <f t="shared" ca="1" si="428"/>
        <v>2.865667364675575E-2</v>
      </c>
      <c r="CX40" s="41">
        <f t="shared" ca="1" si="429"/>
        <v>1.9104449097837168E-2</v>
      </c>
      <c r="CY40" s="41">
        <f t="shared" ca="1" si="430"/>
        <v>1.4328336823377875E-2</v>
      </c>
      <c r="CZ40" s="41">
        <f t="shared" ca="1" si="431"/>
        <v>0</v>
      </c>
      <c r="DA40" s="41">
        <f t="shared" ca="1" si="432"/>
        <v>1.6716392960607517E-2</v>
      </c>
      <c r="DB40" s="41">
        <f t="shared" ca="1" si="433"/>
        <v>2.5074589440911274E-2</v>
      </c>
      <c r="DC40" s="41">
        <f t="shared" ca="1" si="434"/>
        <v>3.0447715749677983E-2</v>
      </c>
      <c r="DD40" s="41">
        <f t="shared" ca="1" si="435"/>
        <v>0</v>
      </c>
      <c r="DE40" s="41">
        <f t="shared" ca="1" si="436"/>
        <v>0</v>
      </c>
      <c r="DF40" s="41">
        <f t="shared" ca="1" si="437"/>
        <v>0</v>
      </c>
      <c r="DG40" s="41">
        <f t="shared" ca="1" si="438"/>
        <v>0</v>
      </c>
      <c r="DH40" s="41">
        <f t="shared" ca="1" si="439"/>
        <v>0</v>
      </c>
      <c r="DI40" s="41">
        <f t="shared" ca="1" si="440"/>
        <v>8.1193908665807973E-2</v>
      </c>
      <c r="DJ40" s="41">
        <f t="shared" ca="1" si="441"/>
        <v>1.2537294720455621E-2</v>
      </c>
      <c r="DK40" s="41">
        <f t="shared" ca="1" si="442"/>
        <v>2.8656673646755754E-2</v>
      </c>
      <c r="DL40" s="41">
        <f t="shared" ca="1" si="443"/>
        <v>5.7462600802088487E-3</v>
      </c>
      <c r="DM40" s="41">
        <f t="shared" ca="1" si="444"/>
        <v>4.4776052573055856E-2</v>
      </c>
      <c r="DN40" s="41">
        <f t="shared" ca="1" si="445"/>
        <v>0.41231281744355597</v>
      </c>
      <c r="DP40" s="41">
        <f t="shared" ca="1" si="446"/>
        <v>5.7908552036199101E-2</v>
      </c>
      <c r="DQ40" s="41">
        <f t="shared" ca="1" si="447"/>
        <v>0.10423339366515838</v>
      </c>
      <c r="DR40" s="41">
        <f t="shared" ca="1" si="448"/>
        <v>9.2639683257918576E-2</v>
      </c>
      <c r="DS40" s="41">
        <f t="shared" ca="1" si="449"/>
        <v>6.9462262443438921E-2</v>
      </c>
      <c r="DT40" s="41">
        <f t="shared" ca="1" si="450"/>
        <v>4.6284841628959288E-2</v>
      </c>
      <c r="DU40" s="41">
        <f t="shared" ca="1" si="451"/>
        <v>3.4691131221719462E-2</v>
      </c>
      <c r="DV40" s="41">
        <f t="shared" ca="1" si="452"/>
        <v>-6.9999999999999994E-5</v>
      </c>
      <c r="DW40" s="41">
        <f t="shared" ca="1" si="453"/>
        <v>4.0462986425339367E-2</v>
      </c>
      <c r="DX40" s="41">
        <f t="shared" ca="1" si="454"/>
        <v>6.0724479638009046E-2</v>
      </c>
      <c r="DY40" s="41">
        <f t="shared" ca="1" si="455"/>
        <v>7.374615384615385E-2</v>
      </c>
      <c r="DZ40" s="41">
        <f t="shared" ca="1" si="456"/>
        <v>-1.1E-4</v>
      </c>
      <c r="EA40" s="41">
        <f t="shared" ca="1" si="457"/>
        <v>-1.2E-4</v>
      </c>
      <c r="EB40" s="41">
        <f t="shared" ca="1" si="458"/>
        <v>-1.2999999999999999E-4</v>
      </c>
      <c r="EC40" s="41">
        <f t="shared" ca="1" si="459"/>
        <v>-1.3999999999999999E-4</v>
      </c>
      <c r="ED40" s="41">
        <f t="shared" ca="1" si="460"/>
        <v>-1.4999999999999999E-4</v>
      </c>
      <c r="EE40" s="41">
        <f t="shared" ca="1" si="461"/>
        <v>0.19676307692307701</v>
      </c>
      <c r="EF40" s="41">
        <f t="shared" ca="1" si="462"/>
        <v>3.0237239819004485E-2</v>
      </c>
      <c r="EG40" s="41">
        <f t="shared" ca="1" si="463"/>
        <v>6.9322262443438934E-2</v>
      </c>
      <c r="EH40" s="41">
        <f t="shared" ca="1" si="464"/>
        <v>1.3746651583710443E-2</v>
      </c>
      <c r="EI40" s="41">
        <f t="shared" ca="1" si="465"/>
        <v>0.10839728506787331</v>
      </c>
      <c r="EJ40" s="41">
        <f t="shared" ca="1" si="466"/>
        <v>0.99790000000000012</v>
      </c>
      <c r="EL40" s="378">
        <f t="shared" ca="1" si="467"/>
        <v>9</v>
      </c>
      <c r="EM40" s="378">
        <f t="shared" ca="1" si="468"/>
        <v>3</v>
      </c>
      <c r="EN40" s="378">
        <f t="shared" ca="1" si="469"/>
        <v>4</v>
      </c>
      <c r="EO40" s="378">
        <f t="shared" ca="1" si="470"/>
        <v>6</v>
      </c>
      <c r="EP40" s="378">
        <f t="shared" ca="1" si="471"/>
        <v>10</v>
      </c>
      <c r="EQ40" s="378">
        <f t="shared" ca="1" si="472"/>
        <v>12</v>
      </c>
      <c r="ER40" s="378">
        <f t="shared" ca="1" si="473"/>
        <v>15</v>
      </c>
      <c r="ES40" s="378">
        <f t="shared" ca="1" si="474"/>
        <v>11</v>
      </c>
      <c r="ET40" s="378">
        <f t="shared" ca="1" si="475"/>
        <v>8</v>
      </c>
      <c r="EU40" s="378">
        <f t="shared" ca="1" si="476"/>
        <v>5</v>
      </c>
      <c r="EV40" s="378">
        <f t="shared" ca="1" si="477"/>
        <v>16</v>
      </c>
      <c r="EW40" s="378">
        <f t="shared" ca="1" si="478"/>
        <v>17</v>
      </c>
      <c r="EX40" s="378">
        <f t="shared" ca="1" si="479"/>
        <v>18</v>
      </c>
      <c r="EY40" s="378">
        <f t="shared" ca="1" si="480"/>
        <v>19</v>
      </c>
      <c r="EZ40" s="378">
        <f t="shared" ca="1" si="481"/>
        <v>20</v>
      </c>
      <c r="FA40" s="378">
        <f t="shared" ca="1" si="482"/>
        <v>1</v>
      </c>
      <c r="FB40" s="378">
        <f t="shared" ca="1" si="483"/>
        <v>13</v>
      </c>
      <c r="FC40" s="378">
        <f t="shared" ca="1" si="484"/>
        <v>7</v>
      </c>
      <c r="FD40" s="378">
        <f t="shared" ca="1" si="485"/>
        <v>14</v>
      </c>
      <c r="FE40" s="378">
        <f t="shared" ca="1" si="486"/>
        <v>2</v>
      </c>
      <c r="FG40" s="378">
        <f t="shared" ca="1" si="487"/>
        <v>16</v>
      </c>
      <c r="FH40" s="378">
        <f t="shared" ca="1" si="487"/>
        <v>20</v>
      </c>
      <c r="FI40" s="378">
        <f t="shared" ca="1" si="487"/>
        <v>2</v>
      </c>
      <c r="FJ40" s="378">
        <f t="shared" ca="1" si="487"/>
        <v>3</v>
      </c>
      <c r="FK40" s="378">
        <f t="shared" ca="1" si="487"/>
        <v>10</v>
      </c>
      <c r="FL40" s="378">
        <f t="shared" ca="1" si="487"/>
        <v>4</v>
      </c>
      <c r="FM40" s="378">
        <f t="shared" ca="1" si="487"/>
        <v>18</v>
      </c>
      <c r="FN40" s="378">
        <f t="shared" ca="1" si="487"/>
        <v>9</v>
      </c>
      <c r="FO40" s="378">
        <f t="shared" ca="1" si="487"/>
        <v>1</v>
      </c>
      <c r="FP40" s="378">
        <f t="shared" ca="1" si="487"/>
        <v>5</v>
      </c>
      <c r="FQ40" s="378">
        <f t="shared" ca="1" si="487"/>
        <v>8</v>
      </c>
      <c r="FR40" s="378">
        <f t="shared" ca="1" si="487"/>
        <v>6</v>
      </c>
      <c r="FS40" s="378">
        <f t="shared" ca="1" si="487"/>
        <v>17</v>
      </c>
      <c r="FT40" s="378">
        <f t="shared" ca="1" si="487"/>
        <v>19</v>
      </c>
      <c r="FU40" s="378">
        <f t="shared" ca="1" si="487"/>
        <v>7</v>
      </c>
      <c r="FV40" s="378">
        <f t="shared" ca="1" si="487"/>
        <v>11</v>
      </c>
      <c r="FW40" s="378">
        <f t="shared" ca="1" si="488"/>
        <v>12</v>
      </c>
      <c r="FX40" s="378">
        <f t="shared" ca="1" si="488"/>
        <v>13</v>
      </c>
      <c r="FY40" s="378">
        <f t="shared" ca="1" si="488"/>
        <v>14</v>
      </c>
      <c r="FZ40" s="378">
        <f t="shared" ca="1" si="488"/>
        <v>15</v>
      </c>
      <c r="GB40" s="275" t="str">
        <f t="shared" ca="1" si="489"/>
        <v>Supply Chain / Ops Data Integration (20%)</v>
      </c>
      <c r="GC40" s="231" t="str">
        <f t="shared" ca="1" si="490"/>
        <v>; Enhance BI Platform (11%)</v>
      </c>
      <c r="GD40" s="231" t="str">
        <f t="shared" ca="1" si="491"/>
        <v>; Production and inventory analysis (10%)</v>
      </c>
      <c r="GE40" s="231" t="str">
        <f t="shared" ca="1" si="492"/>
        <v>; Demand forecasting/planning (9%)</v>
      </c>
      <c r="GF40" s="231" t="str">
        <f t="shared" ca="1" si="493"/>
        <v>; Fraud, waste, and abuse detection (7%)</v>
      </c>
      <c r="GG40" s="231" t="str">
        <f t="shared" ca="1" si="494"/>
        <v>; Fulfillment management analysis (7%)</v>
      </c>
      <c r="GH40" s="231" t="str">
        <f t="shared" ca="1" si="495"/>
        <v>; Other Data Integration (7%)</v>
      </c>
      <c r="GI40" s="231" t="str">
        <f t="shared" ca="1" si="496"/>
        <v/>
      </c>
      <c r="GJ40" s="231" t="str">
        <f t="shared" ca="1" si="497"/>
        <v/>
      </c>
      <c r="GK40" s="231" t="str">
        <f t="shared" ca="1" si="498"/>
        <v/>
      </c>
      <c r="GL40" s="231" t="str">
        <f t="shared" ca="1" si="499"/>
        <v/>
      </c>
      <c r="GM40" s="231" t="str">
        <f t="shared" ca="1" si="500"/>
        <v/>
      </c>
      <c r="GN40" s="231" t="str">
        <f t="shared" ca="1" si="501"/>
        <v/>
      </c>
      <c r="GO40" s="231" t="str">
        <f t="shared" ca="1" si="502"/>
        <v/>
      </c>
      <c r="GP40" s="231" t="str">
        <f t="shared" ca="1" si="503"/>
        <v/>
      </c>
      <c r="GQ40" s="231" t="str">
        <f t="shared" ca="1" si="504"/>
        <v/>
      </c>
      <c r="GR40" s="231" t="str">
        <f t="shared" ca="1" si="505"/>
        <v/>
      </c>
      <c r="GS40" s="231" t="str">
        <f t="shared" ca="1" si="506"/>
        <v/>
      </c>
      <c r="GT40" s="231" t="str">
        <f t="shared" ca="1" si="507"/>
        <v/>
      </c>
      <c r="GU40" s="231" t="str">
        <f t="shared" ca="1" si="508"/>
        <v/>
      </c>
    </row>
    <row r="41" spans="2:203" s="386" customFormat="1" ht="15" hidden="1" customHeight="1">
      <c r="B41" s="373"/>
      <c r="C41" s="81" t="str">
        <f>'Direct Savings'!D79</f>
        <v>Working capital costs</v>
      </c>
      <c r="D41" s="404">
        <f t="shared" ca="1" si="419"/>
        <v>0.40566612577849892</v>
      </c>
      <c r="E41" s="374">
        <f>ROW(Initiatives!A18)</f>
        <v>18</v>
      </c>
      <c r="F41" s="374">
        <f>ROW(Initiatives!A19)</f>
        <v>19</v>
      </c>
      <c r="G41" s="374">
        <f>ROW(Initiatives!A20)</f>
        <v>20</v>
      </c>
      <c r="H41" s="374">
        <f>ROW(Initiatives!A21)</f>
        <v>21</v>
      </c>
      <c r="I41" s="374">
        <f>ROW(Initiatives!A22)</f>
        <v>22</v>
      </c>
      <c r="J41" s="374">
        <f>ROW(Initiatives!A24)</f>
        <v>24</v>
      </c>
      <c r="K41" s="374">
        <f>ROW(Initiatives!A25)</f>
        <v>25</v>
      </c>
      <c r="L41" s="374">
        <f>ROW(Initiatives!A32)</f>
        <v>32</v>
      </c>
      <c r="M41" s="374">
        <f>ROW(Initiatives!A33)</f>
        <v>33</v>
      </c>
      <c r="N41" s="374">
        <f>ROW(Initiatives!A43)</f>
        <v>43</v>
      </c>
      <c r="O41" s="374">
        <f>ROW(Initiatives!A44)</f>
        <v>44</v>
      </c>
      <c r="P41" s="374">
        <f>ROW(Initiatives!A45)</f>
        <v>45</v>
      </c>
      <c r="Q41" s="374">
        <f>ROW(Initiatives!A46)</f>
        <v>46</v>
      </c>
      <c r="R41" s="374">
        <f>ROW(Initiatives!A47)</f>
        <v>47</v>
      </c>
      <c r="S41" s="374">
        <f>ROW(Initiatives!A172)</f>
        <v>172</v>
      </c>
      <c r="T41" s="374">
        <f>ROW(Initiatives!A173)</f>
        <v>173</v>
      </c>
      <c r="U41" s="374">
        <f>ROW(Initiatives!A174)</f>
        <v>174</v>
      </c>
      <c r="V41" s="374">
        <f>ROW(Initiatives!A175)</f>
        <v>175</v>
      </c>
      <c r="W41" s="374">
        <f>ROW(Initiatives!A183)</f>
        <v>183</v>
      </c>
      <c r="X41" s="374">
        <f>ROW(Initiatives!A189)</f>
        <v>189</v>
      </c>
      <c r="Y41" s="392" t="str">
        <f ca="1">OFFSET(Initiatives!$D$1,E41-1,$BS$3)</f>
        <v>Supply chain analytics/optimization</v>
      </c>
      <c r="Z41" s="375">
        <v>5</v>
      </c>
      <c r="AA41" s="392" t="str">
        <f ca="1">OFFSET(Initiatives!$D$1,F41-1,$BS$3)</f>
        <v>Production and inventory analysis</v>
      </c>
      <c r="AB41" s="375">
        <v>6</v>
      </c>
      <c r="AC41" s="392" t="str">
        <f ca="1">OFFSET(Initiatives!$D$1,G41-1,$BS$3)</f>
        <v>Demand forecasting/planning</v>
      </c>
      <c r="AD41" s="375">
        <v>5</v>
      </c>
      <c r="AE41" s="392" t="str">
        <f ca="1">OFFSET(Initiatives!$D$1,H41-1,$BS$3)</f>
        <v>Fulfillment management analysis</v>
      </c>
      <c r="AF41" s="375">
        <v>5</v>
      </c>
      <c r="AG41" s="392" t="str">
        <f ca="1">OFFSET(Initiatives!$D$1,I41-1,$BS$3)</f>
        <v>Logistics management analysis</v>
      </c>
      <c r="AH41" s="375">
        <v>6</v>
      </c>
      <c r="AI41" s="392" t="str">
        <f ca="1">OFFSET(Initiatives!$D$1,J41-1,$BS$3)</f>
        <v>Business process/activity monitoring (BAM)</v>
      </c>
      <c r="AJ41" s="375">
        <v>7</v>
      </c>
      <c r="AK41" s="392" t="str">
        <f ca="1">OFFSET(Initiatives!$D$1,K41-1,$BS$3)</f>
        <v>Web analytics</v>
      </c>
      <c r="AL41" s="375"/>
      <c r="AM41" s="392" t="str">
        <f ca="1">OFFSET(Initiatives!$D$1,L41-1,$BS$3)</f>
        <v>Profitability management</v>
      </c>
      <c r="AN41" s="375">
        <v>3</v>
      </c>
      <c r="AO41" s="392" t="str">
        <f ca="1">OFFSET(Initiatives!$D$1,M41-1,$BS$3)</f>
        <v>Activity-based costing</v>
      </c>
      <c r="AP41" s="375">
        <v>5</v>
      </c>
      <c r="AQ41" s="392" t="str">
        <f ca="1">OFFSET(Initiatives!$D$1,N41-1,$BS$3)</f>
        <v>Fraud, waste, and abuse detection</v>
      </c>
      <c r="AR41" s="375"/>
      <c r="AS41" s="392" t="str">
        <f ca="1">OFFSET(Initiatives!$D$1,O41-1,$BS$3)</f>
        <v>HR/workforce analytics</v>
      </c>
      <c r="AT41" s="375"/>
      <c r="AU41" s="392" t="str">
        <f ca="1">OFFSET(Initiatives!$D$1,P41-1,$BS$3)</f>
        <v>Competitive intelligence analysis</v>
      </c>
      <c r="AV41" s="375"/>
      <c r="AW41" s="392" t="str">
        <f ca="1">OFFSET(Initiatives!$D$1,Q41-1,$BS$3)</f>
        <v>Risk mgmt analysis</v>
      </c>
      <c r="AX41" s="375"/>
      <c r="AY41" s="392" t="str">
        <f ca="1">OFFSET(Initiatives!$D$1,R41-1,$BS$3)</f>
        <v>Compliance mgmt analysis</v>
      </c>
      <c r="AZ41" s="375"/>
      <c r="BA41" s="392" t="str">
        <f ca="1">OFFSET(Initiatives!$D$1,S41-1,$BS$3)</f>
        <v>Marketing / Sales Data Integration</v>
      </c>
      <c r="BB41" s="375">
        <v>3</v>
      </c>
      <c r="BC41" s="392" t="str">
        <f ca="1">OFFSET(Initiatives!$D$1,T41-1,$BS$3)</f>
        <v>Supply Chain / Ops Data Integration</v>
      </c>
      <c r="BD41" s="375">
        <v>8</v>
      </c>
      <c r="BE41" s="392" t="str">
        <f ca="1">OFFSET(Initiatives!$D$1,U41-1,$BS$3)</f>
        <v>Financial Data Integration</v>
      </c>
      <c r="BF41" s="375">
        <v>7</v>
      </c>
      <c r="BG41" s="392" t="str">
        <f ca="1">OFFSET(Initiatives!$D$1,V41-1,$BS$3)</f>
        <v>Other Data Integration</v>
      </c>
      <c r="BH41" s="375">
        <v>5</v>
      </c>
      <c r="BI41" s="392" t="str">
        <f ca="1">OFFSET(Initiatives!$D$1,W41-1,$BS$3)</f>
        <v>Enhance DW Platform</v>
      </c>
      <c r="BJ41" s="375">
        <v>5</v>
      </c>
      <c r="BK41" s="392" t="str">
        <f ca="1">OFFSET(Initiatives!$D$1,X41-1,$BS$3)</f>
        <v>Enhance BI Platform</v>
      </c>
      <c r="BL41" s="375">
        <v>5</v>
      </c>
      <c r="BN41" s="101">
        <f t="shared" si="420"/>
        <v>75.000100000000003</v>
      </c>
      <c r="BP41" s="231" t="str">
        <f t="shared" ca="1" si="421"/>
        <v>Supply Chain / Ops Data Integration (18%); Other Data Integration (10%); Enhance BI Platform (10%); Activity-based costing (9%); Business process/activity monitoring (BAM) (7%); Financial Data Integration (6%); Production and inventory analysis (6%)</v>
      </c>
      <c r="BQ41" s="338">
        <v>0.01</v>
      </c>
      <c r="BR41" s="40">
        <f t="shared" ca="1" si="422"/>
        <v>13</v>
      </c>
      <c r="BS41" s="274">
        <v>0.05</v>
      </c>
      <c r="BT41" s="40">
        <f t="shared" ca="1" si="423"/>
        <v>12</v>
      </c>
      <c r="BU41" s="376">
        <v>7</v>
      </c>
      <c r="BV41" s="40">
        <f t="shared" ca="1" si="424"/>
        <v>7</v>
      </c>
      <c r="BY41" s="377">
        <f ca="1">IF(ISERROR(OFFSET(Initiatives!$D$1,E41-1,$BY$3)),,OFFSET(Initiatives!$D$1,E41-1,$BY$3))</f>
        <v>0.32</v>
      </c>
      <c r="BZ41" s="377">
        <f ca="1">IF(ISERROR(OFFSET(Initiatives!$D$1,F41-1,$BY$3)),,OFFSET(Initiatives!$D$1,F41-1,$BY$3))</f>
        <v>0.32</v>
      </c>
      <c r="CA41" s="377">
        <f ca="1">IF(ISERROR(OFFSET(Initiatives!$D$1,G41-1,$BY$3)),,OFFSET(Initiatives!$D$1,G41-1,$BY$3))</f>
        <v>0.32</v>
      </c>
      <c r="CB41" s="377">
        <f ca="1">IF(ISERROR(OFFSET(Initiatives!$D$1,H41-1,$BY$3)),,OFFSET(Initiatives!$D$1,H41-1,$BY$3))</f>
        <v>0.32</v>
      </c>
      <c r="CC41" s="377">
        <f ca="1">IF(ISERROR(OFFSET(Initiatives!$D$1,I41-1,$BY$3)),,OFFSET(Initiatives!$D$1,I41-1,$BY$3))</f>
        <v>0.32</v>
      </c>
      <c r="CD41" s="377">
        <f ca="1">IF(ISERROR(OFFSET(Initiatives!$D$1,J41-1,$BY$3)),,OFFSET(Initiatives!$D$1,J41-1,$BY$3))</f>
        <v>0.32</v>
      </c>
      <c r="CE41" s="377">
        <f ca="1">IF(ISERROR(OFFSET(Initiatives!$D$1,K41-1,$BY$3)),,OFFSET(Initiatives!$D$1,K41-1,$BY$3))</f>
        <v>0.32</v>
      </c>
      <c r="CF41" s="377">
        <f ca="1">IF(ISERROR(OFFSET(Initiatives!$D$1,L41-1,$BY$3)),,OFFSET(Initiatives!$D$1,L41-1,$BY$3))</f>
        <v>0.55999999999999983</v>
      </c>
      <c r="CG41" s="377">
        <f ca="1">IF(ISERROR(OFFSET(Initiatives!$D$1,M41-1,$BY$3)),,OFFSET(Initiatives!$D$1,M41-1,$BY$3))</f>
        <v>0.55999999999999983</v>
      </c>
      <c r="CH41" s="377">
        <f ca="1">IF(ISERROR(OFFSET(Initiatives!$D$1,N41-1,$BY$3)),,OFFSET(Initiatives!$D$1,N41-1,$BY$3))</f>
        <v>0.68</v>
      </c>
      <c r="CI41" s="377">
        <f ca="1">IF(ISERROR(OFFSET(Initiatives!$D$1,O41-1,$BY$3)),,OFFSET(Initiatives!$D$1,O41-1,$BY$3))</f>
        <v>0.68</v>
      </c>
      <c r="CJ41" s="377">
        <f ca="1">IF(ISERROR(OFFSET(Initiatives!$D$1,P41-1,$BY$3)),,OFFSET(Initiatives!$D$1,P41-1,$BY$3))</f>
        <v>0.68</v>
      </c>
      <c r="CK41" s="377">
        <f ca="1">IF(ISERROR(OFFSET(Initiatives!$D$1,Q41-1,$BY$3)),,OFFSET(Initiatives!$D$1,Q41-1,$BY$3))</f>
        <v>0.68</v>
      </c>
      <c r="CL41" s="377">
        <f ca="1">IF(ISERROR(OFFSET(Initiatives!$D$1,R41-1,$BY$3)),,OFFSET(Initiatives!$D$1,R41-1,$BY$3))</f>
        <v>0.68</v>
      </c>
      <c r="CM41" s="377">
        <f ca="1">IF(ISERROR(OFFSET(Initiatives!$D$1,S41-1,$BY$3)),,OFFSET(Initiatives!$D$1,S41-1,$BY$3))</f>
        <v>0.3600000000000001</v>
      </c>
      <c r="CN41" s="377">
        <f ca="1">IF(ISERROR(OFFSET(Initiatives!$D$1,T41-1,$BY$3)),,OFFSET(Initiatives!$D$1,T41-1,$BY$3))</f>
        <v>0.68000000000000016</v>
      </c>
      <c r="CO41" s="377">
        <f ca="1">IF(ISERROR(OFFSET(Initiatives!$D$1,U41-1,$BY$3)),,OFFSET(Initiatives!$D$1,U41-1,$BY$3))</f>
        <v>0.27999999999999958</v>
      </c>
      <c r="CP41" s="377">
        <f ca="1">IF(ISERROR(OFFSET(Initiatives!$D$1,V41-1,$BY$3)),,OFFSET(Initiatives!$D$1,V41-1,$BY$3))</f>
        <v>0.64000000000000012</v>
      </c>
      <c r="CQ41" s="377">
        <f ca="1">IF(ISERROR(OFFSET(Initiatives!$D$1,W41-1,$BY$3)),,OFFSET(Initiatives!$D$1,W41-1,$BY$3))</f>
        <v>7.7000000000000179E-2</v>
      </c>
      <c r="CR41" s="377">
        <f ca="1">IF(ISERROR(OFFSET(Initiatives!$D$1,X41-1,$BY$3)),,OFFSET(Initiatives!$D$1,X41-1,$BY$3))</f>
        <v>0.6</v>
      </c>
      <c r="CT41" s="41">
        <f t="shared" ca="1" si="425"/>
        <v>2.1333304888926815E-2</v>
      </c>
      <c r="CU41" s="41">
        <f t="shared" ca="1" si="426"/>
        <v>2.5599965866712177E-2</v>
      </c>
      <c r="CV41" s="41">
        <f t="shared" ca="1" si="427"/>
        <v>2.1333304888926815E-2</v>
      </c>
      <c r="CW41" s="41">
        <f t="shared" ca="1" si="428"/>
        <v>2.1333304888926815E-2</v>
      </c>
      <c r="CX41" s="41">
        <f t="shared" ca="1" si="429"/>
        <v>2.5599965866712177E-2</v>
      </c>
      <c r="CY41" s="41">
        <f t="shared" ca="1" si="430"/>
        <v>2.9866626844497542E-2</v>
      </c>
      <c r="CZ41" s="41">
        <f t="shared" ca="1" si="431"/>
        <v>0</v>
      </c>
      <c r="DA41" s="41">
        <f t="shared" ca="1" si="432"/>
        <v>2.2399970133373148E-2</v>
      </c>
      <c r="DB41" s="41">
        <f t="shared" ca="1" si="433"/>
        <v>3.7333283555621911E-2</v>
      </c>
      <c r="DC41" s="41">
        <f t="shared" ca="1" si="434"/>
        <v>0</v>
      </c>
      <c r="DD41" s="41">
        <f t="shared" ca="1" si="435"/>
        <v>0</v>
      </c>
      <c r="DE41" s="41">
        <f t="shared" ca="1" si="436"/>
        <v>0</v>
      </c>
      <c r="DF41" s="41">
        <f t="shared" ca="1" si="437"/>
        <v>0</v>
      </c>
      <c r="DG41" s="41">
        <f t="shared" ca="1" si="438"/>
        <v>0</v>
      </c>
      <c r="DH41" s="41">
        <f t="shared" ca="1" si="439"/>
        <v>1.4399980800025603E-2</v>
      </c>
      <c r="DI41" s="41">
        <f t="shared" ca="1" si="440"/>
        <v>7.2533236622351185E-2</v>
      </c>
      <c r="DJ41" s="41">
        <f t="shared" ca="1" si="441"/>
        <v>2.6133298488935308E-2</v>
      </c>
      <c r="DK41" s="41">
        <f t="shared" ca="1" si="442"/>
        <v>4.2666609777853637E-2</v>
      </c>
      <c r="DL41" s="41">
        <f t="shared" ca="1" si="443"/>
        <v>5.1333264888980268E-3</v>
      </c>
      <c r="DM41" s="41">
        <f t="shared" ca="1" si="444"/>
        <v>3.9999946666737778E-2</v>
      </c>
      <c r="DN41" s="41">
        <f t="shared" ca="1" si="445"/>
        <v>0.40566612577849892</v>
      </c>
      <c r="DP41" s="41">
        <f t="shared" ca="1" si="446"/>
        <v>5.2578331963845523E-2</v>
      </c>
      <c r="DQ41" s="41">
        <f t="shared" ca="1" si="447"/>
        <v>6.3085998356614617E-2</v>
      </c>
      <c r="DR41" s="41">
        <f t="shared" ca="1" si="448"/>
        <v>5.2558331963845524E-2</v>
      </c>
      <c r="DS41" s="41">
        <f t="shared" ca="1" si="449"/>
        <v>5.2548331963845528E-2</v>
      </c>
      <c r="DT41" s="41">
        <f t="shared" ca="1" si="450"/>
        <v>6.3055998356614629E-2</v>
      </c>
      <c r="DU41" s="41">
        <f t="shared" ca="1" si="451"/>
        <v>7.3563664749383736E-2</v>
      </c>
      <c r="DV41" s="41">
        <f t="shared" ca="1" si="452"/>
        <v>-6.9999999999999994E-5</v>
      </c>
      <c r="DW41" s="41">
        <f t="shared" ca="1" si="453"/>
        <v>5.5137748562037785E-2</v>
      </c>
      <c r="DX41" s="41">
        <f t="shared" ca="1" si="454"/>
        <v>9.1939580936729631E-2</v>
      </c>
      <c r="DY41" s="41">
        <f t="shared" ca="1" si="455"/>
        <v>-1E-4</v>
      </c>
      <c r="DZ41" s="41">
        <f t="shared" ca="1" si="456"/>
        <v>-1.1E-4</v>
      </c>
      <c r="EA41" s="41">
        <f t="shared" ca="1" si="457"/>
        <v>-1.2E-4</v>
      </c>
      <c r="EB41" s="41">
        <f t="shared" ca="1" si="458"/>
        <v>-1.2999999999999999E-4</v>
      </c>
      <c r="EC41" s="41">
        <f t="shared" ca="1" si="459"/>
        <v>-1.3999999999999999E-4</v>
      </c>
      <c r="ED41" s="41">
        <f t="shared" ca="1" si="460"/>
        <v>3.5347124075595739E-2</v>
      </c>
      <c r="EE41" s="41">
        <f t="shared" ca="1" si="461"/>
        <v>0.17864032867707483</v>
      </c>
      <c r="EF41" s="41">
        <f t="shared" ca="1" si="462"/>
        <v>6.4250706655710671E-2</v>
      </c>
      <c r="EG41" s="41">
        <f t="shared" ca="1" si="463"/>
        <v>0.10499666392769107</v>
      </c>
      <c r="EH41" s="41">
        <f t="shared" ca="1" si="464"/>
        <v>1.246406737880036E-2</v>
      </c>
      <c r="EI41" s="41">
        <f t="shared" ca="1" si="465"/>
        <v>9.840312243221036E-2</v>
      </c>
      <c r="EJ41" s="41">
        <f t="shared" ca="1" si="466"/>
        <v>0.9978999999999999</v>
      </c>
      <c r="EL41" s="378">
        <f t="shared" ca="1" si="467"/>
        <v>10</v>
      </c>
      <c r="EM41" s="378">
        <f t="shared" ca="1" si="468"/>
        <v>7</v>
      </c>
      <c r="EN41" s="378">
        <f t="shared" ca="1" si="469"/>
        <v>11</v>
      </c>
      <c r="EO41" s="378">
        <f t="shared" ca="1" si="470"/>
        <v>12</v>
      </c>
      <c r="EP41" s="378">
        <f t="shared" ca="1" si="471"/>
        <v>8</v>
      </c>
      <c r="EQ41" s="378">
        <f t="shared" ca="1" si="472"/>
        <v>5</v>
      </c>
      <c r="ER41" s="378">
        <f t="shared" ca="1" si="473"/>
        <v>15</v>
      </c>
      <c r="ES41" s="378">
        <f t="shared" ca="1" si="474"/>
        <v>9</v>
      </c>
      <c r="ET41" s="378">
        <f t="shared" ca="1" si="475"/>
        <v>4</v>
      </c>
      <c r="EU41" s="378">
        <f t="shared" ca="1" si="476"/>
        <v>16</v>
      </c>
      <c r="EV41" s="378">
        <f t="shared" ca="1" si="477"/>
        <v>17</v>
      </c>
      <c r="EW41" s="378">
        <f t="shared" ca="1" si="478"/>
        <v>18</v>
      </c>
      <c r="EX41" s="378">
        <f t="shared" ca="1" si="479"/>
        <v>19</v>
      </c>
      <c r="EY41" s="378">
        <f t="shared" ca="1" si="480"/>
        <v>20</v>
      </c>
      <c r="EZ41" s="378">
        <f t="shared" ca="1" si="481"/>
        <v>13</v>
      </c>
      <c r="FA41" s="378">
        <f t="shared" ca="1" si="482"/>
        <v>1</v>
      </c>
      <c r="FB41" s="378">
        <f t="shared" ca="1" si="483"/>
        <v>6</v>
      </c>
      <c r="FC41" s="378">
        <f t="shared" ca="1" si="484"/>
        <v>2</v>
      </c>
      <c r="FD41" s="378">
        <f t="shared" ca="1" si="485"/>
        <v>14</v>
      </c>
      <c r="FE41" s="378">
        <f t="shared" ca="1" si="486"/>
        <v>3</v>
      </c>
      <c r="FG41" s="378">
        <f t="shared" ca="1" si="487"/>
        <v>16</v>
      </c>
      <c r="FH41" s="378">
        <f t="shared" ca="1" si="487"/>
        <v>18</v>
      </c>
      <c r="FI41" s="378">
        <f t="shared" ca="1" si="487"/>
        <v>20</v>
      </c>
      <c r="FJ41" s="378">
        <f t="shared" ca="1" si="487"/>
        <v>9</v>
      </c>
      <c r="FK41" s="378">
        <f t="shared" ca="1" si="487"/>
        <v>6</v>
      </c>
      <c r="FL41" s="378">
        <f t="shared" ca="1" si="487"/>
        <v>17</v>
      </c>
      <c r="FM41" s="378">
        <f t="shared" ca="1" si="487"/>
        <v>2</v>
      </c>
      <c r="FN41" s="378">
        <f t="shared" ca="1" si="487"/>
        <v>5</v>
      </c>
      <c r="FO41" s="378">
        <f t="shared" ca="1" si="487"/>
        <v>8</v>
      </c>
      <c r="FP41" s="378">
        <f t="shared" ca="1" si="487"/>
        <v>1</v>
      </c>
      <c r="FQ41" s="378">
        <f t="shared" ca="1" si="487"/>
        <v>3</v>
      </c>
      <c r="FR41" s="378">
        <f t="shared" ca="1" si="487"/>
        <v>4</v>
      </c>
      <c r="FS41" s="378">
        <f t="shared" ca="1" si="487"/>
        <v>15</v>
      </c>
      <c r="FT41" s="378">
        <f t="shared" ca="1" si="487"/>
        <v>19</v>
      </c>
      <c r="FU41" s="378">
        <f t="shared" ca="1" si="487"/>
        <v>7</v>
      </c>
      <c r="FV41" s="378">
        <f t="shared" ca="1" si="487"/>
        <v>10</v>
      </c>
      <c r="FW41" s="378">
        <f t="shared" ca="1" si="488"/>
        <v>11</v>
      </c>
      <c r="FX41" s="378">
        <f t="shared" ca="1" si="488"/>
        <v>12</v>
      </c>
      <c r="FY41" s="378">
        <f t="shared" ca="1" si="488"/>
        <v>13</v>
      </c>
      <c r="FZ41" s="378">
        <f t="shared" ca="1" si="488"/>
        <v>14</v>
      </c>
      <c r="GB41" s="275" t="str">
        <f t="shared" ca="1" si="489"/>
        <v>Supply Chain / Ops Data Integration (18%)</v>
      </c>
      <c r="GC41" s="231" t="str">
        <f t="shared" ca="1" si="490"/>
        <v>; Other Data Integration (10%)</v>
      </c>
      <c r="GD41" s="231" t="str">
        <f t="shared" ca="1" si="491"/>
        <v>; Enhance BI Platform (10%)</v>
      </c>
      <c r="GE41" s="231" t="str">
        <f t="shared" ca="1" si="492"/>
        <v>; Activity-based costing (9%)</v>
      </c>
      <c r="GF41" s="231" t="str">
        <f t="shared" ca="1" si="493"/>
        <v>; Business process/activity monitoring (BAM) (7%)</v>
      </c>
      <c r="GG41" s="231" t="str">
        <f t="shared" ca="1" si="494"/>
        <v>; Financial Data Integration (6%)</v>
      </c>
      <c r="GH41" s="231" t="str">
        <f t="shared" ca="1" si="495"/>
        <v>; Production and inventory analysis (6%)</v>
      </c>
      <c r="GI41" s="231" t="str">
        <f t="shared" ca="1" si="496"/>
        <v/>
      </c>
      <c r="GJ41" s="231" t="str">
        <f t="shared" ca="1" si="497"/>
        <v/>
      </c>
      <c r="GK41" s="231" t="str">
        <f t="shared" ca="1" si="498"/>
        <v/>
      </c>
      <c r="GL41" s="231" t="str">
        <f t="shared" ca="1" si="499"/>
        <v/>
      </c>
      <c r="GM41" s="231" t="str">
        <f t="shared" ca="1" si="500"/>
        <v/>
      </c>
      <c r="GN41" s="231" t="str">
        <f t="shared" ca="1" si="501"/>
        <v/>
      </c>
      <c r="GO41" s="231" t="str">
        <f t="shared" ca="1" si="502"/>
        <v/>
      </c>
      <c r="GP41" s="231" t="str">
        <f t="shared" ca="1" si="503"/>
        <v/>
      </c>
      <c r="GQ41" s="231" t="str">
        <f t="shared" ca="1" si="504"/>
        <v/>
      </c>
      <c r="GR41" s="231" t="str">
        <f t="shared" ca="1" si="505"/>
        <v/>
      </c>
      <c r="GS41" s="231" t="str">
        <f t="shared" ca="1" si="506"/>
        <v/>
      </c>
      <c r="GT41" s="231" t="str">
        <f t="shared" ca="1" si="507"/>
        <v/>
      </c>
      <c r="GU41" s="231" t="str">
        <f t="shared" ca="1" si="508"/>
        <v/>
      </c>
    </row>
    <row r="42" spans="2:203" s="386" customFormat="1" ht="15" hidden="1" customHeight="1">
      <c r="B42" s="373"/>
      <c r="C42" s="81" t="str">
        <f>'Direct Savings'!D80</f>
        <v>Other Operations Costs</v>
      </c>
      <c r="D42" s="404">
        <f t="shared" ca="1" si="419"/>
        <v>0.4674132558468323</v>
      </c>
      <c r="E42" s="374">
        <f>ROW(Initiatives!A18)</f>
        <v>18</v>
      </c>
      <c r="F42" s="374">
        <f>ROW(Initiatives!A19)</f>
        <v>19</v>
      </c>
      <c r="G42" s="374">
        <f>ROW(Initiatives!A20)</f>
        <v>20</v>
      </c>
      <c r="H42" s="374">
        <f>ROW(Initiatives!A21)</f>
        <v>21</v>
      </c>
      <c r="I42" s="374">
        <f>ROW(Initiatives!A22)</f>
        <v>22</v>
      </c>
      <c r="J42" s="374">
        <f>ROW(Initiatives!A24)</f>
        <v>24</v>
      </c>
      <c r="K42" s="374">
        <f>ROW(Initiatives!A25)</f>
        <v>25</v>
      </c>
      <c r="L42" s="374">
        <f>ROW(Initiatives!A32)</f>
        <v>32</v>
      </c>
      <c r="M42" s="374">
        <f>ROW(Initiatives!A33)</f>
        <v>33</v>
      </c>
      <c r="N42" s="374">
        <f>ROW(Initiatives!A43)</f>
        <v>43</v>
      </c>
      <c r="O42" s="374">
        <f>ROW(Initiatives!A44)</f>
        <v>44</v>
      </c>
      <c r="P42" s="374">
        <f>ROW(Initiatives!A45)</f>
        <v>45</v>
      </c>
      <c r="Q42" s="374">
        <f>ROW(Initiatives!A46)</f>
        <v>46</v>
      </c>
      <c r="R42" s="374">
        <f>ROW(Initiatives!A47)</f>
        <v>47</v>
      </c>
      <c r="S42" s="374">
        <f>ROW(Initiatives!A172)</f>
        <v>172</v>
      </c>
      <c r="T42" s="374">
        <f>ROW(Initiatives!A173)</f>
        <v>173</v>
      </c>
      <c r="U42" s="374">
        <f>ROW(Initiatives!A174)</f>
        <v>174</v>
      </c>
      <c r="V42" s="374">
        <f>ROW(Initiatives!A175)</f>
        <v>175</v>
      </c>
      <c r="W42" s="374">
        <f>ROW(Initiatives!A183)</f>
        <v>183</v>
      </c>
      <c r="X42" s="374">
        <f>ROW(Initiatives!A189)</f>
        <v>189</v>
      </c>
      <c r="Y42" s="392" t="str">
        <f ca="1">OFFSET(Initiatives!$D$1,E42-1,$BS$3)</f>
        <v>Supply chain analytics/optimization</v>
      </c>
      <c r="Z42" s="375">
        <v>4</v>
      </c>
      <c r="AA42" s="392" t="str">
        <f ca="1">OFFSET(Initiatives!$D$1,F42-1,$BS$3)</f>
        <v>Production and inventory analysis</v>
      </c>
      <c r="AB42" s="375">
        <v>3</v>
      </c>
      <c r="AC42" s="392" t="str">
        <f ca="1">OFFSET(Initiatives!$D$1,G42-1,$BS$3)</f>
        <v>Demand forecasting/planning</v>
      </c>
      <c r="AD42" s="375">
        <v>3</v>
      </c>
      <c r="AE42" s="392" t="str">
        <f ca="1">OFFSET(Initiatives!$D$1,H42-1,$BS$3)</f>
        <v>Fulfillment management analysis</v>
      </c>
      <c r="AF42" s="375">
        <v>3</v>
      </c>
      <c r="AG42" s="392" t="str">
        <f ca="1">OFFSET(Initiatives!$D$1,I42-1,$BS$3)</f>
        <v>Logistics management analysis</v>
      </c>
      <c r="AH42" s="375">
        <v>4</v>
      </c>
      <c r="AI42" s="392" t="str">
        <f ca="1">OFFSET(Initiatives!$D$1,J42-1,$BS$3)</f>
        <v>Business process/activity monitoring (BAM)</v>
      </c>
      <c r="AJ42" s="375">
        <v>7</v>
      </c>
      <c r="AK42" s="392" t="str">
        <f ca="1">OFFSET(Initiatives!$D$1,K42-1,$BS$3)</f>
        <v>Web analytics</v>
      </c>
      <c r="AL42" s="375">
        <v>3</v>
      </c>
      <c r="AM42" s="392" t="str">
        <f ca="1">OFFSET(Initiatives!$D$1,L42-1,$BS$3)</f>
        <v>Profitability management</v>
      </c>
      <c r="AN42" s="375">
        <v>6</v>
      </c>
      <c r="AO42" s="392" t="str">
        <f ca="1">OFFSET(Initiatives!$D$1,M42-1,$BS$3)</f>
        <v>Activity-based costing</v>
      </c>
      <c r="AP42" s="375">
        <v>6</v>
      </c>
      <c r="AQ42" s="392" t="str">
        <f ca="1">OFFSET(Initiatives!$D$1,N42-1,$BS$3)</f>
        <v>Fraud, waste, and abuse detection</v>
      </c>
      <c r="AR42" s="375">
        <v>4</v>
      </c>
      <c r="AS42" s="392" t="str">
        <f ca="1">OFFSET(Initiatives!$D$1,O42-1,$BS$3)</f>
        <v>HR/workforce analytics</v>
      </c>
      <c r="AT42" s="375">
        <v>7</v>
      </c>
      <c r="AU42" s="392" t="str">
        <f ca="1">OFFSET(Initiatives!$D$1,P42-1,$BS$3)</f>
        <v>Competitive intelligence analysis</v>
      </c>
      <c r="AV42" s="375"/>
      <c r="AW42" s="392" t="str">
        <f ca="1">OFFSET(Initiatives!$D$1,Q42-1,$BS$3)</f>
        <v>Risk mgmt analysis</v>
      </c>
      <c r="AX42" s="375"/>
      <c r="AY42" s="392" t="str">
        <f ca="1">OFFSET(Initiatives!$D$1,R42-1,$BS$3)</f>
        <v>Compliance mgmt analysis</v>
      </c>
      <c r="AZ42" s="375">
        <v>3</v>
      </c>
      <c r="BA42" s="392" t="str">
        <f ca="1">OFFSET(Initiatives!$D$1,S42-1,$BS$3)</f>
        <v>Marketing / Sales Data Integration</v>
      </c>
      <c r="BB42" s="375">
        <v>4</v>
      </c>
      <c r="BC42" s="392" t="str">
        <f ca="1">OFFSET(Initiatives!$D$1,T42-1,$BS$3)</f>
        <v>Supply Chain / Ops Data Integration</v>
      </c>
      <c r="BD42" s="375">
        <v>8</v>
      </c>
      <c r="BE42" s="392" t="str">
        <f ca="1">OFFSET(Initiatives!$D$1,U42-1,$BS$3)</f>
        <v>Financial Data Integration</v>
      </c>
      <c r="BF42" s="375">
        <v>6</v>
      </c>
      <c r="BG42" s="392" t="str">
        <f ca="1">OFFSET(Initiatives!$D$1,V42-1,$BS$3)</f>
        <v>Other Data Integration</v>
      </c>
      <c r="BH42" s="375">
        <v>6</v>
      </c>
      <c r="BI42" s="392" t="str">
        <f ca="1">OFFSET(Initiatives!$D$1,W42-1,$BS$3)</f>
        <v>Enhance DW Platform</v>
      </c>
      <c r="BJ42" s="375">
        <v>5</v>
      </c>
      <c r="BK42" s="392" t="str">
        <f ca="1">OFFSET(Initiatives!$D$1,X42-1,$BS$3)</f>
        <v>Enhance BI Platform</v>
      </c>
      <c r="BL42" s="375">
        <v>5</v>
      </c>
      <c r="BN42" s="101">
        <f t="shared" si="420"/>
        <v>87.000100000000003</v>
      </c>
      <c r="BP42" s="231" t="str">
        <f t="shared" ca="1" si="421"/>
        <v>Supply Chain / Ops Data Integration (13%); HR/workforce analytics (12%); Other Data Integration (9%); Profitability management (8%); Activity-based costing (8%); Enhance BI Platform (7%); Fraud, waste, and abuse detection (7%)</v>
      </c>
      <c r="BQ42" s="338">
        <v>0.01</v>
      </c>
      <c r="BR42" s="40">
        <f t="shared" ca="1" si="422"/>
        <v>17</v>
      </c>
      <c r="BS42" s="274">
        <v>0.05</v>
      </c>
      <c r="BT42" s="40">
        <f t="shared" ca="1" si="423"/>
        <v>9</v>
      </c>
      <c r="BU42" s="376">
        <v>7</v>
      </c>
      <c r="BV42" s="40">
        <f t="shared" ca="1" si="424"/>
        <v>7</v>
      </c>
      <c r="BY42" s="377">
        <f ca="1">IF(ISERROR(OFFSET(Initiatives!$D$1,E42-1,$BY$3)),,OFFSET(Initiatives!$D$1,E42-1,$BY$3))</f>
        <v>0.32</v>
      </c>
      <c r="BZ42" s="377">
        <f ca="1">IF(ISERROR(OFFSET(Initiatives!$D$1,F42-1,$BY$3)),,OFFSET(Initiatives!$D$1,F42-1,$BY$3))</f>
        <v>0.32</v>
      </c>
      <c r="CA42" s="377">
        <f ca="1">IF(ISERROR(OFFSET(Initiatives!$D$1,G42-1,$BY$3)),,OFFSET(Initiatives!$D$1,G42-1,$BY$3))</f>
        <v>0.32</v>
      </c>
      <c r="CB42" s="377">
        <f ca="1">IF(ISERROR(OFFSET(Initiatives!$D$1,H42-1,$BY$3)),,OFFSET(Initiatives!$D$1,H42-1,$BY$3))</f>
        <v>0.32</v>
      </c>
      <c r="CC42" s="377">
        <f ca="1">IF(ISERROR(OFFSET(Initiatives!$D$1,I42-1,$BY$3)),,OFFSET(Initiatives!$D$1,I42-1,$BY$3))</f>
        <v>0.32</v>
      </c>
      <c r="CD42" s="377">
        <f ca="1">IF(ISERROR(OFFSET(Initiatives!$D$1,J42-1,$BY$3)),,OFFSET(Initiatives!$D$1,J42-1,$BY$3))</f>
        <v>0.32</v>
      </c>
      <c r="CE42" s="377">
        <f ca="1">IF(ISERROR(OFFSET(Initiatives!$D$1,K42-1,$BY$3)),,OFFSET(Initiatives!$D$1,K42-1,$BY$3))</f>
        <v>0.32</v>
      </c>
      <c r="CF42" s="377">
        <f ca="1">IF(ISERROR(OFFSET(Initiatives!$D$1,L42-1,$BY$3)),,OFFSET(Initiatives!$D$1,L42-1,$BY$3))</f>
        <v>0.55999999999999983</v>
      </c>
      <c r="CG42" s="377">
        <f ca="1">IF(ISERROR(OFFSET(Initiatives!$D$1,M42-1,$BY$3)),,OFFSET(Initiatives!$D$1,M42-1,$BY$3))</f>
        <v>0.55999999999999983</v>
      </c>
      <c r="CH42" s="377">
        <f ca="1">IF(ISERROR(OFFSET(Initiatives!$D$1,N42-1,$BY$3)),,OFFSET(Initiatives!$D$1,N42-1,$BY$3))</f>
        <v>0.68</v>
      </c>
      <c r="CI42" s="377">
        <f ca="1">IF(ISERROR(OFFSET(Initiatives!$D$1,O42-1,$BY$3)),,OFFSET(Initiatives!$D$1,O42-1,$BY$3))</f>
        <v>0.68</v>
      </c>
      <c r="CJ42" s="377">
        <f ca="1">IF(ISERROR(OFFSET(Initiatives!$D$1,P42-1,$BY$3)),,OFFSET(Initiatives!$D$1,P42-1,$BY$3))</f>
        <v>0.68</v>
      </c>
      <c r="CK42" s="377">
        <f ca="1">IF(ISERROR(OFFSET(Initiatives!$D$1,Q42-1,$BY$3)),,OFFSET(Initiatives!$D$1,Q42-1,$BY$3))</f>
        <v>0.68</v>
      </c>
      <c r="CL42" s="377">
        <f ca="1">IF(ISERROR(OFFSET(Initiatives!$D$1,R42-1,$BY$3)),,OFFSET(Initiatives!$D$1,R42-1,$BY$3))</f>
        <v>0.68</v>
      </c>
      <c r="CM42" s="377">
        <f ca="1">IF(ISERROR(OFFSET(Initiatives!$D$1,S42-1,$BY$3)),,OFFSET(Initiatives!$D$1,S42-1,$BY$3))</f>
        <v>0.3600000000000001</v>
      </c>
      <c r="CN42" s="377">
        <f ca="1">IF(ISERROR(OFFSET(Initiatives!$D$1,T42-1,$BY$3)),,OFFSET(Initiatives!$D$1,T42-1,$BY$3))</f>
        <v>0.68000000000000016</v>
      </c>
      <c r="CO42" s="377">
        <f ca="1">IF(ISERROR(OFFSET(Initiatives!$D$1,U42-1,$BY$3)),,OFFSET(Initiatives!$D$1,U42-1,$BY$3))</f>
        <v>0.27999999999999958</v>
      </c>
      <c r="CP42" s="377">
        <f ca="1">IF(ISERROR(OFFSET(Initiatives!$D$1,V42-1,$BY$3)),,OFFSET(Initiatives!$D$1,V42-1,$BY$3))</f>
        <v>0.64000000000000012</v>
      </c>
      <c r="CQ42" s="377">
        <f ca="1">IF(ISERROR(OFFSET(Initiatives!$D$1,W42-1,$BY$3)),,OFFSET(Initiatives!$D$1,W42-1,$BY$3))</f>
        <v>7.7000000000000179E-2</v>
      </c>
      <c r="CR42" s="377">
        <f ca="1">IF(ISERROR(OFFSET(Initiatives!$D$1,X42-1,$BY$3)),,OFFSET(Initiatives!$D$1,X42-1,$BY$3))</f>
        <v>0.6</v>
      </c>
      <c r="CT42" s="41">
        <f t="shared" ca="1" si="425"/>
        <v>1.4712626767095669E-2</v>
      </c>
      <c r="CU42" s="41">
        <f t="shared" ca="1" si="426"/>
        <v>1.1034470075321752E-2</v>
      </c>
      <c r="CV42" s="41">
        <f t="shared" ca="1" si="427"/>
        <v>1.1034470075321752E-2</v>
      </c>
      <c r="CW42" s="41">
        <f t="shared" ca="1" si="428"/>
        <v>1.1034470075321752E-2</v>
      </c>
      <c r="CX42" s="41">
        <f t="shared" ca="1" si="429"/>
        <v>1.4712626767095669E-2</v>
      </c>
      <c r="CY42" s="41">
        <f t="shared" ca="1" si="430"/>
        <v>2.5747096842417425E-2</v>
      </c>
      <c r="CZ42" s="41">
        <f t="shared" ca="1" si="431"/>
        <v>1.1034470075321752E-2</v>
      </c>
      <c r="DA42" s="41">
        <f t="shared" ca="1" si="432"/>
        <v>3.8620645263626123E-2</v>
      </c>
      <c r="DB42" s="41">
        <f t="shared" ca="1" si="433"/>
        <v>3.8620645263626123E-2</v>
      </c>
      <c r="DC42" s="41">
        <f t="shared" ca="1" si="434"/>
        <v>3.1264331880078301E-2</v>
      </c>
      <c r="DD42" s="41">
        <f t="shared" ca="1" si="435"/>
        <v>5.4712580790137029E-2</v>
      </c>
      <c r="DE42" s="41">
        <f t="shared" ca="1" si="436"/>
        <v>0</v>
      </c>
      <c r="DF42" s="41">
        <f t="shared" ca="1" si="437"/>
        <v>0</v>
      </c>
      <c r="DG42" s="41">
        <f t="shared" ca="1" si="438"/>
        <v>2.3448248910058724E-2</v>
      </c>
      <c r="DH42" s="41">
        <f t="shared" ca="1" si="439"/>
        <v>1.6551705112982634E-2</v>
      </c>
      <c r="DI42" s="41">
        <f t="shared" ca="1" si="440"/>
        <v>6.2528663760156616E-2</v>
      </c>
      <c r="DJ42" s="41">
        <f t="shared" ca="1" si="441"/>
        <v>1.9310322631813037E-2</v>
      </c>
      <c r="DK42" s="41">
        <f t="shared" ca="1" si="442"/>
        <v>4.4137880301287014E-2</v>
      </c>
      <c r="DL42" s="41">
        <f t="shared" ca="1" si="443"/>
        <v>4.425282269790505E-3</v>
      </c>
      <c r="DM42" s="41">
        <f t="shared" ca="1" si="444"/>
        <v>3.4482718985380474E-2</v>
      </c>
      <c r="DN42" s="41">
        <f t="shared" ca="1" si="445"/>
        <v>0.4674132558468323</v>
      </c>
      <c r="DP42" s="41">
        <f t="shared" ca="1" si="446"/>
        <v>3.1466699864748558E-2</v>
      </c>
      <c r="DQ42" s="41">
        <f t="shared" ca="1" si="447"/>
        <v>2.3587524898561418E-2</v>
      </c>
      <c r="DR42" s="41">
        <f t="shared" ca="1" si="448"/>
        <v>2.3577524898561419E-2</v>
      </c>
      <c r="DS42" s="41">
        <f t="shared" ca="1" si="449"/>
        <v>2.3567524898561419E-2</v>
      </c>
      <c r="DT42" s="41">
        <f t="shared" ca="1" si="450"/>
        <v>3.142669986474856E-2</v>
      </c>
      <c r="DU42" s="41">
        <f t="shared" ca="1" si="451"/>
        <v>5.5024224763309988E-2</v>
      </c>
      <c r="DV42" s="41">
        <f t="shared" ca="1" si="452"/>
        <v>2.3537524898561417E-2</v>
      </c>
      <c r="DW42" s="41">
        <f t="shared" ca="1" si="453"/>
        <v>8.2546337144964954E-2</v>
      </c>
      <c r="DX42" s="41">
        <f t="shared" ca="1" si="454"/>
        <v>8.2536337144964944E-2</v>
      </c>
      <c r="DY42" s="41">
        <f t="shared" ca="1" si="455"/>
        <v>6.6787987212590688E-2</v>
      </c>
      <c r="DZ42" s="41">
        <f t="shared" ca="1" si="456"/>
        <v>0.11694397762203372</v>
      </c>
      <c r="EA42" s="41">
        <f t="shared" ca="1" si="457"/>
        <v>-1.2E-4</v>
      </c>
      <c r="EB42" s="41">
        <f t="shared" ca="1" si="458"/>
        <v>-1.2999999999999999E-4</v>
      </c>
      <c r="EC42" s="41">
        <f t="shared" ca="1" si="459"/>
        <v>5.0025990409443014E-2</v>
      </c>
      <c r="ED42" s="41">
        <f t="shared" ca="1" si="460"/>
        <v>3.5261287347842139E-2</v>
      </c>
      <c r="EE42" s="41">
        <f t="shared" ca="1" si="461"/>
        <v>0.13361597442518142</v>
      </c>
      <c r="EF42" s="41">
        <f t="shared" ca="1" si="462"/>
        <v>4.1143168572482416E-2</v>
      </c>
      <c r="EG42" s="41">
        <f t="shared" ca="1" si="463"/>
        <v>9.4250099594245684E-2</v>
      </c>
      <c r="EH42" s="41">
        <f t="shared" ca="1" si="464"/>
        <v>9.2776011311939254E-3</v>
      </c>
      <c r="EI42" s="41">
        <f t="shared" ca="1" si="465"/>
        <v>7.357351530800442E-2</v>
      </c>
      <c r="EJ42" s="41">
        <f t="shared" ca="1" si="466"/>
        <v>0.99790000000000012</v>
      </c>
      <c r="EL42" s="378">
        <f t="shared" ca="1" si="467"/>
        <v>12</v>
      </c>
      <c r="EM42" s="378">
        <f t="shared" ca="1" si="468"/>
        <v>14</v>
      </c>
      <c r="EN42" s="378">
        <f t="shared" ca="1" si="469"/>
        <v>15</v>
      </c>
      <c r="EO42" s="378">
        <f t="shared" ca="1" si="470"/>
        <v>16</v>
      </c>
      <c r="EP42" s="378">
        <f t="shared" ca="1" si="471"/>
        <v>13</v>
      </c>
      <c r="EQ42" s="378">
        <f t="shared" ca="1" si="472"/>
        <v>8</v>
      </c>
      <c r="ER42" s="378">
        <f t="shared" ca="1" si="473"/>
        <v>17</v>
      </c>
      <c r="ES42" s="378">
        <f t="shared" ca="1" si="474"/>
        <v>4</v>
      </c>
      <c r="ET42" s="378">
        <f t="shared" ca="1" si="475"/>
        <v>5</v>
      </c>
      <c r="EU42" s="378">
        <f t="shared" ca="1" si="476"/>
        <v>7</v>
      </c>
      <c r="EV42" s="378">
        <f t="shared" ca="1" si="477"/>
        <v>2</v>
      </c>
      <c r="EW42" s="378">
        <f t="shared" ca="1" si="478"/>
        <v>19</v>
      </c>
      <c r="EX42" s="378">
        <f t="shared" ca="1" si="479"/>
        <v>20</v>
      </c>
      <c r="EY42" s="378">
        <f t="shared" ca="1" si="480"/>
        <v>9</v>
      </c>
      <c r="EZ42" s="378">
        <f t="shared" ca="1" si="481"/>
        <v>11</v>
      </c>
      <c r="FA42" s="378">
        <f t="shared" ca="1" si="482"/>
        <v>1</v>
      </c>
      <c r="FB42" s="378">
        <f t="shared" ca="1" si="483"/>
        <v>10</v>
      </c>
      <c r="FC42" s="378">
        <f t="shared" ca="1" si="484"/>
        <v>3</v>
      </c>
      <c r="FD42" s="378">
        <f t="shared" ca="1" si="485"/>
        <v>18</v>
      </c>
      <c r="FE42" s="378">
        <f t="shared" ca="1" si="486"/>
        <v>6</v>
      </c>
      <c r="FG42" s="378">
        <f t="shared" ca="1" si="487"/>
        <v>16</v>
      </c>
      <c r="FH42" s="378">
        <f t="shared" ca="1" si="487"/>
        <v>11</v>
      </c>
      <c r="FI42" s="378">
        <f t="shared" ca="1" si="487"/>
        <v>18</v>
      </c>
      <c r="FJ42" s="378">
        <f t="shared" ca="1" si="487"/>
        <v>8</v>
      </c>
      <c r="FK42" s="378">
        <f t="shared" ca="1" si="487"/>
        <v>9</v>
      </c>
      <c r="FL42" s="378">
        <f t="shared" ca="1" si="487"/>
        <v>20</v>
      </c>
      <c r="FM42" s="378">
        <f t="shared" ca="1" si="487"/>
        <v>10</v>
      </c>
      <c r="FN42" s="378">
        <f t="shared" ca="1" si="487"/>
        <v>6</v>
      </c>
      <c r="FO42" s="378">
        <f t="shared" ca="1" si="487"/>
        <v>14</v>
      </c>
      <c r="FP42" s="378">
        <f t="shared" ca="1" si="487"/>
        <v>17</v>
      </c>
      <c r="FQ42" s="378">
        <f t="shared" ca="1" si="487"/>
        <v>15</v>
      </c>
      <c r="FR42" s="378">
        <f t="shared" ca="1" si="487"/>
        <v>1</v>
      </c>
      <c r="FS42" s="378">
        <f t="shared" ca="1" si="487"/>
        <v>5</v>
      </c>
      <c r="FT42" s="378">
        <f t="shared" ca="1" si="487"/>
        <v>2</v>
      </c>
      <c r="FU42" s="378">
        <f t="shared" ca="1" si="487"/>
        <v>3</v>
      </c>
      <c r="FV42" s="378">
        <f t="shared" ca="1" si="487"/>
        <v>4</v>
      </c>
      <c r="FW42" s="378">
        <f t="shared" ca="1" si="488"/>
        <v>7</v>
      </c>
      <c r="FX42" s="378">
        <f t="shared" ca="1" si="488"/>
        <v>19</v>
      </c>
      <c r="FY42" s="378">
        <f t="shared" ca="1" si="488"/>
        <v>12</v>
      </c>
      <c r="FZ42" s="378">
        <f t="shared" ca="1" si="488"/>
        <v>13</v>
      </c>
      <c r="GB42" s="275" t="str">
        <f t="shared" ca="1" si="489"/>
        <v>Supply Chain / Ops Data Integration (13%)</v>
      </c>
      <c r="GC42" s="231" t="str">
        <f t="shared" ca="1" si="490"/>
        <v>; HR/workforce analytics (12%)</v>
      </c>
      <c r="GD42" s="231" t="str">
        <f t="shared" ca="1" si="491"/>
        <v>; Other Data Integration (9%)</v>
      </c>
      <c r="GE42" s="231" t="str">
        <f t="shared" ca="1" si="492"/>
        <v>; Profitability management (8%)</v>
      </c>
      <c r="GF42" s="231" t="str">
        <f t="shared" ca="1" si="493"/>
        <v>; Activity-based costing (8%)</v>
      </c>
      <c r="GG42" s="231" t="str">
        <f t="shared" ca="1" si="494"/>
        <v>; Enhance BI Platform (7%)</v>
      </c>
      <c r="GH42" s="231" t="str">
        <f t="shared" ca="1" si="495"/>
        <v>; Fraud, waste, and abuse detection (7%)</v>
      </c>
      <c r="GI42" s="231" t="str">
        <f t="shared" ca="1" si="496"/>
        <v/>
      </c>
      <c r="GJ42" s="231" t="str">
        <f t="shared" ca="1" si="497"/>
        <v/>
      </c>
      <c r="GK42" s="231" t="str">
        <f t="shared" ca="1" si="498"/>
        <v/>
      </c>
      <c r="GL42" s="231" t="str">
        <f t="shared" ca="1" si="499"/>
        <v/>
      </c>
      <c r="GM42" s="231" t="str">
        <f t="shared" ca="1" si="500"/>
        <v/>
      </c>
      <c r="GN42" s="231" t="str">
        <f t="shared" ca="1" si="501"/>
        <v/>
      </c>
      <c r="GO42" s="231" t="str">
        <f t="shared" ca="1" si="502"/>
        <v/>
      </c>
      <c r="GP42" s="231" t="str">
        <f t="shared" ca="1" si="503"/>
        <v/>
      </c>
      <c r="GQ42" s="231" t="str">
        <f t="shared" ca="1" si="504"/>
        <v/>
      </c>
      <c r="GR42" s="231" t="str">
        <f t="shared" ca="1" si="505"/>
        <v/>
      </c>
      <c r="GS42" s="231" t="str">
        <f t="shared" ca="1" si="506"/>
        <v/>
      </c>
      <c r="GT42" s="231" t="str">
        <f t="shared" ca="1" si="507"/>
        <v/>
      </c>
      <c r="GU42" s="231" t="str">
        <f t="shared" ca="1" si="508"/>
        <v/>
      </c>
    </row>
    <row r="43" spans="2:203" s="386" customFormat="1" ht="15" hidden="1" customHeight="1">
      <c r="B43" s="373"/>
      <c r="C43" s="81" t="str">
        <f>'Direct Savings'!D81</f>
        <v>Waste</v>
      </c>
      <c r="D43" s="404">
        <f t="shared" ca="1" si="419"/>
        <v>0.51202259042240372</v>
      </c>
      <c r="E43" s="374">
        <f>ROW(Initiatives!A18)</f>
        <v>18</v>
      </c>
      <c r="F43" s="374">
        <f>ROW(Initiatives!A19)</f>
        <v>19</v>
      </c>
      <c r="G43" s="374">
        <f>ROW(Initiatives!A20)</f>
        <v>20</v>
      </c>
      <c r="H43" s="374">
        <f>ROW(Initiatives!A21)</f>
        <v>21</v>
      </c>
      <c r="I43" s="374">
        <f>ROW(Initiatives!A22)</f>
        <v>22</v>
      </c>
      <c r="J43" s="374">
        <f>ROW(Initiatives!A24)</f>
        <v>24</v>
      </c>
      <c r="K43" s="374">
        <f>ROW(Initiatives!A25)</f>
        <v>25</v>
      </c>
      <c r="L43" s="374">
        <f>ROW(Initiatives!A32)</f>
        <v>32</v>
      </c>
      <c r="M43" s="374">
        <f>ROW(Initiatives!A33)</f>
        <v>33</v>
      </c>
      <c r="N43" s="374">
        <f>ROW(Initiatives!A43)</f>
        <v>43</v>
      </c>
      <c r="O43" s="374">
        <f>ROW(Initiatives!A44)</f>
        <v>44</v>
      </c>
      <c r="P43" s="374">
        <f>ROW(Initiatives!A45)</f>
        <v>45</v>
      </c>
      <c r="Q43" s="374">
        <f>ROW(Initiatives!A46)</f>
        <v>46</v>
      </c>
      <c r="R43" s="374">
        <f>ROW(Initiatives!A47)</f>
        <v>47</v>
      </c>
      <c r="S43" s="374">
        <f>ROW(Initiatives!A172)</f>
        <v>172</v>
      </c>
      <c r="T43" s="374">
        <f>ROW(Initiatives!A173)</f>
        <v>173</v>
      </c>
      <c r="U43" s="374">
        <f>ROW(Initiatives!A174)</f>
        <v>174</v>
      </c>
      <c r="V43" s="374">
        <f>ROW(Initiatives!A175)</f>
        <v>175</v>
      </c>
      <c r="W43" s="374">
        <f>ROW(Initiatives!A183)</f>
        <v>183</v>
      </c>
      <c r="X43" s="374">
        <f>ROW(Initiatives!A189)</f>
        <v>189</v>
      </c>
      <c r="Y43" s="392" t="str">
        <f ca="1">OFFSET(Initiatives!$D$1,E43-1,$BS$3)</f>
        <v>Supply chain analytics/optimization</v>
      </c>
      <c r="Z43" s="375"/>
      <c r="AA43" s="392" t="str">
        <f ca="1">OFFSET(Initiatives!$D$1,F43-1,$BS$3)</f>
        <v>Production and inventory analysis</v>
      </c>
      <c r="AB43" s="375">
        <v>2</v>
      </c>
      <c r="AC43" s="392" t="str">
        <f ca="1">OFFSET(Initiatives!$D$1,G43-1,$BS$3)</f>
        <v>Demand forecasting/planning</v>
      </c>
      <c r="AD43" s="375"/>
      <c r="AE43" s="392" t="str">
        <f ca="1">OFFSET(Initiatives!$D$1,H43-1,$BS$3)</f>
        <v>Fulfillment management analysis</v>
      </c>
      <c r="AF43" s="375"/>
      <c r="AG43" s="392" t="str">
        <f ca="1">OFFSET(Initiatives!$D$1,I43-1,$BS$3)</f>
        <v>Logistics management analysis</v>
      </c>
      <c r="AH43" s="375"/>
      <c r="AI43" s="392" t="str">
        <f ca="1">OFFSET(Initiatives!$D$1,J43-1,$BS$3)</f>
        <v>Business process/activity monitoring (BAM)</v>
      </c>
      <c r="AJ43" s="375">
        <v>2</v>
      </c>
      <c r="AK43" s="392" t="str">
        <f ca="1">OFFSET(Initiatives!$D$1,K43-1,$BS$3)</f>
        <v>Web analytics</v>
      </c>
      <c r="AL43" s="375"/>
      <c r="AM43" s="392" t="str">
        <f ca="1">OFFSET(Initiatives!$D$1,L43-1,$BS$3)</f>
        <v>Profitability management</v>
      </c>
      <c r="AN43" s="375"/>
      <c r="AO43" s="392" t="str">
        <f ca="1">OFFSET(Initiatives!$D$1,M43-1,$BS$3)</f>
        <v>Activity-based costing</v>
      </c>
      <c r="AP43" s="375">
        <v>4</v>
      </c>
      <c r="AQ43" s="392" t="str">
        <f ca="1">OFFSET(Initiatives!$D$1,N43-1,$BS$3)</f>
        <v>Fraud, waste, and abuse detection</v>
      </c>
      <c r="AR43" s="375">
        <v>9</v>
      </c>
      <c r="AS43" s="392" t="str">
        <f ca="1">OFFSET(Initiatives!$D$1,O43-1,$BS$3)</f>
        <v>HR/workforce analytics</v>
      </c>
      <c r="AT43" s="375"/>
      <c r="AU43" s="392" t="str">
        <f ca="1">OFFSET(Initiatives!$D$1,P43-1,$BS$3)</f>
        <v>Competitive intelligence analysis</v>
      </c>
      <c r="AV43" s="375"/>
      <c r="AW43" s="392" t="str">
        <f ca="1">OFFSET(Initiatives!$D$1,Q43-1,$BS$3)</f>
        <v>Risk mgmt analysis</v>
      </c>
      <c r="AX43" s="375"/>
      <c r="AY43" s="392" t="str">
        <f ca="1">OFFSET(Initiatives!$D$1,R43-1,$BS$3)</f>
        <v>Compliance mgmt analysis</v>
      </c>
      <c r="AZ43" s="375"/>
      <c r="BA43" s="392" t="str">
        <f ca="1">OFFSET(Initiatives!$D$1,S43-1,$BS$3)</f>
        <v>Marketing / Sales Data Integration</v>
      </c>
      <c r="BB43" s="375"/>
      <c r="BC43" s="392" t="str">
        <f ca="1">OFFSET(Initiatives!$D$1,T43-1,$BS$3)</f>
        <v>Supply Chain / Ops Data Integration</v>
      </c>
      <c r="BD43" s="375">
        <v>8</v>
      </c>
      <c r="BE43" s="392" t="str">
        <f ca="1">OFFSET(Initiatives!$D$1,U43-1,$BS$3)</f>
        <v>Financial Data Integration</v>
      </c>
      <c r="BF43" s="375">
        <v>4</v>
      </c>
      <c r="BG43" s="392" t="str">
        <f ca="1">OFFSET(Initiatives!$D$1,V43-1,$BS$3)</f>
        <v>Other Data Integration</v>
      </c>
      <c r="BH43" s="375">
        <v>3</v>
      </c>
      <c r="BI43" s="392" t="str">
        <f ca="1">OFFSET(Initiatives!$D$1,W43-1,$BS$3)</f>
        <v>Enhance DW Platform</v>
      </c>
      <c r="BJ43" s="375">
        <v>5</v>
      </c>
      <c r="BK43" s="392" t="str">
        <f ca="1">OFFSET(Initiatives!$D$1,X43-1,$BS$3)</f>
        <v>Enhance BI Platform</v>
      </c>
      <c r="BL43" s="375">
        <v>5</v>
      </c>
      <c r="BN43" s="101">
        <f t="shared" si="420"/>
        <v>42.000100000000003</v>
      </c>
      <c r="BP43" s="231" t="str">
        <f t="shared" ca="1" si="421"/>
        <v>Fraud, waste, and abuse detection (28%); Supply Chain / Ops Data Integration (25%); Enhance BI Platform (14%); Activity-based costing (10%); Other Data Integration (9%); Financial Data Integration (5%)</v>
      </c>
      <c r="BQ43" s="338">
        <v>0.01</v>
      </c>
      <c r="BR43" s="40">
        <f t="shared" ca="1" si="422"/>
        <v>8</v>
      </c>
      <c r="BS43" s="274">
        <v>0.05</v>
      </c>
      <c r="BT43" s="40">
        <f t="shared" ca="1" si="423"/>
        <v>6</v>
      </c>
      <c r="BU43" s="376">
        <v>7</v>
      </c>
      <c r="BV43" s="40">
        <f t="shared" ca="1" si="424"/>
        <v>6</v>
      </c>
      <c r="BY43" s="377">
        <f ca="1">IF(ISERROR(OFFSET(Initiatives!$D$1,E43-1,$BY$3)),,OFFSET(Initiatives!$D$1,E43-1,$BY$3))</f>
        <v>0.32</v>
      </c>
      <c r="BZ43" s="377">
        <f ca="1">IF(ISERROR(OFFSET(Initiatives!$D$1,F43-1,$BY$3)),,OFFSET(Initiatives!$D$1,F43-1,$BY$3))</f>
        <v>0.32</v>
      </c>
      <c r="CA43" s="377">
        <f ca="1">IF(ISERROR(OFFSET(Initiatives!$D$1,G43-1,$BY$3)),,OFFSET(Initiatives!$D$1,G43-1,$BY$3))</f>
        <v>0.32</v>
      </c>
      <c r="CB43" s="377">
        <f ca="1">IF(ISERROR(OFFSET(Initiatives!$D$1,H43-1,$BY$3)),,OFFSET(Initiatives!$D$1,H43-1,$BY$3))</f>
        <v>0.32</v>
      </c>
      <c r="CC43" s="377">
        <f ca="1">IF(ISERROR(OFFSET(Initiatives!$D$1,I43-1,$BY$3)),,OFFSET(Initiatives!$D$1,I43-1,$BY$3))</f>
        <v>0.32</v>
      </c>
      <c r="CD43" s="377">
        <f ca="1">IF(ISERROR(OFFSET(Initiatives!$D$1,J43-1,$BY$3)),,OFFSET(Initiatives!$D$1,J43-1,$BY$3))</f>
        <v>0.32</v>
      </c>
      <c r="CE43" s="377">
        <f ca="1">IF(ISERROR(OFFSET(Initiatives!$D$1,K43-1,$BY$3)),,OFFSET(Initiatives!$D$1,K43-1,$BY$3))</f>
        <v>0.32</v>
      </c>
      <c r="CF43" s="377">
        <f ca="1">IF(ISERROR(OFFSET(Initiatives!$D$1,L43-1,$BY$3)),,OFFSET(Initiatives!$D$1,L43-1,$BY$3))</f>
        <v>0.55999999999999983</v>
      </c>
      <c r="CG43" s="377">
        <f ca="1">IF(ISERROR(OFFSET(Initiatives!$D$1,M43-1,$BY$3)),,OFFSET(Initiatives!$D$1,M43-1,$BY$3))</f>
        <v>0.55999999999999983</v>
      </c>
      <c r="CH43" s="377">
        <f ca="1">IF(ISERROR(OFFSET(Initiatives!$D$1,N43-1,$BY$3)),,OFFSET(Initiatives!$D$1,N43-1,$BY$3))</f>
        <v>0.68</v>
      </c>
      <c r="CI43" s="377">
        <f ca="1">IF(ISERROR(OFFSET(Initiatives!$D$1,O43-1,$BY$3)),,OFFSET(Initiatives!$D$1,O43-1,$BY$3))</f>
        <v>0.68</v>
      </c>
      <c r="CJ43" s="377">
        <f ca="1">IF(ISERROR(OFFSET(Initiatives!$D$1,P43-1,$BY$3)),,OFFSET(Initiatives!$D$1,P43-1,$BY$3))</f>
        <v>0.68</v>
      </c>
      <c r="CK43" s="377">
        <f ca="1">IF(ISERROR(OFFSET(Initiatives!$D$1,Q43-1,$BY$3)),,OFFSET(Initiatives!$D$1,Q43-1,$BY$3))</f>
        <v>0.68</v>
      </c>
      <c r="CL43" s="377">
        <f ca="1">IF(ISERROR(OFFSET(Initiatives!$D$1,R43-1,$BY$3)),,OFFSET(Initiatives!$D$1,R43-1,$BY$3))</f>
        <v>0.68</v>
      </c>
      <c r="CM43" s="377">
        <f ca="1">IF(ISERROR(OFFSET(Initiatives!$D$1,S43-1,$BY$3)),,OFFSET(Initiatives!$D$1,S43-1,$BY$3))</f>
        <v>0.3600000000000001</v>
      </c>
      <c r="CN43" s="377">
        <f ca="1">IF(ISERROR(OFFSET(Initiatives!$D$1,T43-1,$BY$3)),,OFFSET(Initiatives!$D$1,T43-1,$BY$3))</f>
        <v>0.68000000000000016</v>
      </c>
      <c r="CO43" s="377">
        <f ca="1">IF(ISERROR(OFFSET(Initiatives!$D$1,U43-1,$BY$3)),,OFFSET(Initiatives!$D$1,U43-1,$BY$3))</f>
        <v>0.27999999999999958</v>
      </c>
      <c r="CP43" s="377">
        <f ca="1">IF(ISERROR(OFFSET(Initiatives!$D$1,V43-1,$BY$3)),,OFFSET(Initiatives!$D$1,V43-1,$BY$3))</f>
        <v>0.64000000000000012</v>
      </c>
      <c r="CQ43" s="377">
        <f ca="1">IF(ISERROR(OFFSET(Initiatives!$D$1,W43-1,$BY$3)),,OFFSET(Initiatives!$D$1,W43-1,$BY$3))</f>
        <v>7.7000000000000179E-2</v>
      </c>
      <c r="CR43" s="377">
        <f ca="1">IF(ISERROR(OFFSET(Initiatives!$D$1,X43-1,$BY$3)),,OFFSET(Initiatives!$D$1,X43-1,$BY$3))</f>
        <v>0.6</v>
      </c>
      <c r="CT43" s="41">
        <f t="shared" ca="1" si="425"/>
        <v>0</v>
      </c>
      <c r="CU43" s="41">
        <f t="shared" ca="1" si="426"/>
        <v>1.5238058957002483E-2</v>
      </c>
      <c r="CV43" s="41">
        <f t="shared" ca="1" si="427"/>
        <v>0</v>
      </c>
      <c r="CW43" s="41">
        <f t="shared" ca="1" si="428"/>
        <v>0</v>
      </c>
      <c r="CX43" s="41">
        <f t="shared" ca="1" si="429"/>
        <v>0</v>
      </c>
      <c r="CY43" s="41">
        <f t="shared" ca="1" si="430"/>
        <v>1.5238058957002483E-2</v>
      </c>
      <c r="CZ43" s="41">
        <f t="shared" ca="1" si="431"/>
        <v>0</v>
      </c>
      <c r="DA43" s="41">
        <f t="shared" ca="1" si="432"/>
        <v>0</v>
      </c>
      <c r="DB43" s="41">
        <f t="shared" ca="1" si="433"/>
        <v>5.3333206349508673E-2</v>
      </c>
      <c r="DC43" s="41">
        <f t="shared" ca="1" si="434"/>
        <v>0.14571393877633623</v>
      </c>
      <c r="DD43" s="41">
        <f t="shared" ca="1" si="435"/>
        <v>0</v>
      </c>
      <c r="DE43" s="41">
        <f t="shared" ca="1" si="436"/>
        <v>0</v>
      </c>
      <c r="DF43" s="41">
        <f t="shared" ca="1" si="437"/>
        <v>0</v>
      </c>
      <c r="DG43" s="41">
        <f t="shared" ca="1" si="438"/>
        <v>0</v>
      </c>
      <c r="DH43" s="41">
        <f t="shared" ca="1" si="439"/>
        <v>0</v>
      </c>
      <c r="DI43" s="41">
        <f t="shared" ca="1" si="440"/>
        <v>0.12952350113452113</v>
      </c>
      <c r="DJ43" s="41">
        <f t="shared" ca="1" si="441"/>
        <v>2.6666603174754305E-2</v>
      </c>
      <c r="DK43" s="41">
        <f t="shared" ca="1" si="442"/>
        <v>4.5714176871007456E-2</v>
      </c>
      <c r="DL43" s="41">
        <f t="shared" ca="1" si="443"/>
        <v>9.1666448413218263E-3</v>
      </c>
      <c r="DM43" s="41">
        <f t="shared" ca="1" si="444"/>
        <v>7.1428401360949134E-2</v>
      </c>
      <c r="DN43" s="41">
        <f t="shared" ca="1" si="445"/>
        <v>0.51202259042240372</v>
      </c>
      <c r="DP43" s="41">
        <f t="shared" ca="1" si="446"/>
        <v>-1.0000000000000001E-5</v>
      </c>
      <c r="DQ43" s="41">
        <f t="shared" ca="1" si="447"/>
        <v>2.9740520809114161E-2</v>
      </c>
      <c r="DR43" s="41">
        <f t="shared" ca="1" si="448"/>
        <v>-3.0000000000000001E-5</v>
      </c>
      <c r="DS43" s="41">
        <f t="shared" ca="1" si="449"/>
        <v>-4.0000000000000003E-5</v>
      </c>
      <c r="DT43" s="41">
        <f t="shared" ca="1" si="450"/>
        <v>-5.0000000000000002E-5</v>
      </c>
      <c r="DU43" s="41">
        <f t="shared" ca="1" si="451"/>
        <v>2.9700520809114159E-2</v>
      </c>
      <c r="DV43" s="41">
        <f t="shared" ca="1" si="452"/>
        <v>-6.9999999999999994E-5</v>
      </c>
      <c r="DW43" s="41">
        <f t="shared" ca="1" si="453"/>
        <v>-8.0000000000000007E-5</v>
      </c>
      <c r="DX43" s="41">
        <f t="shared" ca="1" si="454"/>
        <v>0.10407182283189952</v>
      </c>
      <c r="DY43" s="41">
        <f t="shared" ca="1" si="455"/>
        <v>0.28448498023715413</v>
      </c>
      <c r="DZ43" s="41">
        <f t="shared" ca="1" si="456"/>
        <v>-1.1E-4</v>
      </c>
      <c r="EA43" s="41">
        <f t="shared" ca="1" si="457"/>
        <v>-1.2E-4</v>
      </c>
      <c r="EB43" s="41">
        <f t="shared" ca="1" si="458"/>
        <v>-1.2999999999999999E-4</v>
      </c>
      <c r="EC43" s="41">
        <f t="shared" ca="1" si="459"/>
        <v>-1.3999999999999999E-4</v>
      </c>
      <c r="ED43" s="41">
        <f t="shared" ca="1" si="460"/>
        <v>-1.4999999999999999E-4</v>
      </c>
      <c r="EE43" s="41">
        <f t="shared" ca="1" si="461"/>
        <v>0.2528044268774704</v>
      </c>
      <c r="EF43" s="41">
        <f t="shared" ca="1" si="462"/>
        <v>5.1910911415949709E-2</v>
      </c>
      <c r="EG43" s="41">
        <f t="shared" ca="1" si="463"/>
        <v>8.910156242734249E-2</v>
      </c>
      <c r="EH43" s="41">
        <f t="shared" ca="1" si="464"/>
        <v>1.7712813299232778E-2</v>
      </c>
      <c r="EI43" s="41">
        <f t="shared" ca="1" si="465"/>
        <v>0.13930244129272262</v>
      </c>
      <c r="EJ43" s="41">
        <f t="shared" ca="1" si="466"/>
        <v>0.99790000000000001</v>
      </c>
      <c r="EL43" s="378">
        <f t="shared" ca="1" si="467"/>
        <v>10</v>
      </c>
      <c r="EM43" s="378">
        <f t="shared" ca="1" si="468"/>
        <v>7</v>
      </c>
      <c r="EN43" s="378">
        <f t="shared" ca="1" si="469"/>
        <v>11</v>
      </c>
      <c r="EO43" s="378">
        <f t="shared" ca="1" si="470"/>
        <v>12</v>
      </c>
      <c r="EP43" s="378">
        <f t="shared" ca="1" si="471"/>
        <v>13</v>
      </c>
      <c r="EQ43" s="378">
        <f t="shared" ca="1" si="472"/>
        <v>8</v>
      </c>
      <c r="ER43" s="378">
        <f t="shared" ca="1" si="473"/>
        <v>14</v>
      </c>
      <c r="ES43" s="378">
        <f t="shared" ca="1" si="474"/>
        <v>15</v>
      </c>
      <c r="ET43" s="378">
        <f t="shared" ca="1" si="475"/>
        <v>4</v>
      </c>
      <c r="EU43" s="378">
        <f t="shared" ca="1" si="476"/>
        <v>1</v>
      </c>
      <c r="EV43" s="378">
        <f t="shared" ca="1" si="477"/>
        <v>16</v>
      </c>
      <c r="EW43" s="378">
        <f t="shared" ca="1" si="478"/>
        <v>17</v>
      </c>
      <c r="EX43" s="378">
        <f t="shared" ca="1" si="479"/>
        <v>18</v>
      </c>
      <c r="EY43" s="378">
        <f t="shared" ca="1" si="480"/>
        <v>19</v>
      </c>
      <c r="EZ43" s="378">
        <f t="shared" ca="1" si="481"/>
        <v>20</v>
      </c>
      <c r="FA43" s="378">
        <f t="shared" ca="1" si="482"/>
        <v>2</v>
      </c>
      <c r="FB43" s="378">
        <f t="shared" ca="1" si="483"/>
        <v>6</v>
      </c>
      <c r="FC43" s="378">
        <f t="shared" ca="1" si="484"/>
        <v>5</v>
      </c>
      <c r="FD43" s="378">
        <f t="shared" ca="1" si="485"/>
        <v>9</v>
      </c>
      <c r="FE43" s="378">
        <f t="shared" ca="1" si="486"/>
        <v>3</v>
      </c>
      <c r="FG43" s="378">
        <f t="shared" ca="1" si="487"/>
        <v>10</v>
      </c>
      <c r="FH43" s="378">
        <f t="shared" ca="1" si="487"/>
        <v>16</v>
      </c>
      <c r="FI43" s="378">
        <f t="shared" ca="1" si="487"/>
        <v>20</v>
      </c>
      <c r="FJ43" s="378">
        <f t="shared" ca="1" si="487"/>
        <v>9</v>
      </c>
      <c r="FK43" s="378">
        <f t="shared" ca="1" si="487"/>
        <v>18</v>
      </c>
      <c r="FL43" s="378">
        <f t="shared" ca="1" si="487"/>
        <v>17</v>
      </c>
      <c r="FM43" s="378">
        <f t="shared" ca="1" si="487"/>
        <v>2</v>
      </c>
      <c r="FN43" s="378">
        <f t="shared" ca="1" si="487"/>
        <v>6</v>
      </c>
      <c r="FO43" s="378">
        <f t="shared" ca="1" si="487"/>
        <v>19</v>
      </c>
      <c r="FP43" s="378">
        <f t="shared" ca="1" si="487"/>
        <v>1</v>
      </c>
      <c r="FQ43" s="378">
        <f t="shared" ca="1" si="487"/>
        <v>3</v>
      </c>
      <c r="FR43" s="378">
        <f t="shared" ca="1" si="487"/>
        <v>4</v>
      </c>
      <c r="FS43" s="378">
        <f t="shared" ca="1" si="487"/>
        <v>5</v>
      </c>
      <c r="FT43" s="378">
        <f t="shared" ca="1" si="487"/>
        <v>7</v>
      </c>
      <c r="FU43" s="378">
        <f t="shared" ca="1" si="487"/>
        <v>8</v>
      </c>
      <c r="FV43" s="378">
        <f t="shared" ca="1" si="487"/>
        <v>11</v>
      </c>
      <c r="FW43" s="378">
        <f t="shared" ca="1" si="488"/>
        <v>12</v>
      </c>
      <c r="FX43" s="378">
        <f t="shared" ca="1" si="488"/>
        <v>13</v>
      </c>
      <c r="FY43" s="378">
        <f t="shared" ca="1" si="488"/>
        <v>14</v>
      </c>
      <c r="FZ43" s="378">
        <f t="shared" ca="1" si="488"/>
        <v>15</v>
      </c>
      <c r="GB43" s="275" t="str">
        <f t="shared" ca="1" si="489"/>
        <v>Fraud, waste, and abuse detection (28%)</v>
      </c>
      <c r="GC43" s="231" t="str">
        <f t="shared" ca="1" si="490"/>
        <v>; Supply Chain / Ops Data Integration (25%)</v>
      </c>
      <c r="GD43" s="231" t="str">
        <f t="shared" ca="1" si="491"/>
        <v>; Enhance BI Platform (14%)</v>
      </c>
      <c r="GE43" s="231" t="str">
        <f t="shared" ca="1" si="492"/>
        <v>; Activity-based costing (10%)</v>
      </c>
      <c r="GF43" s="231" t="str">
        <f t="shared" ca="1" si="493"/>
        <v>; Other Data Integration (9%)</v>
      </c>
      <c r="GG43" s="231" t="str">
        <f t="shared" ca="1" si="494"/>
        <v>; Financial Data Integration (5%)</v>
      </c>
      <c r="GH43" s="231" t="str">
        <f t="shared" ca="1" si="495"/>
        <v/>
      </c>
      <c r="GI43" s="231" t="str">
        <f t="shared" ca="1" si="496"/>
        <v/>
      </c>
      <c r="GJ43" s="231" t="str">
        <f t="shared" ca="1" si="497"/>
        <v/>
      </c>
      <c r="GK43" s="231" t="str">
        <f t="shared" ca="1" si="498"/>
        <v/>
      </c>
      <c r="GL43" s="231" t="str">
        <f t="shared" ca="1" si="499"/>
        <v/>
      </c>
      <c r="GM43" s="231" t="str">
        <f t="shared" ca="1" si="500"/>
        <v/>
      </c>
      <c r="GN43" s="231" t="str">
        <f t="shared" ca="1" si="501"/>
        <v/>
      </c>
      <c r="GO43" s="231" t="str">
        <f t="shared" ca="1" si="502"/>
        <v/>
      </c>
      <c r="GP43" s="231" t="str">
        <f t="shared" ca="1" si="503"/>
        <v/>
      </c>
      <c r="GQ43" s="231" t="str">
        <f t="shared" ca="1" si="504"/>
        <v/>
      </c>
      <c r="GR43" s="231" t="str">
        <f t="shared" ca="1" si="505"/>
        <v/>
      </c>
      <c r="GS43" s="231" t="str">
        <f t="shared" ca="1" si="506"/>
        <v/>
      </c>
      <c r="GT43" s="231" t="str">
        <f t="shared" ca="1" si="507"/>
        <v/>
      </c>
      <c r="GU43" s="231" t="str">
        <f t="shared" ca="1" si="508"/>
        <v/>
      </c>
    </row>
    <row r="44" spans="2:203" s="386" customFormat="1" ht="15" hidden="1" customHeight="1">
      <c r="B44" s="373"/>
      <c r="C44" s="81" t="str">
        <f>'Direct Savings'!D82</f>
        <v>Fraud-related expenses</v>
      </c>
      <c r="D44" s="404">
        <f t="shared" ca="1" si="419"/>
        <v>0.49193777155556828</v>
      </c>
      <c r="E44" s="374">
        <f>ROW(Initiatives!A18)</f>
        <v>18</v>
      </c>
      <c r="F44" s="374">
        <f>ROW(Initiatives!A19)</f>
        <v>19</v>
      </c>
      <c r="G44" s="374">
        <f>ROW(Initiatives!A20)</f>
        <v>20</v>
      </c>
      <c r="H44" s="374">
        <f>ROW(Initiatives!A21)</f>
        <v>21</v>
      </c>
      <c r="I44" s="374">
        <f>ROW(Initiatives!A22)</f>
        <v>22</v>
      </c>
      <c r="J44" s="374">
        <f>ROW(Initiatives!A24)</f>
        <v>24</v>
      </c>
      <c r="K44" s="374">
        <f>ROW(Initiatives!A25)</f>
        <v>25</v>
      </c>
      <c r="L44" s="374">
        <f>ROW(Initiatives!A32)</f>
        <v>32</v>
      </c>
      <c r="M44" s="374">
        <f>ROW(Initiatives!A33)</f>
        <v>33</v>
      </c>
      <c r="N44" s="374">
        <f>ROW(Initiatives!A43)</f>
        <v>43</v>
      </c>
      <c r="O44" s="374">
        <f>ROW(Initiatives!A44)</f>
        <v>44</v>
      </c>
      <c r="P44" s="374">
        <f>ROW(Initiatives!A45)</f>
        <v>45</v>
      </c>
      <c r="Q44" s="374">
        <f>ROW(Initiatives!A46)</f>
        <v>46</v>
      </c>
      <c r="R44" s="374">
        <f>ROW(Initiatives!A47)</f>
        <v>47</v>
      </c>
      <c r="S44" s="374">
        <f>ROW(Initiatives!A172)</f>
        <v>172</v>
      </c>
      <c r="T44" s="374">
        <f>ROW(Initiatives!A173)</f>
        <v>173</v>
      </c>
      <c r="U44" s="374">
        <f>ROW(Initiatives!A174)</f>
        <v>174</v>
      </c>
      <c r="V44" s="374">
        <f>ROW(Initiatives!A175)</f>
        <v>175</v>
      </c>
      <c r="W44" s="374">
        <f>ROW(Initiatives!A183)</f>
        <v>183</v>
      </c>
      <c r="X44" s="374">
        <f>ROW(Initiatives!A189)</f>
        <v>189</v>
      </c>
      <c r="Y44" s="392" t="str">
        <f ca="1">OFFSET(Initiatives!$D$1,E44-1,$BS$3)</f>
        <v>Supply chain analytics/optimization</v>
      </c>
      <c r="Z44" s="375"/>
      <c r="AA44" s="392" t="str">
        <f ca="1">OFFSET(Initiatives!$D$1,F44-1,$BS$3)</f>
        <v>Production and inventory analysis</v>
      </c>
      <c r="AB44" s="375">
        <v>2</v>
      </c>
      <c r="AC44" s="392" t="str">
        <f ca="1">OFFSET(Initiatives!$D$1,G44-1,$BS$3)</f>
        <v>Demand forecasting/planning</v>
      </c>
      <c r="AD44" s="375"/>
      <c r="AE44" s="392" t="str">
        <f ca="1">OFFSET(Initiatives!$D$1,H44-1,$BS$3)</f>
        <v>Fulfillment management analysis</v>
      </c>
      <c r="AF44" s="375"/>
      <c r="AG44" s="392" t="str">
        <f ca="1">OFFSET(Initiatives!$D$1,I44-1,$BS$3)</f>
        <v>Logistics management analysis</v>
      </c>
      <c r="AH44" s="375"/>
      <c r="AI44" s="392" t="str">
        <f ca="1">OFFSET(Initiatives!$D$1,J44-1,$BS$3)</f>
        <v>Business process/activity monitoring (BAM)</v>
      </c>
      <c r="AJ44" s="375">
        <v>2</v>
      </c>
      <c r="AK44" s="392" t="str">
        <f ca="1">OFFSET(Initiatives!$D$1,K44-1,$BS$3)</f>
        <v>Web analytics</v>
      </c>
      <c r="AL44" s="375"/>
      <c r="AM44" s="392" t="str">
        <f ca="1">OFFSET(Initiatives!$D$1,L44-1,$BS$3)</f>
        <v>Profitability management</v>
      </c>
      <c r="AN44" s="375"/>
      <c r="AO44" s="392" t="str">
        <f ca="1">OFFSET(Initiatives!$D$1,M44-1,$BS$3)</f>
        <v>Activity-based costing</v>
      </c>
      <c r="AP44" s="375">
        <v>4</v>
      </c>
      <c r="AQ44" s="392" t="str">
        <f ca="1">OFFSET(Initiatives!$D$1,N44-1,$BS$3)</f>
        <v>Fraud, waste, and abuse detection</v>
      </c>
      <c r="AR44" s="375">
        <v>9</v>
      </c>
      <c r="AS44" s="392" t="str">
        <f ca="1">OFFSET(Initiatives!$D$1,O44-1,$BS$3)</f>
        <v>HR/workforce analytics</v>
      </c>
      <c r="AT44" s="375"/>
      <c r="AU44" s="392" t="str">
        <f ca="1">OFFSET(Initiatives!$D$1,P44-1,$BS$3)</f>
        <v>Competitive intelligence analysis</v>
      </c>
      <c r="AV44" s="375"/>
      <c r="AW44" s="392" t="str">
        <f ca="1">OFFSET(Initiatives!$D$1,Q44-1,$BS$3)</f>
        <v>Risk mgmt analysis</v>
      </c>
      <c r="AX44" s="375"/>
      <c r="AY44" s="392" t="str">
        <f ca="1">OFFSET(Initiatives!$D$1,R44-1,$BS$3)</f>
        <v>Compliance mgmt analysis</v>
      </c>
      <c r="AZ44" s="375"/>
      <c r="BA44" s="392" t="str">
        <f ca="1">OFFSET(Initiatives!$D$1,S44-1,$BS$3)</f>
        <v>Marketing / Sales Data Integration</v>
      </c>
      <c r="BB44" s="375">
        <v>4</v>
      </c>
      <c r="BC44" s="392" t="str">
        <f ca="1">OFFSET(Initiatives!$D$1,T44-1,$BS$3)</f>
        <v>Supply Chain / Ops Data Integration</v>
      </c>
      <c r="BD44" s="375">
        <v>7</v>
      </c>
      <c r="BE44" s="392" t="str">
        <f ca="1">OFFSET(Initiatives!$D$1,U44-1,$BS$3)</f>
        <v>Financial Data Integration</v>
      </c>
      <c r="BF44" s="375">
        <v>6</v>
      </c>
      <c r="BG44" s="392" t="str">
        <f ca="1">OFFSET(Initiatives!$D$1,V44-1,$BS$3)</f>
        <v>Other Data Integration</v>
      </c>
      <c r="BH44" s="375">
        <v>5</v>
      </c>
      <c r="BI44" s="392" t="str">
        <f ca="1">OFFSET(Initiatives!$D$1,W44-1,$BS$3)</f>
        <v>Enhance DW Platform</v>
      </c>
      <c r="BJ44" s="375">
        <v>5</v>
      </c>
      <c r="BK44" s="392" t="str">
        <f ca="1">OFFSET(Initiatives!$D$1,X44-1,$BS$3)</f>
        <v>Enhance BI Platform</v>
      </c>
      <c r="BL44" s="375">
        <v>5</v>
      </c>
      <c r="BN44" s="101">
        <f t="shared" si="420"/>
        <v>49.000100000000003</v>
      </c>
      <c r="BP44" s="231" t="str">
        <f t="shared" ca="1" si="421"/>
        <v>Fraud, waste, and abuse detection (25%); Supply Chain / Ops Data Integration (20%); Other Data Integration (13%); Enhance BI Platform (12%); Activity-based costing (9%); Financial Data Integration (7%); Marketing / Sales Data Integration (6%)</v>
      </c>
      <c r="BQ44" s="338">
        <v>0.01</v>
      </c>
      <c r="BR44" s="40">
        <f t="shared" ca="1" si="422"/>
        <v>9</v>
      </c>
      <c r="BS44" s="274">
        <v>0.05</v>
      </c>
      <c r="BT44" s="40">
        <f t="shared" ca="1" si="423"/>
        <v>7</v>
      </c>
      <c r="BU44" s="376">
        <v>7</v>
      </c>
      <c r="BV44" s="40">
        <f t="shared" ca="1" si="424"/>
        <v>7</v>
      </c>
      <c r="BY44" s="377">
        <f ca="1">IF(ISERROR(OFFSET(Initiatives!$D$1,E44-1,$BY$3)),,OFFSET(Initiatives!$D$1,E44-1,$BY$3))</f>
        <v>0.32</v>
      </c>
      <c r="BZ44" s="377">
        <f ca="1">IF(ISERROR(OFFSET(Initiatives!$D$1,F44-1,$BY$3)),,OFFSET(Initiatives!$D$1,F44-1,$BY$3))</f>
        <v>0.32</v>
      </c>
      <c r="CA44" s="377">
        <f ca="1">IF(ISERROR(OFFSET(Initiatives!$D$1,G44-1,$BY$3)),,OFFSET(Initiatives!$D$1,G44-1,$BY$3))</f>
        <v>0.32</v>
      </c>
      <c r="CB44" s="377">
        <f ca="1">IF(ISERROR(OFFSET(Initiatives!$D$1,H44-1,$BY$3)),,OFFSET(Initiatives!$D$1,H44-1,$BY$3))</f>
        <v>0.32</v>
      </c>
      <c r="CC44" s="377">
        <f ca="1">IF(ISERROR(OFFSET(Initiatives!$D$1,I44-1,$BY$3)),,OFFSET(Initiatives!$D$1,I44-1,$BY$3))</f>
        <v>0.32</v>
      </c>
      <c r="CD44" s="377">
        <f ca="1">IF(ISERROR(OFFSET(Initiatives!$D$1,J44-1,$BY$3)),,OFFSET(Initiatives!$D$1,J44-1,$BY$3))</f>
        <v>0.32</v>
      </c>
      <c r="CE44" s="377">
        <f ca="1">IF(ISERROR(OFFSET(Initiatives!$D$1,K44-1,$BY$3)),,OFFSET(Initiatives!$D$1,K44-1,$BY$3))</f>
        <v>0.32</v>
      </c>
      <c r="CF44" s="377">
        <f ca="1">IF(ISERROR(OFFSET(Initiatives!$D$1,L44-1,$BY$3)),,OFFSET(Initiatives!$D$1,L44-1,$BY$3))</f>
        <v>0.55999999999999983</v>
      </c>
      <c r="CG44" s="377">
        <f ca="1">IF(ISERROR(OFFSET(Initiatives!$D$1,M44-1,$BY$3)),,OFFSET(Initiatives!$D$1,M44-1,$BY$3))</f>
        <v>0.55999999999999983</v>
      </c>
      <c r="CH44" s="377">
        <f ca="1">IF(ISERROR(OFFSET(Initiatives!$D$1,N44-1,$BY$3)),,OFFSET(Initiatives!$D$1,N44-1,$BY$3))</f>
        <v>0.68</v>
      </c>
      <c r="CI44" s="377">
        <f ca="1">IF(ISERROR(OFFSET(Initiatives!$D$1,O44-1,$BY$3)),,OFFSET(Initiatives!$D$1,O44-1,$BY$3))</f>
        <v>0.68</v>
      </c>
      <c r="CJ44" s="377">
        <f ca="1">IF(ISERROR(OFFSET(Initiatives!$D$1,P44-1,$BY$3)),,OFFSET(Initiatives!$D$1,P44-1,$BY$3))</f>
        <v>0.68</v>
      </c>
      <c r="CK44" s="377">
        <f ca="1">IF(ISERROR(OFFSET(Initiatives!$D$1,Q44-1,$BY$3)),,OFFSET(Initiatives!$D$1,Q44-1,$BY$3))</f>
        <v>0.68</v>
      </c>
      <c r="CL44" s="377">
        <f ca="1">IF(ISERROR(OFFSET(Initiatives!$D$1,R44-1,$BY$3)),,OFFSET(Initiatives!$D$1,R44-1,$BY$3))</f>
        <v>0.68</v>
      </c>
      <c r="CM44" s="377">
        <f ca="1">IF(ISERROR(OFFSET(Initiatives!$D$1,S44-1,$BY$3)),,OFFSET(Initiatives!$D$1,S44-1,$BY$3))</f>
        <v>0.3600000000000001</v>
      </c>
      <c r="CN44" s="377">
        <f ca="1">IF(ISERROR(OFFSET(Initiatives!$D$1,T44-1,$BY$3)),,OFFSET(Initiatives!$D$1,T44-1,$BY$3))</f>
        <v>0.68000000000000016</v>
      </c>
      <c r="CO44" s="377">
        <f ca="1">IF(ISERROR(OFFSET(Initiatives!$D$1,U44-1,$BY$3)),,OFFSET(Initiatives!$D$1,U44-1,$BY$3))</f>
        <v>0.27999999999999958</v>
      </c>
      <c r="CP44" s="377">
        <f ca="1">IF(ISERROR(OFFSET(Initiatives!$D$1,V44-1,$BY$3)),,OFFSET(Initiatives!$D$1,V44-1,$BY$3))</f>
        <v>0.64000000000000012</v>
      </c>
      <c r="CQ44" s="377">
        <f ca="1">IF(ISERROR(OFFSET(Initiatives!$D$1,W44-1,$BY$3)),,OFFSET(Initiatives!$D$1,W44-1,$BY$3))</f>
        <v>7.7000000000000179E-2</v>
      </c>
      <c r="CR44" s="377">
        <f ca="1">IF(ISERROR(OFFSET(Initiatives!$D$1,X44-1,$BY$3)),,OFFSET(Initiatives!$D$1,X44-1,$BY$3))</f>
        <v>0.6</v>
      </c>
      <c r="CT44" s="41">
        <f t="shared" ca="1" si="425"/>
        <v>0</v>
      </c>
      <c r="CU44" s="41">
        <f t="shared" ca="1" si="426"/>
        <v>1.3061197834290134E-2</v>
      </c>
      <c r="CV44" s="41">
        <f t="shared" ca="1" si="427"/>
        <v>0</v>
      </c>
      <c r="CW44" s="41">
        <f t="shared" ca="1" si="428"/>
        <v>0</v>
      </c>
      <c r="CX44" s="41">
        <f t="shared" ca="1" si="429"/>
        <v>0</v>
      </c>
      <c r="CY44" s="41">
        <f t="shared" ca="1" si="430"/>
        <v>1.3061197834290134E-2</v>
      </c>
      <c r="CZ44" s="41">
        <f t="shared" ca="1" si="431"/>
        <v>0</v>
      </c>
      <c r="DA44" s="41">
        <f t="shared" ca="1" si="432"/>
        <v>0</v>
      </c>
      <c r="DB44" s="41">
        <f t="shared" ca="1" si="433"/>
        <v>4.5714192420015454E-2</v>
      </c>
      <c r="DC44" s="41">
        <f t="shared" ca="1" si="434"/>
        <v>0.1248977042903994</v>
      </c>
      <c r="DD44" s="41">
        <f t="shared" ca="1" si="435"/>
        <v>0</v>
      </c>
      <c r="DE44" s="41">
        <f t="shared" ca="1" si="436"/>
        <v>0</v>
      </c>
      <c r="DF44" s="41">
        <f t="shared" ca="1" si="437"/>
        <v>0</v>
      </c>
      <c r="DG44" s="41">
        <f t="shared" ca="1" si="438"/>
        <v>0</v>
      </c>
      <c r="DH44" s="41">
        <f t="shared" ca="1" si="439"/>
        <v>2.9387695127152808E-2</v>
      </c>
      <c r="DI44" s="41">
        <f t="shared" ca="1" si="440"/>
        <v>9.7142658892532902E-2</v>
      </c>
      <c r="DJ44" s="41">
        <f t="shared" ca="1" si="441"/>
        <v>3.4285644315011549E-2</v>
      </c>
      <c r="DK44" s="41">
        <f t="shared" ca="1" si="442"/>
        <v>6.5305989171450682E-2</v>
      </c>
      <c r="DL44" s="41">
        <f t="shared" ca="1" si="443"/>
        <v>7.8571268221901761E-3</v>
      </c>
      <c r="DM44" s="41">
        <f t="shared" ca="1" si="444"/>
        <v>6.1224364848234999E-2</v>
      </c>
      <c r="DN44" s="41">
        <f t="shared" ca="1" si="445"/>
        <v>0.49193777155556828</v>
      </c>
      <c r="DP44" s="41">
        <f t="shared" ca="1" si="446"/>
        <v>-1.0000000000000001E-5</v>
      </c>
      <c r="DQ44" s="41">
        <f t="shared" ca="1" si="447"/>
        <v>2.6530508193320885E-2</v>
      </c>
      <c r="DR44" s="41">
        <f t="shared" ca="1" si="448"/>
        <v>-3.0000000000000001E-5</v>
      </c>
      <c r="DS44" s="41">
        <f t="shared" ca="1" si="449"/>
        <v>-4.0000000000000003E-5</v>
      </c>
      <c r="DT44" s="41">
        <f t="shared" ca="1" si="450"/>
        <v>-5.0000000000000002E-5</v>
      </c>
      <c r="DU44" s="41">
        <f t="shared" ca="1" si="451"/>
        <v>2.6490508193320883E-2</v>
      </c>
      <c r="DV44" s="41">
        <f t="shared" ca="1" si="452"/>
        <v>-6.9999999999999994E-5</v>
      </c>
      <c r="DW44" s="41">
        <f t="shared" ca="1" si="453"/>
        <v>-8.0000000000000007E-5</v>
      </c>
      <c r="DX44" s="41">
        <f t="shared" ca="1" si="454"/>
        <v>9.2836778676623058E-2</v>
      </c>
      <c r="DY44" s="41">
        <f t="shared" ca="1" si="455"/>
        <v>0.25378923459863095</v>
      </c>
      <c r="DZ44" s="41">
        <f t="shared" ca="1" si="456"/>
        <v>-1.1E-4</v>
      </c>
      <c r="EA44" s="41">
        <f t="shared" ca="1" si="457"/>
        <v>-1.2E-4</v>
      </c>
      <c r="EB44" s="41">
        <f t="shared" ca="1" si="458"/>
        <v>-1.2999999999999999E-4</v>
      </c>
      <c r="EC44" s="41">
        <f t="shared" ca="1" si="459"/>
        <v>-1.3999999999999999E-4</v>
      </c>
      <c r="ED44" s="41">
        <f t="shared" ca="1" si="460"/>
        <v>5.9588643434972006E-2</v>
      </c>
      <c r="EE44" s="41">
        <f t="shared" ca="1" si="461"/>
        <v>0.19730940468782415</v>
      </c>
      <c r="EF44" s="41">
        <f t="shared" ca="1" si="462"/>
        <v>6.9525084007467208E-2</v>
      </c>
      <c r="EG44" s="41">
        <f t="shared" ca="1" si="463"/>
        <v>0.13257254096660445</v>
      </c>
      <c r="EH44" s="41">
        <f t="shared" ca="1" si="464"/>
        <v>1.5781790085044631E-2</v>
      </c>
      <c r="EI44" s="41">
        <f t="shared" ca="1" si="465"/>
        <v>0.12425550715619164</v>
      </c>
      <c r="EJ44" s="41">
        <f t="shared" ca="1" si="466"/>
        <v>0.9978999999999999</v>
      </c>
      <c r="EL44" s="378">
        <f t="shared" ca="1" si="467"/>
        <v>11</v>
      </c>
      <c r="EM44" s="378">
        <f t="shared" ca="1" si="468"/>
        <v>8</v>
      </c>
      <c r="EN44" s="378">
        <f t="shared" ca="1" si="469"/>
        <v>12</v>
      </c>
      <c r="EO44" s="378">
        <f t="shared" ca="1" si="470"/>
        <v>13</v>
      </c>
      <c r="EP44" s="378">
        <f t="shared" ca="1" si="471"/>
        <v>14</v>
      </c>
      <c r="EQ44" s="378">
        <f t="shared" ca="1" si="472"/>
        <v>9</v>
      </c>
      <c r="ER44" s="378">
        <f t="shared" ca="1" si="473"/>
        <v>15</v>
      </c>
      <c r="ES44" s="378">
        <f t="shared" ca="1" si="474"/>
        <v>16</v>
      </c>
      <c r="ET44" s="378">
        <f t="shared" ca="1" si="475"/>
        <v>5</v>
      </c>
      <c r="EU44" s="378">
        <f t="shared" ca="1" si="476"/>
        <v>1</v>
      </c>
      <c r="EV44" s="378">
        <f t="shared" ca="1" si="477"/>
        <v>17</v>
      </c>
      <c r="EW44" s="378">
        <f t="shared" ca="1" si="478"/>
        <v>18</v>
      </c>
      <c r="EX44" s="378">
        <f t="shared" ca="1" si="479"/>
        <v>19</v>
      </c>
      <c r="EY44" s="378">
        <f t="shared" ca="1" si="480"/>
        <v>20</v>
      </c>
      <c r="EZ44" s="378">
        <f t="shared" ca="1" si="481"/>
        <v>7</v>
      </c>
      <c r="FA44" s="378">
        <f t="shared" ca="1" si="482"/>
        <v>2</v>
      </c>
      <c r="FB44" s="378">
        <f t="shared" ca="1" si="483"/>
        <v>6</v>
      </c>
      <c r="FC44" s="378">
        <f t="shared" ca="1" si="484"/>
        <v>3</v>
      </c>
      <c r="FD44" s="378">
        <f t="shared" ca="1" si="485"/>
        <v>10</v>
      </c>
      <c r="FE44" s="378">
        <f t="shared" ca="1" si="486"/>
        <v>4</v>
      </c>
      <c r="FG44" s="378">
        <f t="shared" ca="1" si="487"/>
        <v>10</v>
      </c>
      <c r="FH44" s="378">
        <f t="shared" ca="1" si="487"/>
        <v>16</v>
      </c>
      <c r="FI44" s="378">
        <f t="shared" ca="1" si="487"/>
        <v>18</v>
      </c>
      <c r="FJ44" s="378">
        <f t="shared" ca="1" si="487"/>
        <v>20</v>
      </c>
      <c r="FK44" s="378">
        <f t="shared" ca="1" si="487"/>
        <v>9</v>
      </c>
      <c r="FL44" s="378">
        <f t="shared" ca="1" si="487"/>
        <v>17</v>
      </c>
      <c r="FM44" s="378">
        <f t="shared" ca="1" si="487"/>
        <v>15</v>
      </c>
      <c r="FN44" s="378">
        <f t="shared" ca="1" si="487"/>
        <v>2</v>
      </c>
      <c r="FO44" s="378">
        <f t="shared" ca="1" si="487"/>
        <v>6</v>
      </c>
      <c r="FP44" s="378">
        <f t="shared" ca="1" si="487"/>
        <v>19</v>
      </c>
      <c r="FQ44" s="378">
        <f t="shared" ca="1" si="487"/>
        <v>1</v>
      </c>
      <c r="FR44" s="378">
        <f t="shared" ca="1" si="487"/>
        <v>3</v>
      </c>
      <c r="FS44" s="378">
        <f t="shared" ca="1" si="487"/>
        <v>4</v>
      </c>
      <c r="FT44" s="378">
        <f t="shared" ca="1" si="487"/>
        <v>5</v>
      </c>
      <c r="FU44" s="378">
        <f t="shared" ca="1" si="487"/>
        <v>7</v>
      </c>
      <c r="FV44" s="378">
        <f t="shared" ca="1" si="487"/>
        <v>8</v>
      </c>
      <c r="FW44" s="378">
        <f t="shared" ca="1" si="488"/>
        <v>11</v>
      </c>
      <c r="FX44" s="378">
        <f t="shared" ca="1" si="488"/>
        <v>12</v>
      </c>
      <c r="FY44" s="378">
        <f t="shared" ca="1" si="488"/>
        <v>13</v>
      </c>
      <c r="FZ44" s="378">
        <f t="shared" ca="1" si="488"/>
        <v>14</v>
      </c>
      <c r="GB44" s="275" t="str">
        <f t="shared" ca="1" si="489"/>
        <v>Fraud, waste, and abuse detection (25%)</v>
      </c>
      <c r="GC44" s="231" t="str">
        <f t="shared" ca="1" si="490"/>
        <v>; Supply Chain / Ops Data Integration (20%)</v>
      </c>
      <c r="GD44" s="231" t="str">
        <f t="shared" ca="1" si="491"/>
        <v>; Other Data Integration (13%)</v>
      </c>
      <c r="GE44" s="231" t="str">
        <f t="shared" ca="1" si="492"/>
        <v>; Enhance BI Platform (12%)</v>
      </c>
      <c r="GF44" s="231" t="str">
        <f t="shared" ca="1" si="493"/>
        <v>; Activity-based costing (9%)</v>
      </c>
      <c r="GG44" s="231" t="str">
        <f t="shared" ca="1" si="494"/>
        <v>; Financial Data Integration (7%)</v>
      </c>
      <c r="GH44" s="231" t="str">
        <f t="shared" ca="1" si="495"/>
        <v>; Marketing / Sales Data Integration (6%)</v>
      </c>
      <c r="GI44" s="231" t="str">
        <f t="shared" ca="1" si="496"/>
        <v/>
      </c>
      <c r="GJ44" s="231" t="str">
        <f t="shared" ca="1" si="497"/>
        <v/>
      </c>
      <c r="GK44" s="231" t="str">
        <f t="shared" ca="1" si="498"/>
        <v/>
      </c>
      <c r="GL44" s="231" t="str">
        <f t="shared" ca="1" si="499"/>
        <v/>
      </c>
      <c r="GM44" s="231" t="str">
        <f t="shared" ca="1" si="500"/>
        <v/>
      </c>
      <c r="GN44" s="231" t="str">
        <f t="shared" ca="1" si="501"/>
        <v/>
      </c>
      <c r="GO44" s="231" t="str">
        <f t="shared" ca="1" si="502"/>
        <v/>
      </c>
      <c r="GP44" s="231" t="str">
        <f t="shared" ca="1" si="503"/>
        <v/>
      </c>
      <c r="GQ44" s="231" t="str">
        <f t="shared" ca="1" si="504"/>
        <v/>
      </c>
      <c r="GR44" s="231" t="str">
        <f t="shared" ca="1" si="505"/>
        <v/>
      </c>
      <c r="GS44" s="231" t="str">
        <f t="shared" ca="1" si="506"/>
        <v/>
      </c>
      <c r="GT44" s="231" t="str">
        <f t="shared" ca="1" si="507"/>
        <v/>
      </c>
      <c r="GU44" s="231" t="str">
        <f t="shared" ca="1" si="508"/>
        <v/>
      </c>
    </row>
    <row r="45" spans="2:203" s="386" customFormat="1" ht="15" hidden="1" customHeight="1">
      <c r="B45" s="373"/>
      <c r="C45" s="81" t="str">
        <f>'Direct Savings'!D83</f>
        <v>Printing/paper costs</v>
      </c>
      <c r="D45" s="404">
        <f t="shared" ca="1" si="419"/>
        <v>0.43603984983395905</v>
      </c>
      <c r="E45" s="374">
        <f>ROW(Initiatives!A18)</f>
        <v>18</v>
      </c>
      <c r="F45" s="374">
        <f>ROW(Initiatives!A19)</f>
        <v>19</v>
      </c>
      <c r="G45" s="374">
        <f>ROW(Initiatives!A20)</f>
        <v>20</v>
      </c>
      <c r="H45" s="374">
        <f>ROW(Initiatives!A21)</f>
        <v>21</v>
      </c>
      <c r="I45" s="374">
        <f>ROW(Initiatives!A22)</f>
        <v>22</v>
      </c>
      <c r="J45" s="374">
        <f>ROW(Initiatives!A24)</f>
        <v>24</v>
      </c>
      <c r="K45" s="374">
        <f>ROW(Initiatives!A25)</f>
        <v>25</v>
      </c>
      <c r="L45" s="374">
        <f>ROW(Initiatives!A32)</f>
        <v>32</v>
      </c>
      <c r="M45" s="374">
        <f>ROW(Initiatives!A33)</f>
        <v>33</v>
      </c>
      <c r="N45" s="374">
        <f>ROW(Initiatives!A43)</f>
        <v>43</v>
      </c>
      <c r="O45" s="374">
        <f>ROW(Initiatives!A44)</f>
        <v>44</v>
      </c>
      <c r="P45" s="374">
        <f>ROW(Initiatives!A45)</f>
        <v>45</v>
      </c>
      <c r="Q45" s="374">
        <f>ROW(Initiatives!A46)</f>
        <v>46</v>
      </c>
      <c r="R45" s="374">
        <f>ROW(Initiatives!A47)</f>
        <v>47</v>
      </c>
      <c r="S45" s="374">
        <f>ROW(Initiatives!A172)</f>
        <v>172</v>
      </c>
      <c r="T45" s="374">
        <f>ROW(Initiatives!A173)</f>
        <v>173</v>
      </c>
      <c r="U45" s="374">
        <f>ROW(Initiatives!A174)</f>
        <v>174</v>
      </c>
      <c r="V45" s="374">
        <f>ROW(Initiatives!A175)</f>
        <v>175</v>
      </c>
      <c r="W45" s="374">
        <f>ROW(Initiatives!A183)</f>
        <v>183</v>
      </c>
      <c r="X45" s="374">
        <f>ROW(Initiatives!A189)</f>
        <v>189</v>
      </c>
      <c r="Y45" s="392" t="str">
        <f ca="1">OFFSET(Initiatives!$D$1,E45-1,$BS$3)</f>
        <v>Supply chain analytics/optimization</v>
      </c>
      <c r="Z45" s="375"/>
      <c r="AA45" s="392" t="str">
        <f ca="1">OFFSET(Initiatives!$D$1,F45-1,$BS$3)</f>
        <v>Production and inventory analysis</v>
      </c>
      <c r="AB45" s="375"/>
      <c r="AC45" s="392" t="str">
        <f ca="1">OFFSET(Initiatives!$D$1,G45-1,$BS$3)</f>
        <v>Demand forecasting/planning</v>
      </c>
      <c r="AD45" s="375"/>
      <c r="AE45" s="392" t="str">
        <f ca="1">OFFSET(Initiatives!$D$1,H45-1,$BS$3)</f>
        <v>Fulfillment management analysis</v>
      </c>
      <c r="AF45" s="375"/>
      <c r="AG45" s="392" t="str">
        <f ca="1">OFFSET(Initiatives!$D$1,I45-1,$BS$3)</f>
        <v>Logistics management analysis</v>
      </c>
      <c r="AH45" s="375"/>
      <c r="AI45" s="392" t="str">
        <f ca="1">OFFSET(Initiatives!$D$1,J45-1,$BS$3)</f>
        <v>Business process/activity monitoring (BAM)</v>
      </c>
      <c r="AJ45" s="375"/>
      <c r="AK45" s="392" t="str">
        <f ca="1">OFFSET(Initiatives!$D$1,K45-1,$BS$3)</f>
        <v>Web analytics</v>
      </c>
      <c r="AL45" s="375"/>
      <c r="AM45" s="392" t="str">
        <f ca="1">OFFSET(Initiatives!$D$1,L45-1,$BS$3)</f>
        <v>Profitability management</v>
      </c>
      <c r="AN45" s="375"/>
      <c r="AO45" s="392" t="str">
        <f ca="1">OFFSET(Initiatives!$D$1,M45-1,$BS$3)</f>
        <v>Activity-based costing</v>
      </c>
      <c r="AP45" s="375"/>
      <c r="AQ45" s="392" t="str">
        <f ca="1">OFFSET(Initiatives!$D$1,N45-1,$BS$3)</f>
        <v>Fraud, waste, and abuse detection</v>
      </c>
      <c r="AR45" s="375"/>
      <c r="AS45" s="392" t="str">
        <f ca="1">OFFSET(Initiatives!$D$1,O45-1,$BS$3)</f>
        <v>HR/workforce analytics</v>
      </c>
      <c r="AT45" s="375"/>
      <c r="AU45" s="392" t="str">
        <f ca="1">OFFSET(Initiatives!$D$1,P45-1,$BS$3)</f>
        <v>Competitive intelligence analysis</v>
      </c>
      <c r="AV45" s="375"/>
      <c r="AW45" s="392" t="str">
        <f ca="1">OFFSET(Initiatives!$D$1,Q45-1,$BS$3)</f>
        <v>Risk mgmt analysis</v>
      </c>
      <c r="AX45" s="375"/>
      <c r="AY45" s="392" t="str">
        <f ca="1">OFFSET(Initiatives!$D$1,R45-1,$BS$3)</f>
        <v>Compliance mgmt analysis</v>
      </c>
      <c r="AZ45" s="375"/>
      <c r="BA45" s="392" t="str">
        <f ca="1">OFFSET(Initiatives!$D$1,S45-1,$BS$3)</f>
        <v>Marketing / Sales Data Integration</v>
      </c>
      <c r="BB45" s="375">
        <v>3</v>
      </c>
      <c r="BC45" s="392" t="str">
        <f ca="1">OFFSET(Initiatives!$D$1,T45-1,$BS$3)</f>
        <v>Supply Chain / Ops Data Integration</v>
      </c>
      <c r="BD45" s="375">
        <v>3</v>
      </c>
      <c r="BE45" s="392" t="str">
        <f ca="1">OFFSET(Initiatives!$D$1,U45-1,$BS$3)</f>
        <v>Financial Data Integration</v>
      </c>
      <c r="BF45" s="375">
        <v>3</v>
      </c>
      <c r="BG45" s="392" t="str">
        <f ca="1">OFFSET(Initiatives!$D$1,V45-1,$BS$3)</f>
        <v>Other Data Integration</v>
      </c>
      <c r="BH45" s="375">
        <v>3</v>
      </c>
      <c r="BI45" s="392" t="str">
        <f ca="1">OFFSET(Initiatives!$D$1,W45-1,$BS$3)</f>
        <v>Enhance DW Platform</v>
      </c>
      <c r="BJ45" s="375">
        <v>5</v>
      </c>
      <c r="BK45" s="392" t="str">
        <f ca="1">OFFSET(Initiatives!$D$1,X45-1,$BS$3)</f>
        <v>Enhance BI Platform</v>
      </c>
      <c r="BL45" s="375">
        <v>7</v>
      </c>
      <c r="BN45" s="101">
        <f t="shared" si="420"/>
        <v>24.0001</v>
      </c>
      <c r="BP45" s="231" t="str">
        <f t="shared" ca="1" si="421"/>
        <v>Enhance BI Platform (40%); Supply Chain / Ops Data Integration (19%); Other Data Integration (18%); Marketing / Sales Data Integration (10%); Financial Data Integration (8%)</v>
      </c>
      <c r="BQ45" s="338">
        <v>0.01</v>
      </c>
      <c r="BR45" s="40">
        <f t="shared" ca="1" si="422"/>
        <v>6</v>
      </c>
      <c r="BS45" s="274">
        <v>0.05</v>
      </c>
      <c r="BT45" s="40">
        <f t="shared" ca="1" si="423"/>
        <v>5</v>
      </c>
      <c r="BU45" s="376">
        <v>7</v>
      </c>
      <c r="BV45" s="40">
        <f t="shared" ca="1" si="424"/>
        <v>5</v>
      </c>
      <c r="BY45" s="377">
        <f ca="1">IF(ISERROR(OFFSET(Initiatives!$D$1,E45-1,$BY$3)),,OFFSET(Initiatives!$D$1,E45-1,$BY$3))</f>
        <v>0.32</v>
      </c>
      <c r="BZ45" s="377">
        <f ca="1">IF(ISERROR(OFFSET(Initiatives!$D$1,F45-1,$BY$3)),,OFFSET(Initiatives!$D$1,F45-1,$BY$3))</f>
        <v>0.32</v>
      </c>
      <c r="CA45" s="377">
        <f ca="1">IF(ISERROR(OFFSET(Initiatives!$D$1,G45-1,$BY$3)),,OFFSET(Initiatives!$D$1,G45-1,$BY$3))</f>
        <v>0.32</v>
      </c>
      <c r="CB45" s="377">
        <f ca="1">IF(ISERROR(OFFSET(Initiatives!$D$1,H45-1,$BY$3)),,OFFSET(Initiatives!$D$1,H45-1,$BY$3))</f>
        <v>0.32</v>
      </c>
      <c r="CC45" s="377">
        <f ca="1">IF(ISERROR(OFFSET(Initiatives!$D$1,I45-1,$BY$3)),,OFFSET(Initiatives!$D$1,I45-1,$BY$3))</f>
        <v>0.32</v>
      </c>
      <c r="CD45" s="377">
        <f ca="1">IF(ISERROR(OFFSET(Initiatives!$D$1,J45-1,$BY$3)),,OFFSET(Initiatives!$D$1,J45-1,$BY$3))</f>
        <v>0.32</v>
      </c>
      <c r="CE45" s="377">
        <f ca="1">IF(ISERROR(OFFSET(Initiatives!$D$1,K45-1,$BY$3)),,OFFSET(Initiatives!$D$1,K45-1,$BY$3))</f>
        <v>0.32</v>
      </c>
      <c r="CF45" s="377">
        <f ca="1">IF(ISERROR(OFFSET(Initiatives!$D$1,L45-1,$BY$3)),,OFFSET(Initiatives!$D$1,L45-1,$BY$3))</f>
        <v>0.55999999999999983</v>
      </c>
      <c r="CG45" s="377">
        <f ca="1">IF(ISERROR(OFFSET(Initiatives!$D$1,M45-1,$BY$3)),,OFFSET(Initiatives!$D$1,M45-1,$BY$3))</f>
        <v>0.55999999999999983</v>
      </c>
      <c r="CH45" s="377">
        <f ca="1">IF(ISERROR(OFFSET(Initiatives!$D$1,N45-1,$BY$3)),,OFFSET(Initiatives!$D$1,N45-1,$BY$3))</f>
        <v>0.68</v>
      </c>
      <c r="CI45" s="377">
        <f ca="1">IF(ISERROR(OFFSET(Initiatives!$D$1,O45-1,$BY$3)),,OFFSET(Initiatives!$D$1,O45-1,$BY$3))</f>
        <v>0.68</v>
      </c>
      <c r="CJ45" s="377">
        <f ca="1">IF(ISERROR(OFFSET(Initiatives!$D$1,P45-1,$BY$3)),,OFFSET(Initiatives!$D$1,P45-1,$BY$3))</f>
        <v>0.68</v>
      </c>
      <c r="CK45" s="377">
        <f ca="1">IF(ISERROR(OFFSET(Initiatives!$D$1,Q45-1,$BY$3)),,OFFSET(Initiatives!$D$1,Q45-1,$BY$3))</f>
        <v>0.68</v>
      </c>
      <c r="CL45" s="377">
        <f ca="1">IF(ISERROR(OFFSET(Initiatives!$D$1,R45-1,$BY$3)),,OFFSET(Initiatives!$D$1,R45-1,$BY$3))</f>
        <v>0.68</v>
      </c>
      <c r="CM45" s="377">
        <f ca="1">IF(ISERROR(OFFSET(Initiatives!$D$1,S45-1,$BY$3)),,OFFSET(Initiatives!$D$1,S45-1,$BY$3))</f>
        <v>0.3600000000000001</v>
      </c>
      <c r="CN45" s="377">
        <f ca="1">IF(ISERROR(OFFSET(Initiatives!$D$1,T45-1,$BY$3)),,OFFSET(Initiatives!$D$1,T45-1,$BY$3))</f>
        <v>0.68000000000000016</v>
      </c>
      <c r="CO45" s="377">
        <f ca="1">IF(ISERROR(OFFSET(Initiatives!$D$1,U45-1,$BY$3)),,OFFSET(Initiatives!$D$1,U45-1,$BY$3))</f>
        <v>0.27999999999999958</v>
      </c>
      <c r="CP45" s="377">
        <f ca="1">IF(ISERROR(OFFSET(Initiatives!$D$1,V45-1,$BY$3)),,OFFSET(Initiatives!$D$1,V45-1,$BY$3))</f>
        <v>0.64000000000000012</v>
      </c>
      <c r="CQ45" s="377">
        <f ca="1">IF(ISERROR(OFFSET(Initiatives!$D$1,W45-1,$BY$3)),,OFFSET(Initiatives!$D$1,W45-1,$BY$3))</f>
        <v>7.7000000000000179E-2</v>
      </c>
      <c r="CR45" s="377">
        <f ca="1">IF(ISERROR(OFFSET(Initiatives!$D$1,X45-1,$BY$3)),,OFFSET(Initiatives!$D$1,X45-1,$BY$3))</f>
        <v>0.6</v>
      </c>
      <c r="CT45" s="41">
        <f t="shared" ca="1" si="425"/>
        <v>0</v>
      </c>
      <c r="CU45" s="41">
        <f t="shared" ca="1" si="426"/>
        <v>0</v>
      </c>
      <c r="CV45" s="41">
        <f t="shared" ca="1" si="427"/>
        <v>0</v>
      </c>
      <c r="CW45" s="41">
        <f t="shared" ca="1" si="428"/>
        <v>0</v>
      </c>
      <c r="CX45" s="41">
        <f t="shared" ca="1" si="429"/>
        <v>0</v>
      </c>
      <c r="CY45" s="41">
        <f t="shared" ca="1" si="430"/>
        <v>0</v>
      </c>
      <c r="CZ45" s="41">
        <f t="shared" ca="1" si="431"/>
        <v>0</v>
      </c>
      <c r="DA45" s="41">
        <f t="shared" ca="1" si="432"/>
        <v>0</v>
      </c>
      <c r="DB45" s="41">
        <f t="shared" ca="1" si="433"/>
        <v>0</v>
      </c>
      <c r="DC45" s="41">
        <f t="shared" ca="1" si="434"/>
        <v>0</v>
      </c>
      <c r="DD45" s="41">
        <f t="shared" ca="1" si="435"/>
        <v>0</v>
      </c>
      <c r="DE45" s="41">
        <f t="shared" ca="1" si="436"/>
        <v>0</v>
      </c>
      <c r="DF45" s="41">
        <f t="shared" ca="1" si="437"/>
        <v>0</v>
      </c>
      <c r="DG45" s="41">
        <f t="shared" ca="1" si="438"/>
        <v>0</v>
      </c>
      <c r="DH45" s="41">
        <f t="shared" ca="1" si="439"/>
        <v>4.4999812500781257E-2</v>
      </c>
      <c r="DI45" s="41">
        <f t="shared" ca="1" si="440"/>
        <v>8.499964583480904E-2</v>
      </c>
      <c r="DJ45" s="41">
        <f t="shared" ca="1" si="441"/>
        <v>3.4999854167274254E-2</v>
      </c>
      <c r="DK45" s="41">
        <f t="shared" ca="1" si="442"/>
        <v>7.9999666668055566E-2</v>
      </c>
      <c r="DL45" s="41">
        <f t="shared" ca="1" si="443"/>
        <v>1.6041599826667426E-2</v>
      </c>
      <c r="DM45" s="41">
        <f t="shared" ca="1" si="444"/>
        <v>0.17499927083637151</v>
      </c>
      <c r="DN45" s="41">
        <f t="shared" ca="1" si="445"/>
        <v>0.43603984983395905</v>
      </c>
      <c r="DP45" s="41">
        <f t="shared" ca="1" si="446"/>
        <v>-1.0000000000000001E-5</v>
      </c>
      <c r="DQ45" s="41">
        <f t="shared" ca="1" si="447"/>
        <v>-2.0000000000000002E-5</v>
      </c>
      <c r="DR45" s="41">
        <f t="shared" ca="1" si="448"/>
        <v>-3.0000000000000001E-5</v>
      </c>
      <c r="DS45" s="41">
        <f t="shared" ca="1" si="449"/>
        <v>-4.0000000000000003E-5</v>
      </c>
      <c r="DT45" s="41">
        <f t="shared" ca="1" si="450"/>
        <v>-5.0000000000000002E-5</v>
      </c>
      <c r="DU45" s="41">
        <f t="shared" ca="1" si="451"/>
        <v>-6.0000000000000002E-5</v>
      </c>
      <c r="DV45" s="41">
        <f t="shared" ca="1" si="452"/>
        <v>-6.9999999999999994E-5</v>
      </c>
      <c r="DW45" s="41">
        <f t="shared" ca="1" si="453"/>
        <v>-8.0000000000000007E-5</v>
      </c>
      <c r="DX45" s="41">
        <f t="shared" ca="1" si="454"/>
        <v>-9.0000000000000006E-5</v>
      </c>
      <c r="DY45" s="41">
        <f t="shared" ca="1" si="455"/>
        <v>-1E-4</v>
      </c>
      <c r="DZ45" s="41">
        <f t="shared" ca="1" si="456"/>
        <v>-1.1E-4</v>
      </c>
      <c r="EA45" s="41">
        <f t="shared" ca="1" si="457"/>
        <v>-1.2E-4</v>
      </c>
      <c r="EB45" s="41">
        <f t="shared" ca="1" si="458"/>
        <v>-1.2999999999999999E-4</v>
      </c>
      <c r="EC45" s="41">
        <f t="shared" ca="1" si="459"/>
        <v>-1.3999999999999999E-4</v>
      </c>
      <c r="ED45" s="41">
        <f t="shared" ca="1" si="460"/>
        <v>0.10305114667940757</v>
      </c>
      <c r="EE45" s="41">
        <f t="shared" ca="1" si="461"/>
        <v>0.19477549928332541</v>
      </c>
      <c r="EF45" s="41">
        <f t="shared" ca="1" si="462"/>
        <v>8.0097558528427967E-2</v>
      </c>
      <c r="EG45" s="41">
        <f t="shared" ca="1" si="463"/>
        <v>0.18328870520783566</v>
      </c>
      <c r="EH45" s="41">
        <f t="shared" ca="1" si="464"/>
        <v>3.6599297658862953E-2</v>
      </c>
      <c r="EI45" s="41">
        <f t="shared" ca="1" si="465"/>
        <v>0.40113779264214044</v>
      </c>
      <c r="EJ45" s="41">
        <f t="shared" ca="1" si="466"/>
        <v>0.99790000000000001</v>
      </c>
      <c r="EL45" s="378">
        <f t="shared" ca="1" si="467"/>
        <v>7</v>
      </c>
      <c r="EM45" s="378">
        <f t="shared" ca="1" si="468"/>
        <v>8</v>
      </c>
      <c r="EN45" s="378">
        <f t="shared" ca="1" si="469"/>
        <v>9</v>
      </c>
      <c r="EO45" s="378">
        <f t="shared" ca="1" si="470"/>
        <v>10</v>
      </c>
      <c r="EP45" s="378">
        <f t="shared" ca="1" si="471"/>
        <v>11</v>
      </c>
      <c r="EQ45" s="378">
        <f t="shared" ca="1" si="472"/>
        <v>12</v>
      </c>
      <c r="ER45" s="378">
        <f t="shared" ca="1" si="473"/>
        <v>13</v>
      </c>
      <c r="ES45" s="378">
        <f t="shared" ca="1" si="474"/>
        <v>14</v>
      </c>
      <c r="ET45" s="378">
        <f t="shared" ca="1" si="475"/>
        <v>15</v>
      </c>
      <c r="EU45" s="378">
        <f t="shared" ca="1" si="476"/>
        <v>16</v>
      </c>
      <c r="EV45" s="378">
        <f t="shared" ca="1" si="477"/>
        <v>17</v>
      </c>
      <c r="EW45" s="378">
        <f t="shared" ca="1" si="478"/>
        <v>18</v>
      </c>
      <c r="EX45" s="378">
        <f t="shared" ca="1" si="479"/>
        <v>19</v>
      </c>
      <c r="EY45" s="378">
        <f t="shared" ca="1" si="480"/>
        <v>20</v>
      </c>
      <c r="EZ45" s="378">
        <f t="shared" ca="1" si="481"/>
        <v>4</v>
      </c>
      <c r="FA45" s="378">
        <f t="shared" ca="1" si="482"/>
        <v>2</v>
      </c>
      <c r="FB45" s="378">
        <f t="shared" ca="1" si="483"/>
        <v>5</v>
      </c>
      <c r="FC45" s="378">
        <f t="shared" ca="1" si="484"/>
        <v>3</v>
      </c>
      <c r="FD45" s="378">
        <f t="shared" ca="1" si="485"/>
        <v>6</v>
      </c>
      <c r="FE45" s="378">
        <f t="shared" ca="1" si="486"/>
        <v>1</v>
      </c>
      <c r="FG45" s="378">
        <f t="shared" ca="1" si="487"/>
        <v>20</v>
      </c>
      <c r="FH45" s="378">
        <f t="shared" ca="1" si="487"/>
        <v>16</v>
      </c>
      <c r="FI45" s="378">
        <f t="shared" ca="1" si="487"/>
        <v>18</v>
      </c>
      <c r="FJ45" s="378">
        <f t="shared" ca="1" si="487"/>
        <v>15</v>
      </c>
      <c r="FK45" s="378">
        <f t="shared" ca="1" si="487"/>
        <v>17</v>
      </c>
      <c r="FL45" s="378">
        <f t="shared" ca="1" si="487"/>
        <v>19</v>
      </c>
      <c r="FM45" s="378">
        <f t="shared" ca="1" si="487"/>
        <v>1</v>
      </c>
      <c r="FN45" s="378">
        <f t="shared" ca="1" si="487"/>
        <v>2</v>
      </c>
      <c r="FO45" s="378">
        <f t="shared" ca="1" si="487"/>
        <v>3</v>
      </c>
      <c r="FP45" s="378">
        <f t="shared" ca="1" si="487"/>
        <v>4</v>
      </c>
      <c r="FQ45" s="378">
        <f t="shared" ca="1" si="487"/>
        <v>5</v>
      </c>
      <c r="FR45" s="378">
        <f t="shared" ca="1" si="487"/>
        <v>6</v>
      </c>
      <c r="FS45" s="378">
        <f t="shared" ca="1" si="487"/>
        <v>7</v>
      </c>
      <c r="FT45" s="378">
        <f t="shared" ca="1" si="487"/>
        <v>8</v>
      </c>
      <c r="FU45" s="378">
        <f t="shared" ca="1" si="487"/>
        <v>9</v>
      </c>
      <c r="FV45" s="378">
        <f t="shared" ca="1" si="487"/>
        <v>10</v>
      </c>
      <c r="FW45" s="378">
        <f t="shared" ca="1" si="488"/>
        <v>11</v>
      </c>
      <c r="FX45" s="378">
        <f t="shared" ca="1" si="488"/>
        <v>12</v>
      </c>
      <c r="FY45" s="378">
        <f t="shared" ca="1" si="488"/>
        <v>13</v>
      </c>
      <c r="FZ45" s="378">
        <f t="shared" ca="1" si="488"/>
        <v>14</v>
      </c>
      <c r="GB45" s="275" t="str">
        <f t="shared" ca="1" si="489"/>
        <v>Enhance BI Platform (40%)</v>
      </c>
      <c r="GC45" s="231" t="str">
        <f t="shared" ca="1" si="490"/>
        <v>; Supply Chain / Ops Data Integration (19%)</v>
      </c>
      <c r="GD45" s="231" t="str">
        <f t="shared" ca="1" si="491"/>
        <v>; Other Data Integration (18%)</v>
      </c>
      <c r="GE45" s="231" t="str">
        <f t="shared" ca="1" si="492"/>
        <v>; Marketing / Sales Data Integration (10%)</v>
      </c>
      <c r="GF45" s="231" t="str">
        <f t="shared" ca="1" si="493"/>
        <v>; Financial Data Integration (8%)</v>
      </c>
      <c r="GG45" s="231" t="str">
        <f t="shared" ca="1" si="494"/>
        <v/>
      </c>
      <c r="GH45" s="231" t="str">
        <f t="shared" ca="1" si="495"/>
        <v/>
      </c>
      <c r="GI45" s="231" t="str">
        <f t="shared" ca="1" si="496"/>
        <v/>
      </c>
      <c r="GJ45" s="231" t="str">
        <f t="shared" ca="1" si="497"/>
        <v/>
      </c>
      <c r="GK45" s="231" t="str">
        <f t="shared" ca="1" si="498"/>
        <v/>
      </c>
      <c r="GL45" s="231" t="str">
        <f t="shared" ca="1" si="499"/>
        <v/>
      </c>
      <c r="GM45" s="231" t="str">
        <f t="shared" ca="1" si="500"/>
        <v/>
      </c>
      <c r="GN45" s="231" t="str">
        <f t="shared" ca="1" si="501"/>
        <v/>
      </c>
      <c r="GO45" s="231" t="str">
        <f t="shared" ca="1" si="502"/>
        <v/>
      </c>
      <c r="GP45" s="231" t="str">
        <f t="shared" ca="1" si="503"/>
        <v/>
      </c>
      <c r="GQ45" s="231" t="str">
        <f t="shared" ca="1" si="504"/>
        <v/>
      </c>
      <c r="GR45" s="231" t="str">
        <f t="shared" ca="1" si="505"/>
        <v/>
      </c>
      <c r="GS45" s="231" t="str">
        <f t="shared" ca="1" si="506"/>
        <v/>
      </c>
      <c r="GT45" s="231" t="str">
        <f t="shared" ca="1" si="507"/>
        <v/>
      </c>
      <c r="GU45" s="231" t="str">
        <f t="shared" ca="1" si="508"/>
        <v/>
      </c>
    </row>
    <row r="46" spans="2:203" s="386" customFormat="1" ht="15" hidden="1" customHeight="1">
      <c r="B46" s="373"/>
      <c r="C46" s="81" t="str">
        <f>'Direct Savings'!D84</f>
        <v>Other</v>
      </c>
      <c r="D46" s="404">
        <f t="shared" ref="D46" ca="1" si="509">DN46</f>
        <v>0</v>
      </c>
      <c r="E46" s="374">
        <f>ROW(Initiatives!A18)</f>
        <v>18</v>
      </c>
      <c r="F46" s="374">
        <f>ROW(Initiatives!A19)</f>
        <v>19</v>
      </c>
      <c r="G46" s="374">
        <f>ROW(Initiatives!A20)</f>
        <v>20</v>
      </c>
      <c r="H46" s="374">
        <f>ROW(Initiatives!A21)</f>
        <v>21</v>
      </c>
      <c r="I46" s="374">
        <f>ROW(Initiatives!A22)</f>
        <v>22</v>
      </c>
      <c r="J46" s="374">
        <f>ROW(Initiatives!A24)</f>
        <v>24</v>
      </c>
      <c r="K46" s="374">
        <f>ROW(Initiatives!A25)</f>
        <v>25</v>
      </c>
      <c r="L46" s="374">
        <f>ROW(Initiatives!A32)</f>
        <v>32</v>
      </c>
      <c r="M46" s="374">
        <f>ROW(Initiatives!A33)</f>
        <v>33</v>
      </c>
      <c r="N46" s="374">
        <f>ROW(Initiatives!A43)</f>
        <v>43</v>
      </c>
      <c r="O46" s="374">
        <f>ROW(Initiatives!A44)</f>
        <v>44</v>
      </c>
      <c r="P46" s="374">
        <f>ROW(Initiatives!A45)</f>
        <v>45</v>
      </c>
      <c r="Q46" s="374">
        <f>ROW(Initiatives!A46)</f>
        <v>46</v>
      </c>
      <c r="R46" s="374">
        <f>ROW(Initiatives!A47)</f>
        <v>47</v>
      </c>
      <c r="S46" s="374">
        <f>ROW(Initiatives!A172)</f>
        <v>172</v>
      </c>
      <c r="T46" s="374">
        <f>ROW(Initiatives!A173)</f>
        <v>173</v>
      </c>
      <c r="U46" s="374">
        <f>ROW(Initiatives!A174)</f>
        <v>174</v>
      </c>
      <c r="V46" s="374">
        <f>ROW(Initiatives!A175)</f>
        <v>175</v>
      </c>
      <c r="W46" s="374">
        <f>ROW(Initiatives!A183)</f>
        <v>183</v>
      </c>
      <c r="X46" s="374">
        <f>ROW(Initiatives!A189)</f>
        <v>189</v>
      </c>
      <c r="Y46" s="392" t="str">
        <f ca="1">OFFSET(Initiatives!$D$1,E46-1,$BS$3)</f>
        <v>Supply chain analytics/optimization</v>
      </c>
      <c r="Z46" s="375"/>
      <c r="AA46" s="392" t="str">
        <f ca="1">OFFSET(Initiatives!$D$1,F46-1,$BS$3)</f>
        <v>Production and inventory analysis</v>
      </c>
      <c r="AB46" s="375"/>
      <c r="AC46" s="392" t="str">
        <f ca="1">OFFSET(Initiatives!$D$1,G46-1,$BS$3)</f>
        <v>Demand forecasting/planning</v>
      </c>
      <c r="AD46" s="375"/>
      <c r="AE46" s="392" t="str">
        <f ca="1">OFFSET(Initiatives!$D$1,H46-1,$BS$3)</f>
        <v>Fulfillment management analysis</v>
      </c>
      <c r="AF46" s="375"/>
      <c r="AG46" s="392" t="str">
        <f ca="1">OFFSET(Initiatives!$D$1,I46-1,$BS$3)</f>
        <v>Logistics management analysis</v>
      </c>
      <c r="AH46" s="375"/>
      <c r="AI46" s="392" t="str">
        <f ca="1">OFFSET(Initiatives!$D$1,J46-1,$BS$3)</f>
        <v>Business process/activity monitoring (BAM)</v>
      </c>
      <c r="AJ46" s="375"/>
      <c r="AK46" s="392" t="str">
        <f ca="1">OFFSET(Initiatives!$D$1,K46-1,$BS$3)</f>
        <v>Web analytics</v>
      </c>
      <c r="AL46" s="375"/>
      <c r="AM46" s="392" t="str">
        <f ca="1">OFFSET(Initiatives!$D$1,L46-1,$BS$3)</f>
        <v>Profitability management</v>
      </c>
      <c r="AN46" s="375"/>
      <c r="AO46" s="392" t="str">
        <f ca="1">OFFSET(Initiatives!$D$1,M46-1,$BS$3)</f>
        <v>Activity-based costing</v>
      </c>
      <c r="AP46" s="375"/>
      <c r="AQ46" s="392" t="str">
        <f ca="1">OFFSET(Initiatives!$D$1,N46-1,$BS$3)</f>
        <v>Fraud, waste, and abuse detection</v>
      </c>
      <c r="AR46" s="375"/>
      <c r="AS46" s="392" t="str">
        <f ca="1">OFFSET(Initiatives!$D$1,O46-1,$BS$3)</f>
        <v>HR/workforce analytics</v>
      </c>
      <c r="AT46" s="375"/>
      <c r="AU46" s="392" t="str">
        <f ca="1">OFFSET(Initiatives!$D$1,P46-1,$BS$3)</f>
        <v>Competitive intelligence analysis</v>
      </c>
      <c r="AV46" s="375"/>
      <c r="AW46" s="392" t="str">
        <f ca="1">OFFSET(Initiatives!$D$1,Q46-1,$BS$3)</f>
        <v>Risk mgmt analysis</v>
      </c>
      <c r="AX46" s="375"/>
      <c r="AY46" s="392" t="str">
        <f ca="1">OFFSET(Initiatives!$D$1,R46-1,$BS$3)</f>
        <v>Compliance mgmt analysis</v>
      </c>
      <c r="AZ46" s="375"/>
      <c r="BA46" s="392" t="str">
        <f ca="1">OFFSET(Initiatives!$D$1,S46-1,$BS$3)</f>
        <v>Marketing / Sales Data Integration</v>
      </c>
      <c r="BB46" s="375"/>
      <c r="BC46" s="392" t="str">
        <f ca="1">OFFSET(Initiatives!$D$1,T46-1,$BS$3)</f>
        <v>Supply Chain / Ops Data Integration</v>
      </c>
      <c r="BD46" s="375"/>
      <c r="BE46" s="392" t="str">
        <f ca="1">OFFSET(Initiatives!$D$1,U46-1,$BS$3)</f>
        <v>Financial Data Integration</v>
      </c>
      <c r="BF46" s="375"/>
      <c r="BG46" s="392" t="str">
        <f ca="1">OFFSET(Initiatives!$D$1,V46-1,$BS$3)</f>
        <v>Other Data Integration</v>
      </c>
      <c r="BH46" s="375"/>
      <c r="BI46" s="392" t="str">
        <f ca="1">OFFSET(Initiatives!$D$1,W46-1,$BS$3)</f>
        <v>Enhance DW Platform</v>
      </c>
      <c r="BJ46" s="375"/>
      <c r="BK46" s="392" t="str">
        <f ca="1">OFFSET(Initiatives!$D$1,X46-1,$BS$3)</f>
        <v>Enhance BI Platform</v>
      </c>
      <c r="BL46" s="375"/>
      <c r="BN46" s="101">
        <f t="shared" ref="BN46" si="510">SUM(Z46,AB46,AD46,AF46,AH46,AJ46,AL46,AN46,AP46,AR46,AT46,AV46,AX46,AZ46,BB46,BD46,BF46,BH46,BJ46,BL46)+0.0001</f>
        <v>1E-4</v>
      </c>
      <c r="BP46" s="231" t="str">
        <f t="shared" ref="BP46" ca="1" si="511">CONCATENATE(GB46,GC46,GD46,GE46,GF46,GG46,GH46,GI46,GJ46,GK46,GL46,GM46,GN46,GO46,GP46,GQ46,GR46,GS46,GT46,GU46)</f>
        <v/>
      </c>
      <c r="BQ46" s="338">
        <v>0.01</v>
      </c>
      <c r="BR46" s="40">
        <f t="shared" ref="BR46" ca="1" si="512">COUNTIF(CT46:DM46,"&gt;"&amp;BQ46)</f>
        <v>0</v>
      </c>
      <c r="BS46" s="274">
        <v>0.05</v>
      </c>
      <c r="BT46" s="40">
        <f t="shared" ref="BT46" ca="1" si="513">COUNTIF(DP46:EI46,"&gt;"&amp;BS46)</f>
        <v>0</v>
      </c>
      <c r="BU46" s="376">
        <v>7</v>
      </c>
      <c r="BV46" s="40">
        <f t="shared" ref="BV46" ca="1" si="514">MIN(BR46,BT46,BU46)</f>
        <v>0</v>
      </c>
      <c r="BY46" s="377">
        <f ca="1">IF(ISERROR(OFFSET(Initiatives!$D$1,E46-1,$BY$3)),,OFFSET(Initiatives!$D$1,E46-1,$BY$3))</f>
        <v>0.32</v>
      </c>
      <c r="BZ46" s="377">
        <f ca="1">IF(ISERROR(OFFSET(Initiatives!$D$1,F46-1,$BY$3)),,OFFSET(Initiatives!$D$1,F46-1,$BY$3))</f>
        <v>0.32</v>
      </c>
      <c r="CA46" s="377">
        <f ca="1">IF(ISERROR(OFFSET(Initiatives!$D$1,G46-1,$BY$3)),,OFFSET(Initiatives!$D$1,G46-1,$BY$3))</f>
        <v>0.32</v>
      </c>
      <c r="CB46" s="377">
        <f ca="1">IF(ISERROR(OFFSET(Initiatives!$D$1,H46-1,$BY$3)),,OFFSET(Initiatives!$D$1,H46-1,$BY$3))</f>
        <v>0.32</v>
      </c>
      <c r="CC46" s="377">
        <f ca="1">IF(ISERROR(OFFSET(Initiatives!$D$1,I46-1,$BY$3)),,OFFSET(Initiatives!$D$1,I46-1,$BY$3))</f>
        <v>0.32</v>
      </c>
      <c r="CD46" s="377">
        <f ca="1">IF(ISERROR(OFFSET(Initiatives!$D$1,J46-1,$BY$3)),,OFFSET(Initiatives!$D$1,J46-1,$BY$3))</f>
        <v>0.32</v>
      </c>
      <c r="CE46" s="377">
        <f ca="1">IF(ISERROR(OFFSET(Initiatives!$D$1,K46-1,$BY$3)),,OFFSET(Initiatives!$D$1,K46-1,$BY$3))</f>
        <v>0.32</v>
      </c>
      <c r="CF46" s="377">
        <f ca="1">IF(ISERROR(OFFSET(Initiatives!$D$1,L46-1,$BY$3)),,OFFSET(Initiatives!$D$1,L46-1,$BY$3))</f>
        <v>0.55999999999999983</v>
      </c>
      <c r="CG46" s="377">
        <f ca="1">IF(ISERROR(OFFSET(Initiatives!$D$1,M46-1,$BY$3)),,OFFSET(Initiatives!$D$1,M46-1,$BY$3))</f>
        <v>0.55999999999999983</v>
      </c>
      <c r="CH46" s="377">
        <f ca="1">IF(ISERROR(OFFSET(Initiatives!$D$1,N46-1,$BY$3)),,OFFSET(Initiatives!$D$1,N46-1,$BY$3))</f>
        <v>0.68</v>
      </c>
      <c r="CI46" s="377">
        <f ca="1">IF(ISERROR(OFFSET(Initiatives!$D$1,O46-1,$BY$3)),,OFFSET(Initiatives!$D$1,O46-1,$BY$3))</f>
        <v>0.68</v>
      </c>
      <c r="CJ46" s="377">
        <f ca="1">IF(ISERROR(OFFSET(Initiatives!$D$1,P46-1,$BY$3)),,OFFSET(Initiatives!$D$1,P46-1,$BY$3))</f>
        <v>0.68</v>
      </c>
      <c r="CK46" s="377">
        <f ca="1">IF(ISERROR(OFFSET(Initiatives!$D$1,Q46-1,$BY$3)),,OFFSET(Initiatives!$D$1,Q46-1,$BY$3))</f>
        <v>0.68</v>
      </c>
      <c r="CL46" s="377">
        <f ca="1">IF(ISERROR(OFFSET(Initiatives!$D$1,R46-1,$BY$3)),,OFFSET(Initiatives!$D$1,R46-1,$BY$3))</f>
        <v>0.68</v>
      </c>
      <c r="CM46" s="377">
        <f ca="1">IF(ISERROR(OFFSET(Initiatives!$D$1,S46-1,$BY$3)),,OFFSET(Initiatives!$D$1,S46-1,$BY$3))</f>
        <v>0.3600000000000001</v>
      </c>
      <c r="CN46" s="377">
        <f ca="1">IF(ISERROR(OFFSET(Initiatives!$D$1,T46-1,$BY$3)),,OFFSET(Initiatives!$D$1,T46-1,$BY$3))</f>
        <v>0.68000000000000016</v>
      </c>
      <c r="CO46" s="377">
        <f ca="1">IF(ISERROR(OFFSET(Initiatives!$D$1,U46-1,$BY$3)),,OFFSET(Initiatives!$D$1,U46-1,$BY$3))</f>
        <v>0.27999999999999958</v>
      </c>
      <c r="CP46" s="377">
        <f ca="1">IF(ISERROR(OFFSET(Initiatives!$D$1,V46-1,$BY$3)),,OFFSET(Initiatives!$D$1,V46-1,$BY$3))</f>
        <v>0.64000000000000012</v>
      </c>
      <c r="CQ46" s="377">
        <f ca="1">IF(ISERROR(OFFSET(Initiatives!$D$1,W46-1,$BY$3)),,OFFSET(Initiatives!$D$1,W46-1,$BY$3))</f>
        <v>7.7000000000000179E-2</v>
      </c>
      <c r="CR46" s="377">
        <f ca="1">IF(ISERROR(OFFSET(Initiatives!$D$1,X46-1,$BY$3)),,OFFSET(Initiatives!$D$1,X46-1,$BY$3))</f>
        <v>0.6</v>
      </c>
      <c r="CT46" s="41">
        <f t="shared" ref="CT46" ca="1" si="515">BY46*Z46/$BN46</f>
        <v>0</v>
      </c>
      <c r="CU46" s="41">
        <f t="shared" ref="CU46" ca="1" si="516">BZ46*AB46/$BN46</f>
        <v>0</v>
      </c>
      <c r="CV46" s="41">
        <f t="shared" ref="CV46" ca="1" si="517">CA46*AD46/$BN46</f>
        <v>0</v>
      </c>
      <c r="CW46" s="41">
        <f t="shared" ref="CW46" ca="1" si="518">CB46*AF46/$BN46</f>
        <v>0</v>
      </c>
      <c r="CX46" s="41">
        <f t="shared" ref="CX46" ca="1" si="519">CC46*AH46/$BN46</f>
        <v>0</v>
      </c>
      <c r="CY46" s="41">
        <f t="shared" ref="CY46" ca="1" si="520">CD46*AJ46/$BN46</f>
        <v>0</v>
      </c>
      <c r="CZ46" s="41">
        <f t="shared" ref="CZ46" ca="1" si="521">CE46*AL46/$BN46</f>
        <v>0</v>
      </c>
      <c r="DA46" s="41">
        <f t="shared" ref="DA46" ca="1" si="522">CF46*AN46/$BN46</f>
        <v>0</v>
      </c>
      <c r="DB46" s="41">
        <f t="shared" ref="DB46" ca="1" si="523">CG46*AP46/$BN46</f>
        <v>0</v>
      </c>
      <c r="DC46" s="41">
        <f t="shared" ref="DC46" ca="1" si="524">CH46*AR46/$BN46</f>
        <v>0</v>
      </c>
      <c r="DD46" s="41">
        <f t="shared" ref="DD46" ca="1" si="525">CI46*AT46/$BN46</f>
        <v>0</v>
      </c>
      <c r="DE46" s="41">
        <f t="shared" ref="DE46" ca="1" si="526">CJ46*AV46/$BN46</f>
        <v>0</v>
      </c>
      <c r="DF46" s="41">
        <f t="shared" ref="DF46" ca="1" si="527">CK46*AX46/$BN46</f>
        <v>0</v>
      </c>
      <c r="DG46" s="41">
        <f t="shared" ref="DG46" ca="1" si="528">CL46*AZ46/$BN46</f>
        <v>0</v>
      </c>
      <c r="DH46" s="41">
        <f t="shared" ref="DH46" ca="1" si="529">CM46*BB46/$BN46</f>
        <v>0</v>
      </c>
      <c r="DI46" s="41">
        <f t="shared" ref="DI46" ca="1" si="530">CN46*BD46/$BN46</f>
        <v>0</v>
      </c>
      <c r="DJ46" s="41">
        <f t="shared" ref="DJ46" ca="1" si="531">CO46*BF46/$BN46</f>
        <v>0</v>
      </c>
      <c r="DK46" s="41">
        <f t="shared" ref="DK46" ca="1" si="532">CP46*BH46/$BN46</f>
        <v>0</v>
      </c>
      <c r="DL46" s="41">
        <f t="shared" ref="DL46" ca="1" si="533">CQ46*BJ46/$BN46</f>
        <v>0</v>
      </c>
      <c r="DM46" s="41">
        <f t="shared" ref="DM46" ca="1" si="534">CR46*BL46/$BN46</f>
        <v>0</v>
      </c>
      <c r="DN46" s="41">
        <f t="shared" ref="DN46" ca="1" si="535">SUM(CT46:DM46)</f>
        <v>0</v>
      </c>
      <c r="DP46" s="41" t="e">
        <f t="shared" ref="DP46" ca="1" si="536">CT46/$DN46-DP$5/100000</f>
        <v>#DIV/0!</v>
      </c>
      <c r="DQ46" s="41" t="e">
        <f t="shared" ref="DQ46" ca="1" si="537">CU46/$DN46-DQ$5/100000</f>
        <v>#DIV/0!</v>
      </c>
      <c r="DR46" s="41" t="e">
        <f t="shared" ref="DR46" ca="1" si="538">CV46/$DN46-DR$5/100000</f>
        <v>#DIV/0!</v>
      </c>
      <c r="DS46" s="41" t="e">
        <f t="shared" ref="DS46" ca="1" si="539">CW46/$DN46-DS$5/100000</f>
        <v>#DIV/0!</v>
      </c>
      <c r="DT46" s="41" t="e">
        <f t="shared" ref="DT46" ca="1" si="540">CX46/$DN46-DT$5/100000</f>
        <v>#DIV/0!</v>
      </c>
      <c r="DU46" s="41" t="e">
        <f t="shared" ref="DU46" ca="1" si="541">CY46/$DN46-DU$5/100000</f>
        <v>#DIV/0!</v>
      </c>
      <c r="DV46" s="41" t="e">
        <f t="shared" ref="DV46" ca="1" si="542">CZ46/$DN46-DV$5/100000</f>
        <v>#DIV/0!</v>
      </c>
      <c r="DW46" s="41" t="e">
        <f t="shared" ref="DW46" ca="1" si="543">DA46/$DN46-DW$5/100000</f>
        <v>#DIV/0!</v>
      </c>
      <c r="DX46" s="41" t="e">
        <f t="shared" ref="DX46" ca="1" si="544">DB46/$DN46-DX$5/100000</f>
        <v>#DIV/0!</v>
      </c>
      <c r="DY46" s="41" t="e">
        <f t="shared" ref="DY46" ca="1" si="545">DC46/$DN46-DY$5/100000</f>
        <v>#DIV/0!</v>
      </c>
      <c r="DZ46" s="41" t="e">
        <f t="shared" ref="DZ46" ca="1" si="546">DD46/$DN46-DZ$5/100000</f>
        <v>#DIV/0!</v>
      </c>
      <c r="EA46" s="41" t="e">
        <f t="shared" ref="EA46" ca="1" si="547">DE46/$DN46-EA$5/100000</f>
        <v>#DIV/0!</v>
      </c>
      <c r="EB46" s="41" t="e">
        <f t="shared" ref="EB46" ca="1" si="548">DF46/$DN46-EB$5/100000</f>
        <v>#DIV/0!</v>
      </c>
      <c r="EC46" s="41" t="e">
        <f t="shared" ref="EC46" ca="1" si="549">DG46/$DN46-EC$5/100000</f>
        <v>#DIV/0!</v>
      </c>
      <c r="ED46" s="41" t="e">
        <f t="shared" ref="ED46" ca="1" si="550">DH46/$DN46-ED$5/100000</f>
        <v>#DIV/0!</v>
      </c>
      <c r="EE46" s="41" t="e">
        <f t="shared" ref="EE46" ca="1" si="551">DI46/$DN46-EE$5/100000</f>
        <v>#DIV/0!</v>
      </c>
      <c r="EF46" s="41" t="e">
        <f t="shared" ref="EF46" ca="1" si="552">DJ46/$DN46-EF$5/100000</f>
        <v>#DIV/0!</v>
      </c>
      <c r="EG46" s="41" t="e">
        <f t="shared" ref="EG46" ca="1" si="553">DK46/$DN46-EG$5/100000</f>
        <v>#DIV/0!</v>
      </c>
      <c r="EH46" s="41" t="e">
        <f t="shared" ref="EH46" ca="1" si="554">DL46/$DN46-EH$5/100000</f>
        <v>#DIV/0!</v>
      </c>
      <c r="EI46" s="41" t="e">
        <f t="shared" ref="EI46" ca="1" si="555">DM46/$DN46-EI$5/100000</f>
        <v>#DIV/0!</v>
      </c>
      <c r="EJ46" s="41" t="e">
        <f t="shared" ref="EJ46" ca="1" si="556">SUM(DP46:EI46)</f>
        <v>#DIV/0!</v>
      </c>
      <c r="EL46" s="378" t="e">
        <f t="shared" ref="EL46" ca="1" si="557">RANK(DP46,$DP46:$EI46)</f>
        <v>#DIV/0!</v>
      </c>
      <c r="EM46" s="378" t="e">
        <f t="shared" ref="EM46" ca="1" si="558">RANK(DQ46,$DP46:$EI46)</f>
        <v>#DIV/0!</v>
      </c>
      <c r="EN46" s="378" t="e">
        <f t="shared" ref="EN46" ca="1" si="559">RANK(DR46,$DP46:$EI46)</f>
        <v>#DIV/0!</v>
      </c>
      <c r="EO46" s="378" t="e">
        <f t="shared" ref="EO46" ca="1" si="560">RANK(DS46,$DP46:$EI46)</f>
        <v>#DIV/0!</v>
      </c>
      <c r="EP46" s="378" t="e">
        <f t="shared" ref="EP46" ca="1" si="561">RANK(DT46,$DP46:$EI46)</f>
        <v>#DIV/0!</v>
      </c>
      <c r="EQ46" s="378" t="e">
        <f t="shared" ref="EQ46" ca="1" si="562">RANK(DU46,$DP46:$EI46)</f>
        <v>#DIV/0!</v>
      </c>
      <c r="ER46" s="378" t="e">
        <f t="shared" ref="ER46" ca="1" si="563">RANK(DV46,$DP46:$EI46)</f>
        <v>#DIV/0!</v>
      </c>
      <c r="ES46" s="378" t="e">
        <f t="shared" ref="ES46" ca="1" si="564">RANK(DW46,$DP46:$EI46)</f>
        <v>#DIV/0!</v>
      </c>
      <c r="ET46" s="378" t="e">
        <f t="shared" ref="ET46" ca="1" si="565">RANK(DX46,$DP46:$EI46)</f>
        <v>#DIV/0!</v>
      </c>
      <c r="EU46" s="378" t="e">
        <f t="shared" ref="EU46" ca="1" si="566">RANK(DY46,$DP46:$EI46)</f>
        <v>#DIV/0!</v>
      </c>
      <c r="EV46" s="378" t="e">
        <f t="shared" ref="EV46" ca="1" si="567">RANK(DZ46,$DP46:$EI46)</f>
        <v>#DIV/0!</v>
      </c>
      <c r="EW46" s="378" t="e">
        <f t="shared" ref="EW46" ca="1" si="568">RANK(EA46,$DP46:$EI46)</f>
        <v>#DIV/0!</v>
      </c>
      <c r="EX46" s="378" t="e">
        <f t="shared" ref="EX46" ca="1" si="569">RANK(EB46,$DP46:$EI46)</f>
        <v>#DIV/0!</v>
      </c>
      <c r="EY46" s="378" t="e">
        <f t="shared" ref="EY46" ca="1" si="570">RANK(EC46,$DP46:$EI46)</f>
        <v>#DIV/0!</v>
      </c>
      <c r="EZ46" s="378" t="e">
        <f t="shared" ref="EZ46" ca="1" si="571">RANK(ED46,$DP46:$EI46)</f>
        <v>#DIV/0!</v>
      </c>
      <c r="FA46" s="378" t="e">
        <f t="shared" ref="FA46" ca="1" si="572">RANK(EE46,$DP46:$EI46)</f>
        <v>#DIV/0!</v>
      </c>
      <c r="FB46" s="378" t="e">
        <f t="shared" ref="FB46" ca="1" si="573">RANK(EF46,$DP46:$EI46)</f>
        <v>#DIV/0!</v>
      </c>
      <c r="FC46" s="378" t="e">
        <f t="shared" ref="FC46" ca="1" si="574">RANK(EG46,$DP46:$EI46)</f>
        <v>#DIV/0!</v>
      </c>
      <c r="FD46" s="378" t="e">
        <f t="shared" ref="FD46" ca="1" si="575">RANK(EH46,$DP46:$EI46)</f>
        <v>#DIV/0!</v>
      </c>
      <c r="FE46" s="378" t="e">
        <f t="shared" ref="FE46" ca="1" si="576">RANK(EI46,$DP46:$EI46)</f>
        <v>#DIV/0!</v>
      </c>
      <c r="FG46" s="378" t="e">
        <f t="shared" ca="1" si="487"/>
        <v>#N/A</v>
      </c>
      <c r="FH46" s="378" t="e">
        <f t="shared" ca="1" si="487"/>
        <v>#N/A</v>
      </c>
      <c r="FI46" s="378" t="e">
        <f t="shared" ca="1" si="487"/>
        <v>#N/A</v>
      </c>
      <c r="FJ46" s="378" t="e">
        <f t="shared" ca="1" si="487"/>
        <v>#N/A</v>
      </c>
      <c r="FK46" s="378" t="e">
        <f t="shared" ca="1" si="487"/>
        <v>#N/A</v>
      </c>
      <c r="FL46" s="378" t="e">
        <f t="shared" ca="1" si="487"/>
        <v>#N/A</v>
      </c>
      <c r="FM46" s="378" t="e">
        <f t="shared" ca="1" si="487"/>
        <v>#N/A</v>
      </c>
      <c r="FN46" s="378" t="e">
        <f t="shared" ca="1" si="487"/>
        <v>#N/A</v>
      </c>
      <c r="FO46" s="378" t="e">
        <f t="shared" ca="1" si="487"/>
        <v>#N/A</v>
      </c>
      <c r="FP46" s="378" t="e">
        <f t="shared" ca="1" si="487"/>
        <v>#N/A</v>
      </c>
      <c r="FQ46" s="378" t="e">
        <f t="shared" ca="1" si="487"/>
        <v>#N/A</v>
      </c>
      <c r="FR46" s="378" t="e">
        <f t="shared" ca="1" si="487"/>
        <v>#N/A</v>
      </c>
      <c r="FS46" s="378" t="e">
        <f t="shared" ca="1" si="487"/>
        <v>#N/A</v>
      </c>
      <c r="FT46" s="378" t="e">
        <f t="shared" ca="1" si="487"/>
        <v>#N/A</v>
      </c>
      <c r="FU46" s="378" t="e">
        <f t="shared" ca="1" si="487"/>
        <v>#N/A</v>
      </c>
      <c r="FV46" s="378" t="e">
        <f t="shared" ca="1" si="487"/>
        <v>#N/A</v>
      </c>
      <c r="FW46" s="378" t="e">
        <f t="shared" ca="1" si="488"/>
        <v>#N/A</v>
      </c>
      <c r="FX46" s="378" t="e">
        <f t="shared" ca="1" si="488"/>
        <v>#N/A</v>
      </c>
      <c r="FY46" s="378" t="e">
        <f t="shared" ca="1" si="488"/>
        <v>#N/A</v>
      </c>
      <c r="FZ46" s="378" t="e">
        <f t="shared" ca="1" si="488"/>
        <v>#N/A</v>
      </c>
      <c r="GB46" s="275" t="str">
        <f t="shared" ref="GB46" ca="1" si="577">IF(GB$5&lt;=$BV46,INDEX($Y46:$BL46,1,FG46*2-1)&amp;" ("&amp;TEXT(INDEX($DP46:$EI46,1,FG46),"0%")&amp;")","")</f>
        <v/>
      </c>
      <c r="GC46" s="231" t="str">
        <f t="shared" ref="GC46" ca="1" si="578">IF(GC$5&lt;=$BV46,"; "&amp;INDEX($Y46:$BL46,1,FH46*2-1)&amp;" ("&amp;TEXT(INDEX($DP46:$EI46,1,FH46),"0%")&amp;")","")</f>
        <v/>
      </c>
      <c r="GD46" s="231" t="str">
        <f t="shared" ref="GD46" ca="1" si="579">IF(GD$5&lt;=$BV46,"; "&amp;INDEX($Y46:$BL46,1,FI46*2-1)&amp;" ("&amp;TEXT(INDEX($DP46:$EI46,1,FI46),"0%")&amp;")","")</f>
        <v/>
      </c>
      <c r="GE46" s="231" t="str">
        <f t="shared" ref="GE46" ca="1" si="580">IF(GE$5&lt;=$BV46,"; "&amp;INDEX($Y46:$BL46,1,FJ46*2-1)&amp;" ("&amp;TEXT(INDEX($DP46:$EI46,1,FJ46),"0%")&amp;")","")</f>
        <v/>
      </c>
      <c r="GF46" s="231" t="str">
        <f t="shared" ref="GF46" ca="1" si="581">IF(GF$5&lt;=$BV46,"; "&amp;INDEX($Y46:$BL46,1,FK46*2-1)&amp;" ("&amp;TEXT(INDEX($DP46:$EI46,1,FK46),"0%")&amp;")","")</f>
        <v/>
      </c>
      <c r="GG46" s="231" t="str">
        <f t="shared" ref="GG46" ca="1" si="582">IF(GG$5&lt;=$BV46,"; "&amp;INDEX($Y46:$BL46,1,FL46*2-1)&amp;" ("&amp;TEXT(INDEX($DP46:$EI46,1,FL46),"0%")&amp;")","")</f>
        <v/>
      </c>
      <c r="GH46" s="231" t="str">
        <f t="shared" ref="GH46" ca="1" si="583">IF(GH$5&lt;=$BV46,"; "&amp;INDEX($Y46:$BL46,1,FM46*2-1)&amp;" ("&amp;TEXT(INDEX($DP46:$EI46,1,FM46),"0%")&amp;")","")</f>
        <v/>
      </c>
      <c r="GI46" s="231" t="str">
        <f t="shared" ref="GI46" ca="1" si="584">IF(GI$5&lt;=$BV46,"; "&amp;INDEX($Y46:$BL46,1,FN46*2-1)&amp;" ("&amp;TEXT(INDEX($DP46:$EI46,1,FN46),"0%")&amp;")","")</f>
        <v/>
      </c>
      <c r="GJ46" s="231" t="str">
        <f t="shared" ref="GJ46" ca="1" si="585">IF(GJ$5&lt;=$BV46,"; "&amp;INDEX($Y46:$BL46,1,FO46*2-1)&amp;" ("&amp;TEXT(INDEX($DP46:$EI46,1,FO46),"0%")&amp;")","")</f>
        <v/>
      </c>
      <c r="GK46" s="231" t="str">
        <f t="shared" ref="GK46" ca="1" si="586">IF(GK$5&lt;=$BV46,"; "&amp;INDEX($Y46:$BL46,1,FP46*2-1)&amp;" ("&amp;TEXT(INDEX($DP46:$EI46,1,FP46),"0%")&amp;")","")</f>
        <v/>
      </c>
      <c r="GL46" s="231" t="str">
        <f t="shared" ref="GL46" ca="1" si="587">IF(GL$5&lt;=$BV46,"; "&amp;INDEX($Y46:$BL46,1,FQ46*2-1)&amp;" ("&amp;TEXT(INDEX($DP46:$EI46,1,FQ46),"0%")&amp;")","")</f>
        <v/>
      </c>
      <c r="GM46" s="231" t="str">
        <f t="shared" ref="GM46" ca="1" si="588">IF(GM$5&lt;=$BV46,"; "&amp;INDEX($Y46:$BL46,1,FR46*2-1)&amp;" ("&amp;TEXT(INDEX($DP46:$EI46,1,FR46),"0%")&amp;")","")</f>
        <v/>
      </c>
      <c r="GN46" s="231" t="str">
        <f t="shared" ref="GN46" ca="1" si="589">IF(GN$5&lt;=$BV46,"; "&amp;INDEX($Y46:$BL46,1,FS46*2-1)&amp;" ("&amp;TEXT(INDEX($DP46:$EI46,1,FS46),"0%")&amp;")","")</f>
        <v/>
      </c>
      <c r="GO46" s="231" t="str">
        <f t="shared" ref="GO46" ca="1" si="590">IF(GO$5&lt;=$BV46,"; "&amp;INDEX($Y46:$BL46,1,FT46*2-1)&amp;" ("&amp;TEXT(INDEX($DP46:$EI46,1,FT46),"0%")&amp;")","")</f>
        <v/>
      </c>
      <c r="GP46" s="231" t="str">
        <f t="shared" ref="GP46" ca="1" si="591">IF(GP$5&lt;=$BV46,"; "&amp;INDEX($Y46:$BL46,1,FU46*2-1)&amp;" ("&amp;TEXT(INDEX($DP46:$EI46,1,FU46),"0%")&amp;")","")</f>
        <v/>
      </c>
      <c r="GQ46" s="231" t="str">
        <f t="shared" ref="GQ46" ca="1" si="592">IF(GQ$5&lt;=$BV46,"; "&amp;INDEX($Y46:$BL46,1,FV46*2-1)&amp;" ("&amp;TEXT(INDEX($DP46:$EI46,1,FV46),"0%")&amp;")","")</f>
        <v/>
      </c>
      <c r="GR46" s="231" t="str">
        <f t="shared" ref="GR46" ca="1" si="593">IF(GR$5&lt;=$BV46,"; "&amp;INDEX($Y46:$BL46,1,FW46*2-1)&amp;" ("&amp;TEXT(INDEX($DP46:$EI46,1,FW46),"0%")&amp;")","")</f>
        <v/>
      </c>
      <c r="GS46" s="231" t="str">
        <f t="shared" ref="GS46" ca="1" si="594">IF(GS$5&lt;=$BV46,"; "&amp;INDEX($Y46:$BL46,1,FX46*2-1)&amp;" ("&amp;TEXT(INDEX($DP46:$EI46,1,FX46),"0%")&amp;")","")</f>
        <v/>
      </c>
      <c r="GT46" s="231" t="str">
        <f t="shared" ref="GT46" ca="1" si="595">IF(GT$5&lt;=$BV46,"; "&amp;INDEX($Y46:$BL46,1,FY46*2-1)&amp;" ("&amp;TEXT(INDEX($DP46:$EI46,1,FY46),"0%")&amp;")","")</f>
        <v/>
      </c>
      <c r="GU46" s="231" t="str">
        <f t="shared" ref="GU46" ca="1" si="596">IF(GU$5&lt;=$BV46,"; "&amp;INDEX($Y46:$BL46,1,FZ46*2-1)&amp;" ("&amp;TEXT(INDEX($DP46:$EI46,1,FZ46),"0%")&amp;")","")</f>
        <v/>
      </c>
    </row>
    <row r="47" spans="2:203" s="386" customFormat="1" ht="15" hidden="1" customHeight="1">
      <c r="B47" s="373"/>
      <c r="C47" s="81" t="str">
        <f>'Direct Savings'!D85</f>
        <v>Other</v>
      </c>
      <c r="D47" s="404">
        <f t="shared" ref="D47" ca="1" si="597">DN47</f>
        <v>0</v>
      </c>
      <c r="E47" s="374">
        <f>ROW(Initiatives!A18)</f>
        <v>18</v>
      </c>
      <c r="F47" s="374">
        <f>ROW(Initiatives!A19)</f>
        <v>19</v>
      </c>
      <c r="G47" s="374">
        <f>ROW(Initiatives!A20)</f>
        <v>20</v>
      </c>
      <c r="H47" s="374">
        <f>ROW(Initiatives!A21)</f>
        <v>21</v>
      </c>
      <c r="I47" s="374">
        <f>ROW(Initiatives!A22)</f>
        <v>22</v>
      </c>
      <c r="J47" s="374">
        <f>ROW(Initiatives!A24)</f>
        <v>24</v>
      </c>
      <c r="K47" s="374">
        <f>ROW(Initiatives!A25)</f>
        <v>25</v>
      </c>
      <c r="L47" s="374">
        <f>ROW(Initiatives!A32)</f>
        <v>32</v>
      </c>
      <c r="M47" s="374">
        <f>ROW(Initiatives!A33)</f>
        <v>33</v>
      </c>
      <c r="N47" s="374">
        <f>ROW(Initiatives!A43)</f>
        <v>43</v>
      </c>
      <c r="O47" s="374">
        <f>ROW(Initiatives!A44)</f>
        <v>44</v>
      </c>
      <c r="P47" s="374">
        <f>ROW(Initiatives!A45)</f>
        <v>45</v>
      </c>
      <c r="Q47" s="374">
        <f>ROW(Initiatives!A46)</f>
        <v>46</v>
      </c>
      <c r="R47" s="374">
        <f>ROW(Initiatives!A47)</f>
        <v>47</v>
      </c>
      <c r="S47" s="374">
        <f>ROW(Initiatives!A172)</f>
        <v>172</v>
      </c>
      <c r="T47" s="374">
        <f>ROW(Initiatives!A173)</f>
        <v>173</v>
      </c>
      <c r="U47" s="374">
        <f>ROW(Initiatives!A174)</f>
        <v>174</v>
      </c>
      <c r="V47" s="374">
        <f>ROW(Initiatives!A175)</f>
        <v>175</v>
      </c>
      <c r="W47" s="374">
        <f>ROW(Initiatives!A183)</f>
        <v>183</v>
      </c>
      <c r="X47" s="374">
        <f>ROW(Initiatives!A189)</f>
        <v>189</v>
      </c>
      <c r="Y47" s="392" t="str">
        <f ca="1">OFFSET(Initiatives!$D$1,E47-1,$BS$3)</f>
        <v>Supply chain analytics/optimization</v>
      </c>
      <c r="Z47" s="375"/>
      <c r="AA47" s="392" t="str">
        <f ca="1">OFFSET(Initiatives!$D$1,F47-1,$BS$3)</f>
        <v>Production and inventory analysis</v>
      </c>
      <c r="AB47" s="375"/>
      <c r="AC47" s="392" t="str">
        <f ca="1">OFFSET(Initiatives!$D$1,G47-1,$BS$3)</f>
        <v>Demand forecasting/planning</v>
      </c>
      <c r="AD47" s="375"/>
      <c r="AE47" s="392" t="str">
        <f ca="1">OFFSET(Initiatives!$D$1,H47-1,$BS$3)</f>
        <v>Fulfillment management analysis</v>
      </c>
      <c r="AF47" s="375"/>
      <c r="AG47" s="392" t="str">
        <f ca="1">OFFSET(Initiatives!$D$1,I47-1,$BS$3)</f>
        <v>Logistics management analysis</v>
      </c>
      <c r="AH47" s="375"/>
      <c r="AI47" s="392" t="str">
        <f ca="1">OFFSET(Initiatives!$D$1,J47-1,$BS$3)</f>
        <v>Business process/activity monitoring (BAM)</v>
      </c>
      <c r="AJ47" s="375"/>
      <c r="AK47" s="392" t="str">
        <f ca="1">OFFSET(Initiatives!$D$1,K47-1,$BS$3)</f>
        <v>Web analytics</v>
      </c>
      <c r="AL47" s="375"/>
      <c r="AM47" s="392" t="str">
        <f ca="1">OFFSET(Initiatives!$D$1,L47-1,$BS$3)</f>
        <v>Profitability management</v>
      </c>
      <c r="AN47" s="375"/>
      <c r="AO47" s="392" t="str">
        <f ca="1">OFFSET(Initiatives!$D$1,M47-1,$BS$3)</f>
        <v>Activity-based costing</v>
      </c>
      <c r="AP47" s="375"/>
      <c r="AQ47" s="392" t="str">
        <f ca="1">OFFSET(Initiatives!$D$1,N47-1,$BS$3)</f>
        <v>Fraud, waste, and abuse detection</v>
      </c>
      <c r="AR47" s="375"/>
      <c r="AS47" s="392" t="str">
        <f ca="1">OFFSET(Initiatives!$D$1,O47-1,$BS$3)</f>
        <v>HR/workforce analytics</v>
      </c>
      <c r="AT47" s="375"/>
      <c r="AU47" s="392" t="str">
        <f ca="1">OFFSET(Initiatives!$D$1,P47-1,$BS$3)</f>
        <v>Competitive intelligence analysis</v>
      </c>
      <c r="AV47" s="375"/>
      <c r="AW47" s="392" t="str">
        <f ca="1">OFFSET(Initiatives!$D$1,Q47-1,$BS$3)</f>
        <v>Risk mgmt analysis</v>
      </c>
      <c r="AX47" s="375"/>
      <c r="AY47" s="392" t="str">
        <f ca="1">OFFSET(Initiatives!$D$1,R47-1,$BS$3)</f>
        <v>Compliance mgmt analysis</v>
      </c>
      <c r="AZ47" s="375"/>
      <c r="BA47" s="392" t="str">
        <f ca="1">OFFSET(Initiatives!$D$1,S47-1,$BS$3)</f>
        <v>Marketing / Sales Data Integration</v>
      </c>
      <c r="BB47" s="375"/>
      <c r="BC47" s="392" t="str">
        <f ca="1">OFFSET(Initiatives!$D$1,T47-1,$BS$3)</f>
        <v>Supply Chain / Ops Data Integration</v>
      </c>
      <c r="BD47" s="375"/>
      <c r="BE47" s="392" t="str">
        <f ca="1">OFFSET(Initiatives!$D$1,U47-1,$BS$3)</f>
        <v>Financial Data Integration</v>
      </c>
      <c r="BF47" s="375"/>
      <c r="BG47" s="392" t="str">
        <f ca="1">OFFSET(Initiatives!$D$1,V47-1,$BS$3)</f>
        <v>Other Data Integration</v>
      </c>
      <c r="BH47" s="375"/>
      <c r="BI47" s="392" t="str">
        <f ca="1">OFFSET(Initiatives!$D$1,W47-1,$BS$3)</f>
        <v>Enhance DW Platform</v>
      </c>
      <c r="BJ47" s="375"/>
      <c r="BK47" s="392" t="str">
        <f ca="1">OFFSET(Initiatives!$D$1,X47-1,$BS$3)</f>
        <v>Enhance BI Platform</v>
      </c>
      <c r="BL47" s="375"/>
      <c r="BN47" s="101">
        <f t="shared" ref="BN47" si="598">SUM(Z47,AB47,AD47,AF47,AH47,AJ47,AL47,AN47,AP47,AR47,AT47,AV47,AX47,AZ47,BB47,BD47,BF47,BH47,BJ47,BL47)+0.0001</f>
        <v>1E-4</v>
      </c>
      <c r="BP47" s="231" t="str">
        <f t="shared" ref="BP47" ca="1" si="599">CONCATENATE(GB47,GC47,GD47,GE47,GF47,GG47,GH47,GI47,GJ47,GK47,GL47,GM47,GN47,GO47,GP47,GQ47,GR47,GS47,GT47,GU47)</f>
        <v/>
      </c>
      <c r="BQ47" s="338">
        <v>0.01</v>
      </c>
      <c r="BR47" s="40">
        <f t="shared" ref="BR47" ca="1" si="600">COUNTIF(CT47:DM47,"&gt;"&amp;BQ47)</f>
        <v>0</v>
      </c>
      <c r="BS47" s="274">
        <v>0.05</v>
      </c>
      <c r="BT47" s="40">
        <f t="shared" ref="BT47" ca="1" si="601">COUNTIF(DP47:EI47,"&gt;"&amp;BS47)</f>
        <v>0</v>
      </c>
      <c r="BU47" s="376">
        <v>7</v>
      </c>
      <c r="BV47" s="40">
        <f t="shared" ref="BV47" ca="1" si="602">MIN(BR47,BT47,BU47)</f>
        <v>0</v>
      </c>
      <c r="BY47" s="377">
        <f ca="1">IF(ISERROR(OFFSET(Initiatives!$D$1,E47-1,$BY$3)),,OFFSET(Initiatives!$D$1,E47-1,$BY$3))</f>
        <v>0.32</v>
      </c>
      <c r="BZ47" s="377">
        <f ca="1">IF(ISERROR(OFFSET(Initiatives!$D$1,F47-1,$BY$3)),,OFFSET(Initiatives!$D$1,F47-1,$BY$3))</f>
        <v>0.32</v>
      </c>
      <c r="CA47" s="377">
        <f ca="1">IF(ISERROR(OFFSET(Initiatives!$D$1,G47-1,$BY$3)),,OFFSET(Initiatives!$D$1,G47-1,$BY$3))</f>
        <v>0.32</v>
      </c>
      <c r="CB47" s="377">
        <f ca="1">IF(ISERROR(OFFSET(Initiatives!$D$1,H47-1,$BY$3)),,OFFSET(Initiatives!$D$1,H47-1,$BY$3))</f>
        <v>0.32</v>
      </c>
      <c r="CC47" s="377">
        <f ca="1">IF(ISERROR(OFFSET(Initiatives!$D$1,I47-1,$BY$3)),,OFFSET(Initiatives!$D$1,I47-1,$BY$3))</f>
        <v>0.32</v>
      </c>
      <c r="CD47" s="377">
        <f ca="1">IF(ISERROR(OFFSET(Initiatives!$D$1,J47-1,$BY$3)),,OFFSET(Initiatives!$D$1,J47-1,$BY$3))</f>
        <v>0.32</v>
      </c>
      <c r="CE47" s="377">
        <f ca="1">IF(ISERROR(OFFSET(Initiatives!$D$1,K47-1,$BY$3)),,OFFSET(Initiatives!$D$1,K47-1,$BY$3))</f>
        <v>0.32</v>
      </c>
      <c r="CF47" s="377">
        <f ca="1">IF(ISERROR(OFFSET(Initiatives!$D$1,L47-1,$BY$3)),,OFFSET(Initiatives!$D$1,L47-1,$BY$3))</f>
        <v>0.55999999999999983</v>
      </c>
      <c r="CG47" s="377">
        <f ca="1">IF(ISERROR(OFFSET(Initiatives!$D$1,M47-1,$BY$3)),,OFFSET(Initiatives!$D$1,M47-1,$BY$3))</f>
        <v>0.55999999999999983</v>
      </c>
      <c r="CH47" s="377">
        <f ca="1">IF(ISERROR(OFFSET(Initiatives!$D$1,N47-1,$BY$3)),,OFFSET(Initiatives!$D$1,N47-1,$BY$3))</f>
        <v>0.68</v>
      </c>
      <c r="CI47" s="377">
        <f ca="1">IF(ISERROR(OFFSET(Initiatives!$D$1,O47-1,$BY$3)),,OFFSET(Initiatives!$D$1,O47-1,$BY$3))</f>
        <v>0.68</v>
      </c>
      <c r="CJ47" s="377">
        <f ca="1">IF(ISERROR(OFFSET(Initiatives!$D$1,P47-1,$BY$3)),,OFFSET(Initiatives!$D$1,P47-1,$BY$3))</f>
        <v>0.68</v>
      </c>
      <c r="CK47" s="377">
        <f ca="1">IF(ISERROR(OFFSET(Initiatives!$D$1,Q47-1,$BY$3)),,OFFSET(Initiatives!$D$1,Q47-1,$BY$3))</f>
        <v>0.68</v>
      </c>
      <c r="CL47" s="377">
        <f ca="1">IF(ISERROR(OFFSET(Initiatives!$D$1,R47-1,$BY$3)),,OFFSET(Initiatives!$D$1,R47-1,$BY$3))</f>
        <v>0.68</v>
      </c>
      <c r="CM47" s="377">
        <f ca="1">IF(ISERROR(OFFSET(Initiatives!$D$1,S47-1,$BY$3)),,OFFSET(Initiatives!$D$1,S47-1,$BY$3))</f>
        <v>0.3600000000000001</v>
      </c>
      <c r="CN47" s="377">
        <f ca="1">IF(ISERROR(OFFSET(Initiatives!$D$1,T47-1,$BY$3)),,OFFSET(Initiatives!$D$1,T47-1,$BY$3))</f>
        <v>0.68000000000000016</v>
      </c>
      <c r="CO47" s="377">
        <f ca="1">IF(ISERROR(OFFSET(Initiatives!$D$1,U47-1,$BY$3)),,OFFSET(Initiatives!$D$1,U47-1,$BY$3))</f>
        <v>0.27999999999999958</v>
      </c>
      <c r="CP47" s="377">
        <f ca="1">IF(ISERROR(OFFSET(Initiatives!$D$1,V47-1,$BY$3)),,OFFSET(Initiatives!$D$1,V47-1,$BY$3))</f>
        <v>0.64000000000000012</v>
      </c>
      <c r="CQ47" s="377">
        <f ca="1">IF(ISERROR(OFFSET(Initiatives!$D$1,W47-1,$BY$3)),,OFFSET(Initiatives!$D$1,W47-1,$BY$3))</f>
        <v>7.7000000000000179E-2</v>
      </c>
      <c r="CR47" s="377">
        <f ca="1">IF(ISERROR(OFFSET(Initiatives!$D$1,X47-1,$BY$3)),,OFFSET(Initiatives!$D$1,X47-1,$BY$3))</f>
        <v>0.6</v>
      </c>
      <c r="CT47" s="41">
        <f t="shared" ref="CT47" ca="1" si="603">BY47*Z47/$BN47</f>
        <v>0</v>
      </c>
      <c r="CU47" s="41">
        <f t="shared" ref="CU47" ca="1" si="604">BZ47*AB47/$BN47</f>
        <v>0</v>
      </c>
      <c r="CV47" s="41">
        <f t="shared" ref="CV47" ca="1" si="605">CA47*AD47/$BN47</f>
        <v>0</v>
      </c>
      <c r="CW47" s="41">
        <f t="shared" ref="CW47" ca="1" si="606">CB47*AF47/$BN47</f>
        <v>0</v>
      </c>
      <c r="CX47" s="41">
        <f t="shared" ref="CX47" ca="1" si="607">CC47*AH47/$BN47</f>
        <v>0</v>
      </c>
      <c r="CY47" s="41">
        <f t="shared" ref="CY47" ca="1" si="608">CD47*AJ47/$BN47</f>
        <v>0</v>
      </c>
      <c r="CZ47" s="41">
        <f t="shared" ref="CZ47" ca="1" si="609">CE47*AL47/$BN47</f>
        <v>0</v>
      </c>
      <c r="DA47" s="41">
        <f t="shared" ref="DA47" ca="1" si="610">CF47*AN47/$BN47</f>
        <v>0</v>
      </c>
      <c r="DB47" s="41">
        <f t="shared" ref="DB47" ca="1" si="611">CG47*AP47/$BN47</f>
        <v>0</v>
      </c>
      <c r="DC47" s="41">
        <f t="shared" ref="DC47" ca="1" si="612">CH47*AR47/$BN47</f>
        <v>0</v>
      </c>
      <c r="DD47" s="41">
        <f t="shared" ref="DD47" ca="1" si="613">CI47*AT47/$BN47</f>
        <v>0</v>
      </c>
      <c r="DE47" s="41">
        <f t="shared" ref="DE47" ca="1" si="614">CJ47*AV47/$BN47</f>
        <v>0</v>
      </c>
      <c r="DF47" s="41">
        <f t="shared" ref="DF47" ca="1" si="615">CK47*AX47/$BN47</f>
        <v>0</v>
      </c>
      <c r="DG47" s="41">
        <f t="shared" ref="DG47" ca="1" si="616">CL47*AZ47/$BN47</f>
        <v>0</v>
      </c>
      <c r="DH47" s="41">
        <f t="shared" ref="DH47" ca="1" si="617">CM47*BB47/$BN47</f>
        <v>0</v>
      </c>
      <c r="DI47" s="41">
        <f t="shared" ref="DI47" ca="1" si="618">CN47*BD47/$BN47</f>
        <v>0</v>
      </c>
      <c r="DJ47" s="41">
        <f t="shared" ref="DJ47" ca="1" si="619">CO47*BF47/$BN47</f>
        <v>0</v>
      </c>
      <c r="DK47" s="41">
        <f t="shared" ref="DK47" ca="1" si="620">CP47*BH47/$BN47</f>
        <v>0</v>
      </c>
      <c r="DL47" s="41">
        <f t="shared" ref="DL47" ca="1" si="621">CQ47*BJ47/$BN47</f>
        <v>0</v>
      </c>
      <c r="DM47" s="41">
        <f t="shared" ref="DM47" ca="1" si="622">CR47*BL47/$BN47</f>
        <v>0</v>
      </c>
      <c r="DN47" s="41">
        <f t="shared" ref="DN47" ca="1" si="623">SUM(CT47:DM47)</f>
        <v>0</v>
      </c>
      <c r="DP47" s="41" t="e">
        <f t="shared" ref="DP47" ca="1" si="624">CT47/$DN47-DP$5/100000</f>
        <v>#DIV/0!</v>
      </c>
      <c r="DQ47" s="41" t="e">
        <f t="shared" ref="DQ47" ca="1" si="625">CU47/$DN47-DQ$5/100000</f>
        <v>#DIV/0!</v>
      </c>
      <c r="DR47" s="41" t="e">
        <f t="shared" ref="DR47" ca="1" si="626">CV47/$DN47-DR$5/100000</f>
        <v>#DIV/0!</v>
      </c>
      <c r="DS47" s="41" t="e">
        <f t="shared" ref="DS47" ca="1" si="627">CW47/$DN47-DS$5/100000</f>
        <v>#DIV/0!</v>
      </c>
      <c r="DT47" s="41" t="e">
        <f t="shared" ref="DT47" ca="1" si="628">CX47/$DN47-DT$5/100000</f>
        <v>#DIV/0!</v>
      </c>
      <c r="DU47" s="41" t="e">
        <f t="shared" ref="DU47" ca="1" si="629">CY47/$DN47-DU$5/100000</f>
        <v>#DIV/0!</v>
      </c>
      <c r="DV47" s="41" t="e">
        <f t="shared" ref="DV47" ca="1" si="630">CZ47/$DN47-DV$5/100000</f>
        <v>#DIV/0!</v>
      </c>
      <c r="DW47" s="41" t="e">
        <f t="shared" ref="DW47" ca="1" si="631">DA47/$DN47-DW$5/100000</f>
        <v>#DIV/0!</v>
      </c>
      <c r="DX47" s="41" t="e">
        <f t="shared" ref="DX47" ca="1" si="632">DB47/$DN47-DX$5/100000</f>
        <v>#DIV/0!</v>
      </c>
      <c r="DY47" s="41" t="e">
        <f t="shared" ref="DY47" ca="1" si="633">DC47/$DN47-DY$5/100000</f>
        <v>#DIV/0!</v>
      </c>
      <c r="DZ47" s="41" t="e">
        <f t="shared" ref="DZ47" ca="1" si="634">DD47/$DN47-DZ$5/100000</f>
        <v>#DIV/0!</v>
      </c>
      <c r="EA47" s="41" t="e">
        <f t="shared" ref="EA47" ca="1" si="635">DE47/$DN47-EA$5/100000</f>
        <v>#DIV/0!</v>
      </c>
      <c r="EB47" s="41" t="e">
        <f t="shared" ref="EB47" ca="1" si="636">DF47/$DN47-EB$5/100000</f>
        <v>#DIV/0!</v>
      </c>
      <c r="EC47" s="41" t="e">
        <f t="shared" ref="EC47" ca="1" si="637">DG47/$DN47-EC$5/100000</f>
        <v>#DIV/0!</v>
      </c>
      <c r="ED47" s="41" t="e">
        <f t="shared" ref="ED47" ca="1" si="638">DH47/$DN47-ED$5/100000</f>
        <v>#DIV/0!</v>
      </c>
      <c r="EE47" s="41" t="e">
        <f t="shared" ref="EE47" ca="1" si="639">DI47/$DN47-EE$5/100000</f>
        <v>#DIV/0!</v>
      </c>
      <c r="EF47" s="41" t="e">
        <f t="shared" ref="EF47" ca="1" si="640">DJ47/$DN47-EF$5/100000</f>
        <v>#DIV/0!</v>
      </c>
      <c r="EG47" s="41" t="e">
        <f t="shared" ref="EG47" ca="1" si="641">DK47/$DN47-EG$5/100000</f>
        <v>#DIV/0!</v>
      </c>
      <c r="EH47" s="41" t="e">
        <f t="shared" ref="EH47" ca="1" si="642">DL47/$DN47-EH$5/100000</f>
        <v>#DIV/0!</v>
      </c>
      <c r="EI47" s="41" t="e">
        <f t="shared" ref="EI47" ca="1" si="643">DM47/$DN47-EI$5/100000</f>
        <v>#DIV/0!</v>
      </c>
      <c r="EJ47" s="41" t="e">
        <f t="shared" ref="EJ47" ca="1" si="644">SUM(DP47:EI47)</f>
        <v>#DIV/0!</v>
      </c>
      <c r="EL47" s="378" t="e">
        <f t="shared" ref="EL47" ca="1" si="645">RANK(DP47,$DP47:$EI47)</f>
        <v>#DIV/0!</v>
      </c>
      <c r="EM47" s="378" t="e">
        <f t="shared" ref="EM47" ca="1" si="646">RANK(DQ47,$DP47:$EI47)</f>
        <v>#DIV/0!</v>
      </c>
      <c r="EN47" s="378" t="e">
        <f t="shared" ref="EN47" ca="1" si="647">RANK(DR47,$DP47:$EI47)</f>
        <v>#DIV/0!</v>
      </c>
      <c r="EO47" s="378" t="e">
        <f t="shared" ref="EO47" ca="1" si="648">RANK(DS47,$DP47:$EI47)</f>
        <v>#DIV/0!</v>
      </c>
      <c r="EP47" s="378" t="e">
        <f t="shared" ref="EP47" ca="1" si="649">RANK(DT47,$DP47:$EI47)</f>
        <v>#DIV/0!</v>
      </c>
      <c r="EQ47" s="378" t="e">
        <f t="shared" ref="EQ47" ca="1" si="650">RANK(DU47,$DP47:$EI47)</f>
        <v>#DIV/0!</v>
      </c>
      <c r="ER47" s="378" t="e">
        <f t="shared" ref="ER47" ca="1" si="651">RANK(DV47,$DP47:$EI47)</f>
        <v>#DIV/0!</v>
      </c>
      <c r="ES47" s="378" t="e">
        <f t="shared" ref="ES47" ca="1" si="652">RANK(DW47,$DP47:$EI47)</f>
        <v>#DIV/0!</v>
      </c>
      <c r="ET47" s="378" t="e">
        <f t="shared" ref="ET47" ca="1" si="653">RANK(DX47,$DP47:$EI47)</f>
        <v>#DIV/0!</v>
      </c>
      <c r="EU47" s="378" t="e">
        <f t="shared" ref="EU47" ca="1" si="654">RANK(DY47,$DP47:$EI47)</f>
        <v>#DIV/0!</v>
      </c>
      <c r="EV47" s="378" t="e">
        <f t="shared" ref="EV47" ca="1" si="655">RANK(DZ47,$DP47:$EI47)</f>
        <v>#DIV/0!</v>
      </c>
      <c r="EW47" s="378" t="e">
        <f t="shared" ref="EW47" ca="1" si="656">RANK(EA47,$DP47:$EI47)</f>
        <v>#DIV/0!</v>
      </c>
      <c r="EX47" s="378" t="e">
        <f t="shared" ref="EX47" ca="1" si="657">RANK(EB47,$DP47:$EI47)</f>
        <v>#DIV/0!</v>
      </c>
      <c r="EY47" s="378" t="e">
        <f t="shared" ref="EY47" ca="1" si="658">RANK(EC47,$DP47:$EI47)</f>
        <v>#DIV/0!</v>
      </c>
      <c r="EZ47" s="378" t="e">
        <f t="shared" ref="EZ47" ca="1" si="659">RANK(ED47,$DP47:$EI47)</f>
        <v>#DIV/0!</v>
      </c>
      <c r="FA47" s="378" t="e">
        <f t="shared" ref="FA47" ca="1" si="660">RANK(EE47,$DP47:$EI47)</f>
        <v>#DIV/0!</v>
      </c>
      <c r="FB47" s="378" t="e">
        <f t="shared" ref="FB47" ca="1" si="661">RANK(EF47,$DP47:$EI47)</f>
        <v>#DIV/0!</v>
      </c>
      <c r="FC47" s="378" t="e">
        <f t="shared" ref="FC47" ca="1" si="662">RANK(EG47,$DP47:$EI47)</f>
        <v>#DIV/0!</v>
      </c>
      <c r="FD47" s="378" t="e">
        <f t="shared" ref="FD47" ca="1" si="663">RANK(EH47,$DP47:$EI47)</f>
        <v>#DIV/0!</v>
      </c>
      <c r="FE47" s="378" t="e">
        <f t="shared" ref="FE47" ca="1" si="664">RANK(EI47,$DP47:$EI47)</f>
        <v>#DIV/0!</v>
      </c>
      <c r="FG47" s="378" t="e">
        <f t="shared" ca="1" si="487"/>
        <v>#N/A</v>
      </c>
      <c r="FH47" s="378" t="e">
        <f t="shared" ca="1" si="487"/>
        <v>#N/A</v>
      </c>
      <c r="FI47" s="378" t="e">
        <f t="shared" ca="1" si="487"/>
        <v>#N/A</v>
      </c>
      <c r="FJ47" s="378" t="e">
        <f t="shared" ca="1" si="487"/>
        <v>#N/A</v>
      </c>
      <c r="FK47" s="378" t="e">
        <f t="shared" ca="1" si="487"/>
        <v>#N/A</v>
      </c>
      <c r="FL47" s="378" t="e">
        <f t="shared" ca="1" si="487"/>
        <v>#N/A</v>
      </c>
      <c r="FM47" s="378" t="e">
        <f t="shared" ca="1" si="487"/>
        <v>#N/A</v>
      </c>
      <c r="FN47" s="378" t="e">
        <f t="shared" ca="1" si="487"/>
        <v>#N/A</v>
      </c>
      <c r="FO47" s="378" t="e">
        <f t="shared" ca="1" si="487"/>
        <v>#N/A</v>
      </c>
      <c r="FP47" s="378" t="e">
        <f t="shared" ca="1" si="487"/>
        <v>#N/A</v>
      </c>
      <c r="FQ47" s="378" t="e">
        <f t="shared" ca="1" si="487"/>
        <v>#N/A</v>
      </c>
      <c r="FR47" s="378" t="e">
        <f t="shared" ca="1" si="487"/>
        <v>#N/A</v>
      </c>
      <c r="FS47" s="378" t="e">
        <f t="shared" ca="1" si="487"/>
        <v>#N/A</v>
      </c>
      <c r="FT47" s="378" t="e">
        <f t="shared" ca="1" si="487"/>
        <v>#N/A</v>
      </c>
      <c r="FU47" s="378" t="e">
        <f t="shared" ca="1" si="487"/>
        <v>#N/A</v>
      </c>
      <c r="FV47" s="378" t="e">
        <f t="shared" ca="1" si="487"/>
        <v>#N/A</v>
      </c>
      <c r="FW47" s="378" t="e">
        <f t="shared" ca="1" si="488"/>
        <v>#N/A</v>
      </c>
      <c r="FX47" s="378" t="e">
        <f t="shared" ca="1" si="488"/>
        <v>#N/A</v>
      </c>
      <c r="FY47" s="378" t="e">
        <f t="shared" ca="1" si="488"/>
        <v>#N/A</v>
      </c>
      <c r="FZ47" s="378" t="e">
        <f t="shared" ca="1" si="488"/>
        <v>#N/A</v>
      </c>
      <c r="GB47" s="275" t="str">
        <f t="shared" ref="GB47" ca="1" si="665">IF(GB$5&lt;=$BV47,INDEX($Y47:$BL47,1,FG47*2-1)&amp;" ("&amp;TEXT(INDEX($DP47:$EI47,1,FG47),"0%")&amp;")","")</f>
        <v/>
      </c>
      <c r="GC47" s="231" t="str">
        <f t="shared" ref="GC47" ca="1" si="666">IF(GC$5&lt;=$BV47,"; "&amp;INDEX($Y47:$BL47,1,FH47*2-1)&amp;" ("&amp;TEXT(INDEX($DP47:$EI47,1,FH47),"0%")&amp;")","")</f>
        <v/>
      </c>
      <c r="GD47" s="231" t="str">
        <f t="shared" ref="GD47" ca="1" si="667">IF(GD$5&lt;=$BV47,"; "&amp;INDEX($Y47:$BL47,1,FI47*2-1)&amp;" ("&amp;TEXT(INDEX($DP47:$EI47,1,FI47),"0%")&amp;")","")</f>
        <v/>
      </c>
      <c r="GE47" s="231" t="str">
        <f t="shared" ref="GE47" ca="1" si="668">IF(GE$5&lt;=$BV47,"; "&amp;INDEX($Y47:$BL47,1,FJ47*2-1)&amp;" ("&amp;TEXT(INDEX($DP47:$EI47,1,FJ47),"0%")&amp;")","")</f>
        <v/>
      </c>
      <c r="GF47" s="231" t="str">
        <f t="shared" ref="GF47" ca="1" si="669">IF(GF$5&lt;=$BV47,"; "&amp;INDEX($Y47:$BL47,1,FK47*2-1)&amp;" ("&amp;TEXT(INDEX($DP47:$EI47,1,FK47),"0%")&amp;")","")</f>
        <v/>
      </c>
      <c r="GG47" s="231" t="str">
        <f t="shared" ref="GG47" ca="1" si="670">IF(GG$5&lt;=$BV47,"; "&amp;INDEX($Y47:$BL47,1,FL47*2-1)&amp;" ("&amp;TEXT(INDEX($DP47:$EI47,1,FL47),"0%")&amp;")","")</f>
        <v/>
      </c>
      <c r="GH47" s="231" t="str">
        <f t="shared" ref="GH47" ca="1" si="671">IF(GH$5&lt;=$BV47,"; "&amp;INDEX($Y47:$BL47,1,FM47*2-1)&amp;" ("&amp;TEXT(INDEX($DP47:$EI47,1,FM47),"0%")&amp;")","")</f>
        <v/>
      </c>
      <c r="GI47" s="231" t="str">
        <f t="shared" ref="GI47" ca="1" si="672">IF(GI$5&lt;=$BV47,"; "&amp;INDEX($Y47:$BL47,1,FN47*2-1)&amp;" ("&amp;TEXT(INDEX($DP47:$EI47,1,FN47),"0%")&amp;")","")</f>
        <v/>
      </c>
      <c r="GJ47" s="231" t="str">
        <f t="shared" ref="GJ47" ca="1" si="673">IF(GJ$5&lt;=$BV47,"; "&amp;INDEX($Y47:$BL47,1,FO47*2-1)&amp;" ("&amp;TEXT(INDEX($DP47:$EI47,1,FO47),"0%")&amp;")","")</f>
        <v/>
      </c>
      <c r="GK47" s="231" t="str">
        <f t="shared" ref="GK47" ca="1" si="674">IF(GK$5&lt;=$BV47,"; "&amp;INDEX($Y47:$BL47,1,FP47*2-1)&amp;" ("&amp;TEXT(INDEX($DP47:$EI47,1,FP47),"0%")&amp;")","")</f>
        <v/>
      </c>
      <c r="GL47" s="231" t="str">
        <f t="shared" ref="GL47" ca="1" si="675">IF(GL$5&lt;=$BV47,"; "&amp;INDEX($Y47:$BL47,1,FQ47*2-1)&amp;" ("&amp;TEXT(INDEX($DP47:$EI47,1,FQ47),"0%")&amp;")","")</f>
        <v/>
      </c>
      <c r="GM47" s="231" t="str">
        <f t="shared" ref="GM47" ca="1" si="676">IF(GM$5&lt;=$BV47,"; "&amp;INDEX($Y47:$BL47,1,FR47*2-1)&amp;" ("&amp;TEXT(INDEX($DP47:$EI47,1,FR47),"0%")&amp;")","")</f>
        <v/>
      </c>
      <c r="GN47" s="231" t="str">
        <f t="shared" ref="GN47" ca="1" si="677">IF(GN$5&lt;=$BV47,"; "&amp;INDEX($Y47:$BL47,1,FS47*2-1)&amp;" ("&amp;TEXT(INDEX($DP47:$EI47,1,FS47),"0%")&amp;")","")</f>
        <v/>
      </c>
      <c r="GO47" s="231" t="str">
        <f t="shared" ref="GO47" ca="1" si="678">IF(GO$5&lt;=$BV47,"; "&amp;INDEX($Y47:$BL47,1,FT47*2-1)&amp;" ("&amp;TEXT(INDEX($DP47:$EI47,1,FT47),"0%")&amp;")","")</f>
        <v/>
      </c>
      <c r="GP47" s="231" t="str">
        <f t="shared" ref="GP47" ca="1" si="679">IF(GP$5&lt;=$BV47,"; "&amp;INDEX($Y47:$BL47,1,FU47*2-1)&amp;" ("&amp;TEXT(INDEX($DP47:$EI47,1,FU47),"0%")&amp;")","")</f>
        <v/>
      </c>
      <c r="GQ47" s="231" t="str">
        <f t="shared" ref="GQ47" ca="1" si="680">IF(GQ$5&lt;=$BV47,"; "&amp;INDEX($Y47:$BL47,1,FV47*2-1)&amp;" ("&amp;TEXT(INDEX($DP47:$EI47,1,FV47),"0%")&amp;")","")</f>
        <v/>
      </c>
      <c r="GR47" s="231" t="str">
        <f t="shared" ref="GR47" ca="1" si="681">IF(GR$5&lt;=$BV47,"; "&amp;INDEX($Y47:$BL47,1,FW47*2-1)&amp;" ("&amp;TEXT(INDEX($DP47:$EI47,1,FW47),"0%")&amp;")","")</f>
        <v/>
      </c>
      <c r="GS47" s="231" t="str">
        <f t="shared" ref="GS47" ca="1" si="682">IF(GS$5&lt;=$BV47,"; "&amp;INDEX($Y47:$BL47,1,FX47*2-1)&amp;" ("&amp;TEXT(INDEX($DP47:$EI47,1,FX47),"0%")&amp;")","")</f>
        <v/>
      </c>
      <c r="GT47" s="231" t="str">
        <f t="shared" ref="GT47" ca="1" si="683">IF(GT$5&lt;=$BV47,"; "&amp;INDEX($Y47:$BL47,1,FY47*2-1)&amp;" ("&amp;TEXT(INDEX($DP47:$EI47,1,FY47),"0%")&amp;")","")</f>
        <v/>
      </c>
      <c r="GU47" s="231" t="str">
        <f t="shared" ref="GU47" ca="1" si="684">IF(GU$5&lt;=$BV47,"; "&amp;INDEX($Y47:$BL47,1,FZ47*2-1)&amp;" ("&amp;TEXT(INDEX($DP47:$EI47,1,FZ47),"0%")&amp;")","")</f>
        <v/>
      </c>
    </row>
    <row r="48" spans="2:203" s="386" customFormat="1" ht="15" hidden="1" customHeight="1">
      <c r="B48" s="373"/>
      <c r="C48" s="81" t="str">
        <f>'Direct Savings'!D86</f>
        <v>Other</v>
      </c>
      <c r="D48" s="404">
        <f t="shared" ref="D48" ca="1" si="685">DN48</f>
        <v>0</v>
      </c>
      <c r="E48" s="374">
        <f>ROW(Initiatives!A18)</f>
        <v>18</v>
      </c>
      <c r="F48" s="374">
        <f>ROW(Initiatives!A19)</f>
        <v>19</v>
      </c>
      <c r="G48" s="374">
        <f>ROW(Initiatives!A20)</f>
        <v>20</v>
      </c>
      <c r="H48" s="374">
        <f>ROW(Initiatives!A21)</f>
        <v>21</v>
      </c>
      <c r="I48" s="374">
        <f>ROW(Initiatives!A22)</f>
        <v>22</v>
      </c>
      <c r="J48" s="374">
        <f>ROW(Initiatives!A24)</f>
        <v>24</v>
      </c>
      <c r="K48" s="374">
        <f>ROW(Initiatives!A25)</f>
        <v>25</v>
      </c>
      <c r="L48" s="374">
        <f>ROW(Initiatives!A32)</f>
        <v>32</v>
      </c>
      <c r="M48" s="374">
        <f>ROW(Initiatives!A33)</f>
        <v>33</v>
      </c>
      <c r="N48" s="374">
        <f>ROW(Initiatives!A43)</f>
        <v>43</v>
      </c>
      <c r="O48" s="374">
        <f>ROW(Initiatives!A44)</f>
        <v>44</v>
      </c>
      <c r="P48" s="374">
        <f>ROW(Initiatives!A45)</f>
        <v>45</v>
      </c>
      <c r="Q48" s="374">
        <f>ROW(Initiatives!A46)</f>
        <v>46</v>
      </c>
      <c r="R48" s="374">
        <f>ROW(Initiatives!A47)</f>
        <v>47</v>
      </c>
      <c r="S48" s="374">
        <f>ROW(Initiatives!A172)</f>
        <v>172</v>
      </c>
      <c r="T48" s="374">
        <f>ROW(Initiatives!A173)</f>
        <v>173</v>
      </c>
      <c r="U48" s="374">
        <f>ROW(Initiatives!A174)</f>
        <v>174</v>
      </c>
      <c r="V48" s="374">
        <f>ROW(Initiatives!A175)</f>
        <v>175</v>
      </c>
      <c r="W48" s="374">
        <f>ROW(Initiatives!A183)</f>
        <v>183</v>
      </c>
      <c r="X48" s="374">
        <f>ROW(Initiatives!A189)</f>
        <v>189</v>
      </c>
      <c r="Y48" s="392" t="str">
        <f ca="1">OFFSET(Initiatives!$D$1,E48-1,$BS$3)</f>
        <v>Supply chain analytics/optimization</v>
      </c>
      <c r="Z48" s="375"/>
      <c r="AA48" s="392" t="str">
        <f ca="1">OFFSET(Initiatives!$D$1,F48-1,$BS$3)</f>
        <v>Production and inventory analysis</v>
      </c>
      <c r="AB48" s="375"/>
      <c r="AC48" s="392" t="str">
        <f ca="1">OFFSET(Initiatives!$D$1,G48-1,$BS$3)</f>
        <v>Demand forecasting/planning</v>
      </c>
      <c r="AD48" s="375"/>
      <c r="AE48" s="392" t="str">
        <f ca="1">OFFSET(Initiatives!$D$1,H48-1,$BS$3)</f>
        <v>Fulfillment management analysis</v>
      </c>
      <c r="AF48" s="375"/>
      <c r="AG48" s="392" t="str">
        <f ca="1">OFFSET(Initiatives!$D$1,I48-1,$BS$3)</f>
        <v>Logistics management analysis</v>
      </c>
      <c r="AH48" s="375"/>
      <c r="AI48" s="392" t="str">
        <f ca="1">OFFSET(Initiatives!$D$1,J48-1,$BS$3)</f>
        <v>Business process/activity monitoring (BAM)</v>
      </c>
      <c r="AJ48" s="375"/>
      <c r="AK48" s="392" t="str">
        <f ca="1">OFFSET(Initiatives!$D$1,K48-1,$BS$3)</f>
        <v>Web analytics</v>
      </c>
      <c r="AL48" s="375"/>
      <c r="AM48" s="392" t="str">
        <f ca="1">OFFSET(Initiatives!$D$1,L48-1,$BS$3)</f>
        <v>Profitability management</v>
      </c>
      <c r="AN48" s="375"/>
      <c r="AO48" s="392" t="str">
        <f ca="1">OFFSET(Initiatives!$D$1,M48-1,$BS$3)</f>
        <v>Activity-based costing</v>
      </c>
      <c r="AP48" s="375"/>
      <c r="AQ48" s="392" t="str">
        <f ca="1">OFFSET(Initiatives!$D$1,N48-1,$BS$3)</f>
        <v>Fraud, waste, and abuse detection</v>
      </c>
      <c r="AR48" s="375"/>
      <c r="AS48" s="392" t="str">
        <f ca="1">OFFSET(Initiatives!$D$1,O48-1,$BS$3)</f>
        <v>HR/workforce analytics</v>
      </c>
      <c r="AT48" s="375"/>
      <c r="AU48" s="392" t="str">
        <f ca="1">OFFSET(Initiatives!$D$1,P48-1,$BS$3)</f>
        <v>Competitive intelligence analysis</v>
      </c>
      <c r="AV48" s="375"/>
      <c r="AW48" s="392" t="str">
        <f ca="1">OFFSET(Initiatives!$D$1,Q48-1,$BS$3)</f>
        <v>Risk mgmt analysis</v>
      </c>
      <c r="AX48" s="375"/>
      <c r="AY48" s="392" t="str">
        <f ca="1">OFFSET(Initiatives!$D$1,R48-1,$BS$3)</f>
        <v>Compliance mgmt analysis</v>
      </c>
      <c r="AZ48" s="375"/>
      <c r="BA48" s="392" t="str">
        <f ca="1">OFFSET(Initiatives!$D$1,S48-1,$BS$3)</f>
        <v>Marketing / Sales Data Integration</v>
      </c>
      <c r="BB48" s="375"/>
      <c r="BC48" s="392" t="str">
        <f ca="1">OFFSET(Initiatives!$D$1,T48-1,$BS$3)</f>
        <v>Supply Chain / Ops Data Integration</v>
      </c>
      <c r="BD48" s="375"/>
      <c r="BE48" s="392" t="str">
        <f ca="1">OFFSET(Initiatives!$D$1,U48-1,$BS$3)</f>
        <v>Financial Data Integration</v>
      </c>
      <c r="BF48" s="375"/>
      <c r="BG48" s="392" t="str">
        <f ca="1">OFFSET(Initiatives!$D$1,V48-1,$BS$3)</f>
        <v>Other Data Integration</v>
      </c>
      <c r="BH48" s="375"/>
      <c r="BI48" s="392" t="str">
        <f ca="1">OFFSET(Initiatives!$D$1,W48-1,$BS$3)</f>
        <v>Enhance DW Platform</v>
      </c>
      <c r="BJ48" s="375"/>
      <c r="BK48" s="392" t="str">
        <f ca="1">OFFSET(Initiatives!$D$1,X48-1,$BS$3)</f>
        <v>Enhance BI Platform</v>
      </c>
      <c r="BL48" s="375"/>
      <c r="BN48" s="101">
        <f t="shared" ref="BN48" si="686">SUM(Z48,AB48,AD48,AF48,AH48,AJ48,AL48,AN48,AP48,AR48,AT48,AV48,AX48,AZ48,BB48,BD48,BF48,BH48,BJ48,BL48)+0.0001</f>
        <v>1E-4</v>
      </c>
      <c r="BP48" s="231" t="str">
        <f t="shared" ref="BP48" ca="1" si="687">CONCATENATE(GB48,GC48,GD48,GE48,GF48,GG48,GH48,GI48,GJ48,GK48,GL48,GM48,GN48,GO48,GP48,GQ48,GR48,GS48,GT48,GU48)</f>
        <v/>
      </c>
      <c r="BQ48" s="338">
        <v>0.01</v>
      </c>
      <c r="BR48" s="40">
        <f t="shared" ref="BR48" ca="1" si="688">COUNTIF(CT48:DM48,"&gt;"&amp;BQ48)</f>
        <v>0</v>
      </c>
      <c r="BS48" s="274">
        <v>0.05</v>
      </c>
      <c r="BT48" s="40">
        <f t="shared" ref="BT48" ca="1" si="689">COUNTIF(DP48:EI48,"&gt;"&amp;BS48)</f>
        <v>0</v>
      </c>
      <c r="BU48" s="376">
        <v>7</v>
      </c>
      <c r="BV48" s="40">
        <f t="shared" ref="BV48" ca="1" si="690">MIN(BR48,BT48,BU48)</f>
        <v>0</v>
      </c>
      <c r="BY48" s="377">
        <f ca="1">IF(ISERROR(OFFSET(Initiatives!$D$1,E48-1,$BY$3)),,OFFSET(Initiatives!$D$1,E48-1,$BY$3))</f>
        <v>0.32</v>
      </c>
      <c r="BZ48" s="377">
        <f ca="1">IF(ISERROR(OFFSET(Initiatives!$D$1,F48-1,$BY$3)),,OFFSET(Initiatives!$D$1,F48-1,$BY$3))</f>
        <v>0.32</v>
      </c>
      <c r="CA48" s="377">
        <f ca="1">IF(ISERROR(OFFSET(Initiatives!$D$1,G48-1,$BY$3)),,OFFSET(Initiatives!$D$1,G48-1,$BY$3))</f>
        <v>0.32</v>
      </c>
      <c r="CB48" s="377">
        <f ca="1">IF(ISERROR(OFFSET(Initiatives!$D$1,H48-1,$BY$3)),,OFFSET(Initiatives!$D$1,H48-1,$BY$3))</f>
        <v>0.32</v>
      </c>
      <c r="CC48" s="377">
        <f ca="1">IF(ISERROR(OFFSET(Initiatives!$D$1,I48-1,$BY$3)),,OFFSET(Initiatives!$D$1,I48-1,$BY$3))</f>
        <v>0.32</v>
      </c>
      <c r="CD48" s="377">
        <f ca="1">IF(ISERROR(OFFSET(Initiatives!$D$1,J48-1,$BY$3)),,OFFSET(Initiatives!$D$1,J48-1,$BY$3))</f>
        <v>0.32</v>
      </c>
      <c r="CE48" s="377">
        <f ca="1">IF(ISERROR(OFFSET(Initiatives!$D$1,K48-1,$BY$3)),,OFFSET(Initiatives!$D$1,K48-1,$BY$3))</f>
        <v>0.32</v>
      </c>
      <c r="CF48" s="377">
        <f ca="1">IF(ISERROR(OFFSET(Initiatives!$D$1,L48-1,$BY$3)),,OFFSET(Initiatives!$D$1,L48-1,$BY$3))</f>
        <v>0.55999999999999983</v>
      </c>
      <c r="CG48" s="377">
        <f ca="1">IF(ISERROR(OFFSET(Initiatives!$D$1,M48-1,$BY$3)),,OFFSET(Initiatives!$D$1,M48-1,$BY$3))</f>
        <v>0.55999999999999983</v>
      </c>
      <c r="CH48" s="377">
        <f ca="1">IF(ISERROR(OFFSET(Initiatives!$D$1,N48-1,$BY$3)),,OFFSET(Initiatives!$D$1,N48-1,$BY$3))</f>
        <v>0.68</v>
      </c>
      <c r="CI48" s="377">
        <f ca="1">IF(ISERROR(OFFSET(Initiatives!$D$1,O48-1,$BY$3)),,OFFSET(Initiatives!$D$1,O48-1,$BY$3))</f>
        <v>0.68</v>
      </c>
      <c r="CJ48" s="377">
        <f ca="1">IF(ISERROR(OFFSET(Initiatives!$D$1,P48-1,$BY$3)),,OFFSET(Initiatives!$D$1,P48-1,$BY$3))</f>
        <v>0.68</v>
      </c>
      <c r="CK48" s="377">
        <f ca="1">IF(ISERROR(OFFSET(Initiatives!$D$1,Q48-1,$BY$3)),,OFFSET(Initiatives!$D$1,Q48-1,$BY$3))</f>
        <v>0.68</v>
      </c>
      <c r="CL48" s="377">
        <f ca="1">IF(ISERROR(OFFSET(Initiatives!$D$1,R48-1,$BY$3)),,OFFSET(Initiatives!$D$1,R48-1,$BY$3))</f>
        <v>0.68</v>
      </c>
      <c r="CM48" s="377">
        <f ca="1">IF(ISERROR(OFFSET(Initiatives!$D$1,S48-1,$BY$3)),,OFFSET(Initiatives!$D$1,S48-1,$BY$3))</f>
        <v>0.3600000000000001</v>
      </c>
      <c r="CN48" s="377">
        <f ca="1">IF(ISERROR(OFFSET(Initiatives!$D$1,T48-1,$BY$3)),,OFFSET(Initiatives!$D$1,T48-1,$BY$3))</f>
        <v>0.68000000000000016</v>
      </c>
      <c r="CO48" s="377">
        <f ca="1">IF(ISERROR(OFFSET(Initiatives!$D$1,U48-1,$BY$3)),,OFFSET(Initiatives!$D$1,U48-1,$BY$3))</f>
        <v>0.27999999999999958</v>
      </c>
      <c r="CP48" s="377">
        <f ca="1">IF(ISERROR(OFFSET(Initiatives!$D$1,V48-1,$BY$3)),,OFFSET(Initiatives!$D$1,V48-1,$BY$3))</f>
        <v>0.64000000000000012</v>
      </c>
      <c r="CQ48" s="377">
        <f ca="1">IF(ISERROR(OFFSET(Initiatives!$D$1,W48-1,$BY$3)),,OFFSET(Initiatives!$D$1,W48-1,$BY$3))</f>
        <v>7.7000000000000179E-2</v>
      </c>
      <c r="CR48" s="377">
        <f ca="1">IF(ISERROR(OFFSET(Initiatives!$D$1,X48-1,$BY$3)),,OFFSET(Initiatives!$D$1,X48-1,$BY$3))</f>
        <v>0.6</v>
      </c>
      <c r="CT48" s="41">
        <f t="shared" ref="CT48" ca="1" si="691">BY48*Z48/$BN48</f>
        <v>0</v>
      </c>
      <c r="CU48" s="41">
        <f t="shared" ref="CU48" ca="1" si="692">BZ48*AB48/$BN48</f>
        <v>0</v>
      </c>
      <c r="CV48" s="41">
        <f t="shared" ref="CV48" ca="1" si="693">CA48*AD48/$BN48</f>
        <v>0</v>
      </c>
      <c r="CW48" s="41">
        <f t="shared" ref="CW48" ca="1" si="694">CB48*AF48/$BN48</f>
        <v>0</v>
      </c>
      <c r="CX48" s="41">
        <f t="shared" ref="CX48" ca="1" si="695">CC48*AH48/$BN48</f>
        <v>0</v>
      </c>
      <c r="CY48" s="41">
        <f t="shared" ref="CY48" ca="1" si="696">CD48*AJ48/$BN48</f>
        <v>0</v>
      </c>
      <c r="CZ48" s="41">
        <f t="shared" ref="CZ48" ca="1" si="697">CE48*AL48/$BN48</f>
        <v>0</v>
      </c>
      <c r="DA48" s="41">
        <f t="shared" ref="DA48" ca="1" si="698">CF48*AN48/$BN48</f>
        <v>0</v>
      </c>
      <c r="DB48" s="41">
        <f t="shared" ref="DB48" ca="1" si="699">CG48*AP48/$BN48</f>
        <v>0</v>
      </c>
      <c r="DC48" s="41">
        <f t="shared" ref="DC48" ca="1" si="700">CH48*AR48/$BN48</f>
        <v>0</v>
      </c>
      <c r="DD48" s="41">
        <f t="shared" ref="DD48" ca="1" si="701">CI48*AT48/$BN48</f>
        <v>0</v>
      </c>
      <c r="DE48" s="41">
        <f t="shared" ref="DE48" ca="1" si="702">CJ48*AV48/$BN48</f>
        <v>0</v>
      </c>
      <c r="DF48" s="41">
        <f t="shared" ref="DF48" ca="1" si="703">CK48*AX48/$BN48</f>
        <v>0</v>
      </c>
      <c r="DG48" s="41">
        <f t="shared" ref="DG48" ca="1" si="704">CL48*AZ48/$BN48</f>
        <v>0</v>
      </c>
      <c r="DH48" s="41">
        <f t="shared" ref="DH48" ca="1" si="705">CM48*BB48/$BN48</f>
        <v>0</v>
      </c>
      <c r="DI48" s="41">
        <f t="shared" ref="DI48" ca="1" si="706">CN48*BD48/$BN48</f>
        <v>0</v>
      </c>
      <c r="DJ48" s="41">
        <f t="shared" ref="DJ48" ca="1" si="707">CO48*BF48/$BN48</f>
        <v>0</v>
      </c>
      <c r="DK48" s="41">
        <f t="shared" ref="DK48" ca="1" si="708">CP48*BH48/$BN48</f>
        <v>0</v>
      </c>
      <c r="DL48" s="41">
        <f t="shared" ref="DL48" ca="1" si="709">CQ48*BJ48/$BN48</f>
        <v>0</v>
      </c>
      <c r="DM48" s="41">
        <f t="shared" ref="DM48" ca="1" si="710">CR48*BL48/$BN48</f>
        <v>0</v>
      </c>
      <c r="DN48" s="41">
        <f t="shared" ref="DN48" ca="1" si="711">SUM(CT48:DM48)</f>
        <v>0</v>
      </c>
      <c r="DP48" s="41" t="e">
        <f t="shared" ref="DP48" ca="1" si="712">CT48/$DN48-DP$5/100000</f>
        <v>#DIV/0!</v>
      </c>
      <c r="DQ48" s="41" t="e">
        <f t="shared" ref="DQ48" ca="1" si="713">CU48/$DN48-DQ$5/100000</f>
        <v>#DIV/0!</v>
      </c>
      <c r="DR48" s="41" t="e">
        <f t="shared" ref="DR48" ca="1" si="714">CV48/$DN48-DR$5/100000</f>
        <v>#DIV/0!</v>
      </c>
      <c r="DS48" s="41" t="e">
        <f t="shared" ref="DS48" ca="1" si="715">CW48/$DN48-DS$5/100000</f>
        <v>#DIV/0!</v>
      </c>
      <c r="DT48" s="41" t="e">
        <f t="shared" ref="DT48" ca="1" si="716">CX48/$DN48-DT$5/100000</f>
        <v>#DIV/0!</v>
      </c>
      <c r="DU48" s="41" t="e">
        <f t="shared" ref="DU48" ca="1" si="717">CY48/$DN48-DU$5/100000</f>
        <v>#DIV/0!</v>
      </c>
      <c r="DV48" s="41" t="e">
        <f t="shared" ref="DV48" ca="1" si="718">CZ48/$DN48-DV$5/100000</f>
        <v>#DIV/0!</v>
      </c>
      <c r="DW48" s="41" t="e">
        <f t="shared" ref="DW48" ca="1" si="719">DA48/$DN48-DW$5/100000</f>
        <v>#DIV/0!</v>
      </c>
      <c r="DX48" s="41" t="e">
        <f t="shared" ref="DX48" ca="1" si="720">DB48/$DN48-DX$5/100000</f>
        <v>#DIV/0!</v>
      </c>
      <c r="DY48" s="41" t="e">
        <f t="shared" ref="DY48" ca="1" si="721">DC48/$DN48-DY$5/100000</f>
        <v>#DIV/0!</v>
      </c>
      <c r="DZ48" s="41" t="e">
        <f t="shared" ref="DZ48" ca="1" si="722">DD48/$DN48-DZ$5/100000</f>
        <v>#DIV/0!</v>
      </c>
      <c r="EA48" s="41" t="e">
        <f t="shared" ref="EA48" ca="1" si="723">DE48/$DN48-EA$5/100000</f>
        <v>#DIV/0!</v>
      </c>
      <c r="EB48" s="41" t="e">
        <f t="shared" ref="EB48" ca="1" si="724">DF48/$DN48-EB$5/100000</f>
        <v>#DIV/0!</v>
      </c>
      <c r="EC48" s="41" t="e">
        <f t="shared" ref="EC48" ca="1" si="725">DG48/$DN48-EC$5/100000</f>
        <v>#DIV/0!</v>
      </c>
      <c r="ED48" s="41" t="e">
        <f t="shared" ref="ED48" ca="1" si="726">DH48/$DN48-ED$5/100000</f>
        <v>#DIV/0!</v>
      </c>
      <c r="EE48" s="41" t="e">
        <f t="shared" ref="EE48" ca="1" si="727">DI48/$DN48-EE$5/100000</f>
        <v>#DIV/0!</v>
      </c>
      <c r="EF48" s="41" t="e">
        <f t="shared" ref="EF48" ca="1" si="728">DJ48/$DN48-EF$5/100000</f>
        <v>#DIV/0!</v>
      </c>
      <c r="EG48" s="41" t="e">
        <f t="shared" ref="EG48" ca="1" si="729">DK48/$DN48-EG$5/100000</f>
        <v>#DIV/0!</v>
      </c>
      <c r="EH48" s="41" t="e">
        <f t="shared" ref="EH48" ca="1" si="730">DL48/$DN48-EH$5/100000</f>
        <v>#DIV/0!</v>
      </c>
      <c r="EI48" s="41" t="e">
        <f t="shared" ref="EI48" ca="1" si="731">DM48/$DN48-EI$5/100000</f>
        <v>#DIV/0!</v>
      </c>
      <c r="EJ48" s="41" t="e">
        <f t="shared" ref="EJ48" ca="1" si="732">SUM(DP48:EI48)</f>
        <v>#DIV/0!</v>
      </c>
      <c r="EL48" s="378" t="e">
        <f t="shared" ref="EL48" ca="1" si="733">RANK(DP48,$DP48:$EI48)</f>
        <v>#DIV/0!</v>
      </c>
      <c r="EM48" s="378" t="e">
        <f t="shared" ref="EM48" ca="1" si="734">RANK(DQ48,$DP48:$EI48)</f>
        <v>#DIV/0!</v>
      </c>
      <c r="EN48" s="378" t="e">
        <f t="shared" ref="EN48" ca="1" si="735">RANK(DR48,$DP48:$EI48)</f>
        <v>#DIV/0!</v>
      </c>
      <c r="EO48" s="378" t="e">
        <f t="shared" ref="EO48" ca="1" si="736">RANK(DS48,$DP48:$EI48)</f>
        <v>#DIV/0!</v>
      </c>
      <c r="EP48" s="378" t="e">
        <f t="shared" ref="EP48" ca="1" si="737">RANK(DT48,$DP48:$EI48)</f>
        <v>#DIV/0!</v>
      </c>
      <c r="EQ48" s="378" t="e">
        <f t="shared" ref="EQ48" ca="1" si="738">RANK(DU48,$DP48:$EI48)</f>
        <v>#DIV/0!</v>
      </c>
      <c r="ER48" s="378" t="e">
        <f t="shared" ref="ER48" ca="1" si="739">RANK(DV48,$DP48:$EI48)</f>
        <v>#DIV/0!</v>
      </c>
      <c r="ES48" s="378" t="e">
        <f t="shared" ref="ES48" ca="1" si="740">RANK(DW48,$DP48:$EI48)</f>
        <v>#DIV/0!</v>
      </c>
      <c r="ET48" s="378" t="e">
        <f t="shared" ref="ET48" ca="1" si="741">RANK(DX48,$DP48:$EI48)</f>
        <v>#DIV/0!</v>
      </c>
      <c r="EU48" s="378" t="e">
        <f t="shared" ref="EU48" ca="1" si="742">RANK(DY48,$DP48:$EI48)</f>
        <v>#DIV/0!</v>
      </c>
      <c r="EV48" s="378" t="e">
        <f t="shared" ref="EV48" ca="1" si="743">RANK(DZ48,$DP48:$EI48)</f>
        <v>#DIV/0!</v>
      </c>
      <c r="EW48" s="378" t="e">
        <f t="shared" ref="EW48" ca="1" si="744">RANK(EA48,$DP48:$EI48)</f>
        <v>#DIV/0!</v>
      </c>
      <c r="EX48" s="378" t="e">
        <f t="shared" ref="EX48" ca="1" si="745">RANK(EB48,$DP48:$EI48)</f>
        <v>#DIV/0!</v>
      </c>
      <c r="EY48" s="378" t="e">
        <f t="shared" ref="EY48" ca="1" si="746">RANK(EC48,$DP48:$EI48)</f>
        <v>#DIV/0!</v>
      </c>
      <c r="EZ48" s="378" t="e">
        <f t="shared" ref="EZ48" ca="1" si="747">RANK(ED48,$DP48:$EI48)</f>
        <v>#DIV/0!</v>
      </c>
      <c r="FA48" s="378" t="e">
        <f t="shared" ref="FA48" ca="1" si="748">RANK(EE48,$DP48:$EI48)</f>
        <v>#DIV/0!</v>
      </c>
      <c r="FB48" s="378" t="e">
        <f t="shared" ref="FB48" ca="1" si="749">RANK(EF48,$DP48:$EI48)</f>
        <v>#DIV/0!</v>
      </c>
      <c r="FC48" s="378" t="e">
        <f t="shared" ref="FC48" ca="1" si="750">RANK(EG48,$DP48:$EI48)</f>
        <v>#DIV/0!</v>
      </c>
      <c r="FD48" s="378" t="e">
        <f t="shared" ref="FD48" ca="1" si="751">RANK(EH48,$DP48:$EI48)</f>
        <v>#DIV/0!</v>
      </c>
      <c r="FE48" s="378" t="e">
        <f t="shared" ref="FE48" ca="1" si="752">RANK(EI48,$DP48:$EI48)</f>
        <v>#DIV/0!</v>
      </c>
      <c r="FG48" s="378" t="e">
        <f t="shared" ca="1" si="487"/>
        <v>#N/A</v>
      </c>
      <c r="FH48" s="378" t="e">
        <f t="shared" ca="1" si="487"/>
        <v>#N/A</v>
      </c>
      <c r="FI48" s="378" t="e">
        <f t="shared" ca="1" si="487"/>
        <v>#N/A</v>
      </c>
      <c r="FJ48" s="378" t="e">
        <f t="shared" ca="1" si="487"/>
        <v>#N/A</v>
      </c>
      <c r="FK48" s="378" t="e">
        <f t="shared" ca="1" si="487"/>
        <v>#N/A</v>
      </c>
      <c r="FL48" s="378" t="e">
        <f t="shared" ca="1" si="487"/>
        <v>#N/A</v>
      </c>
      <c r="FM48" s="378" t="e">
        <f t="shared" ca="1" si="487"/>
        <v>#N/A</v>
      </c>
      <c r="FN48" s="378" t="e">
        <f t="shared" ca="1" si="487"/>
        <v>#N/A</v>
      </c>
      <c r="FO48" s="378" t="e">
        <f t="shared" ca="1" si="487"/>
        <v>#N/A</v>
      </c>
      <c r="FP48" s="378" t="e">
        <f t="shared" ca="1" si="487"/>
        <v>#N/A</v>
      </c>
      <c r="FQ48" s="378" t="e">
        <f t="shared" ca="1" si="487"/>
        <v>#N/A</v>
      </c>
      <c r="FR48" s="378" t="e">
        <f t="shared" ca="1" si="487"/>
        <v>#N/A</v>
      </c>
      <c r="FS48" s="378" t="e">
        <f t="shared" ca="1" si="487"/>
        <v>#N/A</v>
      </c>
      <c r="FT48" s="378" t="e">
        <f t="shared" ca="1" si="487"/>
        <v>#N/A</v>
      </c>
      <c r="FU48" s="378" t="e">
        <f t="shared" ca="1" si="487"/>
        <v>#N/A</v>
      </c>
      <c r="FV48" s="378" t="e">
        <f t="shared" ca="1" si="487"/>
        <v>#N/A</v>
      </c>
      <c r="FW48" s="378" t="e">
        <f t="shared" ca="1" si="488"/>
        <v>#N/A</v>
      </c>
      <c r="FX48" s="378" t="e">
        <f t="shared" ca="1" si="488"/>
        <v>#N/A</v>
      </c>
      <c r="FY48" s="378" t="e">
        <f t="shared" ca="1" si="488"/>
        <v>#N/A</v>
      </c>
      <c r="FZ48" s="378" t="e">
        <f t="shared" ca="1" si="488"/>
        <v>#N/A</v>
      </c>
      <c r="GB48" s="275" t="str">
        <f t="shared" ref="GB48" ca="1" si="753">IF(GB$5&lt;=$BV48,INDEX($Y48:$BL48,1,FG48*2-1)&amp;" ("&amp;TEXT(INDEX($DP48:$EI48,1,FG48),"0%")&amp;")","")</f>
        <v/>
      </c>
      <c r="GC48" s="231" t="str">
        <f t="shared" ref="GC48" ca="1" si="754">IF(GC$5&lt;=$BV48,"; "&amp;INDEX($Y48:$BL48,1,FH48*2-1)&amp;" ("&amp;TEXT(INDEX($DP48:$EI48,1,FH48),"0%")&amp;")","")</f>
        <v/>
      </c>
      <c r="GD48" s="231" t="str">
        <f t="shared" ref="GD48" ca="1" si="755">IF(GD$5&lt;=$BV48,"; "&amp;INDEX($Y48:$BL48,1,FI48*2-1)&amp;" ("&amp;TEXT(INDEX($DP48:$EI48,1,FI48),"0%")&amp;")","")</f>
        <v/>
      </c>
      <c r="GE48" s="231" t="str">
        <f t="shared" ref="GE48" ca="1" si="756">IF(GE$5&lt;=$BV48,"; "&amp;INDEX($Y48:$BL48,1,FJ48*2-1)&amp;" ("&amp;TEXT(INDEX($DP48:$EI48,1,FJ48),"0%")&amp;")","")</f>
        <v/>
      </c>
      <c r="GF48" s="231" t="str">
        <f t="shared" ref="GF48" ca="1" si="757">IF(GF$5&lt;=$BV48,"; "&amp;INDEX($Y48:$BL48,1,FK48*2-1)&amp;" ("&amp;TEXT(INDEX($DP48:$EI48,1,FK48),"0%")&amp;")","")</f>
        <v/>
      </c>
      <c r="GG48" s="231" t="str">
        <f t="shared" ref="GG48" ca="1" si="758">IF(GG$5&lt;=$BV48,"; "&amp;INDEX($Y48:$BL48,1,FL48*2-1)&amp;" ("&amp;TEXT(INDEX($DP48:$EI48,1,FL48),"0%")&amp;")","")</f>
        <v/>
      </c>
      <c r="GH48" s="231" t="str">
        <f t="shared" ref="GH48" ca="1" si="759">IF(GH$5&lt;=$BV48,"; "&amp;INDEX($Y48:$BL48,1,FM48*2-1)&amp;" ("&amp;TEXT(INDEX($DP48:$EI48,1,FM48),"0%")&amp;")","")</f>
        <v/>
      </c>
      <c r="GI48" s="231" t="str">
        <f t="shared" ref="GI48" ca="1" si="760">IF(GI$5&lt;=$BV48,"; "&amp;INDEX($Y48:$BL48,1,FN48*2-1)&amp;" ("&amp;TEXT(INDEX($DP48:$EI48,1,FN48),"0%")&amp;")","")</f>
        <v/>
      </c>
      <c r="GJ48" s="231" t="str">
        <f t="shared" ref="GJ48" ca="1" si="761">IF(GJ$5&lt;=$BV48,"; "&amp;INDEX($Y48:$BL48,1,FO48*2-1)&amp;" ("&amp;TEXT(INDEX($DP48:$EI48,1,FO48),"0%")&amp;")","")</f>
        <v/>
      </c>
      <c r="GK48" s="231" t="str">
        <f t="shared" ref="GK48" ca="1" si="762">IF(GK$5&lt;=$BV48,"; "&amp;INDEX($Y48:$BL48,1,FP48*2-1)&amp;" ("&amp;TEXT(INDEX($DP48:$EI48,1,FP48),"0%")&amp;")","")</f>
        <v/>
      </c>
      <c r="GL48" s="231" t="str">
        <f t="shared" ref="GL48" ca="1" si="763">IF(GL$5&lt;=$BV48,"; "&amp;INDEX($Y48:$BL48,1,FQ48*2-1)&amp;" ("&amp;TEXT(INDEX($DP48:$EI48,1,FQ48),"0%")&amp;")","")</f>
        <v/>
      </c>
      <c r="GM48" s="231" t="str">
        <f t="shared" ref="GM48" ca="1" si="764">IF(GM$5&lt;=$BV48,"; "&amp;INDEX($Y48:$BL48,1,FR48*2-1)&amp;" ("&amp;TEXT(INDEX($DP48:$EI48,1,FR48),"0%")&amp;")","")</f>
        <v/>
      </c>
      <c r="GN48" s="231" t="str">
        <f t="shared" ref="GN48" ca="1" si="765">IF(GN$5&lt;=$BV48,"; "&amp;INDEX($Y48:$BL48,1,FS48*2-1)&amp;" ("&amp;TEXT(INDEX($DP48:$EI48,1,FS48),"0%")&amp;")","")</f>
        <v/>
      </c>
      <c r="GO48" s="231" t="str">
        <f t="shared" ref="GO48" ca="1" si="766">IF(GO$5&lt;=$BV48,"; "&amp;INDEX($Y48:$BL48,1,FT48*2-1)&amp;" ("&amp;TEXT(INDEX($DP48:$EI48,1,FT48),"0%")&amp;")","")</f>
        <v/>
      </c>
      <c r="GP48" s="231" t="str">
        <f t="shared" ref="GP48" ca="1" si="767">IF(GP$5&lt;=$BV48,"; "&amp;INDEX($Y48:$BL48,1,FU48*2-1)&amp;" ("&amp;TEXT(INDEX($DP48:$EI48,1,FU48),"0%")&amp;")","")</f>
        <v/>
      </c>
      <c r="GQ48" s="231" t="str">
        <f t="shared" ref="GQ48" ca="1" si="768">IF(GQ$5&lt;=$BV48,"; "&amp;INDEX($Y48:$BL48,1,FV48*2-1)&amp;" ("&amp;TEXT(INDEX($DP48:$EI48,1,FV48),"0%")&amp;")","")</f>
        <v/>
      </c>
      <c r="GR48" s="231" t="str">
        <f t="shared" ref="GR48" ca="1" si="769">IF(GR$5&lt;=$BV48,"; "&amp;INDEX($Y48:$BL48,1,FW48*2-1)&amp;" ("&amp;TEXT(INDEX($DP48:$EI48,1,FW48),"0%")&amp;")","")</f>
        <v/>
      </c>
      <c r="GS48" s="231" t="str">
        <f t="shared" ref="GS48" ca="1" si="770">IF(GS$5&lt;=$BV48,"; "&amp;INDEX($Y48:$BL48,1,FX48*2-1)&amp;" ("&amp;TEXT(INDEX($DP48:$EI48,1,FX48),"0%")&amp;")","")</f>
        <v/>
      </c>
      <c r="GT48" s="231" t="str">
        <f t="shared" ref="GT48" ca="1" si="771">IF(GT$5&lt;=$BV48,"; "&amp;INDEX($Y48:$BL48,1,FY48*2-1)&amp;" ("&amp;TEXT(INDEX($DP48:$EI48,1,FY48),"0%")&amp;")","")</f>
        <v/>
      </c>
      <c r="GU48" s="231" t="str">
        <f t="shared" ref="GU48" ca="1" si="772">IF(GU$5&lt;=$BV48,"; "&amp;INDEX($Y48:$BL48,1,FZ48*2-1)&amp;" ("&amp;TEXT(INDEX($DP48:$EI48,1,FZ48),"0%")&amp;")","")</f>
        <v/>
      </c>
    </row>
    <row r="49" spans="1:203" hidden="1"/>
    <row r="50" spans="1:203" ht="21" hidden="1">
      <c r="A50" s="1" t="str">
        <f>Productivity!A1</f>
        <v>User Productivity Benefit Calculations</v>
      </c>
      <c r="B50" s="386"/>
      <c r="C50" s="386"/>
    </row>
    <row r="51" spans="1:203" s="386" customFormat="1" ht="15" hidden="1">
      <c r="B51" s="6" t="str">
        <f>Productivity!A5</f>
        <v>Information Access &amp; Analysis</v>
      </c>
      <c r="BP51" s="29"/>
    </row>
    <row r="52" spans="1:203" s="386" customFormat="1" ht="15.75" hidden="1" customHeight="1">
      <c r="B52" s="373"/>
      <c r="C52" s="81" t="str">
        <f>Productivity!B6</f>
        <v>Finding desired data/information</v>
      </c>
      <c r="D52" s="404">
        <f t="shared" ref="D52" ca="1" si="773">DN52</f>
        <v>0.39991111861890272</v>
      </c>
      <c r="E52" s="374">
        <f>ROW(Initiatives!$A$170)</f>
        <v>170</v>
      </c>
      <c r="F52" s="374">
        <f>ROW(Initiatives!$A$176)</f>
        <v>176</v>
      </c>
      <c r="G52" s="374">
        <f>ROW(Initiatives!$A$178)</f>
        <v>178</v>
      </c>
      <c r="H52" s="374">
        <f>ROW(Initiatives!$A$179)</f>
        <v>179</v>
      </c>
      <c r="I52" s="374">
        <f>ROW(Initiatives!$A$180)</f>
        <v>180</v>
      </c>
      <c r="J52" s="374">
        <f>ROW(Initiatives!$A$181)</f>
        <v>181</v>
      </c>
      <c r="K52" s="374">
        <f>ROW(Initiatives!$A$182)</f>
        <v>182</v>
      </c>
      <c r="L52" s="374">
        <f>ROW(Initiatives!$A$185)</f>
        <v>185</v>
      </c>
      <c r="M52" s="374">
        <f>ROW(Initiatives!$A$186)</f>
        <v>186</v>
      </c>
      <c r="N52" s="374">
        <f>ROW(Initiatives!$A$187)</f>
        <v>187</v>
      </c>
      <c r="O52" s="374">
        <f>ROW(Initiatives!$A$188)</f>
        <v>188</v>
      </c>
      <c r="P52" s="374"/>
      <c r="Q52" s="374"/>
      <c r="R52" s="374"/>
      <c r="S52" s="374"/>
      <c r="T52" s="374"/>
      <c r="U52" s="374"/>
      <c r="V52" s="374"/>
      <c r="W52" s="374"/>
      <c r="X52" s="374"/>
      <c r="Y52" s="392" t="str">
        <f ca="1">OFFSET(Initiatives!$D$1,E52-1,$BS$3)</f>
        <v>BI Applications</v>
      </c>
      <c r="Z52" s="375">
        <v>6</v>
      </c>
      <c r="AA52" s="392" t="str">
        <f ca="1">OFFSET(Initiatives!$D$1,F52-1,$BS$3)</f>
        <v>Source System Inclusion / Integration</v>
      </c>
      <c r="AB52" s="375">
        <v>7</v>
      </c>
      <c r="AC52" s="392" t="str">
        <f ca="1">OFFSET(Initiatives!$D$1,G52-1,$BS$3)</f>
        <v>Architecture Standards &amp; Adherence</v>
      </c>
      <c r="AD52" s="375">
        <v>4</v>
      </c>
      <c r="AE52" s="392" t="str">
        <f ca="1">OFFSET(Initiatives!$D$1,H52-1,$BS$3)</f>
        <v>Data Management</v>
      </c>
      <c r="AF52" s="375">
        <v>4</v>
      </c>
      <c r="AG52" s="392" t="str">
        <f ca="1">OFFSET(Initiatives!$D$1,I52-1,$BS$3)</f>
        <v>Data Integration/ETL</v>
      </c>
      <c r="AH52" s="375">
        <v>3</v>
      </c>
      <c r="AI52" s="392" t="str">
        <f ca="1">OFFSET(Initiatives!$D$1,J52-1,$BS$3)</f>
        <v>Data Warehouse / Data Marts</v>
      </c>
      <c r="AJ52" s="375">
        <v>5</v>
      </c>
      <c r="AK52" s="392" t="str">
        <f ca="1">OFFSET(Initiatives!$D$1,K52-1,$BS$3)</f>
        <v>Development</v>
      </c>
      <c r="AL52" s="375">
        <v>2</v>
      </c>
      <c r="AM52" s="392" t="str">
        <f ca="1">OFFSET(Initiatives!$D$1,L52-1,$BS$3)</f>
        <v>Reporting</v>
      </c>
      <c r="AN52" s="375">
        <v>4</v>
      </c>
      <c r="AO52" s="392" t="str">
        <f ca="1">OFFSET(Initiatives!$D$1,M52-1,$BS$3)</f>
        <v>Scorecards / Dashboards</v>
      </c>
      <c r="AP52" s="375">
        <v>6</v>
      </c>
      <c r="AQ52" s="392" t="str">
        <f ca="1">OFFSET(Initiatives!$D$1,N52-1,$BS$3)</f>
        <v>Analytical Tools</v>
      </c>
      <c r="AR52" s="375">
        <v>8</v>
      </c>
      <c r="AS52" s="392" t="str">
        <f ca="1">OFFSET(Initiatives!$D$1,O52-1,$BS$3)</f>
        <v>Workflow and Collaboration</v>
      </c>
      <c r="AT52" s="375">
        <v>6</v>
      </c>
      <c r="AU52" s="392" t="e">
        <f ca="1">OFFSET(Initiatives!$D$1,P52-1,$BS$3)</f>
        <v>#REF!</v>
      </c>
      <c r="AV52" s="375"/>
      <c r="AW52" s="392" t="e">
        <f ca="1">OFFSET(Initiatives!$D$1,Q52-1,$BS$3)</f>
        <v>#REF!</v>
      </c>
      <c r="AX52" s="375"/>
      <c r="AY52" s="392" t="e">
        <f ca="1">OFFSET(Initiatives!$D$1,R52-1,$BS$3)</f>
        <v>#REF!</v>
      </c>
      <c r="AZ52" s="375"/>
      <c r="BA52" s="392" t="e">
        <f ca="1">OFFSET(Initiatives!$D$1,S52-1,$BS$3)</f>
        <v>#REF!</v>
      </c>
      <c r="BB52" s="375"/>
      <c r="BC52" s="392" t="e">
        <f ca="1">OFFSET(Initiatives!$D$1,T52-1,$BS$3)</f>
        <v>#REF!</v>
      </c>
      <c r="BD52" s="375"/>
      <c r="BE52" s="392" t="e">
        <f ca="1">OFFSET(Initiatives!$D$1,U52-1,$BS$3)</f>
        <v>#REF!</v>
      </c>
      <c r="BF52" s="375"/>
      <c r="BG52" s="392" t="e">
        <f ca="1">OFFSET(Initiatives!$D$1,V52-1,$BS$3)</f>
        <v>#REF!</v>
      </c>
      <c r="BH52" s="375"/>
      <c r="BI52" s="392" t="e">
        <f ca="1">OFFSET(Initiatives!$D$1,W52-1,$BS$3)</f>
        <v>#REF!</v>
      </c>
      <c r="BJ52" s="375"/>
      <c r="BK52" s="392" t="e">
        <f ca="1">OFFSET(Initiatives!$D$1,X52-1,$BS$3)</f>
        <v>#REF!</v>
      </c>
      <c r="BL52" s="375"/>
      <c r="BN52" s="101">
        <f t="shared" ref="BN52" si="774">SUM(Z52,AB52,AD52,AF52,AH52,AJ52,AL52,AN52,AP52,AR52,AT52,AV52,AX52,AZ52,BB52,BD52,BF52,BH52,BJ52,BL52)+0.0001</f>
        <v>55.000100000000003</v>
      </c>
      <c r="BP52" s="231" t="str">
        <f t="shared" ref="BP52" ca="1" si="775">CONCATENATE(GB52,GC52,GD52,GE52,GF52,GG52,GH52,GI52,GJ52,GK52,GL52,GM52,GN52,GO52,GP52,GQ52,GR52,GS52,GT52,GU52)</f>
        <v>Analytical Tools (22%); Workflow and Collaboration (20%); Scorecards / Dashboards (16%); Source System Inclusion / Integration (14%); BI Applications (12%); Reporting (9%)</v>
      </c>
      <c r="BQ52" s="338">
        <v>0.01</v>
      </c>
      <c r="BR52" s="40">
        <f t="shared" ref="BR52" ca="1" si="776">COUNTIF(CT52:DM52,"&gt;"&amp;BQ52)</f>
        <v>7</v>
      </c>
      <c r="BS52" s="274">
        <v>0.05</v>
      </c>
      <c r="BT52" s="40">
        <f t="shared" ref="BT52" ca="1" si="777">COUNTIF(DP52:EI52,"&gt;"&amp;BS52)</f>
        <v>6</v>
      </c>
      <c r="BU52" s="376">
        <v>7</v>
      </c>
      <c r="BV52" s="40">
        <f t="shared" ref="BV52" ca="1" si="778">MIN(BR52,BT52,BU52)</f>
        <v>6</v>
      </c>
      <c r="BY52" s="377">
        <f ca="1">IF(ISERROR(OFFSET(Initiatives!$D$1,E52-1,$BY$3)),,OFFSET(Initiatives!$D$1,E52-1,$BY$3))</f>
        <v>0.45555555555555544</v>
      </c>
      <c r="BZ52" s="377">
        <f ca="1">IF(ISERROR(OFFSET(Initiatives!$D$1,F52-1,$BY$3)),,OFFSET(Initiatives!$D$1,F52-1,$BY$3))</f>
        <v>0.45454545454545436</v>
      </c>
      <c r="CA52" s="377">
        <f ca="1">IF(ISERROR(OFFSET(Initiatives!$D$1,G52-1,$BY$3)),,OFFSET(Initiatives!$D$1,G52-1,$BY$3))</f>
        <v>0.14000000000000012</v>
      </c>
      <c r="CB52" s="377">
        <f ca="1">IF(ISERROR(OFFSET(Initiatives!$D$1,H52-1,$BY$3)),,OFFSET(Initiatives!$D$1,H52-1,$BY$3))</f>
        <v>9.9999999999999978E-2</v>
      </c>
      <c r="CC52" s="377">
        <f ca="1">IF(ISERROR(OFFSET(Initiatives!$D$1,I52-1,$BY$3)),,OFFSET(Initiatives!$D$1,I52-1,$BY$3))</f>
        <v>9.9999999999999978E-2</v>
      </c>
      <c r="CD52" s="377">
        <f ca="1">IF(ISERROR(OFFSET(Initiatives!$D$1,J52-1,$BY$3)),,OFFSET(Initiatives!$D$1,J52-1,$BY$3))</f>
        <v>3.0000000000000027E-2</v>
      </c>
      <c r="CE52" s="377">
        <f ca="1">IF(ISERROR(OFFSET(Initiatives!$D$1,K52-1,$BY$3)),,OFFSET(Initiatives!$D$1,K52-1,$BY$3))</f>
        <v>1.5000000000000124E-2</v>
      </c>
      <c r="CF52" s="377">
        <f ca="1">IF(ISERROR(OFFSET(Initiatives!$D$1,L52-1,$BY$3)),,OFFSET(Initiatives!$D$1,L52-1,$BY$3))</f>
        <v>0.48</v>
      </c>
      <c r="CG52" s="377">
        <f ca="1">IF(ISERROR(OFFSET(Initiatives!$D$1,M52-1,$BY$3)),,OFFSET(Initiatives!$D$1,M52-1,$BY$3))</f>
        <v>0.6</v>
      </c>
      <c r="CH52" s="377">
        <f ca="1">IF(ISERROR(OFFSET(Initiatives!$D$1,N52-1,$BY$3)),,OFFSET(Initiatives!$D$1,N52-1,$BY$3))</f>
        <v>0.6</v>
      </c>
      <c r="CI52" s="377">
        <f ca="1">IF(ISERROR(OFFSET(Initiatives!$D$1,O52-1,$BY$3)),,OFFSET(Initiatives!$D$1,O52-1,$BY$3))</f>
        <v>0.72000000000000008</v>
      </c>
      <c r="CJ52" s="377">
        <f ca="1">IF(ISERROR(OFFSET(Initiatives!$D$1,P52-1,$BY$3)),,OFFSET(Initiatives!$D$1,P52-1,$BY$3))</f>
        <v>0</v>
      </c>
      <c r="CK52" s="377">
        <f ca="1">IF(ISERROR(OFFSET(Initiatives!$D$1,Q52-1,$BY$3)),,OFFSET(Initiatives!$D$1,Q52-1,$BY$3))</f>
        <v>0</v>
      </c>
      <c r="CL52" s="377">
        <f ca="1">IF(ISERROR(OFFSET(Initiatives!$D$1,R52-1,$BY$3)),,OFFSET(Initiatives!$D$1,R52-1,$BY$3))</f>
        <v>0</v>
      </c>
      <c r="CM52" s="377">
        <f ca="1">IF(ISERROR(OFFSET(Initiatives!$D$1,S52-1,$BY$3)),,OFFSET(Initiatives!$D$1,S52-1,$BY$3))</f>
        <v>0</v>
      </c>
      <c r="CN52" s="377">
        <f ca="1">IF(ISERROR(OFFSET(Initiatives!$D$1,T52-1,$BY$3)),,OFFSET(Initiatives!$D$1,T52-1,$BY$3))</f>
        <v>0</v>
      </c>
      <c r="CO52" s="377">
        <f ca="1">IF(ISERROR(OFFSET(Initiatives!$D$1,U52-1,$BY$3)),,OFFSET(Initiatives!$D$1,U52-1,$BY$3))</f>
        <v>0</v>
      </c>
      <c r="CP52" s="377">
        <f ca="1">IF(ISERROR(OFFSET(Initiatives!$D$1,V52-1,$BY$3)),,OFFSET(Initiatives!$D$1,V52-1,$BY$3))</f>
        <v>0</v>
      </c>
      <c r="CQ52" s="377">
        <f ca="1">IF(ISERROR(OFFSET(Initiatives!$D$1,W52-1,$BY$3)),,OFFSET(Initiatives!$D$1,W52-1,$BY$3))</f>
        <v>0</v>
      </c>
      <c r="CR52" s="377">
        <f ca="1">IF(ISERROR(OFFSET(Initiatives!$D$1,X52-1,$BY$3)),,OFFSET(Initiatives!$D$1,X52-1,$BY$3))</f>
        <v>0</v>
      </c>
      <c r="CT52" s="41">
        <f t="shared" ref="CT52" ca="1" si="779">BY52*Z52/$BN52</f>
        <v>4.9696879339007245E-2</v>
      </c>
      <c r="CU52" s="41">
        <f t="shared" ref="CU52" ca="1" si="780">BZ52*AB52/$BN52</f>
        <v>5.7851134485540585E-2</v>
      </c>
      <c r="CV52" s="41">
        <f t="shared" ref="CV52" ca="1" si="781">CA52*AD52/$BN52</f>
        <v>1.0181799669455155E-2</v>
      </c>
      <c r="CW52" s="41">
        <f t="shared" ref="CW52" ca="1" si="782">CB52*AF52/$BN52</f>
        <v>7.2727140496108168E-3</v>
      </c>
      <c r="CX52" s="41">
        <f t="shared" ref="CX52" ca="1" si="783">CC52*AH52/$BN52</f>
        <v>5.454535537208113E-3</v>
      </c>
      <c r="CY52" s="41">
        <f t="shared" ref="CY52" ca="1" si="784">CD52*AJ52/$BN52</f>
        <v>2.7272677686040595E-3</v>
      </c>
      <c r="CZ52" s="41">
        <f t="shared" ref="CZ52" ca="1" si="785">CE52*AL52/$BN52</f>
        <v>5.4545355372081594E-4</v>
      </c>
      <c r="DA52" s="41">
        <f t="shared" ref="DA52" ca="1" si="786">CF52*AN52/$BN52</f>
        <v>3.4909027438131929E-2</v>
      </c>
      <c r="DB52" s="41">
        <f t="shared" ref="DB52" ca="1" si="787">CG52*AP52/$BN52</f>
        <v>6.5454426446497363E-2</v>
      </c>
      <c r="DC52" s="41">
        <f t="shared" ref="DC52" ca="1" si="788">CH52*AR52/$BN52</f>
        <v>8.7272568595329822E-2</v>
      </c>
      <c r="DD52" s="41">
        <f t="shared" ref="DD52" ca="1" si="789">CI52*AT52/$BN52</f>
        <v>7.8545311735796847E-2</v>
      </c>
      <c r="DE52" s="41">
        <f t="shared" ref="DE52" ca="1" si="790">CJ52*AV52/$BN52</f>
        <v>0</v>
      </c>
      <c r="DF52" s="41">
        <f t="shared" ref="DF52" ca="1" si="791">CK52*AX52/$BN52</f>
        <v>0</v>
      </c>
      <c r="DG52" s="41">
        <f t="shared" ref="DG52" ca="1" si="792">CL52*AZ52/$BN52</f>
        <v>0</v>
      </c>
      <c r="DH52" s="41">
        <f t="shared" ref="DH52" ca="1" si="793">CM52*BB52/$BN52</f>
        <v>0</v>
      </c>
      <c r="DI52" s="41">
        <f t="shared" ref="DI52" ca="1" si="794">CN52*BD52/$BN52</f>
        <v>0</v>
      </c>
      <c r="DJ52" s="41">
        <f t="shared" ref="DJ52" ca="1" si="795">CO52*BF52/$BN52</f>
        <v>0</v>
      </c>
      <c r="DK52" s="41">
        <f t="shared" ref="DK52" ca="1" si="796">CP52*BH52/$BN52</f>
        <v>0</v>
      </c>
      <c r="DL52" s="41">
        <f t="shared" ref="DL52" ca="1" si="797">CQ52*BJ52/$BN52</f>
        <v>0</v>
      </c>
      <c r="DM52" s="41">
        <f t="shared" ref="DM52" ca="1" si="798">CR52*BL52/$BN52</f>
        <v>0</v>
      </c>
      <c r="DN52" s="41">
        <f t="shared" ref="DN52" ca="1" si="799">SUM(CT52:DM52)</f>
        <v>0.39991111861890272</v>
      </c>
      <c r="DP52" s="41">
        <f t="shared" ref="DP52" ca="1" si="800">CT52/$DN52-DP$5/100000</f>
        <v>0.12425981152871154</v>
      </c>
      <c r="DQ52" s="41">
        <f t="shared" ref="DQ52" ca="1" si="801">CU52/$DN52-DQ$5/100000</f>
        <v>0.144639980160917</v>
      </c>
      <c r="DR52" s="41">
        <f t="shared" ref="DR52" ca="1" si="802">CV52/$DN52-DR$5/100000</f>
        <v>2.5430156508321419E-2</v>
      </c>
      <c r="DS52" s="41">
        <f t="shared" ref="DS52" ca="1" si="803">CW52/$DN52-DS$5/100000</f>
        <v>1.8145826077372425E-2</v>
      </c>
      <c r="DT52" s="41">
        <f t="shared" ref="DT52" ca="1" si="804">CX52/$DN52-DT$5/100000</f>
        <v>1.3589369558029318E-2</v>
      </c>
      <c r="DU52" s="41">
        <f t="shared" ref="DU52" ca="1" si="805">CY52/$DN52-DU$5/100000</f>
        <v>6.7596847790146663E-3</v>
      </c>
      <c r="DV52" s="41">
        <f t="shared" ref="DV52" ca="1" si="806">CZ52/$DN52-DV$5/100000</f>
        <v>1.2939369558029434E-3</v>
      </c>
      <c r="DW52" s="41">
        <f t="shared" ref="DW52" ca="1" si="807">DA52/$DN52-DW$5/100000</f>
        <v>8.7211965171387643E-2</v>
      </c>
      <c r="DX52" s="41">
        <f t="shared" ref="DX52" ca="1" si="808">DB52/$DN52-DX$5/100000</f>
        <v>0.16358243469635181</v>
      </c>
      <c r="DY52" s="41">
        <f t="shared" ref="DY52" ca="1" si="809">DC52/$DN52-DY$5/100000</f>
        <v>0.21812991292846912</v>
      </c>
      <c r="DZ52" s="41">
        <f t="shared" ref="DZ52" ca="1" si="810">DD52/$DN52-DZ$5/100000</f>
        <v>0.19629692163562221</v>
      </c>
      <c r="EA52" s="41">
        <f t="shared" ref="EA52" ca="1" si="811">DE52/$DN52-EA$5/100000</f>
        <v>-1.2E-4</v>
      </c>
      <c r="EB52" s="41">
        <f t="shared" ref="EB52" ca="1" si="812">DF52/$DN52-EB$5/100000</f>
        <v>-1.2999999999999999E-4</v>
      </c>
      <c r="EC52" s="41">
        <f t="shared" ref="EC52" ca="1" si="813">DG52/$DN52-EC$5/100000</f>
        <v>-1.3999999999999999E-4</v>
      </c>
      <c r="ED52" s="41">
        <f t="shared" ref="ED52" ca="1" si="814">DH52/$DN52-ED$5/100000</f>
        <v>-1.4999999999999999E-4</v>
      </c>
      <c r="EE52" s="41">
        <f t="shared" ref="EE52" ca="1" si="815">DI52/$DN52-EE$5/100000</f>
        <v>-1.6000000000000001E-4</v>
      </c>
      <c r="EF52" s="41">
        <f t="shared" ref="EF52" ca="1" si="816">DJ52/$DN52-EF$5/100000</f>
        <v>-1.7000000000000001E-4</v>
      </c>
      <c r="EG52" s="41">
        <f t="shared" ref="EG52" ca="1" si="817">DK52/$DN52-EG$5/100000</f>
        <v>-1.8000000000000001E-4</v>
      </c>
      <c r="EH52" s="41">
        <f t="shared" ref="EH52" ca="1" si="818">DL52/$DN52-EH$5/100000</f>
        <v>-1.9000000000000001E-4</v>
      </c>
      <c r="EI52" s="41">
        <f t="shared" ref="EI52" ca="1" si="819">DM52/$DN52-EI$5/100000</f>
        <v>-2.0000000000000001E-4</v>
      </c>
      <c r="EJ52" s="41">
        <f t="shared" ref="EJ52" ca="1" si="820">SUM(DP52:EI52)</f>
        <v>0.99790000000000001</v>
      </c>
      <c r="EL52" s="378">
        <f t="shared" ref="EL52" ca="1" si="821">RANK(DP52,$DP52:$EI52)</f>
        <v>5</v>
      </c>
      <c r="EM52" s="378">
        <f t="shared" ref="EM52" ca="1" si="822">RANK(DQ52,$DP52:$EI52)</f>
        <v>4</v>
      </c>
      <c r="EN52" s="378">
        <f t="shared" ref="EN52" ca="1" si="823">RANK(DR52,$DP52:$EI52)</f>
        <v>7</v>
      </c>
      <c r="EO52" s="378">
        <f t="shared" ref="EO52" ca="1" si="824">RANK(DS52,$DP52:$EI52)</f>
        <v>8</v>
      </c>
      <c r="EP52" s="378">
        <f t="shared" ref="EP52" ca="1" si="825">RANK(DT52,$DP52:$EI52)</f>
        <v>9</v>
      </c>
      <c r="EQ52" s="378">
        <f t="shared" ref="EQ52" ca="1" si="826">RANK(DU52,$DP52:$EI52)</f>
        <v>10</v>
      </c>
      <c r="ER52" s="378">
        <f t="shared" ref="ER52" ca="1" si="827">RANK(DV52,$DP52:$EI52)</f>
        <v>11</v>
      </c>
      <c r="ES52" s="378">
        <f t="shared" ref="ES52" ca="1" si="828">RANK(DW52,$DP52:$EI52)</f>
        <v>6</v>
      </c>
      <c r="ET52" s="378">
        <f t="shared" ref="ET52" ca="1" si="829">RANK(DX52,$DP52:$EI52)</f>
        <v>3</v>
      </c>
      <c r="EU52" s="378">
        <f t="shared" ref="EU52" ca="1" si="830">RANK(DY52,$DP52:$EI52)</f>
        <v>1</v>
      </c>
      <c r="EV52" s="378">
        <f t="shared" ref="EV52" ca="1" si="831">RANK(DZ52,$DP52:$EI52)</f>
        <v>2</v>
      </c>
      <c r="EW52" s="378">
        <f t="shared" ref="EW52" ca="1" si="832">RANK(EA52,$DP52:$EI52)</f>
        <v>12</v>
      </c>
      <c r="EX52" s="378">
        <f t="shared" ref="EX52" ca="1" si="833">RANK(EB52,$DP52:$EI52)</f>
        <v>13</v>
      </c>
      <c r="EY52" s="378">
        <f t="shared" ref="EY52" ca="1" si="834">RANK(EC52,$DP52:$EI52)</f>
        <v>14</v>
      </c>
      <c r="EZ52" s="378">
        <f t="shared" ref="EZ52" ca="1" si="835">RANK(ED52,$DP52:$EI52)</f>
        <v>15</v>
      </c>
      <c r="FA52" s="378">
        <f t="shared" ref="FA52" ca="1" si="836">RANK(EE52,$DP52:$EI52)</f>
        <v>16</v>
      </c>
      <c r="FB52" s="378">
        <f t="shared" ref="FB52" ca="1" si="837">RANK(EF52,$DP52:$EI52)</f>
        <v>17</v>
      </c>
      <c r="FC52" s="378">
        <f t="shared" ref="FC52" ca="1" si="838">RANK(EG52,$DP52:$EI52)</f>
        <v>18</v>
      </c>
      <c r="FD52" s="378">
        <f t="shared" ref="FD52" ca="1" si="839">RANK(EH52,$DP52:$EI52)</f>
        <v>19</v>
      </c>
      <c r="FE52" s="378">
        <f t="shared" ref="FE52" ca="1" si="840">RANK(EI52,$DP52:$EI52)</f>
        <v>20</v>
      </c>
      <c r="FG52" s="378">
        <f t="shared" ref="FG52:FZ56" ca="1" si="841">MATCH(FG$5,$EL52:$FE52,0)</f>
        <v>10</v>
      </c>
      <c r="FH52" s="378">
        <f t="shared" ca="1" si="841"/>
        <v>11</v>
      </c>
      <c r="FI52" s="378">
        <f t="shared" ca="1" si="841"/>
        <v>9</v>
      </c>
      <c r="FJ52" s="378">
        <f t="shared" ca="1" si="841"/>
        <v>2</v>
      </c>
      <c r="FK52" s="378">
        <f t="shared" ca="1" si="841"/>
        <v>1</v>
      </c>
      <c r="FL52" s="378">
        <f t="shared" ca="1" si="841"/>
        <v>8</v>
      </c>
      <c r="FM52" s="378">
        <f t="shared" ca="1" si="841"/>
        <v>3</v>
      </c>
      <c r="FN52" s="378">
        <f t="shared" ca="1" si="841"/>
        <v>4</v>
      </c>
      <c r="FO52" s="378">
        <f t="shared" ca="1" si="841"/>
        <v>5</v>
      </c>
      <c r="FP52" s="378">
        <f t="shared" ca="1" si="841"/>
        <v>6</v>
      </c>
      <c r="FQ52" s="378">
        <f t="shared" ca="1" si="841"/>
        <v>7</v>
      </c>
      <c r="FR52" s="378">
        <f t="shared" ca="1" si="841"/>
        <v>12</v>
      </c>
      <c r="FS52" s="378">
        <f t="shared" ca="1" si="841"/>
        <v>13</v>
      </c>
      <c r="FT52" s="378">
        <f t="shared" ca="1" si="841"/>
        <v>14</v>
      </c>
      <c r="FU52" s="378">
        <f t="shared" ca="1" si="841"/>
        <v>15</v>
      </c>
      <c r="FV52" s="378">
        <f t="shared" ca="1" si="841"/>
        <v>16</v>
      </c>
      <c r="FW52" s="378">
        <f t="shared" ca="1" si="841"/>
        <v>17</v>
      </c>
      <c r="FX52" s="378">
        <f t="shared" ca="1" si="841"/>
        <v>18</v>
      </c>
      <c r="FY52" s="378">
        <f t="shared" ca="1" si="841"/>
        <v>19</v>
      </c>
      <c r="FZ52" s="378">
        <f t="shared" ca="1" si="841"/>
        <v>20</v>
      </c>
      <c r="GB52" s="275" t="str">
        <f t="shared" ref="GB52" ca="1" si="842">IF(GB$5&lt;=$BV52,INDEX($Y52:$BL52,1,FG52*2-1)&amp;" ("&amp;TEXT(INDEX($DP52:$EI52,1,FG52),"0%")&amp;")","")</f>
        <v>Analytical Tools (22%)</v>
      </c>
      <c r="GC52" s="231" t="str">
        <f t="shared" ref="GC52" ca="1" si="843">IF(GC$5&lt;=$BV52,"; "&amp;INDEX($Y52:$BL52,1,FH52*2-1)&amp;" ("&amp;TEXT(INDEX($DP52:$EI52,1,FH52),"0%")&amp;")","")</f>
        <v>; Workflow and Collaboration (20%)</v>
      </c>
      <c r="GD52" s="231" t="str">
        <f t="shared" ref="GD52" ca="1" si="844">IF(GD$5&lt;=$BV52,"; "&amp;INDEX($Y52:$BL52,1,FI52*2-1)&amp;" ("&amp;TEXT(INDEX($DP52:$EI52,1,FI52),"0%")&amp;")","")</f>
        <v>; Scorecards / Dashboards (16%)</v>
      </c>
      <c r="GE52" s="231" t="str">
        <f t="shared" ref="GE52" ca="1" si="845">IF(GE$5&lt;=$BV52,"; "&amp;INDEX($Y52:$BL52,1,FJ52*2-1)&amp;" ("&amp;TEXT(INDEX($DP52:$EI52,1,FJ52),"0%")&amp;")","")</f>
        <v>; Source System Inclusion / Integration (14%)</v>
      </c>
      <c r="GF52" s="231" t="str">
        <f t="shared" ref="GF52" ca="1" si="846">IF(GF$5&lt;=$BV52,"; "&amp;INDEX($Y52:$BL52,1,FK52*2-1)&amp;" ("&amp;TEXT(INDEX($DP52:$EI52,1,FK52),"0%")&amp;")","")</f>
        <v>; BI Applications (12%)</v>
      </c>
      <c r="GG52" s="231" t="str">
        <f t="shared" ref="GG52" ca="1" si="847">IF(GG$5&lt;=$BV52,"; "&amp;INDEX($Y52:$BL52,1,FL52*2-1)&amp;" ("&amp;TEXT(INDEX($DP52:$EI52,1,FL52),"0%")&amp;")","")</f>
        <v>; Reporting (9%)</v>
      </c>
      <c r="GH52" s="231" t="str">
        <f t="shared" ref="GH52" ca="1" si="848">IF(GH$5&lt;=$BV52,"; "&amp;INDEX($Y52:$BL52,1,FM52*2-1)&amp;" ("&amp;TEXT(INDEX($DP52:$EI52,1,FM52),"0%")&amp;")","")</f>
        <v/>
      </c>
      <c r="GI52" s="231" t="str">
        <f t="shared" ref="GI52" ca="1" si="849">IF(GI$5&lt;=$BV52,"; "&amp;INDEX($Y52:$BL52,1,FN52*2-1)&amp;" ("&amp;TEXT(INDEX($DP52:$EI52,1,FN52),"0%")&amp;")","")</f>
        <v/>
      </c>
      <c r="GJ52" s="231" t="str">
        <f t="shared" ref="GJ52" ca="1" si="850">IF(GJ$5&lt;=$BV52,"; "&amp;INDEX($Y52:$BL52,1,FO52*2-1)&amp;" ("&amp;TEXT(INDEX($DP52:$EI52,1,FO52),"0%")&amp;")","")</f>
        <v/>
      </c>
      <c r="GK52" s="231" t="str">
        <f t="shared" ref="GK52" ca="1" si="851">IF(GK$5&lt;=$BV52,"; "&amp;INDEX($Y52:$BL52,1,FP52*2-1)&amp;" ("&amp;TEXT(INDEX($DP52:$EI52,1,FP52),"0%")&amp;")","")</f>
        <v/>
      </c>
      <c r="GL52" s="231" t="str">
        <f t="shared" ref="GL52" ca="1" si="852">IF(GL$5&lt;=$BV52,"; "&amp;INDEX($Y52:$BL52,1,FQ52*2-1)&amp;" ("&amp;TEXT(INDEX($DP52:$EI52,1,FQ52),"0%")&amp;")","")</f>
        <v/>
      </c>
      <c r="GM52" s="231" t="str">
        <f t="shared" ref="GM52" ca="1" si="853">IF(GM$5&lt;=$BV52,"; "&amp;INDEX($Y52:$BL52,1,FR52*2-1)&amp;" ("&amp;TEXT(INDEX($DP52:$EI52,1,FR52),"0%")&amp;")","")</f>
        <v/>
      </c>
      <c r="GN52" s="231" t="str">
        <f t="shared" ref="GN52" ca="1" si="854">IF(GN$5&lt;=$BV52,"; "&amp;INDEX($Y52:$BL52,1,FS52*2-1)&amp;" ("&amp;TEXT(INDEX($DP52:$EI52,1,FS52),"0%")&amp;")","")</f>
        <v/>
      </c>
      <c r="GO52" s="231" t="str">
        <f t="shared" ref="GO52" ca="1" si="855">IF(GO$5&lt;=$BV52,"; "&amp;INDEX($Y52:$BL52,1,FT52*2-1)&amp;" ("&amp;TEXT(INDEX($DP52:$EI52,1,FT52),"0%")&amp;")","")</f>
        <v/>
      </c>
      <c r="GP52" s="231" t="str">
        <f t="shared" ref="GP52" ca="1" si="856">IF(GP$5&lt;=$BV52,"; "&amp;INDEX($Y52:$BL52,1,FU52*2-1)&amp;" ("&amp;TEXT(INDEX($DP52:$EI52,1,FU52),"0%")&amp;")","")</f>
        <v/>
      </c>
      <c r="GQ52" s="231" t="str">
        <f t="shared" ref="GQ52" ca="1" si="857">IF(GQ$5&lt;=$BV52,"; "&amp;INDEX($Y52:$BL52,1,FV52*2-1)&amp;" ("&amp;TEXT(INDEX($DP52:$EI52,1,FV52),"0%")&amp;")","")</f>
        <v/>
      </c>
      <c r="GR52" s="231" t="str">
        <f t="shared" ref="GR52" ca="1" si="858">IF(GR$5&lt;=$BV52,"; "&amp;INDEX($Y52:$BL52,1,FW52*2-1)&amp;" ("&amp;TEXT(INDEX($DP52:$EI52,1,FW52),"0%")&amp;")","")</f>
        <v/>
      </c>
      <c r="GS52" s="231" t="str">
        <f t="shared" ref="GS52" ca="1" si="859">IF(GS$5&lt;=$BV52,"; "&amp;INDEX($Y52:$BL52,1,FX52*2-1)&amp;" ("&amp;TEXT(INDEX($DP52:$EI52,1,FX52),"0%")&amp;")","")</f>
        <v/>
      </c>
      <c r="GT52" s="231" t="str">
        <f t="shared" ref="GT52" ca="1" si="860">IF(GT$5&lt;=$BV52,"; "&amp;INDEX($Y52:$BL52,1,FY52*2-1)&amp;" ("&amp;TEXT(INDEX($DP52:$EI52,1,FY52),"0%")&amp;")","")</f>
        <v/>
      </c>
      <c r="GU52" s="231" t="str">
        <f t="shared" ref="GU52" ca="1" si="861">IF(GU$5&lt;=$BV52,"; "&amp;INDEX($Y52:$BL52,1,FZ52*2-1)&amp;" ("&amp;TEXT(INDEX($DP52:$EI52,1,FZ52),"0%")&amp;")","")</f>
        <v/>
      </c>
    </row>
    <row r="53" spans="1:203" s="386" customFormat="1" ht="15.75" hidden="1" customHeight="1">
      <c r="B53" s="373"/>
      <c r="C53" s="81" t="str">
        <f>Productivity!B7</f>
        <v>Collecting/combining data/information</v>
      </c>
      <c r="D53" s="404">
        <f t="shared" ref="D53:D56" ca="1" si="862">DN53</f>
        <v>0.39155593859960452</v>
      </c>
      <c r="E53" s="374">
        <f>ROW(Initiatives!$A$170)</f>
        <v>170</v>
      </c>
      <c r="F53" s="374">
        <f>ROW(Initiatives!$A$176)</f>
        <v>176</v>
      </c>
      <c r="G53" s="374">
        <f>ROW(Initiatives!$A$178)</f>
        <v>178</v>
      </c>
      <c r="H53" s="374">
        <f>ROW(Initiatives!$A$179)</f>
        <v>179</v>
      </c>
      <c r="I53" s="374">
        <f>ROW(Initiatives!$A$180)</f>
        <v>180</v>
      </c>
      <c r="J53" s="374">
        <f>ROW(Initiatives!$A$181)</f>
        <v>181</v>
      </c>
      <c r="K53" s="374">
        <f>ROW(Initiatives!$A$182)</f>
        <v>182</v>
      </c>
      <c r="L53" s="374">
        <f>ROW(Initiatives!$A$185)</f>
        <v>185</v>
      </c>
      <c r="M53" s="374">
        <f>ROW(Initiatives!$A$186)</f>
        <v>186</v>
      </c>
      <c r="N53" s="374">
        <f>ROW(Initiatives!$A$187)</f>
        <v>187</v>
      </c>
      <c r="O53" s="374">
        <f>ROW(Initiatives!$A$188)</f>
        <v>188</v>
      </c>
      <c r="P53" s="374"/>
      <c r="Q53" s="374"/>
      <c r="R53" s="374"/>
      <c r="S53" s="374"/>
      <c r="T53" s="374"/>
      <c r="U53" s="374"/>
      <c r="V53" s="374"/>
      <c r="W53" s="374"/>
      <c r="X53" s="374"/>
      <c r="Y53" s="392" t="str">
        <f ca="1">OFFSET(Initiatives!$D$1,E53-1,$BS$3)</f>
        <v>BI Applications</v>
      </c>
      <c r="Z53" s="375">
        <v>8</v>
      </c>
      <c r="AA53" s="392" t="str">
        <f ca="1">OFFSET(Initiatives!$D$1,F53-1,$BS$3)</f>
        <v>Source System Inclusion / Integration</v>
      </c>
      <c r="AB53" s="375">
        <v>5</v>
      </c>
      <c r="AC53" s="392" t="str">
        <f ca="1">OFFSET(Initiatives!$D$1,G53-1,$BS$3)</f>
        <v>Architecture Standards &amp; Adherence</v>
      </c>
      <c r="AD53" s="375">
        <v>4</v>
      </c>
      <c r="AE53" s="392" t="str">
        <f ca="1">OFFSET(Initiatives!$D$1,H53-1,$BS$3)</f>
        <v>Data Management</v>
      </c>
      <c r="AF53" s="375">
        <v>6</v>
      </c>
      <c r="AG53" s="392" t="str">
        <f ca="1">OFFSET(Initiatives!$D$1,I53-1,$BS$3)</f>
        <v>Data Integration/ETL</v>
      </c>
      <c r="AH53" s="375">
        <v>3</v>
      </c>
      <c r="AI53" s="392" t="str">
        <f ca="1">OFFSET(Initiatives!$D$1,J53-1,$BS$3)</f>
        <v>Data Warehouse / Data Marts</v>
      </c>
      <c r="AJ53" s="375">
        <v>4</v>
      </c>
      <c r="AK53" s="392" t="str">
        <f ca="1">OFFSET(Initiatives!$D$1,K53-1,$BS$3)</f>
        <v>Development</v>
      </c>
      <c r="AL53" s="375">
        <v>2</v>
      </c>
      <c r="AM53" s="392" t="str">
        <f ca="1">OFFSET(Initiatives!$D$1,L53-1,$BS$3)</f>
        <v>Reporting</v>
      </c>
      <c r="AN53" s="375">
        <v>5</v>
      </c>
      <c r="AO53" s="392" t="str">
        <f ca="1">OFFSET(Initiatives!$D$1,M53-1,$BS$3)</f>
        <v>Scorecards / Dashboards</v>
      </c>
      <c r="AP53" s="375">
        <v>5</v>
      </c>
      <c r="AQ53" s="392" t="str">
        <f ca="1">OFFSET(Initiatives!$D$1,N53-1,$BS$3)</f>
        <v>Analytical Tools</v>
      </c>
      <c r="AR53" s="375">
        <v>9</v>
      </c>
      <c r="AS53" s="392" t="str">
        <f ca="1">OFFSET(Initiatives!$D$1,O53-1,$BS$3)</f>
        <v>Workflow and Collaboration</v>
      </c>
      <c r="AT53" s="375">
        <v>5</v>
      </c>
      <c r="AU53" s="392" t="e">
        <f ca="1">OFFSET(Initiatives!$D$1,P53-1,$BS$3)</f>
        <v>#REF!</v>
      </c>
      <c r="AV53" s="375"/>
      <c r="AW53" s="392" t="e">
        <f ca="1">OFFSET(Initiatives!$D$1,Q53-1,$BS$3)</f>
        <v>#REF!</v>
      </c>
      <c r="AX53" s="375"/>
      <c r="AY53" s="392" t="e">
        <f ca="1">OFFSET(Initiatives!$D$1,R53-1,$BS$3)</f>
        <v>#REF!</v>
      </c>
      <c r="AZ53" s="375"/>
      <c r="BA53" s="392" t="e">
        <f ca="1">OFFSET(Initiatives!$D$1,S53-1,$BS$3)</f>
        <v>#REF!</v>
      </c>
      <c r="BB53" s="375"/>
      <c r="BC53" s="392" t="e">
        <f ca="1">OFFSET(Initiatives!$D$1,T53-1,$BS$3)</f>
        <v>#REF!</v>
      </c>
      <c r="BD53" s="375"/>
      <c r="BE53" s="392" t="e">
        <f ca="1">OFFSET(Initiatives!$D$1,U53-1,$BS$3)</f>
        <v>#REF!</v>
      </c>
      <c r="BF53" s="375"/>
      <c r="BG53" s="392" t="e">
        <f ca="1">OFFSET(Initiatives!$D$1,V53-1,$BS$3)</f>
        <v>#REF!</v>
      </c>
      <c r="BH53" s="375"/>
      <c r="BI53" s="392" t="e">
        <f ca="1">OFFSET(Initiatives!$D$1,W53-1,$BS$3)</f>
        <v>#REF!</v>
      </c>
      <c r="BJ53" s="375"/>
      <c r="BK53" s="392" t="e">
        <f ca="1">OFFSET(Initiatives!$D$1,X53-1,$BS$3)</f>
        <v>#REF!</v>
      </c>
      <c r="BL53" s="375"/>
      <c r="BN53" s="101">
        <f t="shared" ref="BN53:BN56" si="863">SUM(Z53,AB53,AD53,AF53,AH53,AJ53,AL53,AN53,AP53,AR53,AT53,AV53,AX53,AZ53,BB53,BD53,BF53,BH53,BJ53,BL53)+0.0001</f>
        <v>56.000100000000003</v>
      </c>
      <c r="BP53" s="231" t="str">
        <f t="shared" ref="BP53:BP56" ca="1" si="864">CONCATENATE(GB53,GC53,GD53,GE53,GF53,GG53,GH53,GI53,GJ53,GK53,GL53,GM53,GN53,GO53,GP53,GQ53,GR53,GS53,GT53,GU53)</f>
        <v>Analytical Tools (25%); BI Applications (17%); Workflow and Collaboration (16%); Scorecards / Dashboards (14%); Reporting (11%); Source System Inclusion / Integration (10%)</v>
      </c>
      <c r="BQ53" s="338">
        <v>0.01</v>
      </c>
      <c r="BR53" s="40">
        <f t="shared" ref="BR53:BR56" ca="1" si="865">COUNTIF(CT53:DM53,"&gt;"&amp;BQ53)</f>
        <v>7</v>
      </c>
      <c r="BS53" s="274">
        <v>0.05</v>
      </c>
      <c r="BT53" s="40">
        <f t="shared" ref="BT53:BT56" ca="1" si="866">COUNTIF(DP53:EI53,"&gt;"&amp;BS53)</f>
        <v>6</v>
      </c>
      <c r="BU53" s="376">
        <v>7</v>
      </c>
      <c r="BV53" s="40">
        <f t="shared" ref="BV53:BV56" ca="1" si="867">MIN(BR53,BT53,BU53)</f>
        <v>6</v>
      </c>
      <c r="BY53" s="377">
        <f ca="1">IF(ISERROR(OFFSET(Initiatives!$D$1,E53-1,$BY$3)),,OFFSET(Initiatives!$D$1,E53-1,$BY$3))</f>
        <v>0.45555555555555544</v>
      </c>
      <c r="BZ53" s="377">
        <f ca="1">IF(ISERROR(OFFSET(Initiatives!$D$1,F53-1,$BY$3)),,OFFSET(Initiatives!$D$1,F53-1,$BY$3))</f>
        <v>0.45454545454545436</v>
      </c>
      <c r="CA53" s="377">
        <f ca="1">IF(ISERROR(OFFSET(Initiatives!$D$1,G53-1,$BY$3)),,OFFSET(Initiatives!$D$1,G53-1,$BY$3))</f>
        <v>0.14000000000000012</v>
      </c>
      <c r="CB53" s="377">
        <f ca="1">IF(ISERROR(OFFSET(Initiatives!$D$1,H53-1,$BY$3)),,OFFSET(Initiatives!$D$1,H53-1,$BY$3))</f>
        <v>9.9999999999999978E-2</v>
      </c>
      <c r="CC53" s="377">
        <f ca="1">IF(ISERROR(OFFSET(Initiatives!$D$1,I53-1,$BY$3)),,OFFSET(Initiatives!$D$1,I53-1,$BY$3))</f>
        <v>9.9999999999999978E-2</v>
      </c>
      <c r="CD53" s="377">
        <f ca="1">IF(ISERROR(OFFSET(Initiatives!$D$1,J53-1,$BY$3)),,OFFSET(Initiatives!$D$1,J53-1,$BY$3))</f>
        <v>3.0000000000000027E-2</v>
      </c>
      <c r="CE53" s="377">
        <f ca="1">IF(ISERROR(OFFSET(Initiatives!$D$1,K53-1,$BY$3)),,OFFSET(Initiatives!$D$1,K53-1,$BY$3))</f>
        <v>1.5000000000000124E-2</v>
      </c>
      <c r="CF53" s="377">
        <f ca="1">IF(ISERROR(OFFSET(Initiatives!$D$1,L53-1,$BY$3)),,OFFSET(Initiatives!$D$1,L53-1,$BY$3))</f>
        <v>0.48</v>
      </c>
      <c r="CG53" s="377">
        <f ca="1">IF(ISERROR(OFFSET(Initiatives!$D$1,M53-1,$BY$3)),,OFFSET(Initiatives!$D$1,M53-1,$BY$3))</f>
        <v>0.6</v>
      </c>
      <c r="CH53" s="377">
        <f ca="1">IF(ISERROR(OFFSET(Initiatives!$D$1,N53-1,$BY$3)),,OFFSET(Initiatives!$D$1,N53-1,$BY$3))</f>
        <v>0.6</v>
      </c>
      <c r="CI53" s="377">
        <f ca="1">IF(ISERROR(OFFSET(Initiatives!$D$1,O53-1,$BY$3)),,OFFSET(Initiatives!$D$1,O53-1,$BY$3))</f>
        <v>0.72000000000000008</v>
      </c>
      <c r="CJ53" s="377">
        <f ca="1">IF(ISERROR(OFFSET(Initiatives!$D$1,P53-1,$BY$3)),,OFFSET(Initiatives!$D$1,P53-1,$BY$3))</f>
        <v>0</v>
      </c>
      <c r="CK53" s="377">
        <f ca="1">IF(ISERROR(OFFSET(Initiatives!$D$1,Q53-1,$BY$3)),,OFFSET(Initiatives!$D$1,Q53-1,$BY$3))</f>
        <v>0</v>
      </c>
      <c r="CL53" s="377">
        <f ca="1">IF(ISERROR(OFFSET(Initiatives!$D$1,R53-1,$BY$3)),,OFFSET(Initiatives!$D$1,R53-1,$BY$3))</f>
        <v>0</v>
      </c>
      <c r="CM53" s="377">
        <f ca="1">IF(ISERROR(OFFSET(Initiatives!$D$1,S53-1,$BY$3)),,OFFSET(Initiatives!$D$1,S53-1,$BY$3))</f>
        <v>0</v>
      </c>
      <c r="CN53" s="377">
        <f ca="1">IF(ISERROR(OFFSET(Initiatives!$D$1,T53-1,$BY$3)),,OFFSET(Initiatives!$D$1,T53-1,$BY$3))</f>
        <v>0</v>
      </c>
      <c r="CO53" s="377">
        <f ca="1">IF(ISERROR(OFFSET(Initiatives!$D$1,U53-1,$BY$3)),,OFFSET(Initiatives!$D$1,U53-1,$BY$3))</f>
        <v>0</v>
      </c>
      <c r="CP53" s="377">
        <f ca="1">IF(ISERROR(OFFSET(Initiatives!$D$1,V53-1,$BY$3)),,OFFSET(Initiatives!$D$1,V53-1,$BY$3))</f>
        <v>0</v>
      </c>
      <c r="CQ53" s="377">
        <f ca="1">IF(ISERROR(OFFSET(Initiatives!$D$1,W53-1,$BY$3)),,OFFSET(Initiatives!$D$1,W53-1,$BY$3))</f>
        <v>0</v>
      </c>
      <c r="CR53" s="377">
        <f ca="1">IF(ISERROR(OFFSET(Initiatives!$D$1,X53-1,$BY$3)),,OFFSET(Initiatives!$D$1,X53-1,$BY$3))</f>
        <v>0</v>
      </c>
      <c r="CT53" s="41">
        <f t="shared" ref="CT53:CT56" ca="1" si="868">BY53*Z53/$BN53</f>
        <v>6.507924886642065E-2</v>
      </c>
      <c r="CU53" s="41">
        <f t="shared" ref="CU53:CU56" ca="1" si="869">BZ53*AB53/$BN53</f>
        <v>4.0584343112374292E-2</v>
      </c>
      <c r="CV53" s="41">
        <f t="shared" ref="CV53:CV56" ca="1" si="870">CA53*AD53/$BN53</f>
        <v>9.9999821428890384E-3</v>
      </c>
      <c r="CW53" s="41">
        <f t="shared" ref="CW53:CW56" ca="1" si="871">CB53*AF53/$BN53</f>
        <v>1.0714266581666815E-2</v>
      </c>
      <c r="CX53" s="41">
        <f t="shared" ref="CX53:CX56" ca="1" si="872">CC53*AH53/$BN53</f>
        <v>5.3571332908334077E-3</v>
      </c>
      <c r="CY53" s="41">
        <f t="shared" ref="CY53:CY56" ca="1" si="873">CD53*AJ53/$BN53</f>
        <v>2.1428533163333654E-3</v>
      </c>
      <c r="CZ53" s="41">
        <f t="shared" ref="CZ53:CZ56" ca="1" si="874">CE53*AL53/$BN53</f>
        <v>5.3571332908334537E-4</v>
      </c>
      <c r="DA53" s="41">
        <f t="shared" ref="DA53:DA56" ca="1" si="875">CF53*AN53/$BN53</f>
        <v>4.2857066326667269E-2</v>
      </c>
      <c r="DB53" s="41">
        <f t="shared" ref="DB53:DB56" ca="1" si="876">CG53*AP53/$BN53</f>
        <v>5.3571332908334088E-2</v>
      </c>
      <c r="DC53" s="41">
        <f t="shared" ref="DC53:DC56" ca="1" si="877">CH53*AR53/$BN53</f>
        <v>9.642839923500135E-2</v>
      </c>
      <c r="DD53" s="41">
        <f t="shared" ref="DD53:DD56" ca="1" si="878">CI53*AT53/$BN53</f>
        <v>6.4285599490000914E-2</v>
      </c>
      <c r="DE53" s="41">
        <f t="shared" ref="DE53:DE56" ca="1" si="879">CJ53*AV53/$BN53</f>
        <v>0</v>
      </c>
      <c r="DF53" s="41">
        <f t="shared" ref="DF53:DF56" ca="1" si="880">CK53*AX53/$BN53</f>
        <v>0</v>
      </c>
      <c r="DG53" s="41">
        <f t="shared" ref="DG53:DG56" ca="1" si="881">CL53*AZ53/$BN53</f>
        <v>0</v>
      </c>
      <c r="DH53" s="41">
        <f t="shared" ref="DH53:DH56" ca="1" si="882">CM53*BB53/$BN53</f>
        <v>0</v>
      </c>
      <c r="DI53" s="41">
        <f t="shared" ref="DI53:DI56" ca="1" si="883">CN53*BD53/$BN53</f>
        <v>0</v>
      </c>
      <c r="DJ53" s="41">
        <f t="shared" ref="DJ53:DJ56" ca="1" si="884">CO53*BF53/$BN53</f>
        <v>0</v>
      </c>
      <c r="DK53" s="41">
        <f t="shared" ref="DK53:DK56" ca="1" si="885">CP53*BH53/$BN53</f>
        <v>0</v>
      </c>
      <c r="DL53" s="41">
        <f t="shared" ref="DL53:DL56" ca="1" si="886">CQ53*BJ53/$BN53</f>
        <v>0</v>
      </c>
      <c r="DM53" s="41">
        <f t="shared" ref="DM53:DM56" ca="1" si="887">CR53*BL53/$BN53</f>
        <v>0</v>
      </c>
      <c r="DN53" s="41">
        <f t="shared" ref="DN53:DN56" ca="1" si="888">SUM(CT53:DM53)</f>
        <v>0.39155593859960452</v>
      </c>
      <c r="DP53" s="41">
        <f t="shared" ref="DP53:DP56" ca="1" si="889">CT53/$DN53-DP$5/100000</f>
        <v>0.16619677264958835</v>
      </c>
      <c r="DQ53" s="41">
        <f t="shared" ref="DQ53:DQ56" ca="1" si="890">CU53/$DN53-DQ$5/100000</f>
        <v>0.10362890201263131</v>
      </c>
      <c r="DR53" s="41">
        <f t="shared" ref="DR53:DR56" ca="1" si="891">CV53/$DN53-DR$5/100000</f>
        <v>2.550908945591239E-2</v>
      </c>
      <c r="DS53" s="41">
        <f t="shared" ref="DS53:DS56" ca="1" si="892">CW53/$DN53-DS$5/100000</f>
        <v>2.7323310131334676E-2</v>
      </c>
      <c r="DT53" s="41">
        <f t="shared" ref="DT53:DT56" ca="1" si="893">CX53/$DN53-DT$5/100000</f>
        <v>1.3631655065667337E-2</v>
      </c>
      <c r="DU53" s="41">
        <f t="shared" ref="DU53:DU56" ca="1" si="894">CY53/$DN53-DU$5/100000</f>
        <v>5.4126620262669404E-3</v>
      </c>
      <c r="DV53" s="41">
        <f t="shared" ref="DV53:DV56" ca="1" si="895">CZ53/$DN53-DV$5/100000</f>
        <v>1.2981655065667454E-3</v>
      </c>
      <c r="DW53" s="41">
        <f t="shared" ref="DW53:DW56" ca="1" si="896">DA53/$DN53-DW$5/100000</f>
        <v>0.10937324052533871</v>
      </c>
      <c r="DX53" s="41">
        <f t="shared" ref="DX53:DX56" ca="1" si="897">DB53/$DN53-DX$5/100000</f>
        <v>0.13672655065667338</v>
      </c>
      <c r="DY53" s="41">
        <f t="shared" ref="DY53:DY56" ca="1" si="898">DC53/$DN53-DY$5/100000</f>
        <v>0.2461697911820121</v>
      </c>
      <c r="DZ53" s="41">
        <f t="shared" ref="DZ53:DZ56" ca="1" si="899">DD53/$DN53-DZ$5/100000</f>
        <v>0.16406986078800809</v>
      </c>
      <c r="EA53" s="41">
        <f t="shared" ref="EA53:EA56" ca="1" si="900">DE53/$DN53-EA$5/100000</f>
        <v>-1.2E-4</v>
      </c>
      <c r="EB53" s="41">
        <f t="shared" ref="EB53:EB56" ca="1" si="901">DF53/$DN53-EB$5/100000</f>
        <v>-1.2999999999999999E-4</v>
      </c>
      <c r="EC53" s="41">
        <f t="shared" ref="EC53:EC56" ca="1" si="902">DG53/$DN53-EC$5/100000</f>
        <v>-1.3999999999999999E-4</v>
      </c>
      <c r="ED53" s="41">
        <f t="shared" ref="ED53:ED56" ca="1" si="903">DH53/$DN53-ED$5/100000</f>
        <v>-1.4999999999999999E-4</v>
      </c>
      <c r="EE53" s="41">
        <f t="shared" ref="EE53:EE56" ca="1" si="904">DI53/$DN53-EE$5/100000</f>
        <v>-1.6000000000000001E-4</v>
      </c>
      <c r="EF53" s="41">
        <f t="shared" ref="EF53:EF56" ca="1" si="905">DJ53/$DN53-EF$5/100000</f>
        <v>-1.7000000000000001E-4</v>
      </c>
      <c r="EG53" s="41">
        <f t="shared" ref="EG53:EG56" ca="1" si="906">DK53/$DN53-EG$5/100000</f>
        <v>-1.8000000000000001E-4</v>
      </c>
      <c r="EH53" s="41">
        <f t="shared" ref="EH53:EH56" ca="1" si="907">DL53/$DN53-EH$5/100000</f>
        <v>-1.9000000000000001E-4</v>
      </c>
      <c r="EI53" s="41">
        <f t="shared" ref="EI53:EI56" ca="1" si="908">DM53/$DN53-EI$5/100000</f>
        <v>-2.0000000000000001E-4</v>
      </c>
      <c r="EJ53" s="41">
        <f t="shared" ref="EJ53:EJ56" ca="1" si="909">SUM(DP53:EI53)</f>
        <v>0.99790000000000001</v>
      </c>
      <c r="EL53" s="378">
        <f t="shared" ref="EL53:EL56" ca="1" si="910">RANK(DP53,$DP53:$EI53)</f>
        <v>2</v>
      </c>
      <c r="EM53" s="378">
        <f t="shared" ref="EM53:EM56" ca="1" si="911">RANK(DQ53,$DP53:$EI53)</f>
        <v>6</v>
      </c>
      <c r="EN53" s="378">
        <f t="shared" ref="EN53:EN56" ca="1" si="912">RANK(DR53,$DP53:$EI53)</f>
        <v>8</v>
      </c>
      <c r="EO53" s="378">
        <f t="shared" ref="EO53:EO56" ca="1" si="913">RANK(DS53,$DP53:$EI53)</f>
        <v>7</v>
      </c>
      <c r="EP53" s="378">
        <f t="shared" ref="EP53:EP56" ca="1" si="914">RANK(DT53,$DP53:$EI53)</f>
        <v>9</v>
      </c>
      <c r="EQ53" s="378">
        <f t="shared" ref="EQ53:EQ56" ca="1" si="915">RANK(DU53,$DP53:$EI53)</f>
        <v>10</v>
      </c>
      <c r="ER53" s="378">
        <f t="shared" ref="ER53:ER56" ca="1" si="916">RANK(DV53,$DP53:$EI53)</f>
        <v>11</v>
      </c>
      <c r="ES53" s="378">
        <f t="shared" ref="ES53:ES56" ca="1" si="917">RANK(DW53,$DP53:$EI53)</f>
        <v>5</v>
      </c>
      <c r="ET53" s="378">
        <f t="shared" ref="ET53:ET56" ca="1" si="918">RANK(DX53,$DP53:$EI53)</f>
        <v>4</v>
      </c>
      <c r="EU53" s="378">
        <f t="shared" ref="EU53:EU56" ca="1" si="919">RANK(DY53,$DP53:$EI53)</f>
        <v>1</v>
      </c>
      <c r="EV53" s="378">
        <f t="shared" ref="EV53:EV56" ca="1" si="920">RANK(DZ53,$DP53:$EI53)</f>
        <v>3</v>
      </c>
      <c r="EW53" s="378">
        <f t="shared" ref="EW53:EW56" ca="1" si="921">RANK(EA53,$DP53:$EI53)</f>
        <v>12</v>
      </c>
      <c r="EX53" s="378">
        <f t="shared" ref="EX53:EX56" ca="1" si="922">RANK(EB53,$DP53:$EI53)</f>
        <v>13</v>
      </c>
      <c r="EY53" s="378">
        <f t="shared" ref="EY53:EY56" ca="1" si="923">RANK(EC53,$DP53:$EI53)</f>
        <v>14</v>
      </c>
      <c r="EZ53" s="378">
        <f t="shared" ref="EZ53:EZ56" ca="1" si="924">RANK(ED53,$DP53:$EI53)</f>
        <v>15</v>
      </c>
      <c r="FA53" s="378">
        <f t="shared" ref="FA53:FA56" ca="1" si="925">RANK(EE53,$DP53:$EI53)</f>
        <v>16</v>
      </c>
      <c r="FB53" s="378">
        <f t="shared" ref="FB53:FB56" ca="1" si="926">RANK(EF53,$DP53:$EI53)</f>
        <v>17</v>
      </c>
      <c r="FC53" s="378">
        <f t="shared" ref="FC53:FC56" ca="1" si="927">RANK(EG53,$DP53:$EI53)</f>
        <v>18</v>
      </c>
      <c r="FD53" s="378">
        <f t="shared" ref="FD53:FD56" ca="1" si="928">RANK(EH53,$DP53:$EI53)</f>
        <v>19</v>
      </c>
      <c r="FE53" s="378">
        <f t="shared" ref="FE53:FE56" ca="1" si="929">RANK(EI53,$DP53:$EI53)</f>
        <v>20</v>
      </c>
      <c r="FG53" s="378">
        <f t="shared" ca="1" si="841"/>
        <v>10</v>
      </c>
      <c r="FH53" s="378">
        <f t="shared" ca="1" si="841"/>
        <v>1</v>
      </c>
      <c r="FI53" s="378">
        <f t="shared" ca="1" si="841"/>
        <v>11</v>
      </c>
      <c r="FJ53" s="378">
        <f t="shared" ca="1" si="841"/>
        <v>9</v>
      </c>
      <c r="FK53" s="378">
        <f t="shared" ca="1" si="841"/>
        <v>8</v>
      </c>
      <c r="FL53" s="378">
        <f t="shared" ca="1" si="841"/>
        <v>2</v>
      </c>
      <c r="FM53" s="378">
        <f t="shared" ca="1" si="841"/>
        <v>4</v>
      </c>
      <c r="FN53" s="378">
        <f t="shared" ca="1" si="841"/>
        <v>3</v>
      </c>
      <c r="FO53" s="378">
        <f t="shared" ca="1" si="841"/>
        <v>5</v>
      </c>
      <c r="FP53" s="378">
        <f t="shared" ca="1" si="841"/>
        <v>6</v>
      </c>
      <c r="FQ53" s="378">
        <f t="shared" ca="1" si="841"/>
        <v>7</v>
      </c>
      <c r="FR53" s="378">
        <f t="shared" ca="1" si="841"/>
        <v>12</v>
      </c>
      <c r="FS53" s="378">
        <f t="shared" ca="1" si="841"/>
        <v>13</v>
      </c>
      <c r="FT53" s="378">
        <f t="shared" ca="1" si="841"/>
        <v>14</v>
      </c>
      <c r="FU53" s="378">
        <f t="shared" ca="1" si="841"/>
        <v>15</v>
      </c>
      <c r="FV53" s="378">
        <f t="shared" ca="1" si="841"/>
        <v>16</v>
      </c>
      <c r="FW53" s="378">
        <f t="shared" ca="1" si="841"/>
        <v>17</v>
      </c>
      <c r="FX53" s="378">
        <f t="shared" ca="1" si="841"/>
        <v>18</v>
      </c>
      <c r="FY53" s="378">
        <f t="shared" ca="1" si="841"/>
        <v>19</v>
      </c>
      <c r="FZ53" s="378">
        <f t="shared" ca="1" si="841"/>
        <v>20</v>
      </c>
      <c r="GB53" s="275" t="str">
        <f t="shared" ref="GB53:GB56" ca="1" si="930">IF(GB$5&lt;=$BV53,INDEX($Y53:$BL53,1,FG53*2-1)&amp;" ("&amp;TEXT(INDEX($DP53:$EI53,1,FG53),"0%")&amp;")","")</f>
        <v>Analytical Tools (25%)</v>
      </c>
      <c r="GC53" s="231" t="str">
        <f t="shared" ref="GC53:GC56" ca="1" si="931">IF(GC$5&lt;=$BV53,"; "&amp;INDEX($Y53:$BL53,1,FH53*2-1)&amp;" ("&amp;TEXT(INDEX($DP53:$EI53,1,FH53),"0%")&amp;")","")</f>
        <v>; BI Applications (17%)</v>
      </c>
      <c r="GD53" s="231" t="str">
        <f t="shared" ref="GD53:GD56" ca="1" si="932">IF(GD$5&lt;=$BV53,"; "&amp;INDEX($Y53:$BL53,1,FI53*2-1)&amp;" ("&amp;TEXT(INDEX($DP53:$EI53,1,FI53),"0%")&amp;")","")</f>
        <v>; Workflow and Collaboration (16%)</v>
      </c>
      <c r="GE53" s="231" t="str">
        <f t="shared" ref="GE53:GE56" ca="1" si="933">IF(GE$5&lt;=$BV53,"; "&amp;INDEX($Y53:$BL53,1,FJ53*2-1)&amp;" ("&amp;TEXT(INDEX($DP53:$EI53,1,FJ53),"0%")&amp;")","")</f>
        <v>; Scorecards / Dashboards (14%)</v>
      </c>
      <c r="GF53" s="231" t="str">
        <f t="shared" ref="GF53:GF56" ca="1" si="934">IF(GF$5&lt;=$BV53,"; "&amp;INDEX($Y53:$BL53,1,FK53*2-1)&amp;" ("&amp;TEXT(INDEX($DP53:$EI53,1,FK53),"0%")&amp;")","")</f>
        <v>; Reporting (11%)</v>
      </c>
      <c r="GG53" s="231" t="str">
        <f t="shared" ref="GG53:GG56" ca="1" si="935">IF(GG$5&lt;=$BV53,"; "&amp;INDEX($Y53:$BL53,1,FL53*2-1)&amp;" ("&amp;TEXT(INDEX($DP53:$EI53,1,FL53),"0%")&amp;")","")</f>
        <v>; Source System Inclusion / Integration (10%)</v>
      </c>
      <c r="GH53" s="231" t="str">
        <f t="shared" ref="GH53:GH56" ca="1" si="936">IF(GH$5&lt;=$BV53,"; "&amp;INDEX($Y53:$BL53,1,FM53*2-1)&amp;" ("&amp;TEXT(INDEX($DP53:$EI53,1,FM53),"0%")&amp;")","")</f>
        <v/>
      </c>
      <c r="GI53" s="231" t="str">
        <f t="shared" ref="GI53:GI56" ca="1" si="937">IF(GI$5&lt;=$BV53,"; "&amp;INDEX($Y53:$BL53,1,FN53*2-1)&amp;" ("&amp;TEXT(INDEX($DP53:$EI53,1,FN53),"0%")&amp;")","")</f>
        <v/>
      </c>
      <c r="GJ53" s="231" t="str">
        <f t="shared" ref="GJ53:GJ56" ca="1" si="938">IF(GJ$5&lt;=$BV53,"; "&amp;INDEX($Y53:$BL53,1,FO53*2-1)&amp;" ("&amp;TEXT(INDEX($DP53:$EI53,1,FO53),"0%")&amp;")","")</f>
        <v/>
      </c>
      <c r="GK53" s="231" t="str">
        <f t="shared" ref="GK53:GK56" ca="1" si="939">IF(GK$5&lt;=$BV53,"; "&amp;INDEX($Y53:$BL53,1,FP53*2-1)&amp;" ("&amp;TEXT(INDEX($DP53:$EI53,1,FP53),"0%")&amp;")","")</f>
        <v/>
      </c>
      <c r="GL53" s="231" t="str">
        <f t="shared" ref="GL53:GL56" ca="1" si="940">IF(GL$5&lt;=$BV53,"; "&amp;INDEX($Y53:$BL53,1,FQ53*2-1)&amp;" ("&amp;TEXT(INDEX($DP53:$EI53,1,FQ53),"0%")&amp;")","")</f>
        <v/>
      </c>
      <c r="GM53" s="231" t="str">
        <f t="shared" ref="GM53:GM56" ca="1" si="941">IF(GM$5&lt;=$BV53,"; "&amp;INDEX($Y53:$BL53,1,FR53*2-1)&amp;" ("&amp;TEXT(INDEX($DP53:$EI53,1,FR53),"0%")&amp;")","")</f>
        <v/>
      </c>
      <c r="GN53" s="231" t="str">
        <f t="shared" ref="GN53:GN56" ca="1" si="942">IF(GN$5&lt;=$BV53,"; "&amp;INDEX($Y53:$BL53,1,FS53*2-1)&amp;" ("&amp;TEXT(INDEX($DP53:$EI53,1,FS53),"0%")&amp;")","")</f>
        <v/>
      </c>
      <c r="GO53" s="231" t="str">
        <f t="shared" ref="GO53:GO56" ca="1" si="943">IF(GO$5&lt;=$BV53,"; "&amp;INDEX($Y53:$BL53,1,FT53*2-1)&amp;" ("&amp;TEXT(INDEX($DP53:$EI53,1,FT53),"0%")&amp;")","")</f>
        <v/>
      </c>
      <c r="GP53" s="231" t="str">
        <f t="shared" ref="GP53:GP56" ca="1" si="944">IF(GP$5&lt;=$BV53,"; "&amp;INDEX($Y53:$BL53,1,FU53*2-1)&amp;" ("&amp;TEXT(INDEX($DP53:$EI53,1,FU53),"0%")&amp;")","")</f>
        <v/>
      </c>
      <c r="GQ53" s="231" t="str">
        <f t="shared" ref="GQ53:GQ56" ca="1" si="945">IF(GQ$5&lt;=$BV53,"; "&amp;INDEX($Y53:$BL53,1,FV53*2-1)&amp;" ("&amp;TEXT(INDEX($DP53:$EI53,1,FV53),"0%")&amp;")","")</f>
        <v/>
      </c>
      <c r="GR53" s="231" t="str">
        <f t="shared" ref="GR53:GR56" ca="1" si="946">IF(GR$5&lt;=$BV53,"; "&amp;INDEX($Y53:$BL53,1,FW53*2-1)&amp;" ("&amp;TEXT(INDEX($DP53:$EI53,1,FW53),"0%")&amp;")","")</f>
        <v/>
      </c>
      <c r="GS53" s="231" t="str">
        <f t="shared" ref="GS53:GS56" ca="1" si="947">IF(GS$5&lt;=$BV53,"; "&amp;INDEX($Y53:$BL53,1,FX53*2-1)&amp;" ("&amp;TEXT(INDEX($DP53:$EI53,1,FX53),"0%")&amp;")","")</f>
        <v/>
      </c>
      <c r="GT53" s="231" t="str">
        <f t="shared" ref="GT53:GT56" ca="1" si="948">IF(GT$5&lt;=$BV53,"; "&amp;INDEX($Y53:$BL53,1,FY53*2-1)&amp;" ("&amp;TEXT(INDEX($DP53:$EI53,1,FY53),"0%")&amp;")","")</f>
        <v/>
      </c>
      <c r="GU53" s="231" t="str">
        <f t="shared" ref="GU53:GU56" ca="1" si="949">IF(GU$5&lt;=$BV53,"; "&amp;INDEX($Y53:$BL53,1,FZ53*2-1)&amp;" ("&amp;TEXT(INDEX($DP53:$EI53,1,FZ53),"0%")&amp;")","")</f>
        <v/>
      </c>
    </row>
    <row r="54" spans="1:203" s="386" customFormat="1" ht="15.75" hidden="1" customHeight="1">
      <c r="B54" s="373"/>
      <c r="C54" s="81" t="str">
        <f>Productivity!B8</f>
        <v>Data analysis</v>
      </c>
      <c r="D54" s="404">
        <f t="shared" ca="1" si="862"/>
        <v>0.42354953364377418</v>
      </c>
      <c r="E54" s="374">
        <f>ROW(Initiatives!$A$170)</f>
        <v>170</v>
      </c>
      <c r="F54" s="374">
        <f>ROW(Initiatives!$A$176)</f>
        <v>176</v>
      </c>
      <c r="G54" s="374">
        <f>ROW(Initiatives!$A$178)</f>
        <v>178</v>
      </c>
      <c r="H54" s="374">
        <f>ROW(Initiatives!$A$179)</f>
        <v>179</v>
      </c>
      <c r="I54" s="374">
        <f>ROW(Initiatives!$A$180)</f>
        <v>180</v>
      </c>
      <c r="J54" s="374">
        <f>ROW(Initiatives!$A$181)</f>
        <v>181</v>
      </c>
      <c r="K54" s="374">
        <f>ROW(Initiatives!$A$182)</f>
        <v>182</v>
      </c>
      <c r="L54" s="374">
        <f>ROW(Initiatives!$A$185)</f>
        <v>185</v>
      </c>
      <c r="M54" s="374">
        <f>ROW(Initiatives!$A$186)</f>
        <v>186</v>
      </c>
      <c r="N54" s="374">
        <f>ROW(Initiatives!$A$187)</f>
        <v>187</v>
      </c>
      <c r="O54" s="374">
        <f>ROW(Initiatives!$A$188)</f>
        <v>188</v>
      </c>
      <c r="P54" s="374"/>
      <c r="Q54" s="374"/>
      <c r="R54" s="374"/>
      <c r="S54" s="374"/>
      <c r="T54" s="374"/>
      <c r="U54" s="374"/>
      <c r="V54" s="374"/>
      <c r="W54" s="374"/>
      <c r="X54" s="374"/>
      <c r="Y54" s="392" t="str">
        <f ca="1">OFFSET(Initiatives!$D$1,E54-1,$BS$3)</f>
        <v>BI Applications</v>
      </c>
      <c r="Z54" s="375">
        <v>8</v>
      </c>
      <c r="AA54" s="392" t="str">
        <f ca="1">OFFSET(Initiatives!$D$1,F54-1,$BS$3)</f>
        <v>Source System Inclusion / Integration</v>
      </c>
      <c r="AB54" s="375">
        <v>6</v>
      </c>
      <c r="AC54" s="392" t="str">
        <f ca="1">OFFSET(Initiatives!$D$1,G54-1,$BS$3)</f>
        <v>Architecture Standards &amp; Adherence</v>
      </c>
      <c r="AD54" s="375">
        <v>3</v>
      </c>
      <c r="AE54" s="392" t="str">
        <f ca="1">OFFSET(Initiatives!$D$1,H54-1,$BS$3)</f>
        <v>Data Management</v>
      </c>
      <c r="AF54" s="375">
        <v>4</v>
      </c>
      <c r="AG54" s="392" t="str">
        <f ca="1">OFFSET(Initiatives!$D$1,I54-1,$BS$3)</f>
        <v>Data Integration/ETL</v>
      </c>
      <c r="AH54" s="375">
        <v>2</v>
      </c>
      <c r="AI54" s="392" t="str">
        <f ca="1">OFFSET(Initiatives!$D$1,J54-1,$BS$3)</f>
        <v>Data Warehouse / Data Marts</v>
      </c>
      <c r="AJ54" s="375">
        <v>3</v>
      </c>
      <c r="AK54" s="392" t="str">
        <f ca="1">OFFSET(Initiatives!$D$1,K54-1,$BS$3)</f>
        <v>Development</v>
      </c>
      <c r="AL54" s="375">
        <v>2</v>
      </c>
      <c r="AM54" s="392" t="str">
        <f ca="1">OFFSET(Initiatives!$D$1,L54-1,$BS$3)</f>
        <v>Reporting</v>
      </c>
      <c r="AN54" s="375">
        <v>7</v>
      </c>
      <c r="AO54" s="392" t="str">
        <f ca="1">OFFSET(Initiatives!$D$1,M54-1,$BS$3)</f>
        <v>Scorecards / Dashboards</v>
      </c>
      <c r="AP54" s="375">
        <v>5</v>
      </c>
      <c r="AQ54" s="392" t="str">
        <f ca="1">OFFSET(Initiatives!$D$1,N54-1,$BS$3)</f>
        <v>Analytical Tools</v>
      </c>
      <c r="AR54" s="375">
        <v>9</v>
      </c>
      <c r="AS54" s="392" t="str">
        <f ca="1">OFFSET(Initiatives!$D$1,O54-1,$BS$3)</f>
        <v>Workflow and Collaboration</v>
      </c>
      <c r="AT54" s="375">
        <v>5</v>
      </c>
      <c r="AU54" s="392" t="e">
        <f ca="1">OFFSET(Initiatives!$D$1,P54-1,$BS$3)</f>
        <v>#REF!</v>
      </c>
      <c r="AV54" s="375"/>
      <c r="AW54" s="392" t="e">
        <f ca="1">OFFSET(Initiatives!$D$1,Q54-1,$BS$3)</f>
        <v>#REF!</v>
      </c>
      <c r="AX54" s="375"/>
      <c r="AY54" s="392" t="e">
        <f ca="1">OFFSET(Initiatives!$D$1,R54-1,$BS$3)</f>
        <v>#REF!</v>
      </c>
      <c r="AZ54" s="375"/>
      <c r="BA54" s="392" t="e">
        <f ca="1">OFFSET(Initiatives!$D$1,S54-1,$BS$3)</f>
        <v>#REF!</v>
      </c>
      <c r="BB54" s="375"/>
      <c r="BC54" s="392" t="e">
        <f ca="1">OFFSET(Initiatives!$D$1,T54-1,$BS$3)</f>
        <v>#REF!</v>
      </c>
      <c r="BD54" s="375"/>
      <c r="BE54" s="392" t="e">
        <f ca="1">OFFSET(Initiatives!$D$1,U54-1,$BS$3)</f>
        <v>#REF!</v>
      </c>
      <c r="BF54" s="375"/>
      <c r="BG54" s="392" t="e">
        <f ca="1">OFFSET(Initiatives!$D$1,V54-1,$BS$3)</f>
        <v>#REF!</v>
      </c>
      <c r="BH54" s="375"/>
      <c r="BI54" s="392" t="e">
        <f ca="1">OFFSET(Initiatives!$D$1,W54-1,$BS$3)</f>
        <v>#REF!</v>
      </c>
      <c r="BJ54" s="375"/>
      <c r="BK54" s="392" t="e">
        <f ca="1">OFFSET(Initiatives!$D$1,X54-1,$BS$3)</f>
        <v>#REF!</v>
      </c>
      <c r="BL54" s="375"/>
      <c r="BN54" s="101">
        <f t="shared" si="863"/>
        <v>54.000100000000003</v>
      </c>
      <c r="BP54" s="231" t="str">
        <f t="shared" ca="1" si="864"/>
        <v>Analytical Tools (24%); BI Applications (16%); Workflow and Collaboration (16%); Reporting (15%); Scorecards / Dashboards (13%); Source System Inclusion / Integration (12%)</v>
      </c>
      <c r="BQ54" s="338">
        <v>0.01</v>
      </c>
      <c r="BR54" s="40">
        <f t="shared" ca="1" si="865"/>
        <v>6</v>
      </c>
      <c r="BS54" s="274">
        <v>0.05</v>
      </c>
      <c r="BT54" s="40">
        <f t="shared" ca="1" si="866"/>
        <v>6</v>
      </c>
      <c r="BU54" s="376">
        <v>7</v>
      </c>
      <c r="BV54" s="40">
        <f t="shared" ca="1" si="867"/>
        <v>6</v>
      </c>
      <c r="BY54" s="377">
        <f ca="1">IF(ISERROR(OFFSET(Initiatives!$D$1,E54-1,$BY$3)),,OFFSET(Initiatives!$D$1,E54-1,$BY$3))</f>
        <v>0.45555555555555544</v>
      </c>
      <c r="BZ54" s="377">
        <f ca="1">IF(ISERROR(OFFSET(Initiatives!$D$1,F54-1,$BY$3)),,OFFSET(Initiatives!$D$1,F54-1,$BY$3))</f>
        <v>0.45454545454545436</v>
      </c>
      <c r="CA54" s="377">
        <f ca="1">IF(ISERROR(OFFSET(Initiatives!$D$1,G54-1,$BY$3)),,OFFSET(Initiatives!$D$1,G54-1,$BY$3))</f>
        <v>0.14000000000000012</v>
      </c>
      <c r="CB54" s="377">
        <f ca="1">IF(ISERROR(OFFSET(Initiatives!$D$1,H54-1,$BY$3)),,OFFSET(Initiatives!$D$1,H54-1,$BY$3))</f>
        <v>9.9999999999999978E-2</v>
      </c>
      <c r="CC54" s="377">
        <f ca="1">IF(ISERROR(OFFSET(Initiatives!$D$1,I54-1,$BY$3)),,OFFSET(Initiatives!$D$1,I54-1,$BY$3))</f>
        <v>9.9999999999999978E-2</v>
      </c>
      <c r="CD54" s="377">
        <f ca="1">IF(ISERROR(OFFSET(Initiatives!$D$1,J54-1,$BY$3)),,OFFSET(Initiatives!$D$1,J54-1,$BY$3))</f>
        <v>3.0000000000000027E-2</v>
      </c>
      <c r="CE54" s="377">
        <f ca="1">IF(ISERROR(OFFSET(Initiatives!$D$1,K54-1,$BY$3)),,OFFSET(Initiatives!$D$1,K54-1,$BY$3))</f>
        <v>1.5000000000000124E-2</v>
      </c>
      <c r="CF54" s="377">
        <f ca="1">IF(ISERROR(OFFSET(Initiatives!$D$1,L54-1,$BY$3)),,OFFSET(Initiatives!$D$1,L54-1,$BY$3))</f>
        <v>0.48</v>
      </c>
      <c r="CG54" s="377">
        <f ca="1">IF(ISERROR(OFFSET(Initiatives!$D$1,M54-1,$BY$3)),,OFFSET(Initiatives!$D$1,M54-1,$BY$3))</f>
        <v>0.6</v>
      </c>
      <c r="CH54" s="377">
        <f ca="1">IF(ISERROR(OFFSET(Initiatives!$D$1,N54-1,$BY$3)),,OFFSET(Initiatives!$D$1,N54-1,$BY$3))</f>
        <v>0.6</v>
      </c>
      <c r="CI54" s="377">
        <f ca="1">IF(ISERROR(OFFSET(Initiatives!$D$1,O54-1,$BY$3)),,OFFSET(Initiatives!$D$1,O54-1,$BY$3))</f>
        <v>0.72000000000000008</v>
      </c>
      <c r="CJ54" s="377">
        <f ca="1">IF(ISERROR(OFFSET(Initiatives!$D$1,P54-1,$BY$3)),,OFFSET(Initiatives!$D$1,P54-1,$BY$3))</f>
        <v>0</v>
      </c>
      <c r="CK54" s="377">
        <f ca="1">IF(ISERROR(OFFSET(Initiatives!$D$1,Q54-1,$BY$3)),,OFFSET(Initiatives!$D$1,Q54-1,$BY$3))</f>
        <v>0</v>
      </c>
      <c r="CL54" s="377">
        <f ca="1">IF(ISERROR(OFFSET(Initiatives!$D$1,R54-1,$BY$3)),,OFFSET(Initiatives!$D$1,R54-1,$BY$3))</f>
        <v>0</v>
      </c>
      <c r="CM54" s="377">
        <f ca="1">IF(ISERROR(OFFSET(Initiatives!$D$1,S54-1,$BY$3)),,OFFSET(Initiatives!$D$1,S54-1,$BY$3))</f>
        <v>0</v>
      </c>
      <c r="CN54" s="377">
        <f ca="1">IF(ISERROR(OFFSET(Initiatives!$D$1,T54-1,$BY$3)),,OFFSET(Initiatives!$D$1,T54-1,$BY$3))</f>
        <v>0</v>
      </c>
      <c r="CO54" s="377">
        <f ca="1">IF(ISERROR(OFFSET(Initiatives!$D$1,U54-1,$BY$3)),,OFFSET(Initiatives!$D$1,U54-1,$BY$3))</f>
        <v>0</v>
      </c>
      <c r="CP54" s="377">
        <f ca="1">IF(ISERROR(OFFSET(Initiatives!$D$1,V54-1,$BY$3)),,OFFSET(Initiatives!$D$1,V54-1,$BY$3))</f>
        <v>0</v>
      </c>
      <c r="CQ54" s="377">
        <f ca="1">IF(ISERROR(OFFSET(Initiatives!$D$1,W54-1,$BY$3)),,OFFSET(Initiatives!$D$1,W54-1,$BY$3))</f>
        <v>0</v>
      </c>
      <c r="CR54" s="377">
        <f ca="1">IF(ISERROR(OFFSET(Initiatives!$D$1,X54-1,$BY$3)),,OFFSET(Initiatives!$D$1,X54-1,$BY$3))</f>
        <v>0</v>
      </c>
      <c r="CT54" s="41">
        <f t="shared" ca="1" si="868"/>
        <v>6.7489586953439776E-2</v>
      </c>
      <c r="CU54" s="41">
        <f t="shared" ca="1" si="869"/>
        <v>5.0504956977352376E-2</v>
      </c>
      <c r="CV54" s="41">
        <f t="shared" ca="1" si="870"/>
        <v>7.7777633745122763E-3</v>
      </c>
      <c r="CW54" s="41">
        <f t="shared" ca="1" si="871"/>
        <v>7.4073936900116832E-3</v>
      </c>
      <c r="CX54" s="41">
        <f t="shared" ca="1" si="872"/>
        <v>3.7036968450058416E-3</v>
      </c>
      <c r="CY54" s="41">
        <f t="shared" ca="1" si="873"/>
        <v>1.6666635802526305E-3</v>
      </c>
      <c r="CZ54" s="41">
        <f t="shared" ca="1" si="874"/>
        <v>5.5555452675088096E-4</v>
      </c>
      <c r="DA54" s="41">
        <f t="shared" ca="1" si="875"/>
        <v>6.2222106996098148E-2</v>
      </c>
      <c r="DB54" s="41">
        <f t="shared" ca="1" si="876"/>
        <v>5.5555452675087637E-2</v>
      </c>
      <c r="DC54" s="41">
        <f t="shared" ca="1" si="877"/>
        <v>9.9999814815157739E-2</v>
      </c>
      <c r="DD54" s="41">
        <f t="shared" ca="1" si="878"/>
        <v>6.6666543210105178E-2</v>
      </c>
      <c r="DE54" s="41">
        <f t="shared" ca="1" si="879"/>
        <v>0</v>
      </c>
      <c r="DF54" s="41">
        <f t="shared" ca="1" si="880"/>
        <v>0</v>
      </c>
      <c r="DG54" s="41">
        <f t="shared" ca="1" si="881"/>
        <v>0</v>
      </c>
      <c r="DH54" s="41">
        <f t="shared" ca="1" si="882"/>
        <v>0</v>
      </c>
      <c r="DI54" s="41">
        <f t="shared" ca="1" si="883"/>
        <v>0</v>
      </c>
      <c r="DJ54" s="41">
        <f t="shared" ca="1" si="884"/>
        <v>0</v>
      </c>
      <c r="DK54" s="41">
        <f t="shared" ca="1" si="885"/>
        <v>0</v>
      </c>
      <c r="DL54" s="41">
        <f t="shared" ca="1" si="886"/>
        <v>0</v>
      </c>
      <c r="DM54" s="41">
        <f t="shared" ca="1" si="887"/>
        <v>0</v>
      </c>
      <c r="DN54" s="41">
        <f t="shared" ca="1" si="888"/>
        <v>0.42354953364377418</v>
      </c>
      <c r="DP54" s="41">
        <f t="shared" ca="1" si="889"/>
        <v>0.15933284326281849</v>
      </c>
      <c r="DQ54" s="41">
        <f t="shared" ca="1" si="890"/>
        <v>0.11922214989179875</v>
      </c>
      <c r="DR54" s="41">
        <f t="shared" ca="1" si="891"/>
        <v>1.8333291083337033E-2</v>
      </c>
      <c r="DS54" s="41">
        <f t="shared" ca="1" si="892"/>
        <v>1.7448848650797155E-2</v>
      </c>
      <c r="DT54" s="41">
        <f t="shared" ca="1" si="893"/>
        <v>8.6944243253985771E-3</v>
      </c>
      <c r="DU54" s="41">
        <f t="shared" ca="1" si="894"/>
        <v>3.8749909464293637E-3</v>
      </c>
      <c r="DV54" s="41">
        <f t="shared" ca="1" si="895"/>
        <v>1.2416636488097976E-3</v>
      </c>
      <c r="DW54" s="41">
        <f t="shared" ca="1" si="896"/>
        <v>0.14682632866669609</v>
      </c>
      <c r="DX54" s="41">
        <f t="shared" ca="1" si="897"/>
        <v>0.13107636488097868</v>
      </c>
      <c r="DY54" s="41">
        <f t="shared" ca="1" si="898"/>
        <v>0.23599945678576162</v>
      </c>
      <c r="DZ54" s="41">
        <f t="shared" ca="1" si="899"/>
        <v>0.15728963785717445</v>
      </c>
      <c r="EA54" s="41">
        <f t="shared" ca="1" si="900"/>
        <v>-1.2E-4</v>
      </c>
      <c r="EB54" s="41">
        <f t="shared" ca="1" si="901"/>
        <v>-1.2999999999999999E-4</v>
      </c>
      <c r="EC54" s="41">
        <f t="shared" ca="1" si="902"/>
        <v>-1.3999999999999999E-4</v>
      </c>
      <c r="ED54" s="41">
        <f t="shared" ca="1" si="903"/>
        <v>-1.4999999999999999E-4</v>
      </c>
      <c r="EE54" s="41">
        <f t="shared" ca="1" si="904"/>
        <v>-1.6000000000000001E-4</v>
      </c>
      <c r="EF54" s="41">
        <f t="shared" ca="1" si="905"/>
        <v>-1.7000000000000001E-4</v>
      </c>
      <c r="EG54" s="41">
        <f t="shared" ca="1" si="906"/>
        <v>-1.8000000000000001E-4</v>
      </c>
      <c r="EH54" s="41">
        <f t="shared" ca="1" si="907"/>
        <v>-1.9000000000000001E-4</v>
      </c>
      <c r="EI54" s="41">
        <f t="shared" ca="1" si="908"/>
        <v>-2.0000000000000001E-4</v>
      </c>
      <c r="EJ54" s="41">
        <f t="shared" ca="1" si="909"/>
        <v>0.99790000000000001</v>
      </c>
      <c r="EL54" s="378">
        <f t="shared" ca="1" si="910"/>
        <v>2</v>
      </c>
      <c r="EM54" s="378">
        <f t="shared" ca="1" si="911"/>
        <v>6</v>
      </c>
      <c r="EN54" s="378">
        <f t="shared" ca="1" si="912"/>
        <v>7</v>
      </c>
      <c r="EO54" s="378">
        <f t="shared" ca="1" si="913"/>
        <v>8</v>
      </c>
      <c r="EP54" s="378">
        <f t="shared" ca="1" si="914"/>
        <v>9</v>
      </c>
      <c r="EQ54" s="378">
        <f t="shared" ca="1" si="915"/>
        <v>10</v>
      </c>
      <c r="ER54" s="378">
        <f t="shared" ca="1" si="916"/>
        <v>11</v>
      </c>
      <c r="ES54" s="378">
        <f t="shared" ca="1" si="917"/>
        <v>4</v>
      </c>
      <c r="ET54" s="378">
        <f t="shared" ca="1" si="918"/>
        <v>5</v>
      </c>
      <c r="EU54" s="378">
        <f t="shared" ca="1" si="919"/>
        <v>1</v>
      </c>
      <c r="EV54" s="378">
        <f t="shared" ca="1" si="920"/>
        <v>3</v>
      </c>
      <c r="EW54" s="378">
        <f t="shared" ca="1" si="921"/>
        <v>12</v>
      </c>
      <c r="EX54" s="378">
        <f t="shared" ca="1" si="922"/>
        <v>13</v>
      </c>
      <c r="EY54" s="378">
        <f t="shared" ca="1" si="923"/>
        <v>14</v>
      </c>
      <c r="EZ54" s="378">
        <f t="shared" ca="1" si="924"/>
        <v>15</v>
      </c>
      <c r="FA54" s="378">
        <f t="shared" ca="1" si="925"/>
        <v>16</v>
      </c>
      <c r="FB54" s="378">
        <f t="shared" ca="1" si="926"/>
        <v>17</v>
      </c>
      <c r="FC54" s="378">
        <f t="shared" ca="1" si="927"/>
        <v>18</v>
      </c>
      <c r="FD54" s="378">
        <f t="shared" ca="1" si="928"/>
        <v>19</v>
      </c>
      <c r="FE54" s="378">
        <f t="shared" ca="1" si="929"/>
        <v>20</v>
      </c>
      <c r="FG54" s="378">
        <f t="shared" ca="1" si="841"/>
        <v>10</v>
      </c>
      <c r="FH54" s="378">
        <f t="shared" ca="1" si="841"/>
        <v>1</v>
      </c>
      <c r="FI54" s="378">
        <f t="shared" ca="1" si="841"/>
        <v>11</v>
      </c>
      <c r="FJ54" s="378">
        <f t="shared" ca="1" si="841"/>
        <v>8</v>
      </c>
      <c r="FK54" s="378">
        <f t="shared" ca="1" si="841"/>
        <v>9</v>
      </c>
      <c r="FL54" s="378">
        <f t="shared" ca="1" si="841"/>
        <v>2</v>
      </c>
      <c r="FM54" s="378">
        <f t="shared" ca="1" si="841"/>
        <v>3</v>
      </c>
      <c r="FN54" s="378">
        <f t="shared" ca="1" si="841"/>
        <v>4</v>
      </c>
      <c r="FO54" s="378">
        <f t="shared" ca="1" si="841"/>
        <v>5</v>
      </c>
      <c r="FP54" s="378">
        <f t="shared" ca="1" si="841"/>
        <v>6</v>
      </c>
      <c r="FQ54" s="378">
        <f t="shared" ca="1" si="841"/>
        <v>7</v>
      </c>
      <c r="FR54" s="378">
        <f t="shared" ca="1" si="841"/>
        <v>12</v>
      </c>
      <c r="FS54" s="378">
        <f t="shared" ca="1" si="841"/>
        <v>13</v>
      </c>
      <c r="FT54" s="378">
        <f t="shared" ca="1" si="841"/>
        <v>14</v>
      </c>
      <c r="FU54" s="378">
        <f t="shared" ca="1" si="841"/>
        <v>15</v>
      </c>
      <c r="FV54" s="378">
        <f t="shared" ca="1" si="841"/>
        <v>16</v>
      </c>
      <c r="FW54" s="378">
        <f t="shared" ca="1" si="841"/>
        <v>17</v>
      </c>
      <c r="FX54" s="378">
        <f t="shared" ca="1" si="841"/>
        <v>18</v>
      </c>
      <c r="FY54" s="378">
        <f t="shared" ca="1" si="841"/>
        <v>19</v>
      </c>
      <c r="FZ54" s="378">
        <f t="shared" ca="1" si="841"/>
        <v>20</v>
      </c>
      <c r="GB54" s="275" t="str">
        <f t="shared" ca="1" si="930"/>
        <v>Analytical Tools (24%)</v>
      </c>
      <c r="GC54" s="231" t="str">
        <f t="shared" ca="1" si="931"/>
        <v>; BI Applications (16%)</v>
      </c>
      <c r="GD54" s="231" t="str">
        <f t="shared" ca="1" si="932"/>
        <v>; Workflow and Collaboration (16%)</v>
      </c>
      <c r="GE54" s="231" t="str">
        <f t="shared" ca="1" si="933"/>
        <v>; Reporting (15%)</v>
      </c>
      <c r="GF54" s="231" t="str">
        <f t="shared" ca="1" si="934"/>
        <v>; Scorecards / Dashboards (13%)</v>
      </c>
      <c r="GG54" s="231" t="str">
        <f t="shared" ca="1" si="935"/>
        <v>; Source System Inclusion / Integration (12%)</v>
      </c>
      <c r="GH54" s="231" t="str">
        <f t="shared" ca="1" si="936"/>
        <v/>
      </c>
      <c r="GI54" s="231" t="str">
        <f t="shared" ca="1" si="937"/>
        <v/>
      </c>
      <c r="GJ54" s="231" t="str">
        <f t="shared" ca="1" si="938"/>
        <v/>
      </c>
      <c r="GK54" s="231" t="str">
        <f t="shared" ca="1" si="939"/>
        <v/>
      </c>
      <c r="GL54" s="231" t="str">
        <f t="shared" ca="1" si="940"/>
        <v/>
      </c>
      <c r="GM54" s="231" t="str">
        <f t="shared" ca="1" si="941"/>
        <v/>
      </c>
      <c r="GN54" s="231" t="str">
        <f t="shared" ca="1" si="942"/>
        <v/>
      </c>
      <c r="GO54" s="231" t="str">
        <f t="shared" ca="1" si="943"/>
        <v/>
      </c>
      <c r="GP54" s="231" t="str">
        <f t="shared" ca="1" si="944"/>
        <v/>
      </c>
      <c r="GQ54" s="231" t="str">
        <f t="shared" ca="1" si="945"/>
        <v/>
      </c>
      <c r="GR54" s="231" t="str">
        <f t="shared" ca="1" si="946"/>
        <v/>
      </c>
      <c r="GS54" s="231" t="str">
        <f t="shared" ca="1" si="947"/>
        <v/>
      </c>
      <c r="GT54" s="231" t="str">
        <f t="shared" ca="1" si="948"/>
        <v/>
      </c>
      <c r="GU54" s="231" t="str">
        <f t="shared" ca="1" si="949"/>
        <v/>
      </c>
    </row>
    <row r="55" spans="1:203" s="386" customFormat="1" ht="15.75" hidden="1" customHeight="1">
      <c r="B55" s="373"/>
      <c r="C55" s="81" t="str">
        <f>Productivity!B9</f>
        <v>Ad hoc document creation</v>
      </c>
      <c r="D55" s="404">
        <f t="shared" ca="1" si="862"/>
        <v>0.44625862338479244</v>
      </c>
      <c r="E55" s="374">
        <f>ROW(Initiatives!$A$170)</f>
        <v>170</v>
      </c>
      <c r="F55" s="374">
        <f>ROW(Initiatives!$A$176)</f>
        <v>176</v>
      </c>
      <c r="G55" s="374">
        <f>ROW(Initiatives!$A$178)</f>
        <v>178</v>
      </c>
      <c r="H55" s="374">
        <f>ROW(Initiatives!$A$179)</f>
        <v>179</v>
      </c>
      <c r="I55" s="374">
        <f>ROW(Initiatives!$A$180)</f>
        <v>180</v>
      </c>
      <c r="J55" s="374">
        <f>ROW(Initiatives!$A$181)</f>
        <v>181</v>
      </c>
      <c r="K55" s="374">
        <f>ROW(Initiatives!$A$182)</f>
        <v>182</v>
      </c>
      <c r="L55" s="374">
        <f>ROW(Initiatives!$A$185)</f>
        <v>185</v>
      </c>
      <c r="M55" s="374">
        <f>ROW(Initiatives!$A$186)</f>
        <v>186</v>
      </c>
      <c r="N55" s="374">
        <f>ROW(Initiatives!$A$187)</f>
        <v>187</v>
      </c>
      <c r="O55" s="374">
        <f>ROW(Initiatives!$A$188)</f>
        <v>188</v>
      </c>
      <c r="P55" s="374"/>
      <c r="Q55" s="374"/>
      <c r="R55" s="374"/>
      <c r="S55" s="374"/>
      <c r="T55" s="374"/>
      <c r="U55" s="374"/>
      <c r="V55" s="374"/>
      <c r="W55" s="374"/>
      <c r="X55" s="374"/>
      <c r="Y55" s="392" t="str">
        <f ca="1">OFFSET(Initiatives!$D$1,E55-1,$BS$3)</f>
        <v>BI Applications</v>
      </c>
      <c r="Z55" s="375">
        <v>8</v>
      </c>
      <c r="AA55" s="392" t="str">
        <f ca="1">OFFSET(Initiatives!$D$1,F55-1,$BS$3)</f>
        <v>Source System Inclusion / Integration</v>
      </c>
      <c r="AB55" s="375">
        <v>6</v>
      </c>
      <c r="AC55" s="392" t="str">
        <f ca="1">OFFSET(Initiatives!$D$1,G55-1,$BS$3)</f>
        <v>Architecture Standards &amp; Adherence</v>
      </c>
      <c r="AD55" s="375">
        <v>3</v>
      </c>
      <c r="AE55" s="392" t="str">
        <f ca="1">OFFSET(Initiatives!$D$1,H55-1,$BS$3)</f>
        <v>Data Management</v>
      </c>
      <c r="AF55" s="375">
        <v>2</v>
      </c>
      <c r="AG55" s="392" t="str">
        <f ca="1">OFFSET(Initiatives!$D$1,I55-1,$BS$3)</f>
        <v>Data Integration/ETL</v>
      </c>
      <c r="AH55" s="375">
        <v>1</v>
      </c>
      <c r="AI55" s="392" t="str">
        <f ca="1">OFFSET(Initiatives!$D$1,J55-1,$BS$3)</f>
        <v>Data Warehouse / Data Marts</v>
      </c>
      <c r="AJ55" s="375">
        <v>4</v>
      </c>
      <c r="AK55" s="392" t="str">
        <f ca="1">OFFSET(Initiatives!$D$1,K55-1,$BS$3)</f>
        <v>Development</v>
      </c>
      <c r="AL55" s="375">
        <v>1</v>
      </c>
      <c r="AM55" s="392" t="str">
        <f ca="1">OFFSET(Initiatives!$D$1,L55-1,$BS$3)</f>
        <v>Reporting</v>
      </c>
      <c r="AN55" s="375">
        <v>4</v>
      </c>
      <c r="AO55" s="392" t="str">
        <f ca="1">OFFSET(Initiatives!$D$1,M55-1,$BS$3)</f>
        <v>Scorecards / Dashboards</v>
      </c>
      <c r="AP55" s="375">
        <v>5</v>
      </c>
      <c r="AQ55" s="392" t="str">
        <f ca="1">OFFSET(Initiatives!$D$1,N55-1,$BS$3)</f>
        <v>Analytical Tools</v>
      </c>
      <c r="AR55" s="375">
        <v>9</v>
      </c>
      <c r="AS55" s="392" t="str">
        <f ca="1">OFFSET(Initiatives!$D$1,O55-1,$BS$3)</f>
        <v>Workflow and Collaboration</v>
      </c>
      <c r="AT55" s="375">
        <v>6</v>
      </c>
      <c r="AU55" s="392" t="e">
        <f ca="1">OFFSET(Initiatives!$D$1,P55-1,$BS$3)</f>
        <v>#REF!</v>
      </c>
      <c r="AV55" s="375"/>
      <c r="AW55" s="392" t="e">
        <f ca="1">OFFSET(Initiatives!$D$1,Q55-1,$BS$3)</f>
        <v>#REF!</v>
      </c>
      <c r="AX55" s="375"/>
      <c r="AY55" s="392" t="e">
        <f ca="1">OFFSET(Initiatives!$D$1,R55-1,$BS$3)</f>
        <v>#REF!</v>
      </c>
      <c r="AZ55" s="375"/>
      <c r="BA55" s="392" t="e">
        <f ca="1">OFFSET(Initiatives!$D$1,S55-1,$BS$3)</f>
        <v>#REF!</v>
      </c>
      <c r="BB55" s="375"/>
      <c r="BC55" s="392" t="e">
        <f ca="1">OFFSET(Initiatives!$D$1,T55-1,$BS$3)</f>
        <v>#REF!</v>
      </c>
      <c r="BD55" s="375"/>
      <c r="BE55" s="392" t="e">
        <f ca="1">OFFSET(Initiatives!$D$1,U55-1,$BS$3)</f>
        <v>#REF!</v>
      </c>
      <c r="BF55" s="375"/>
      <c r="BG55" s="392" t="e">
        <f ca="1">OFFSET(Initiatives!$D$1,V55-1,$BS$3)</f>
        <v>#REF!</v>
      </c>
      <c r="BH55" s="375"/>
      <c r="BI55" s="392" t="e">
        <f ca="1">OFFSET(Initiatives!$D$1,W55-1,$BS$3)</f>
        <v>#REF!</v>
      </c>
      <c r="BJ55" s="375"/>
      <c r="BK55" s="392" t="e">
        <f ca="1">OFFSET(Initiatives!$D$1,X55-1,$BS$3)</f>
        <v>#REF!</v>
      </c>
      <c r="BL55" s="375"/>
      <c r="BN55" s="101">
        <f t="shared" si="863"/>
        <v>49.000100000000003</v>
      </c>
      <c r="BP55" s="231" t="str">
        <f t="shared" ca="1" si="864"/>
        <v>Analytical Tools (25%); Workflow and Collaboration (20%); BI Applications (17%); Scorecards / Dashboards (14%); Source System Inclusion / Integration (12%); Reporting (9%)</v>
      </c>
      <c r="BQ55" s="338">
        <v>0.01</v>
      </c>
      <c r="BR55" s="40">
        <f t="shared" ca="1" si="865"/>
        <v>6</v>
      </c>
      <c r="BS55" s="274">
        <v>0.05</v>
      </c>
      <c r="BT55" s="40">
        <f t="shared" ca="1" si="866"/>
        <v>6</v>
      </c>
      <c r="BU55" s="376">
        <v>7</v>
      </c>
      <c r="BV55" s="40">
        <f t="shared" ca="1" si="867"/>
        <v>6</v>
      </c>
      <c r="BY55" s="377">
        <f ca="1">IF(ISERROR(OFFSET(Initiatives!$D$1,E55-1,$BY$3)),,OFFSET(Initiatives!$D$1,E55-1,$BY$3))</f>
        <v>0.45555555555555544</v>
      </c>
      <c r="BZ55" s="377">
        <f ca="1">IF(ISERROR(OFFSET(Initiatives!$D$1,F55-1,$BY$3)),,OFFSET(Initiatives!$D$1,F55-1,$BY$3))</f>
        <v>0.45454545454545436</v>
      </c>
      <c r="CA55" s="377">
        <f ca="1">IF(ISERROR(OFFSET(Initiatives!$D$1,G55-1,$BY$3)),,OFFSET(Initiatives!$D$1,G55-1,$BY$3))</f>
        <v>0.14000000000000012</v>
      </c>
      <c r="CB55" s="377">
        <f ca="1">IF(ISERROR(OFFSET(Initiatives!$D$1,H55-1,$BY$3)),,OFFSET(Initiatives!$D$1,H55-1,$BY$3))</f>
        <v>9.9999999999999978E-2</v>
      </c>
      <c r="CC55" s="377">
        <f ca="1">IF(ISERROR(OFFSET(Initiatives!$D$1,I55-1,$BY$3)),,OFFSET(Initiatives!$D$1,I55-1,$BY$3))</f>
        <v>9.9999999999999978E-2</v>
      </c>
      <c r="CD55" s="377">
        <f ca="1">IF(ISERROR(OFFSET(Initiatives!$D$1,J55-1,$BY$3)),,OFFSET(Initiatives!$D$1,J55-1,$BY$3))</f>
        <v>3.0000000000000027E-2</v>
      </c>
      <c r="CE55" s="377">
        <f ca="1">IF(ISERROR(OFFSET(Initiatives!$D$1,K55-1,$BY$3)),,OFFSET(Initiatives!$D$1,K55-1,$BY$3))</f>
        <v>1.5000000000000124E-2</v>
      </c>
      <c r="CF55" s="377">
        <f ca="1">IF(ISERROR(OFFSET(Initiatives!$D$1,L55-1,$BY$3)),,OFFSET(Initiatives!$D$1,L55-1,$BY$3))</f>
        <v>0.48</v>
      </c>
      <c r="CG55" s="377">
        <f ca="1">IF(ISERROR(OFFSET(Initiatives!$D$1,M55-1,$BY$3)),,OFFSET(Initiatives!$D$1,M55-1,$BY$3))</f>
        <v>0.6</v>
      </c>
      <c r="CH55" s="377">
        <f ca="1">IF(ISERROR(OFFSET(Initiatives!$D$1,N55-1,$BY$3)),,OFFSET(Initiatives!$D$1,N55-1,$BY$3))</f>
        <v>0.6</v>
      </c>
      <c r="CI55" s="377">
        <f ca="1">IF(ISERROR(OFFSET(Initiatives!$D$1,O55-1,$BY$3)),,OFFSET(Initiatives!$D$1,O55-1,$BY$3))</f>
        <v>0.72000000000000008</v>
      </c>
      <c r="CJ55" s="377">
        <f ca="1">IF(ISERROR(OFFSET(Initiatives!$D$1,P55-1,$BY$3)),,OFFSET(Initiatives!$D$1,P55-1,$BY$3))</f>
        <v>0</v>
      </c>
      <c r="CK55" s="377">
        <f ca="1">IF(ISERROR(OFFSET(Initiatives!$D$1,Q55-1,$BY$3)),,OFFSET(Initiatives!$D$1,Q55-1,$BY$3))</f>
        <v>0</v>
      </c>
      <c r="CL55" s="377">
        <f ca="1">IF(ISERROR(OFFSET(Initiatives!$D$1,R55-1,$BY$3)),,OFFSET(Initiatives!$D$1,R55-1,$BY$3))</f>
        <v>0</v>
      </c>
      <c r="CM55" s="377">
        <f ca="1">IF(ISERROR(OFFSET(Initiatives!$D$1,S55-1,$BY$3)),,OFFSET(Initiatives!$D$1,S55-1,$BY$3))</f>
        <v>0</v>
      </c>
      <c r="CN55" s="377">
        <f ca="1">IF(ISERROR(OFFSET(Initiatives!$D$1,T55-1,$BY$3)),,OFFSET(Initiatives!$D$1,T55-1,$BY$3))</f>
        <v>0</v>
      </c>
      <c r="CO55" s="377">
        <f ca="1">IF(ISERROR(OFFSET(Initiatives!$D$1,U55-1,$BY$3)),,OFFSET(Initiatives!$D$1,U55-1,$BY$3))</f>
        <v>0</v>
      </c>
      <c r="CP55" s="377">
        <f ca="1">IF(ISERROR(OFFSET(Initiatives!$D$1,V55-1,$BY$3)),,OFFSET(Initiatives!$D$1,V55-1,$BY$3))</f>
        <v>0</v>
      </c>
      <c r="CQ55" s="377">
        <f ca="1">IF(ISERROR(OFFSET(Initiatives!$D$1,W55-1,$BY$3)),,OFFSET(Initiatives!$D$1,W55-1,$BY$3))</f>
        <v>0</v>
      </c>
      <c r="CR55" s="377">
        <f ca="1">IF(ISERROR(OFFSET(Initiatives!$D$1,X55-1,$BY$3)),,OFFSET(Initiatives!$D$1,X55-1,$BY$3))</f>
        <v>0</v>
      </c>
      <c r="CT55" s="41">
        <f t="shared" ca="1" si="868"/>
        <v>7.437626544526324E-2</v>
      </c>
      <c r="CU55" s="41">
        <f t="shared" ca="1" si="869"/>
        <v>5.5658513498395429E-2</v>
      </c>
      <c r="CV55" s="41">
        <f t="shared" ca="1" si="870"/>
        <v>8.571411078752908E-3</v>
      </c>
      <c r="CW55" s="41">
        <f t="shared" ca="1" si="871"/>
        <v>4.0816243232156659E-3</v>
      </c>
      <c r="CX55" s="41">
        <f t="shared" ca="1" si="872"/>
        <v>2.0408121616078329E-3</v>
      </c>
      <c r="CY55" s="41">
        <f t="shared" ca="1" si="873"/>
        <v>2.4489745939294022E-3</v>
      </c>
      <c r="CZ55" s="41">
        <f t="shared" ca="1" si="874"/>
        <v>3.0612182424117755E-4</v>
      </c>
      <c r="DA55" s="41">
        <f t="shared" ca="1" si="875"/>
        <v>3.9183593502870401E-2</v>
      </c>
      <c r="DB55" s="41">
        <f t="shared" ca="1" si="876"/>
        <v>6.1224364848234999E-2</v>
      </c>
      <c r="DC55" s="41">
        <f t="shared" ca="1" si="877"/>
        <v>0.11020385672682299</v>
      </c>
      <c r="DD55" s="41">
        <f t="shared" ca="1" si="878"/>
        <v>8.8163085381458409E-2</v>
      </c>
      <c r="DE55" s="41">
        <f t="shared" ca="1" si="879"/>
        <v>0</v>
      </c>
      <c r="DF55" s="41">
        <f t="shared" ca="1" si="880"/>
        <v>0</v>
      </c>
      <c r="DG55" s="41">
        <f t="shared" ca="1" si="881"/>
        <v>0</v>
      </c>
      <c r="DH55" s="41">
        <f t="shared" ca="1" si="882"/>
        <v>0</v>
      </c>
      <c r="DI55" s="41">
        <f t="shared" ca="1" si="883"/>
        <v>0</v>
      </c>
      <c r="DJ55" s="41">
        <f t="shared" ca="1" si="884"/>
        <v>0</v>
      </c>
      <c r="DK55" s="41">
        <f t="shared" ca="1" si="885"/>
        <v>0</v>
      </c>
      <c r="DL55" s="41">
        <f t="shared" ca="1" si="886"/>
        <v>0</v>
      </c>
      <c r="DM55" s="41">
        <f t="shared" ca="1" si="887"/>
        <v>0</v>
      </c>
      <c r="DN55" s="41">
        <f t="shared" ca="1" si="888"/>
        <v>0.44625862338479244</v>
      </c>
      <c r="DP55" s="41">
        <f t="shared" ca="1" si="889"/>
        <v>0.16665628172052444</v>
      </c>
      <c r="DQ55" s="41">
        <f t="shared" ca="1" si="890"/>
        <v>0.12470255006801993</v>
      </c>
      <c r="DR55" s="41">
        <f t="shared" ca="1" si="891"/>
        <v>1.9177272710475098E-2</v>
      </c>
      <c r="DS55" s="41">
        <f t="shared" ca="1" si="892"/>
        <v>9.1063203383214639E-3</v>
      </c>
      <c r="DT55" s="41">
        <f t="shared" ca="1" si="893"/>
        <v>4.5231601691607323E-3</v>
      </c>
      <c r="DU55" s="41">
        <f t="shared" ca="1" si="894"/>
        <v>5.4277922029928845E-3</v>
      </c>
      <c r="DV55" s="41">
        <f t="shared" ca="1" si="895"/>
        <v>6.1597402537411571E-4</v>
      </c>
      <c r="DW55" s="41">
        <f t="shared" ca="1" si="896"/>
        <v>8.7724675247886089E-2</v>
      </c>
      <c r="DX55" s="41">
        <f t="shared" ca="1" si="897"/>
        <v>0.13710480507482198</v>
      </c>
      <c r="DY55" s="41">
        <f t="shared" ca="1" si="898"/>
        <v>0.24685064913467958</v>
      </c>
      <c r="DZ55" s="41">
        <f t="shared" ca="1" si="899"/>
        <v>0.19745051930774368</v>
      </c>
      <c r="EA55" s="41">
        <f t="shared" ca="1" si="900"/>
        <v>-1.2E-4</v>
      </c>
      <c r="EB55" s="41">
        <f t="shared" ca="1" si="901"/>
        <v>-1.2999999999999999E-4</v>
      </c>
      <c r="EC55" s="41">
        <f t="shared" ca="1" si="902"/>
        <v>-1.3999999999999999E-4</v>
      </c>
      <c r="ED55" s="41">
        <f t="shared" ca="1" si="903"/>
        <v>-1.4999999999999999E-4</v>
      </c>
      <c r="EE55" s="41">
        <f t="shared" ca="1" si="904"/>
        <v>-1.6000000000000001E-4</v>
      </c>
      <c r="EF55" s="41">
        <f t="shared" ca="1" si="905"/>
        <v>-1.7000000000000001E-4</v>
      </c>
      <c r="EG55" s="41">
        <f t="shared" ca="1" si="906"/>
        <v>-1.8000000000000001E-4</v>
      </c>
      <c r="EH55" s="41">
        <f t="shared" ca="1" si="907"/>
        <v>-1.9000000000000001E-4</v>
      </c>
      <c r="EI55" s="41">
        <f t="shared" ca="1" si="908"/>
        <v>-2.0000000000000001E-4</v>
      </c>
      <c r="EJ55" s="41">
        <f t="shared" ca="1" si="909"/>
        <v>0.99790000000000001</v>
      </c>
      <c r="EL55" s="378">
        <f t="shared" ca="1" si="910"/>
        <v>3</v>
      </c>
      <c r="EM55" s="378">
        <f t="shared" ca="1" si="911"/>
        <v>5</v>
      </c>
      <c r="EN55" s="378">
        <f t="shared" ca="1" si="912"/>
        <v>7</v>
      </c>
      <c r="EO55" s="378">
        <f t="shared" ca="1" si="913"/>
        <v>8</v>
      </c>
      <c r="EP55" s="378">
        <f t="shared" ca="1" si="914"/>
        <v>10</v>
      </c>
      <c r="EQ55" s="378">
        <f t="shared" ca="1" si="915"/>
        <v>9</v>
      </c>
      <c r="ER55" s="378">
        <f t="shared" ca="1" si="916"/>
        <v>11</v>
      </c>
      <c r="ES55" s="378">
        <f t="shared" ca="1" si="917"/>
        <v>6</v>
      </c>
      <c r="ET55" s="378">
        <f t="shared" ca="1" si="918"/>
        <v>4</v>
      </c>
      <c r="EU55" s="378">
        <f t="shared" ca="1" si="919"/>
        <v>1</v>
      </c>
      <c r="EV55" s="378">
        <f t="shared" ca="1" si="920"/>
        <v>2</v>
      </c>
      <c r="EW55" s="378">
        <f t="shared" ca="1" si="921"/>
        <v>12</v>
      </c>
      <c r="EX55" s="378">
        <f t="shared" ca="1" si="922"/>
        <v>13</v>
      </c>
      <c r="EY55" s="378">
        <f t="shared" ca="1" si="923"/>
        <v>14</v>
      </c>
      <c r="EZ55" s="378">
        <f t="shared" ca="1" si="924"/>
        <v>15</v>
      </c>
      <c r="FA55" s="378">
        <f t="shared" ca="1" si="925"/>
        <v>16</v>
      </c>
      <c r="FB55" s="378">
        <f t="shared" ca="1" si="926"/>
        <v>17</v>
      </c>
      <c r="FC55" s="378">
        <f t="shared" ca="1" si="927"/>
        <v>18</v>
      </c>
      <c r="FD55" s="378">
        <f t="shared" ca="1" si="928"/>
        <v>19</v>
      </c>
      <c r="FE55" s="378">
        <f t="shared" ca="1" si="929"/>
        <v>20</v>
      </c>
      <c r="FG55" s="378">
        <f t="shared" ca="1" si="841"/>
        <v>10</v>
      </c>
      <c r="FH55" s="378">
        <f t="shared" ca="1" si="841"/>
        <v>11</v>
      </c>
      <c r="FI55" s="378">
        <f t="shared" ca="1" si="841"/>
        <v>1</v>
      </c>
      <c r="FJ55" s="378">
        <f t="shared" ca="1" si="841"/>
        <v>9</v>
      </c>
      <c r="FK55" s="378">
        <f t="shared" ca="1" si="841"/>
        <v>2</v>
      </c>
      <c r="FL55" s="378">
        <f t="shared" ca="1" si="841"/>
        <v>8</v>
      </c>
      <c r="FM55" s="378">
        <f t="shared" ca="1" si="841"/>
        <v>3</v>
      </c>
      <c r="FN55" s="378">
        <f t="shared" ca="1" si="841"/>
        <v>4</v>
      </c>
      <c r="FO55" s="378">
        <f t="shared" ca="1" si="841"/>
        <v>6</v>
      </c>
      <c r="FP55" s="378">
        <f t="shared" ca="1" si="841"/>
        <v>5</v>
      </c>
      <c r="FQ55" s="378">
        <f t="shared" ca="1" si="841"/>
        <v>7</v>
      </c>
      <c r="FR55" s="378">
        <f t="shared" ca="1" si="841"/>
        <v>12</v>
      </c>
      <c r="FS55" s="378">
        <f t="shared" ca="1" si="841"/>
        <v>13</v>
      </c>
      <c r="FT55" s="378">
        <f t="shared" ca="1" si="841"/>
        <v>14</v>
      </c>
      <c r="FU55" s="378">
        <f t="shared" ca="1" si="841"/>
        <v>15</v>
      </c>
      <c r="FV55" s="378">
        <f t="shared" ca="1" si="841"/>
        <v>16</v>
      </c>
      <c r="FW55" s="378">
        <f t="shared" ca="1" si="841"/>
        <v>17</v>
      </c>
      <c r="FX55" s="378">
        <f t="shared" ca="1" si="841"/>
        <v>18</v>
      </c>
      <c r="FY55" s="378">
        <f t="shared" ca="1" si="841"/>
        <v>19</v>
      </c>
      <c r="FZ55" s="378">
        <f t="shared" ca="1" si="841"/>
        <v>20</v>
      </c>
      <c r="GB55" s="275" t="str">
        <f t="shared" ca="1" si="930"/>
        <v>Analytical Tools (25%)</v>
      </c>
      <c r="GC55" s="231" t="str">
        <f t="shared" ca="1" si="931"/>
        <v>; Workflow and Collaboration (20%)</v>
      </c>
      <c r="GD55" s="231" t="str">
        <f t="shared" ca="1" si="932"/>
        <v>; BI Applications (17%)</v>
      </c>
      <c r="GE55" s="231" t="str">
        <f t="shared" ca="1" si="933"/>
        <v>; Scorecards / Dashboards (14%)</v>
      </c>
      <c r="GF55" s="231" t="str">
        <f t="shared" ca="1" si="934"/>
        <v>; Source System Inclusion / Integration (12%)</v>
      </c>
      <c r="GG55" s="231" t="str">
        <f t="shared" ca="1" si="935"/>
        <v>; Reporting (9%)</v>
      </c>
      <c r="GH55" s="231" t="str">
        <f t="shared" ca="1" si="936"/>
        <v/>
      </c>
      <c r="GI55" s="231" t="str">
        <f t="shared" ca="1" si="937"/>
        <v/>
      </c>
      <c r="GJ55" s="231" t="str">
        <f t="shared" ca="1" si="938"/>
        <v/>
      </c>
      <c r="GK55" s="231" t="str">
        <f t="shared" ca="1" si="939"/>
        <v/>
      </c>
      <c r="GL55" s="231" t="str">
        <f t="shared" ca="1" si="940"/>
        <v/>
      </c>
      <c r="GM55" s="231" t="str">
        <f t="shared" ca="1" si="941"/>
        <v/>
      </c>
      <c r="GN55" s="231" t="str">
        <f t="shared" ca="1" si="942"/>
        <v/>
      </c>
      <c r="GO55" s="231" t="str">
        <f t="shared" ca="1" si="943"/>
        <v/>
      </c>
      <c r="GP55" s="231" t="str">
        <f t="shared" ca="1" si="944"/>
        <v/>
      </c>
      <c r="GQ55" s="231" t="str">
        <f t="shared" ca="1" si="945"/>
        <v/>
      </c>
      <c r="GR55" s="231" t="str">
        <f t="shared" ca="1" si="946"/>
        <v/>
      </c>
      <c r="GS55" s="231" t="str">
        <f t="shared" ca="1" si="947"/>
        <v/>
      </c>
      <c r="GT55" s="231" t="str">
        <f t="shared" ca="1" si="948"/>
        <v/>
      </c>
      <c r="GU55" s="231" t="str">
        <f t="shared" ca="1" si="949"/>
        <v/>
      </c>
    </row>
    <row r="56" spans="1:203" s="386" customFormat="1" ht="15.75" hidden="1" customHeight="1">
      <c r="B56" s="373"/>
      <c r="C56" s="81" t="str">
        <f>Productivity!B10</f>
        <v>Report authoring</v>
      </c>
      <c r="D56" s="404">
        <f t="shared" ca="1" si="862"/>
        <v>0.43211433452386372</v>
      </c>
      <c r="E56" s="374">
        <f>ROW(Initiatives!$A$170)</f>
        <v>170</v>
      </c>
      <c r="F56" s="374">
        <f>ROW(Initiatives!$A$176)</f>
        <v>176</v>
      </c>
      <c r="G56" s="374">
        <f>ROW(Initiatives!$A$178)</f>
        <v>178</v>
      </c>
      <c r="H56" s="374">
        <f>ROW(Initiatives!$A$179)</f>
        <v>179</v>
      </c>
      <c r="I56" s="374">
        <f>ROW(Initiatives!$A$180)</f>
        <v>180</v>
      </c>
      <c r="J56" s="374">
        <f>ROW(Initiatives!$A$181)</f>
        <v>181</v>
      </c>
      <c r="K56" s="374">
        <f>ROW(Initiatives!$A$182)</f>
        <v>182</v>
      </c>
      <c r="L56" s="374">
        <f>ROW(Initiatives!$A$185)</f>
        <v>185</v>
      </c>
      <c r="M56" s="374">
        <f>ROW(Initiatives!$A$186)</f>
        <v>186</v>
      </c>
      <c r="N56" s="374">
        <f>ROW(Initiatives!$A$187)</f>
        <v>187</v>
      </c>
      <c r="O56" s="374">
        <f>ROW(Initiatives!$A$188)</f>
        <v>188</v>
      </c>
      <c r="P56" s="374"/>
      <c r="Q56" s="374"/>
      <c r="R56" s="374"/>
      <c r="S56" s="374"/>
      <c r="T56" s="374"/>
      <c r="U56" s="374"/>
      <c r="V56" s="374"/>
      <c r="W56" s="374"/>
      <c r="X56" s="374"/>
      <c r="Y56" s="392" t="str">
        <f ca="1">OFFSET(Initiatives!$D$1,E56-1,$BS$3)</f>
        <v>BI Applications</v>
      </c>
      <c r="Z56" s="375">
        <v>5</v>
      </c>
      <c r="AA56" s="392" t="str">
        <f ca="1">OFFSET(Initiatives!$D$1,F56-1,$BS$3)</f>
        <v>Source System Inclusion / Integration</v>
      </c>
      <c r="AB56" s="375">
        <v>4</v>
      </c>
      <c r="AC56" s="392" t="str">
        <f ca="1">OFFSET(Initiatives!$D$1,G56-1,$BS$3)</f>
        <v>Architecture Standards &amp; Adherence</v>
      </c>
      <c r="AD56" s="375">
        <v>2</v>
      </c>
      <c r="AE56" s="392" t="str">
        <f ca="1">OFFSET(Initiatives!$D$1,H56-1,$BS$3)</f>
        <v>Data Management</v>
      </c>
      <c r="AF56" s="375">
        <v>1</v>
      </c>
      <c r="AG56" s="392" t="str">
        <f ca="1">OFFSET(Initiatives!$D$1,I56-1,$BS$3)</f>
        <v>Data Integration/ETL</v>
      </c>
      <c r="AH56" s="375">
        <v>2</v>
      </c>
      <c r="AI56" s="392" t="str">
        <f ca="1">OFFSET(Initiatives!$D$1,J56-1,$BS$3)</f>
        <v>Data Warehouse / Data Marts</v>
      </c>
      <c r="AJ56" s="375">
        <v>2</v>
      </c>
      <c r="AK56" s="392" t="str">
        <f ca="1">OFFSET(Initiatives!$D$1,K56-1,$BS$3)</f>
        <v>Development</v>
      </c>
      <c r="AL56" s="375">
        <v>3</v>
      </c>
      <c r="AM56" s="392" t="str">
        <f ca="1">OFFSET(Initiatives!$D$1,L56-1,$BS$3)</f>
        <v>Reporting</v>
      </c>
      <c r="AN56" s="375">
        <v>9</v>
      </c>
      <c r="AO56" s="392" t="str">
        <f ca="1">OFFSET(Initiatives!$D$1,M56-1,$BS$3)</f>
        <v>Scorecards / Dashboards</v>
      </c>
      <c r="AP56" s="375">
        <v>6</v>
      </c>
      <c r="AQ56" s="392" t="str">
        <f ca="1">OFFSET(Initiatives!$D$1,N56-1,$BS$3)</f>
        <v>Analytical Tools</v>
      </c>
      <c r="AR56" s="375">
        <v>5</v>
      </c>
      <c r="AS56" s="392" t="str">
        <f ca="1">OFFSET(Initiatives!$D$1,O56-1,$BS$3)</f>
        <v>Workflow and Collaboration</v>
      </c>
      <c r="AT56" s="375">
        <v>4</v>
      </c>
      <c r="AU56" s="392" t="e">
        <f ca="1">OFFSET(Initiatives!$D$1,P56-1,$BS$3)</f>
        <v>#REF!</v>
      </c>
      <c r="AV56" s="375"/>
      <c r="AW56" s="392" t="e">
        <f ca="1">OFFSET(Initiatives!$D$1,Q56-1,$BS$3)</f>
        <v>#REF!</v>
      </c>
      <c r="AX56" s="375"/>
      <c r="AY56" s="392" t="e">
        <f ca="1">OFFSET(Initiatives!$D$1,R56-1,$BS$3)</f>
        <v>#REF!</v>
      </c>
      <c r="AZ56" s="375"/>
      <c r="BA56" s="392" t="e">
        <f ca="1">OFFSET(Initiatives!$D$1,S56-1,$BS$3)</f>
        <v>#REF!</v>
      </c>
      <c r="BB56" s="375"/>
      <c r="BC56" s="392" t="e">
        <f ca="1">OFFSET(Initiatives!$D$1,T56-1,$BS$3)</f>
        <v>#REF!</v>
      </c>
      <c r="BD56" s="375"/>
      <c r="BE56" s="392" t="e">
        <f ca="1">OFFSET(Initiatives!$D$1,U56-1,$BS$3)</f>
        <v>#REF!</v>
      </c>
      <c r="BF56" s="375"/>
      <c r="BG56" s="392" t="e">
        <f ca="1">OFFSET(Initiatives!$D$1,V56-1,$BS$3)</f>
        <v>#REF!</v>
      </c>
      <c r="BH56" s="375"/>
      <c r="BI56" s="392" t="e">
        <f ca="1">OFFSET(Initiatives!$D$1,W56-1,$BS$3)</f>
        <v>#REF!</v>
      </c>
      <c r="BJ56" s="375"/>
      <c r="BK56" s="392" t="e">
        <f ca="1">OFFSET(Initiatives!$D$1,X56-1,$BS$3)</f>
        <v>#REF!</v>
      </c>
      <c r="BL56" s="375"/>
      <c r="BN56" s="101">
        <f t="shared" si="863"/>
        <v>43.000100000000003</v>
      </c>
      <c r="BP56" s="231" t="str">
        <f t="shared" ca="1" si="864"/>
        <v>Reporting (23%); Scorecards / Dashboards (19%); Analytical Tools (16%); Workflow and Collaboration (15%); BI Applications (12%); Source System Inclusion / Integration (10%)</v>
      </c>
      <c r="BQ56" s="338">
        <v>0.01</v>
      </c>
      <c r="BR56" s="40">
        <f t="shared" ca="1" si="865"/>
        <v>6</v>
      </c>
      <c r="BS56" s="274">
        <v>0.05</v>
      </c>
      <c r="BT56" s="40">
        <f t="shared" ca="1" si="866"/>
        <v>6</v>
      </c>
      <c r="BU56" s="376">
        <v>7</v>
      </c>
      <c r="BV56" s="40">
        <f t="shared" ca="1" si="867"/>
        <v>6</v>
      </c>
      <c r="BY56" s="377">
        <f ca="1">IF(ISERROR(OFFSET(Initiatives!$D$1,E56-1,$BY$3)),,OFFSET(Initiatives!$D$1,E56-1,$BY$3))</f>
        <v>0.45555555555555544</v>
      </c>
      <c r="BZ56" s="377">
        <f ca="1">IF(ISERROR(OFFSET(Initiatives!$D$1,F56-1,$BY$3)),,OFFSET(Initiatives!$D$1,F56-1,$BY$3))</f>
        <v>0.45454545454545436</v>
      </c>
      <c r="CA56" s="377">
        <f ca="1">IF(ISERROR(OFFSET(Initiatives!$D$1,G56-1,$BY$3)),,OFFSET(Initiatives!$D$1,G56-1,$BY$3))</f>
        <v>0.14000000000000012</v>
      </c>
      <c r="CB56" s="377">
        <f ca="1">IF(ISERROR(OFFSET(Initiatives!$D$1,H56-1,$BY$3)),,OFFSET(Initiatives!$D$1,H56-1,$BY$3))</f>
        <v>9.9999999999999978E-2</v>
      </c>
      <c r="CC56" s="377">
        <f ca="1">IF(ISERROR(OFFSET(Initiatives!$D$1,I56-1,$BY$3)),,OFFSET(Initiatives!$D$1,I56-1,$BY$3))</f>
        <v>9.9999999999999978E-2</v>
      </c>
      <c r="CD56" s="377">
        <f ca="1">IF(ISERROR(OFFSET(Initiatives!$D$1,J56-1,$BY$3)),,OFFSET(Initiatives!$D$1,J56-1,$BY$3))</f>
        <v>3.0000000000000027E-2</v>
      </c>
      <c r="CE56" s="377">
        <f ca="1">IF(ISERROR(OFFSET(Initiatives!$D$1,K56-1,$BY$3)),,OFFSET(Initiatives!$D$1,K56-1,$BY$3))</f>
        <v>1.5000000000000124E-2</v>
      </c>
      <c r="CF56" s="377">
        <f ca="1">IF(ISERROR(OFFSET(Initiatives!$D$1,L56-1,$BY$3)),,OFFSET(Initiatives!$D$1,L56-1,$BY$3))</f>
        <v>0.48</v>
      </c>
      <c r="CG56" s="377">
        <f ca="1">IF(ISERROR(OFFSET(Initiatives!$D$1,M56-1,$BY$3)),,OFFSET(Initiatives!$D$1,M56-1,$BY$3))</f>
        <v>0.6</v>
      </c>
      <c r="CH56" s="377">
        <f ca="1">IF(ISERROR(OFFSET(Initiatives!$D$1,N56-1,$BY$3)),,OFFSET(Initiatives!$D$1,N56-1,$BY$3))</f>
        <v>0.6</v>
      </c>
      <c r="CI56" s="377">
        <f ca="1">IF(ISERROR(OFFSET(Initiatives!$D$1,O56-1,$BY$3)),,OFFSET(Initiatives!$D$1,O56-1,$BY$3))</f>
        <v>0.72000000000000008</v>
      </c>
      <c r="CJ56" s="377">
        <f ca="1">IF(ISERROR(OFFSET(Initiatives!$D$1,P56-1,$BY$3)),,OFFSET(Initiatives!$D$1,P56-1,$BY$3))</f>
        <v>0</v>
      </c>
      <c r="CK56" s="377">
        <f ca="1">IF(ISERROR(OFFSET(Initiatives!$D$1,Q56-1,$BY$3)),,OFFSET(Initiatives!$D$1,Q56-1,$BY$3))</f>
        <v>0</v>
      </c>
      <c r="CL56" s="377">
        <f ca="1">IF(ISERROR(OFFSET(Initiatives!$D$1,R56-1,$BY$3)),,OFFSET(Initiatives!$D$1,R56-1,$BY$3))</f>
        <v>0</v>
      </c>
      <c r="CM56" s="377">
        <f ca="1">IF(ISERROR(OFFSET(Initiatives!$D$1,S56-1,$BY$3)),,OFFSET(Initiatives!$D$1,S56-1,$BY$3))</f>
        <v>0</v>
      </c>
      <c r="CN56" s="377">
        <f ca="1">IF(ISERROR(OFFSET(Initiatives!$D$1,T56-1,$BY$3)),,OFFSET(Initiatives!$D$1,T56-1,$BY$3))</f>
        <v>0</v>
      </c>
      <c r="CO56" s="377">
        <f ca="1">IF(ISERROR(OFFSET(Initiatives!$D$1,U56-1,$BY$3)),,OFFSET(Initiatives!$D$1,U56-1,$BY$3))</f>
        <v>0</v>
      </c>
      <c r="CP56" s="377">
        <f ca="1">IF(ISERROR(OFFSET(Initiatives!$D$1,V56-1,$BY$3)),,OFFSET(Initiatives!$D$1,V56-1,$BY$3))</f>
        <v>0</v>
      </c>
      <c r="CQ56" s="377">
        <f ca="1">IF(ISERROR(OFFSET(Initiatives!$D$1,W56-1,$BY$3)),,OFFSET(Initiatives!$D$1,W56-1,$BY$3))</f>
        <v>0</v>
      </c>
      <c r="CR56" s="377">
        <f ca="1">IF(ISERROR(OFFSET(Initiatives!$D$1,X56-1,$BY$3)),,OFFSET(Initiatives!$D$1,X56-1,$BY$3))</f>
        <v>0</v>
      </c>
      <c r="CT56" s="41">
        <f t="shared" ca="1" si="868"/>
        <v>5.2971453037964494E-2</v>
      </c>
      <c r="CU56" s="41">
        <f t="shared" ca="1" si="869"/>
        <v>4.2283199764228861E-2</v>
      </c>
      <c r="CV56" s="41">
        <f t="shared" ca="1" si="870"/>
        <v>6.5116127636912526E-3</v>
      </c>
      <c r="CW56" s="41">
        <f t="shared" ca="1" si="871"/>
        <v>2.3255759870325875E-3</v>
      </c>
      <c r="CX56" s="41">
        <f t="shared" ca="1" si="872"/>
        <v>4.6511519740651749E-3</v>
      </c>
      <c r="CY56" s="41">
        <f t="shared" ca="1" si="873"/>
        <v>1.3953455922195541E-3</v>
      </c>
      <c r="CZ56" s="41">
        <f t="shared" ca="1" si="874"/>
        <v>1.0465091941646734E-3</v>
      </c>
      <c r="DA56" s="41">
        <f t="shared" ca="1" si="875"/>
        <v>0.10046488263980781</v>
      </c>
      <c r="DB56" s="41">
        <f t="shared" ca="1" si="876"/>
        <v>8.3720735533173163E-2</v>
      </c>
      <c r="DC56" s="41">
        <f t="shared" ca="1" si="877"/>
        <v>6.9767279610977645E-2</v>
      </c>
      <c r="DD56" s="41">
        <f t="shared" ca="1" si="878"/>
        <v>6.6976588426538544E-2</v>
      </c>
      <c r="DE56" s="41">
        <f t="shared" ca="1" si="879"/>
        <v>0</v>
      </c>
      <c r="DF56" s="41">
        <f t="shared" ca="1" si="880"/>
        <v>0</v>
      </c>
      <c r="DG56" s="41">
        <f t="shared" ca="1" si="881"/>
        <v>0</v>
      </c>
      <c r="DH56" s="41">
        <f t="shared" ca="1" si="882"/>
        <v>0</v>
      </c>
      <c r="DI56" s="41">
        <f t="shared" ca="1" si="883"/>
        <v>0</v>
      </c>
      <c r="DJ56" s="41">
        <f t="shared" ca="1" si="884"/>
        <v>0</v>
      </c>
      <c r="DK56" s="41">
        <f t="shared" ca="1" si="885"/>
        <v>0</v>
      </c>
      <c r="DL56" s="41">
        <f t="shared" ca="1" si="886"/>
        <v>0</v>
      </c>
      <c r="DM56" s="41">
        <f t="shared" ca="1" si="887"/>
        <v>0</v>
      </c>
      <c r="DN56" s="41">
        <f t="shared" ca="1" si="888"/>
        <v>0.43211433452386372</v>
      </c>
      <c r="DP56" s="41">
        <f t="shared" ca="1" si="889"/>
        <v>0.12257666007072515</v>
      </c>
      <c r="DQ56" s="41">
        <f t="shared" ca="1" si="890"/>
        <v>9.7831879435612085E-2</v>
      </c>
      <c r="DR56" s="41">
        <f t="shared" ca="1" si="891"/>
        <v>1.5039189433084278E-2</v>
      </c>
      <c r="DS56" s="41">
        <f t="shared" ca="1" si="892"/>
        <v>5.3418533689586645E-3</v>
      </c>
      <c r="DT56" s="41">
        <f t="shared" ca="1" si="893"/>
        <v>1.071370673791733E-2</v>
      </c>
      <c r="DU56" s="41">
        <f t="shared" ca="1" si="894"/>
        <v>3.1691120213752024E-3</v>
      </c>
      <c r="DV56" s="41">
        <f t="shared" ca="1" si="895"/>
        <v>2.3518340160314198E-3</v>
      </c>
      <c r="DW56" s="41">
        <f t="shared" ca="1" si="896"/>
        <v>0.23241606553901439</v>
      </c>
      <c r="DX56" s="41">
        <f t="shared" ca="1" si="897"/>
        <v>0.19365672128251196</v>
      </c>
      <c r="DY56" s="41">
        <f t="shared" ca="1" si="898"/>
        <v>0.16135560106876001</v>
      </c>
      <c r="DZ56" s="41">
        <f t="shared" ca="1" si="899"/>
        <v>0.1548873770260096</v>
      </c>
      <c r="EA56" s="41">
        <f t="shared" ca="1" si="900"/>
        <v>-1.2E-4</v>
      </c>
      <c r="EB56" s="41">
        <f t="shared" ca="1" si="901"/>
        <v>-1.2999999999999999E-4</v>
      </c>
      <c r="EC56" s="41">
        <f t="shared" ca="1" si="902"/>
        <v>-1.3999999999999999E-4</v>
      </c>
      <c r="ED56" s="41">
        <f t="shared" ca="1" si="903"/>
        <v>-1.4999999999999999E-4</v>
      </c>
      <c r="EE56" s="41">
        <f t="shared" ca="1" si="904"/>
        <v>-1.6000000000000001E-4</v>
      </c>
      <c r="EF56" s="41">
        <f t="shared" ca="1" si="905"/>
        <v>-1.7000000000000001E-4</v>
      </c>
      <c r="EG56" s="41">
        <f t="shared" ca="1" si="906"/>
        <v>-1.8000000000000001E-4</v>
      </c>
      <c r="EH56" s="41">
        <f t="shared" ca="1" si="907"/>
        <v>-1.9000000000000001E-4</v>
      </c>
      <c r="EI56" s="41">
        <f t="shared" ca="1" si="908"/>
        <v>-2.0000000000000001E-4</v>
      </c>
      <c r="EJ56" s="41">
        <f t="shared" ca="1" si="909"/>
        <v>0.99790000000000012</v>
      </c>
      <c r="EL56" s="378">
        <f t="shared" ca="1" si="910"/>
        <v>5</v>
      </c>
      <c r="EM56" s="378">
        <f t="shared" ca="1" si="911"/>
        <v>6</v>
      </c>
      <c r="EN56" s="378">
        <f t="shared" ca="1" si="912"/>
        <v>7</v>
      </c>
      <c r="EO56" s="378">
        <f t="shared" ca="1" si="913"/>
        <v>9</v>
      </c>
      <c r="EP56" s="378">
        <f t="shared" ca="1" si="914"/>
        <v>8</v>
      </c>
      <c r="EQ56" s="378">
        <f t="shared" ca="1" si="915"/>
        <v>10</v>
      </c>
      <c r="ER56" s="378">
        <f t="shared" ca="1" si="916"/>
        <v>11</v>
      </c>
      <c r="ES56" s="378">
        <f t="shared" ca="1" si="917"/>
        <v>1</v>
      </c>
      <c r="ET56" s="378">
        <f t="shared" ca="1" si="918"/>
        <v>2</v>
      </c>
      <c r="EU56" s="378">
        <f t="shared" ca="1" si="919"/>
        <v>3</v>
      </c>
      <c r="EV56" s="378">
        <f t="shared" ca="1" si="920"/>
        <v>4</v>
      </c>
      <c r="EW56" s="378">
        <f t="shared" ca="1" si="921"/>
        <v>12</v>
      </c>
      <c r="EX56" s="378">
        <f t="shared" ca="1" si="922"/>
        <v>13</v>
      </c>
      <c r="EY56" s="378">
        <f t="shared" ca="1" si="923"/>
        <v>14</v>
      </c>
      <c r="EZ56" s="378">
        <f t="shared" ca="1" si="924"/>
        <v>15</v>
      </c>
      <c r="FA56" s="378">
        <f t="shared" ca="1" si="925"/>
        <v>16</v>
      </c>
      <c r="FB56" s="378">
        <f t="shared" ca="1" si="926"/>
        <v>17</v>
      </c>
      <c r="FC56" s="378">
        <f t="shared" ca="1" si="927"/>
        <v>18</v>
      </c>
      <c r="FD56" s="378">
        <f t="shared" ca="1" si="928"/>
        <v>19</v>
      </c>
      <c r="FE56" s="378">
        <f t="shared" ca="1" si="929"/>
        <v>20</v>
      </c>
      <c r="FG56" s="378">
        <f t="shared" ca="1" si="841"/>
        <v>8</v>
      </c>
      <c r="FH56" s="378">
        <f t="shared" ca="1" si="841"/>
        <v>9</v>
      </c>
      <c r="FI56" s="378">
        <f t="shared" ca="1" si="841"/>
        <v>10</v>
      </c>
      <c r="FJ56" s="378">
        <f t="shared" ca="1" si="841"/>
        <v>11</v>
      </c>
      <c r="FK56" s="378">
        <f t="shared" ca="1" si="841"/>
        <v>1</v>
      </c>
      <c r="FL56" s="378">
        <f t="shared" ca="1" si="841"/>
        <v>2</v>
      </c>
      <c r="FM56" s="378">
        <f t="shared" ca="1" si="841"/>
        <v>3</v>
      </c>
      <c r="FN56" s="378">
        <f t="shared" ca="1" si="841"/>
        <v>5</v>
      </c>
      <c r="FO56" s="378">
        <f t="shared" ca="1" si="841"/>
        <v>4</v>
      </c>
      <c r="FP56" s="378">
        <f t="shared" ca="1" si="841"/>
        <v>6</v>
      </c>
      <c r="FQ56" s="378">
        <f t="shared" ca="1" si="841"/>
        <v>7</v>
      </c>
      <c r="FR56" s="378">
        <f t="shared" ca="1" si="841"/>
        <v>12</v>
      </c>
      <c r="FS56" s="378">
        <f t="shared" ca="1" si="841"/>
        <v>13</v>
      </c>
      <c r="FT56" s="378">
        <f t="shared" ca="1" si="841"/>
        <v>14</v>
      </c>
      <c r="FU56" s="378">
        <f t="shared" ca="1" si="841"/>
        <v>15</v>
      </c>
      <c r="FV56" s="378">
        <f t="shared" ca="1" si="841"/>
        <v>16</v>
      </c>
      <c r="FW56" s="378">
        <f t="shared" ca="1" si="841"/>
        <v>17</v>
      </c>
      <c r="FX56" s="378">
        <f t="shared" ca="1" si="841"/>
        <v>18</v>
      </c>
      <c r="FY56" s="378">
        <f t="shared" ca="1" si="841"/>
        <v>19</v>
      </c>
      <c r="FZ56" s="378">
        <f t="shared" ca="1" si="841"/>
        <v>20</v>
      </c>
      <c r="GB56" s="275" t="str">
        <f t="shared" ca="1" si="930"/>
        <v>Reporting (23%)</v>
      </c>
      <c r="GC56" s="231" t="str">
        <f t="shared" ca="1" si="931"/>
        <v>; Scorecards / Dashboards (19%)</v>
      </c>
      <c r="GD56" s="231" t="str">
        <f t="shared" ca="1" si="932"/>
        <v>; Analytical Tools (16%)</v>
      </c>
      <c r="GE56" s="231" t="str">
        <f t="shared" ca="1" si="933"/>
        <v>; Workflow and Collaboration (15%)</v>
      </c>
      <c r="GF56" s="231" t="str">
        <f t="shared" ca="1" si="934"/>
        <v>; BI Applications (12%)</v>
      </c>
      <c r="GG56" s="231" t="str">
        <f t="shared" ca="1" si="935"/>
        <v>; Source System Inclusion / Integration (10%)</v>
      </c>
      <c r="GH56" s="231" t="str">
        <f t="shared" ca="1" si="936"/>
        <v/>
      </c>
      <c r="GI56" s="231" t="str">
        <f t="shared" ca="1" si="937"/>
        <v/>
      </c>
      <c r="GJ56" s="231" t="str">
        <f t="shared" ca="1" si="938"/>
        <v/>
      </c>
      <c r="GK56" s="231" t="str">
        <f t="shared" ca="1" si="939"/>
        <v/>
      </c>
      <c r="GL56" s="231" t="str">
        <f t="shared" ca="1" si="940"/>
        <v/>
      </c>
      <c r="GM56" s="231" t="str">
        <f t="shared" ca="1" si="941"/>
        <v/>
      </c>
      <c r="GN56" s="231" t="str">
        <f t="shared" ca="1" si="942"/>
        <v/>
      </c>
      <c r="GO56" s="231" t="str">
        <f t="shared" ca="1" si="943"/>
        <v/>
      </c>
      <c r="GP56" s="231" t="str">
        <f t="shared" ca="1" si="944"/>
        <v/>
      </c>
      <c r="GQ56" s="231" t="str">
        <f t="shared" ca="1" si="945"/>
        <v/>
      </c>
      <c r="GR56" s="231" t="str">
        <f t="shared" ca="1" si="946"/>
        <v/>
      </c>
      <c r="GS56" s="231" t="str">
        <f t="shared" ca="1" si="947"/>
        <v/>
      </c>
      <c r="GT56" s="231" t="str">
        <f t="shared" ca="1" si="948"/>
        <v/>
      </c>
      <c r="GU56" s="231" t="str">
        <f t="shared" ca="1" si="949"/>
        <v/>
      </c>
    </row>
    <row r="57" spans="1:203" hidden="1">
      <c r="C57" s="386"/>
    </row>
    <row r="58" spans="1:203" ht="15" hidden="1">
      <c r="B58" s="6" t="str">
        <f>Productivity!A21</f>
        <v xml:space="preserve">Performance Management </v>
      </c>
    </row>
    <row r="59" spans="1:203" s="386" customFormat="1" ht="15" hidden="1" customHeight="1">
      <c r="B59" s="373"/>
      <c r="C59" s="81" t="str">
        <f>Productivity!B22</f>
        <v>Financial planning and forecasting</v>
      </c>
      <c r="D59" s="404">
        <f t="shared" ref="D59:D61" ca="1" si="950">DN59</f>
        <v>0.47749911574237824</v>
      </c>
      <c r="E59" s="374">
        <f>ROW(Initiatives!$A$30)</f>
        <v>30</v>
      </c>
      <c r="F59" s="374">
        <f>ROW(Initiatives!$A$31)</f>
        <v>31</v>
      </c>
      <c r="G59" s="374">
        <f>ROW(Initiatives!$A$32)</f>
        <v>32</v>
      </c>
      <c r="H59" s="374">
        <f>ROW(Initiatives!$A$33)</f>
        <v>33</v>
      </c>
      <c r="I59" s="374">
        <f>ROW(Initiatives!$A$34)</f>
        <v>34</v>
      </c>
      <c r="J59" s="374">
        <f>ROW(Initiatives!$A$35)</f>
        <v>35</v>
      </c>
      <c r="K59" s="374">
        <f>ROW(Initiatives!$A$172)</f>
        <v>172</v>
      </c>
      <c r="L59" s="374">
        <f>ROW(Initiatives!$A$173)</f>
        <v>173</v>
      </c>
      <c r="M59" s="374">
        <f>ROW(Initiatives!$A$174)</f>
        <v>174</v>
      </c>
      <c r="N59" s="374">
        <f>ROW(Initiatives!$A$175)</f>
        <v>175</v>
      </c>
      <c r="O59" s="374">
        <f>ROW(Initiatives!$A$183)</f>
        <v>183</v>
      </c>
      <c r="P59" s="374">
        <f>ROW(Initiatives!$A$189)</f>
        <v>189</v>
      </c>
      <c r="Q59" s="374" t="s">
        <v>975</v>
      </c>
      <c r="R59" s="374" t="s">
        <v>975</v>
      </c>
      <c r="S59" s="374" t="s">
        <v>975</v>
      </c>
      <c r="T59" s="374" t="s">
        <v>975</v>
      </c>
      <c r="U59" s="374" t="s">
        <v>975</v>
      </c>
      <c r="V59" s="374" t="s">
        <v>975</v>
      </c>
      <c r="W59" s="374" t="s">
        <v>975</v>
      </c>
      <c r="X59" s="374" t="s">
        <v>975</v>
      </c>
      <c r="Y59" s="392" t="str">
        <f ca="1">OFFSET(Initiatives!$D$1,E59-1,$BS$3)</f>
        <v>Financial analysis</v>
      </c>
      <c r="Z59" s="375">
        <v>3</v>
      </c>
      <c r="AA59" s="392" t="str">
        <f ca="1">OFFSET(Initiatives!$D$1,F59-1,$BS$3)</f>
        <v>Financial planning</v>
      </c>
      <c r="AB59" s="375">
        <v>9</v>
      </c>
      <c r="AC59" s="392" t="str">
        <f ca="1">OFFSET(Initiatives!$D$1,G59-1,$BS$3)</f>
        <v>Profitability management</v>
      </c>
      <c r="AD59" s="375">
        <v>3</v>
      </c>
      <c r="AE59" s="392" t="str">
        <f ca="1">OFFSET(Initiatives!$D$1,H59-1,$BS$3)</f>
        <v>Activity-based costing</v>
      </c>
      <c r="AF59" s="375">
        <v>3</v>
      </c>
      <c r="AG59" s="392" t="str">
        <f ca="1">OFFSET(Initiatives!$D$1,I59-1,$BS$3)</f>
        <v>Financial reporting</v>
      </c>
      <c r="AH59" s="375">
        <v>3</v>
      </c>
      <c r="AI59" s="392" t="str">
        <f ca="1">OFFSET(Initiatives!$D$1,J59-1,$BS$3)</f>
        <v>Financial consolidation</v>
      </c>
      <c r="AJ59" s="375">
        <v>3</v>
      </c>
      <c r="AK59" s="392" t="str">
        <f ca="1">OFFSET(Initiatives!$D$1,K59-1,$BS$3)</f>
        <v>Marketing / Sales Data Integration</v>
      </c>
      <c r="AL59" s="375">
        <v>4</v>
      </c>
      <c r="AM59" s="392" t="str">
        <f ca="1">OFFSET(Initiatives!$D$1,L59-1,$BS$3)</f>
        <v>Supply Chain / Ops Data Integration</v>
      </c>
      <c r="AN59" s="375">
        <v>4</v>
      </c>
      <c r="AO59" s="392" t="str">
        <f ca="1">OFFSET(Initiatives!$D$1,M59-1,$BS$3)</f>
        <v>Financial Data Integration</v>
      </c>
      <c r="AP59" s="375">
        <v>8</v>
      </c>
      <c r="AQ59" s="392" t="str">
        <f ca="1">OFFSET(Initiatives!$D$1,N59-1,$BS$3)</f>
        <v>Other Data Integration</v>
      </c>
      <c r="AR59" s="375">
        <v>4</v>
      </c>
      <c r="AS59" s="392" t="str">
        <f ca="1">OFFSET(Initiatives!$D$1,O59-1,$BS$3)</f>
        <v>Enhance DW Platform</v>
      </c>
      <c r="AT59" s="375">
        <v>5</v>
      </c>
      <c r="AU59" s="392" t="str">
        <f ca="1">OFFSET(Initiatives!$D$1,P59-1,$BS$3)</f>
        <v>Enhance BI Platform</v>
      </c>
      <c r="AV59" s="375">
        <v>5</v>
      </c>
      <c r="AW59" s="392" t="e">
        <f ca="1">OFFSET(Initiatives!$D$1,Q59-1,$BS$3)</f>
        <v>#VALUE!</v>
      </c>
      <c r="AX59" s="375"/>
      <c r="AY59" s="392" t="e">
        <f ca="1">OFFSET(Initiatives!$D$1,R59-1,$BS$3)</f>
        <v>#VALUE!</v>
      </c>
      <c r="AZ59" s="375"/>
      <c r="BA59" s="392" t="e">
        <f ca="1">OFFSET(Initiatives!$D$1,S59-1,$BS$3)</f>
        <v>#VALUE!</v>
      </c>
      <c r="BB59" s="375"/>
      <c r="BC59" s="392" t="e">
        <f ca="1">OFFSET(Initiatives!$D$1,T59-1,$BS$3)</f>
        <v>#VALUE!</v>
      </c>
      <c r="BD59" s="375"/>
      <c r="BE59" s="392" t="e">
        <f ca="1">OFFSET(Initiatives!$D$1,U59-1,$BS$3)</f>
        <v>#VALUE!</v>
      </c>
      <c r="BF59" s="375"/>
      <c r="BG59" s="392" t="e">
        <f ca="1">OFFSET(Initiatives!$D$1,V59-1,$BS$3)</f>
        <v>#VALUE!</v>
      </c>
      <c r="BH59" s="375"/>
      <c r="BI59" s="392" t="e">
        <f ca="1">OFFSET(Initiatives!$D$1,W59-1,$BS$3)</f>
        <v>#VALUE!</v>
      </c>
      <c r="BJ59" s="375"/>
      <c r="BK59" s="392" t="e">
        <f ca="1">OFFSET(Initiatives!$D$1,X59-1,$BS$3)</f>
        <v>#VALUE!</v>
      </c>
      <c r="BL59" s="375"/>
      <c r="BN59" s="101">
        <f t="shared" ref="BN59:BN61" si="951">SUM(Z59,AB59,AD59,AF59,AH59,AJ59,AL59,AN59,AP59,AR59,AT59,AV59,AX59,AZ59,BB59,BD59,BF59,BH59,BJ59,BL59)+0.0001</f>
        <v>54.000100000000003</v>
      </c>
      <c r="BP59" s="231" t="str">
        <f t="shared" ref="BP59:BP61" ca="1" si="952">CONCATENATE(GB59,GC59,GD59,GE59,GF59,GG59,GH59,GI59,GJ59,GK59,GL59,GM59,GN59,GO59,GP59,GQ59,GR59,GS59,GT59,GU59)</f>
        <v>Financial planning (20%); Enhance BI Platform (12%); Supply Chain / Ops Data Integration (11%); Other Data Integration (10%); Financial Data Integration (9%); Financial analysis (7%); Profitability management (7%)</v>
      </c>
      <c r="BQ59" s="338">
        <v>0.01</v>
      </c>
      <c r="BR59" s="40">
        <f t="shared" ref="BR59:BR61" ca="1" si="953">COUNTIF(CT59:DM59,"&gt;"&amp;BQ59)</f>
        <v>11</v>
      </c>
      <c r="BS59" s="274">
        <v>0.05</v>
      </c>
      <c r="BT59" s="40">
        <f t="shared" ref="BT59:BT61" ca="1" si="954">COUNTIF(DP59:EI59,"&gt;"&amp;BS59)</f>
        <v>11</v>
      </c>
      <c r="BU59" s="376">
        <v>7</v>
      </c>
      <c r="BV59" s="40">
        <f t="shared" ref="BV59:BV61" ca="1" si="955">MIN(BR59,BT59,BU59)</f>
        <v>7</v>
      </c>
      <c r="BY59" s="377">
        <f ca="1">IF(ISERROR(OFFSET(Initiatives!$D$1,E59-1,$BY$3)),,OFFSET(Initiatives!$D$1,E59-1,$BY$3))</f>
        <v>0.55999999999999983</v>
      </c>
      <c r="BZ59" s="377">
        <f ca="1">IF(ISERROR(OFFSET(Initiatives!$D$1,F59-1,$BY$3)),,OFFSET(Initiatives!$D$1,F59-1,$BY$3))</f>
        <v>0.55999999999999983</v>
      </c>
      <c r="CA59" s="377">
        <f ca="1">IF(ISERROR(OFFSET(Initiatives!$D$1,G59-1,$BY$3)),,OFFSET(Initiatives!$D$1,G59-1,$BY$3))</f>
        <v>0.55999999999999983</v>
      </c>
      <c r="CB59" s="377">
        <f ca="1">IF(ISERROR(OFFSET(Initiatives!$D$1,H59-1,$BY$3)),,OFFSET(Initiatives!$D$1,H59-1,$BY$3))</f>
        <v>0.55999999999999983</v>
      </c>
      <c r="CC59" s="377">
        <f ca="1">IF(ISERROR(OFFSET(Initiatives!$D$1,I59-1,$BY$3)),,OFFSET(Initiatives!$D$1,I59-1,$BY$3))</f>
        <v>0.55999999999999983</v>
      </c>
      <c r="CD59" s="377">
        <f ca="1">IF(ISERROR(OFFSET(Initiatives!$D$1,J59-1,$BY$3)),,OFFSET(Initiatives!$D$1,J59-1,$BY$3))</f>
        <v>0.55999999999999983</v>
      </c>
      <c r="CE59" s="377">
        <f ca="1">IF(ISERROR(OFFSET(Initiatives!$D$1,K59-1,$BY$3)),,OFFSET(Initiatives!$D$1,K59-1,$BY$3))</f>
        <v>0.3600000000000001</v>
      </c>
      <c r="CF59" s="377">
        <f ca="1">IF(ISERROR(OFFSET(Initiatives!$D$1,L59-1,$BY$3)),,OFFSET(Initiatives!$D$1,L59-1,$BY$3))</f>
        <v>0.68000000000000016</v>
      </c>
      <c r="CG59" s="377">
        <f ca="1">IF(ISERROR(OFFSET(Initiatives!$D$1,M59-1,$BY$3)),,OFFSET(Initiatives!$D$1,M59-1,$BY$3))</f>
        <v>0.27999999999999958</v>
      </c>
      <c r="CH59" s="377">
        <f ca="1">IF(ISERROR(OFFSET(Initiatives!$D$1,N59-1,$BY$3)),,OFFSET(Initiatives!$D$1,N59-1,$BY$3))</f>
        <v>0.64000000000000012</v>
      </c>
      <c r="CI59" s="377">
        <f ca="1">IF(ISERROR(OFFSET(Initiatives!$D$1,O59-1,$BY$3)),,OFFSET(Initiatives!$D$1,O59-1,$BY$3))</f>
        <v>7.7000000000000179E-2</v>
      </c>
      <c r="CJ59" s="377">
        <f ca="1">IF(ISERROR(OFFSET(Initiatives!$D$1,P59-1,$BY$3)),,OFFSET(Initiatives!$D$1,P59-1,$BY$3))</f>
        <v>0.6</v>
      </c>
      <c r="CK59" s="377">
        <f ca="1">IF(ISERROR(OFFSET(Initiatives!$D$1,Q59-1,$BY$3)),,OFFSET(Initiatives!$D$1,Q59-1,$BY$3))</f>
        <v>0</v>
      </c>
      <c r="CL59" s="377">
        <f ca="1">IF(ISERROR(OFFSET(Initiatives!$D$1,R59-1,$BY$3)),,OFFSET(Initiatives!$D$1,R59-1,$BY$3))</f>
        <v>0</v>
      </c>
      <c r="CM59" s="377">
        <f ca="1">IF(ISERROR(OFFSET(Initiatives!$D$1,S59-1,$BY$3)),,OFFSET(Initiatives!$D$1,S59-1,$BY$3))</f>
        <v>0</v>
      </c>
      <c r="CN59" s="377">
        <f ca="1">IF(ISERROR(OFFSET(Initiatives!$D$1,T59-1,$BY$3)),,OFFSET(Initiatives!$D$1,T59-1,$BY$3))</f>
        <v>0</v>
      </c>
      <c r="CO59" s="377">
        <f ca="1">IF(ISERROR(OFFSET(Initiatives!$D$1,U59-1,$BY$3)),,OFFSET(Initiatives!$D$1,U59-1,$BY$3))</f>
        <v>0</v>
      </c>
      <c r="CP59" s="377">
        <f ca="1">IF(ISERROR(OFFSET(Initiatives!$D$1,V59-1,$BY$3)),,OFFSET(Initiatives!$D$1,V59-1,$BY$3))</f>
        <v>0</v>
      </c>
      <c r="CQ59" s="377">
        <f ca="1">IF(ISERROR(OFFSET(Initiatives!$D$1,W59-1,$BY$3)),,OFFSET(Initiatives!$D$1,W59-1,$BY$3))</f>
        <v>0</v>
      </c>
      <c r="CR59" s="377">
        <f ca="1">IF(ISERROR(OFFSET(Initiatives!$D$1,X59-1,$BY$3)),,OFFSET(Initiatives!$D$1,X59-1,$BY$3))</f>
        <v>0</v>
      </c>
      <c r="CT59" s="41">
        <f t="shared" ref="CT59:CT61" ca="1" si="956">BY59*Z59/$BN59</f>
        <v>3.1111053498049067E-2</v>
      </c>
      <c r="CU59" s="41">
        <f t="shared" ref="CU59:CU61" ca="1" si="957">BZ59*AB59/$BN59</f>
        <v>9.3333160494147194E-2</v>
      </c>
      <c r="CV59" s="41">
        <f t="shared" ref="CV59:CV61" ca="1" si="958">CA59*AD59/$BN59</f>
        <v>3.1111053498049067E-2</v>
      </c>
      <c r="CW59" s="41">
        <f t="shared" ref="CW59:CW61" ca="1" si="959">CB59*AF59/$BN59</f>
        <v>3.1111053498049067E-2</v>
      </c>
      <c r="CX59" s="41">
        <f t="shared" ref="CX59:CX61" ca="1" si="960">CC59*AH59/$BN59</f>
        <v>3.1111053498049067E-2</v>
      </c>
      <c r="CY59" s="41">
        <f t="shared" ref="CY59:CY61" ca="1" si="961">CD59*AJ59/$BN59</f>
        <v>3.1111053498049067E-2</v>
      </c>
      <c r="CZ59" s="41">
        <f t="shared" ref="CZ59:CZ61" ca="1" si="962">CE59*AL59/$BN59</f>
        <v>2.6666617284042071E-2</v>
      </c>
      <c r="DA59" s="41">
        <f t="shared" ref="DA59:DA61" ca="1" si="963">CF59*AN59/$BN59</f>
        <v>5.0370277092079467E-2</v>
      </c>
      <c r="DB59" s="41">
        <f t="shared" ref="DB59:DB61" ca="1" si="964">CG59*AP59/$BN59</f>
        <v>4.1481404664065372E-2</v>
      </c>
      <c r="DC59" s="41">
        <f t="shared" ref="DC59:DC61" ca="1" si="965">CH59*AR59/$BN59</f>
        <v>4.7407319616074792E-2</v>
      </c>
      <c r="DD59" s="41">
        <f t="shared" ref="DD59:DD61" ca="1" si="966">CI59*AT59/$BN59</f>
        <v>7.1296164266362629E-3</v>
      </c>
      <c r="DE59" s="41">
        <f t="shared" ref="DE59:DE61" ca="1" si="967">CJ59*AV59/$BN59</f>
        <v>5.5555452675087637E-2</v>
      </c>
      <c r="DF59" s="41">
        <f t="shared" ref="DF59:DF61" ca="1" si="968">CK59*AX59/$BN59</f>
        <v>0</v>
      </c>
      <c r="DG59" s="41">
        <f t="shared" ref="DG59:DG61" ca="1" si="969">CL59*AZ59/$BN59</f>
        <v>0</v>
      </c>
      <c r="DH59" s="41">
        <f t="shared" ref="DH59:DH61" ca="1" si="970">CM59*BB59/$BN59</f>
        <v>0</v>
      </c>
      <c r="DI59" s="41">
        <f t="shared" ref="DI59:DI61" ca="1" si="971">CN59*BD59/$BN59</f>
        <v>0</v>
      </c>
      <c r="DJ59" s="41">
        <f t="shared" ref="DJ59:DJ61" ca="1" si="972">CO59*BF59/$BN59</f>
        <v>0</v>
      </c>
      <c r="DK59" s="41">
        <f t="shared" ref="DK59:DK61" ca="1" si="973">CP59*BH59/$BN59</f>
        <v>0</v>
      </c>
      <c r="DL59" s="41">
        <f t="shared" ref="DL59:DL61" ca="1" si="974">CQ59*BJ59/$BN59</f>
        <v>0</v>
      </c>
      <c r="DM59" s="41">
        <f t="shared" ref="DM59:DM61" ca="1" si="975">CR59*BL59/$BN59</f>
        <v>0</v>
      </c>
      <c r="DN59" s="41">
        <f t="shared" ref="DN59:DN61" ca="1" si="976">SUM(CT59:DM59)</f>
        <v>0.47749911574237824</v>
      </c>
      <c r="DP59" s="41">
        <f t="shared" ref="DP59:DP61" ca="1" si="977">CT59/$DN59-DP$5/100000</f>
        <v>6.514415939499707E-2</v>
      </c>
      <c r="DQ59" s="41">
        <f t="shared" ref="DQ59:DQ61" ca="1" si="978">CU59/$DN59-DQ$5/100000</f>
        <v>0.19544247818499119</v>
      </c>
      <c r="DR59" s="41">
        <f t="shared" ref="DR59:DR61" ca="1" si="979">CV59/$DN59-DR$5/100000</f>
        <v>6.5124159394997064E-2</v>
      </c>
      <c r="DS59" s="41">
        <f t="shared" ref="DS59:DS61" ca="1" si="980">CW59/$DN59-DS$5/100000</f>
        <v>6.5114159394997068E-2</v>
      </c>
      <c r="DT59" s="41">
        <f t="shared" ref="DT59:DT61" ca="1" si="981">CX59/$DN59-DT$5/100000</f>
        <v>6.5104159394997071E-2</v>
      </c>
      <c r="DU59" s="41">
        <f t="shared" ref="DU59:DU61" ca="1" si="982">CY59/$DN59-DU$5/100000</f>
        <v>6.5094159394997061E-2</v>
      </c>
      <c r="DV59" s="41">
        <f t="shared" ref="DV59:DV61" ca="1" si="983">CZ59/$DN59-DV$5/100000</f>
        <v>5.5776422338568943E-2</v>
      </c>
      <c r="DW59" s="41">
        <f t="shared" ref="DW59:DW61" ca="1" si="984">DA59/$DN59-DW$5/100000</f>
        <v>0.10540768663951912</v>
      </c>
      <c r="DX59" s="41">
        <f t="shared" ref="DX59:DX61" ca="1" si="985">DB59/$DN59-DX$5/100000</f>
        <v>8.6782212526662642E-2</v>
      </c>
      <c r="DY59" s="41">
        <f t="shared" ref="DY59:DY61" ca="1" si="986">DC59/$DN59-DY$5/100000</f>
        <v>9.9182528601900341E-2</v>
      </c>
      <c r="DZ59" s="41">
        <f t="shared" ref="DZ59:DZ61" ca="1" si="987">DD59/$DN59-DZ$5/100000</f>
        <v>1.48211615280202E-2</v>
      </c>
      <c r="EA59" s="41">
        <f t="shared" ref="EA59:EA61" ca="1" si="988">DE59/$DN59-EA$5/100000</f>
        <v>0.11622671320535195</v>
      </c>
      <c r="EB59" s="41">
        <f t="shared" ref="EB59:EB61" ca="1" si="989">DF59/$DN59-EB$5/100000</f>
        <v>-1.2999999999999999E-4</v>
      </c>
      <c r="EC59" s="41">
        <f t="shared" ref="EC59:EC61" ca="1" si="990">DG59/$DN59-EC$5/100000</f>
        <v>-1.3999999999999999E-4</v>
      </c>
      <c r="ED59" s="41">
        <f t="shared" ref="ED59:ED61" ca="1" si="991">DH59/$DN59-ED$5/100000</f>
        <v>-1.4999999999999999E-4</v>
      </c>
      <c r="EE59" s="41">
        <f t="shared" ref="EE59:EE61" ca="1" si="992">DI59/$DN59-EE$5/100000</f>
        <v>-1.6000000000000001E-4</v>
      </c>
      <c r="EF59" s="41">
        <f t="shared" ref="EF59:EF61" ca="1" si="993">DJ59/$DN59-EF$5/100000</f>
        <v>-1.7000000000000001E-4</v>
      </c>
      <c r="EG59" s="41">
        <f t="shared" ref="EG59:EG61" ca="1" si="994">DK59/$DN59-EG$5/100000</f>
        <v>-1.8000000000000001E-4</v>
      </c>
      <c r="EH59" s="41">
        <f t="shared" ref="EH59:EH61" ca="1" si="995">DL59/$DN59-EH$5/100000</f>
        <v>-1.9000000000000001E-4</v>
      </c>
      <c r="EI59" s="41">
        <f t="shared" ref="EI59:EI61" ca="1" si="996">DM59/$DN59-EI$5/100000</f>
        <v>-2.0000000000000001E-4</v>
      </c>
      <c r="EJ59" s="41">
        <f t="shared" ref="EJ59:EJ61" ca="1" si="997">SUM(DP59:EI59)</f>
        <v>0.99789999999999968</v>
      </c>
      <c r="EL59" s="378">
        <f t="shared" ref="EL59:EL61" ca="1" si="998">RANK(DP59,$DP59:$EI59)</f>
        <v>6</v>
      </c>
      <c r="EM59" s="378">
        <f t="shared" ref="EM59:EM61" ca="1" si="999">RANK(DQ59,$DP59:$EI59)</f>
        <v>1</v>
      </c>
      <c r="EN59" s="378">
        <f t="shared" ref="EN59:EN61" ca="1" si="1000">RANK(DR59,$DP59:$EI59)</f>
        <v>7</v>
      </c>
      <c r="EO59" s="378">
        <f t="shared" ref="EO59:EO61" ca="1" si="1001">RANK(DS59,$DP59:$EI59)</f>
        <v>8</v>
      </c>
      <c r="EP59" s="378">
        <f t="shared" ref="EP59:EP61" ca="1" si="1002">RANK(DT59,$DP59:$EI59)</f>
        <v>9</v>
      </c>
      <c r="EQ59" s="378">
        <f t="shared" ref="EQ59:EQ61" ca="1" si="1003">RANK(DU59,$DP59:$EI59)</f>
        <v>10</v>
      </c>
      <c r="ER59" s="378">
        <f t="shared" ref="ER59:ER61" ca="1" si="1004">RANK(DV59,$DP59:$EI59)</f>
        <v>11</v>
      </c>
      <c r="ES59" s="378">
        <f t="shared" ref="ES59:ES61" ca="1" si="1005">RANK(DW59,$DP59:$EI59)</f>
        <v>3</v>
      </c>
      <c r="ET59" s="378">
        <f t="shared" ref="ET59:ET61" ca="1" si="1006">RANK(DX59,$DP59:$EI59)</f>
        <v>5</v>
      </c>
      <c r="EU59" s="378">
        <f t="shared" ref="EU59:EU61" ca="1" si="1007">RANK(DY59,$DP59:$EI59)</f>
        <v>4</v>
      </c>
      <c r="EV59" s="378">
        <f t="shared" ref="EV59:EV61" ca="1" si="1008">RANK(DZ59,$DP59:$EI59)</f>
        <v>12</v>
      </c>
      <c r="EW59" s="378">
        <f t="shared" ref="EW59:EW61" ca="1" si="1009">RANK(EA59,$DP59:$EI59)</f>
        <v>2</v>
      </c>
      <c r="EX59" s="378">
        <f t="shared" ref="EX59:EX61" ca="1" si="1010">RANK(EB59,$DP59:$EI59)</f>
        <v>13</v>
      </c>
      <c r="EY59" s="378">
        <f t="shared" ref="EY59:EY61" ca="1" si="1011">RANK(EC59,$DP59:$EI59)</f>
        <v>14</v>
      </c>
      <c r="EZ59" s="378">
        <f t="shared" ref="EZ59:EZ61" ca="1" si="1012">RANK(ED59,$DP59:$EI59)</f>
        <v>15</v>
      </c>
      <c r="FA59" s="378">
        <f t="shared" ref="FA59:FA61" ca="1" si="1013">RANK(EE59,$DP59:$EI59)</f>
        <v>16</v>
      </c>
      <c r="FB59" s="378">
        <f t="shared" ref="FB59:FB61" ca="1" si="1014">RANK(EF59,$DP59:$EI59)</f>
        <v>17</v>
      </c>
      <c r="FC59" s="378">
        <f t="shared" ref="FC59:FC61" ca="1" si="1015">RANK(EG59,$DP59:$EI59)</f>
        <v>18</v>
      </c>
      <c r="FD59" s="378">
        <f t="shared" ref="FD59:FD61" ca="1" si="1016">RANK(EH59,$DP59:$EI59)</f>
        <v>19</v>
      </c>
      <c r="FE59" s="378">
        <f t="shared" ref="FE59:FE61" ca="1" si="1017">RANK(EI59,$DP59:$EI59)</f>
        <v>20</v>
      </c>
      <c r="FG59" s="378">
        <f t="shared" ref="FG59:FV61" ca="1" si="1018">MATCH(FG$5,$EL59:$FE59,0)</f>
        <v>2</v>
      </c>
      <c r="FH59" s="378">
        <f t="shared" ca="1" si="1018"/>
        <v>12</v>
      </c>
      <c r="FI59" s="378">
        <f t="shared" ca="1" si="1018"/>
        <v>8</v>
      </c>
      <c r="FJ59" s="378">
        <f t="shared" ca="1" si="1018"/>
        <v>10</v>
      </c>
      <c r="FK59" s="378">
        <f t="shared" ca="1" si="1018"/>
        <v>9</v>
      </c>
      <c r="FL59" s="378">
        <f t="shared" ca="1" si="1018"/>
        <v>1</v>
      </c>
      <c r="FM59" s="378">
        <f t="shared" ca="1" si="1018"/>
        <v>3</v>
      </c>
      <c r="FN59" s="378">
        <f t="shared" ca="1" si="1018"/>
        <v>4</v>
      </c>
      <c r="FO59" s="378">
        <f t="shared" ca="1" si="1018"/>
        <v>5</v>
      </c>
      <c r="FP59" s="378">
        <f t="shared" ca="1" si="1018"/>
        <v>6</v>
      </c>
      <c r="FQ59" s="378">
        <f t="shared" ca="1" si="1018"/>
        <v>7</v>
      </c>
      <c r="FR59" s="378">
        <f t="shared" ca="1" si="1018"/>
        <v>11</v>
      </c>
      <c r="FS59" s="378">
        <f t="shared" ca="1" si="1018"/>
        <v>13</v>
      </c>
      <c r="FT59" s="378">
        <f t="shared" ca="1" si="1018"/>
        <v>14</v>
      </c>
      <c r="FU59" s="378">
        <f t="shared" ca="1" si="1018"/>
        <v>15</v>
      </c>
      <c r="FV59" s="378">
        <f t="shared" ca="1" si="1018"/>
        <v>16</v>
      </c>
      <c r="FW59" s="378">
        <f t="shared" ref="FW59:FZ61" ca="1" si="1019">MATCH(FW$5,$EL59:$FE59,0)</f>
        <v>17</v>
      </c>
      <c r="FX59" s="378">
        <f t="shared" ca="1" si="1019"/>
        <v>18</v>
      </c>
      <c r="FY59" s="378">
        <f t="shared" ca="1" si="1019"/>
        <v>19</v>
      </c>
      <c r="FZ59" s="378">
        <f t="shared" ca="1" si="1019"/>
        <v>20</v>
      </c>
      <c r="GB59" s="275" t="str">
        <f t="shared" ref="GB59:GB61" ca="1" si="1020">IF(GB$5&lt;=$BV59,INDEX($Y59:$BL59,1,FG59*2-1)&amp;" ("&amp;TEXT(INDEX($DP59:$EI59,1,FG59),"0%")&amp;")","")</f>
        <v>Financial planning (20%)</v>
      </c>
      <c r="GC59" s="231" t="str">
        <f t="shared" ref="GC59:GC61" ca="1" si="1021">IF(GC$5&lt;=$BV59,"; "&amp;INDEX($Y59:$BL59,1,FH59*2-1)&amp;" ("&amp;TEXT(INDEX($DP59:$EI59,1,FH59),"0%")&amp;")","")</f>
        <v>; Enhance BI Platform (12%)</v>
      </c>
      <c r="GD59" s="231" t="str">
        <f t="shared" ref="GD59:GD61" ca="1" si="1022">IF(GD$5&lt;=$BV59,"; "&amp;INDEX($Y59:$BL59,1,FI59*2-1)&amp;" ("&amp;TEXT(INDEX($DP59:$EI59,1,FI59),"0%")&amp;")","")</f>
        <v>; Supply Chain / Ops Data Integration (11%)</v>
      </c>
      <c r="GE59" s="231" t="str">
        <f t="shared" ref="GE59:GE61" ca="1" si="1023">IF(GE$5&lt;=$BV59,"; "&amp;INDEX($Y59:$BL59,1,FJ59*2-1)&amp;" ("&amp;TEXT(INDEX($DP59:$EI59,1,FJ59),"0%")&amp;")","")</f>
        <v>; Other Data Integration (10%)</v>
      </c>
      <c r="GF59" s="231" t="str">
        <f t="shared" ref="GF59:GF61" ca="1" si="1024">IF(GF$5&lt;=$BV59,"; "&amp;INDEX($Y59:$BL59,1,FK59*2-1)&amp;" ("&amp;TEXT(INDEX($DP59:$EI59,1,FK59),"0%")&amp;")","")</f>
        <v>; Financial Data Integration (9%)</v>
      </c>
      <c r="GG59" s="231" t="str">
        <f t="shared" ref="GG59:GG61" ca="1" si="1025">IF(GG$5&lt;=$BV59,"; "&amp;INDEX($Y59:$BL59,1,FL59*2-1)&amp;" ("&amp;TEXT(INDEX($DP59:$EI59,1,FL59),"0%")&amp;")","")</f>
        <v>; Financial analysis (7%)</v>
      </c>
      <c r="GH59" s="231" t="str">
        <f t="shared" ref="GH59:GH61" ca="1" si="1026">IF(GH$5&lt;=$BV59,"; "&amp;INDEX($Y59:$BL59,1,FM59*2-1)&amp;" ("&amp;TEXT(INDEX($DP59:$EI59,1,FM59),"0%")&amp;")","")</f>
        <v>; Profitability management (7%)</v>
      </c>
      <c r="GI59" s="231" t="str">
        <f t="shared" ref="GI59:GI61" ca="1" si="1027">IF(GI$5&lt;=$BV59,"; "&amp;INDEX($Y59:$BL59,1,FN59*2-1)&amp;" ("&amp;TEXT(INDEX($DP59:$EI59,1,FN59),"0%")&amp;")","")</f>
        <v/>
      </c>
      <c r="GJ59" s="231" t="str">
        <f t="shared" ref="GJ59:GJ61" ca="1" si="1028">IF(GJ$5&lt;=$BV59,"; "&amp;INDEX($Y59:$BL59,1,FO59*2-1)&amp;" ("&amp;TEXT(INDEX($DP59:$EI59,1,FO59),"0%")&amp;")","")</f>
        <v/>
      </c>
      <c r="GK59" s="231" t="str">
        <f t="shared" ref="GK59:GK61" ca="1" si="1029">IF(GK$5&lt;=$BV59,"; "&amp;INDEX($Y59:$BL59,1,FP59*2-1)&amp;" ("&amp;TEXT(INDEX($DP59:$EI59,1,FP59),"0%")&amp;")","")</f>
        <v/>
      </c>
      <c r="GL59" s="231" t="str">
        <f t="shared" ref="GL59:GL61" ca="1" si="1030">IF(GL$5&lt;=$BV59,"; "&amp;INDEX($Y59:$BL59,1,FQ59*2-1)&amp;" ("&amp;TEXT(INDEX($DP59:$EI59,1,FQ59),"0%")&amp;")","")</f>
        <v/>
      </c>
      <c r="GM59" s="231" t="str">
        <f t="shared" ref="GM59:GM61" ca="1" si="1031">IF(GM$5&lt;=$BV59,"; "&amp;INDEX($Y59:$BL59,1,FR59*2-1)&amp;" ("&amp;TEXT(INDEX($DP59:$EI59,1,FR59),"0%")&amp;")","")</f>
        <v/>
      </c>
      <c r="GN59" s="231" t="str">
        <f t="shared" ref="GN59:GN61" ca="1" si="1032">IF(GN$5&lt;=$BV59,"; "&amp;INDEX($Y59:$BL59,1,FS59*2-1)&amp;" ("&amp;TEXT(INDEX($DP59:$EI59,1,FS59),"0%")&amp;")","")</f>
        <v/>
      </c>
      <c r="GO59" s="231" t="str">
        <f t="shared" ref="GO59:GO61" ca="1" si="1033">IF(GO$5&lt;=$BV59,"; "&amp;INDEX($Y59:$BL59,1,FT59*2-1)&amp;" ("&amp;TEXT(INDEX($DP59:$EI59,1,FT59),"0%")&amp;")","")</f>
        <v/>
      </c>
      <c r="GP59" s="231" t="str">
        <f t="shared" ref="GP59:GP61" ca="1" si="1034">IF(GP$5&lt;=$BV59,"; "&amp;INDEX($Y59:$BL59,1,FU59*2-1)&amp;" ("&amp;TEXT(INDEX($DP59:$EI59,1,FU59),"0%")&amp;")","")</f>
        <v/>
      </c>
      <c r="GQ59" s="231" t="str">
        <f t="shared" ref="GQ59:GQ61" ca="1" si="1035">IF(GQ$5&lt;=$BV59,"; "&amp;INDEX($Y59:$BL59,1,FV59*2-1)&amp;" ("&amp;TEXT(INDEX($DP59:$EI59,1,FV59),"0%")&amp;")","")</f>
        <v/>
      </c>
      <c r="GR59" s="231" t="str">
        <f t="shared" ref="GR59:GR61" ca="1" si="1036">IF(GR$5&lt;=$BV59,"; "&amp;INDEX($Y59:$BL59,1,FW59*2-1)&amp;" ("&amp;TEXT(INDEX($DP59:$EI59,1,FW59),"0%")&amp;")","")</f>
        <v/>
      </c>
      <c r="GS59" s="231" t="str">
        <f t="shared" ref="GS59:GS61" ca="1" si="1037">IF(GS$5&lt;=$BV59,"; "&amp;INDEX($Y59:$BL59,1,FX59*2-1)&amp;" ("&amp;TEXT(INDEX($DP59:$EI59,1,FX59),"0%")&amp;")","")</f>
        <v/>
      </c>
      <c r="GT59" s="231" t="str">
        <f t="shared" ref="GT59:GT61" ca="1" si="1038">IF(GT$5&lt;=$BV59,"; "&amp;INDEX($Y59:$BL59,1,FY59*2-1)&amp;" ("&amp;TEXT(INDEX($DP59:$EI59,1,FY59),"0%")&amp;")","")</f>
        <v/>
      </c>
      <c r="GU59" s="231" t="str">
        <f t="shared" ref="GU59:GU61" ca="1" si="1039">IF(GU$5&lt;=$BV59,"; "&amp;INDEX($Y59:$BL59,1,FZ59*2-1)&amp;" ("&amp;TEXT(INDEX($DP59:$EI59,1,FZ59),"0%")&amp;")","")</f>
        <v/>
      </c>
    </row>
    <row r="60" spans="1:203" s="386" customFormat="1" ht="15" hidden="1" customHeight="1">
      <c r="B60" s="373"/>
      <c r="C60" s="81" t="str">
        <f>Productivity!B23</f>
        <v>Budgeting</v>
      </c>
      <c r="D60" s="404">
        <f t="shared" ca="1" si="950"/>
        <v>0.48044557063290949</v>
      </c>
      <c r="E60" s="374">
        <f>ROW(Initiatives!$A$30)</f>
        <v>30</v>
      </c>
      <c r="F60" s="374">
        <f>ROW(Initiatives!$A$31)</f>
        <v>31</v>
      </c>
      <c r="G60" s="374">
        <f>ROW(Initiatives!$A$32)</f>
        <v>32</v>
      </c>
      <c r="H60" s="374">
        <f>ROW(Initiatives!$A$33)</f>
        <v>33</v>
      </c>
      <c r="I60" s="374">
        <f>ROW(Initiatives!$A$34)</f>
        <v>34</v>
      </c>
      <c r="J60" s="374">
        <f>ROW(Initiatives!$A$35)</f>
        <v>35</v>
      </c>
      <c r="K60" s="374">
        <f>ROW(Initiatives!$A$172)</f>
        <v>172</v>
      </c>
      <c r="L60" s="374">
        <f>ROW(Initiatives!$A$173)</f>
        <v>173</v>
      </c>
      <c r="M60" s="374">
        <f>ROW(Initiatives!$A$174)</f>
        <v>174</v>
      </c>
      <c r="N60" s="374">
        <f>ROW(Initiatives!$A$175)</f>
        <v>175</v>
      </c>
      <c r="O60" s="374">
        <f>ROW(Initiatives!$A$183)</f>
        <v>183</v>
      </c>
      <c r="P60" s="374">
        <f>ROW(Initiatives!$A$189)</f>
        <v>189</v>
      </c>
      <c r="Q60" s="374" t="s">
        <v>975</v>
      </c>
      <c r="R60" s="374" t="s">
        <v>975</v>
      </c>
      <c r="S60" s="374" t="s">
        <v>975</v>
      </c>
      <c r="T60" s="374" t="s">
        <v>975</v>
      </c>
      <c r="U60" s="374" t="s">
        <v>975</v>
      </c>
      <c r="V60" s="374" t="s">
        <v>975</v>
      </c>
      <c r="W60" s="374" t="s">
        <v>975</v>
      </c>
      <c r="X60" s="374" t="s">
        <v>975</v>
      </c>
      <c r="Y60" s="392" t="str">
        <f ca="1">OFFSET(Initiatives!$D$1,E60-1,$BS$3)</f>
        <v>Financial analysis</v>
      </c>
      <c r="Z60" s="375">
        <v>4</v>
      </c>
      <c r="AA60" s="392" t="str">
        <f ca="1">OFFSET(Initiatives!$D$1,F60-1,$BS$3)</f>
        <v>Financial planning</v>
      </c>
      <c r="AB60" s="375">
        <v>8</v>
      </c>
      <c r="AC60" s="392" t="str">
        <f ca="1">OFFSET(Initiatives!$D$1,G60-1,$BS$3)</f>
        <v>Profitability management</v>
      </c>
      <c r="AD60" s="375">
        <v>4</v>
      </c>
      <c r="AE60" s="392" t="str">
        <f ca="1">OFFSET(Initiatives!$D$1,H60-1,$BS$3)</f>
        <v>Activity-based costing</v>
      </c>
      <c r="AF60" s="375">
        <v>4</v>
      </c>
      <c r="AG60" s="392" t="str">
        <f ca="1">OFFSET(Initiatives!$D$1,I60-1,$BS$3)</f>
        <v>Financial reporting</v>
      </c>
      <c r="AH60" s="375">
        <v>3</v>
      </c>
      <c r="AI60" s="392" t="str">
        <f ca="1">OFFSET(Initiatives!$D$1,J60-1,$BS$3)</f>
        <v>Financial consolidation</v>
      </c>
      <c r="AJ60" s="375">
        <v>3</v>
      </c>
      <c r="AK60" s="392" t="str">
        <f ca="1">OFFSET(Initiatives!$D$1,K60-1,$BS$3)</f>
        <v>Marketing / Sales Data Integration</v>
      </c>
      <c r="AL60" s="375">
        <v>4</v>
      </c>
      <c r="AM60" s="392" t="str">
        <f ca="1">OFFSET(Initiatives!$D$1,L60-1,$BS$3)</f>
        <v>Supply Chain / Ops Data Integration</v>
      </c>
      <c r="AN60" s="375">
        <v>4</v>
      </c>
      <c r="AO60" s="392" t="str">
        <f ca="1">OFFSET(Initiatives!$D$1,M60-1,$BS$3)</f>
        <v>Financial Data Integration</v>
      </c>
      <c r="AP60" s="375">
        <v>8</v>
      </c>
      <c r="AQ60" s="392" t="str">
        <f ca="1">OFFSET(Initiatives!$D$1,N60-1,$BS$3)</f>
        <v>Other Data Integration</v>
      </c>
      <c r="AR60" s="375">
        <v>4</v>
      </c>
      <c r="AS60" s="392" t="str">
        <f ca="1">OFFSET(Initiatives!$D$1,O60-1,$BS$3)</f>
        <v>Enhance DW Platform</v>
      </c>
      <c r="AT60" s="375">
        <v>5</v>
      </c>
      <c r="AU60" s="392" t="str">
        <f ca="1">OFFSET(Initiatives!$D$1,P60-1,$BS$3)</f>
        <v>Enhance BI Platform</v>
      </c>
      <c r="AV60" s="375">
        <v>5</v>
      </c>
      <c r="AW60" s="392" t="e">
        <f ca="1">OFFSET(Initiatives!$D$1,Q60-1,$BS$3)</f>
        <v>#VALUE!</v>
      </c>
      <c r="AX60" s="375"/>
      <c r="AY60" s="392" t="e">
        <f ca="1">OFFSET(Initiatives!$D$1,R60-1,$BS$3)</f>
        <v>#VALUE!</v>
      </c>
      <c r="AZ60" s="375"/>
      <c r="BA60" s="392" t="e">
        <f ca="1">OFFSET(Initiatives!$D$1,S60-1,$BS$3)</f>
        <v>#VALUE!</v>
      </c>
      <c r="BB60" s="375"/>
      <c r="BC60" s="392" t="e">
        <f ca="1">OFFSET(Initiatives!$D$1,T60-1,$BS$3)</f>
        <v>#VALUE!</v>
      </c>
      <c r="BD60" s="375"/>
      <c r="BE60" s="392" t="e">
        <f ca="1">OFFSET(Initiatives!$D$1,U60-1,$BS$3)</f>
        <v>#VALUE!</v>
      </c>
      <c r="BF60" s="375"/>
      <c r="BG60" s="392" t="e">
        <f ca="1">OFFSET(Initiatives!$D$1,V60-1,$BS$3)</f>
        <v>#VALUE!</v>
      </c>
      <c r="BH60" s="375"/>
      <c r="BI60" s="392" t="e">
        <f ca="1">OFFSET(Initiatives!$D$1,W60-1,$BS$3)</f>
        <v>#VALUE!</v>
      </c>
      <c r="BJ60" s="375"/>
      <c r="BK60" s="392" t="e">
        <f ca="1">OFFSET(Initiatives!$D$1,X60-1,$BS$3)</f>
        <v>#VALUE!</v>
      </c>
      <c r="BL60" s="375"/>
      <c r="BN60" s="101">
        <f t="shared" si="951"/>
        <v>56.000100000000003</v>
      </c>
      <c r="BP60" s="231" t="str">
        <f t="shared" ca="1" si="952"/>
        <v>Financial planning (17%); Enhance BI Platform (11%); Supply Chain / Ops Data Integration (10%); Other Data Integration (10%); Financial analysis (8%); Profitability management (8%); Activity-based costing (8%)</v>
      </c>
      <c r="BQ60" s="338">
        <v>0.01</v>
      </c>
      <c r="BR60" s="40">
        <f t="shared" ca="1" si="953"/>
        <v>11</v>
      </c>
      <c r="BS60" s="274">
        <v>0.05</v>
      </c>
      <c r="BT60" s="40">
        <f t="shared" ca="1" si="954"/>
        <v>11</v>
      </c>
      <c r="BU60" s="376">
        <v>7</v>
      </c>
      <c r="BV60" s="40">
        <f t="shared" ca="1" si="955"/>
        <v>7</v>
      </c>
      <c r="BY60" s="377">
        <f ca="1">IF(ISERROR(OFFSET(Initiatives!$D$1,E60-1,$BY$3)),,OFFSET(Initiatives!$D$1,E60-1,$BY$3))</f>
        <v>0.55999999999999983</v>
      </c>
      <c r="BZ60" s="377">
        <f ca="1">IF(ISERROR(OFFSET(Initiatives!$D$1,F60-1,$BY$3)),,OFFSET(Initiatives!$D$1,F60-1,$BY$3))</f>
        <v>0.55999999999999983</v>
      </c>
      <c r="CA60" s="377">
        <f ca="1">IF(ISERROR(OFFSET(Initiatives!$D$1,G60-1,$BY$3)),,OFFSET(Initiatives!$D$1,G60-1,$BY$3))</f>
        <v>0.55999999999999983</v>
      </c>
      <c r="CB60" s="377">
        <f ca="1">IF(ISERROR(OFFSET(Initiatives!$D$1,H60-1,$BY$3)),,OFFSET(Initiatives!$D$1,H60-1,$BY$3))</f>
        <v>0.55999999999999983</v>
      </c>
      <c r="CC60" s="377">
        <f ca="1">IF(ISERROR(OFFSET(Initiatives!$D$1,I60-1,$BY$3)),,OFFSET(Initiatives!$D$1,I60-1,$BY$3))</f>
        <v>0.55999999999999983</v>
      </c>
      <c r="CD60" s="377">
        <f ca="1">IF(ISERROR(OFFSET(Initiatives!$D$1,J60-1,$BY$3)),,OFFSET(Initiatives!$D$1,J60-1,$BY$3))</f>
        <v>0.55999999999999983</v>
      </c>
      <c r="CE60" s="377">
        <f ca="1">IF(ISERROR(OFFSET(Initiatives!$D$1,K60-1,$BY$3)),,OFFSET(Initiatives!$D$1,K60-1,$BY$3))</f>
        <v>0.3600000000000001</v>
      </c>
      <c r="CF60" s="377">
        <f ca="1">IF(ISERROR(OFFSET(Initiatives!$D$1,L60-1,$BY$3)),,OFFSET(Initiatives!$D$1,L60-1,$BY$3))</f>
        <v>0.68000000000000016</v>
      </c>
      <c r="CG60" s="377">
        <f ca="1">IF(ISERROR(OFFSET(Initiatives!$D$1,M60-1,$BY$3)),,OFFSET(Initiatives!$D$1,M60-1,$BY$3))</f>
        <v>0.27999999999999958</v>
      </c>
      <c r="CH60" s="377">
        <f ca="1">IF(ISERROR(OFFSET(Initiatives!$D$1,N60-1,$BY$3)),,OFFSET(Initiatives!$D$1,N60-1,$BY$3))</f>
        <v>0.64000000000000012</v>
      </c>
      <c r="CI60" s="377">
        <f ca="1">IF(ISERROR(OFFSET(Initiatives!$D$1,O60-1,$BY$3)),,OFFSET(Initiatives!$D$1,O60-1,$BY$3))</f>
        <v>7.7000000000000179E-2</v>
      </c>
      <c r="CJ60" s="377">
        <f ca="1">IF(ISERROR(OFFSET(Initiatives!$D$1,P60-1,$BY$3)),,OFFSET(Initiatives!$D$1,P60-1,$BY$3))</f>
        <v>0.6</v>
      </c>
      <c r="CK60" s="377">
        <f ca="1">IF(ISERROR(OFFSET(Initiatives!$D$1,Q60-1,$BY$3)),,OFFSET(Initiatives!$D$1,Q60-1,$BY$3))</f>
        <v>0</v>
      </c>
      <c r="CL60" s="377">
        <f ca="1">IF(ISERROR(OFFSET(Initiatives!$D$1,R60-1,$BY$3)),,OFFSET(Initiatives!$D$1,R60-1,$BY$3))</f>
        <v>0</v>
      </c>
      <c r="CM60" s="377">
        <f ca="1">IF(ISERROR(OFFSET(Initiatives!$D$1,S60-1,$BY$3)),,OFFSET(Initiatives!$D$1,S60-1,$BY$3))</f>
        <v>0</v>
      </c>
      <c r="CN60" s="377">
        <f ca="1">IF(ISERROR(OFFSET(Initiatives!$D$1,T60-1,$BY$3)),,OFFSET(Initiatives!$D$1,T60-1,$BY$3))</f>
        <v>0</v>
      </c>
      <c r="CO60" s="377">
        <f ca="1">IF(ISERROR(OFFSET(Initiatives!$D$1,U60-1,$BY$3)),,OFFSET(Initiatives!$D$1,U60-1,$BY$3))</f>
        <v>0</v>
      </c>
      <c r="CP60" s="377">
        <f ca="1">IF(ISERROR(OFFSET(Initiatives!$D$1,V60-1,$BY$3)),,OFFSET(Initiatives!$D$1,V60-1,$BY$3))</f>
        <v>0</v>
      </c>
      <c r="CQ60" s="377">
        <f ca="1">IF(ISERROR(OFFSET(Initiatives!$D$1,W60-1,$BY$3)),,OFFSET(Initiatives!$D$1,W60-1,$BY$3))</f>
        <v>0</v>
      </c>
      <c r="CR60" s="377">
        <f ca="1">IF(ISERROR(OFFSET(Initiatives!$D$1,X60-1,$BY$3)),,OFFSET(Initiatives!$D$1,X60-1,$BY$3))</f>
        <v>0</v>
      </c>
      <c r="CT60" s="41">
        <f t="shared" ca="1" si="956"/>
        <v>3.9999928571556105E-2</v>
      </c>
      <c r="CU60" s="41">
        <f t="shared" ca="1" si="957"/>
        <v>7.999985714311221E-2</v>
      </c>
      <c r="CV60" s="41">
        <f t="shared" ca="1" si="958"/>
        <v>3.9999928571556105E-2</v>
      </c>
      <c r="CW60" s="41">
        <f t="shared" ca="1" si="959"/>
        <v>3.9999928571556105E-2</v>
      </c>
      <c r="CX60" s="41">
        <f t="shared" ca="1" si="960"/>
        <v>2.9999946428667081E-2</v>
      </c>
      <c r="CY60" s="41">
        <f t="shared" ca="1" si="961"/>
        <v>2.9999946428667081E-2</v>
      </c>
      <c r="CZ60" s="41">
        <f t="shared" ca="1" si="962"/>
        <v>2.571423979600037E-2</v>
      </c>
      <c r="DA60" s="41">
        <f t="shared" ca="1" si="963"/>
        <v>4.8571341836889582E-2</v>
      </c>
      <c r="DB60" s="41">
        <f t="shared" ca="1" si="964"/>
        <v>3.9999928571556063E-2</v>
      </c>
      <c r="DC60" s="41">
        <f t="shared" ca="1" si="965"/>
        <v>4.5714204081778433E-2</v>
      </c>
      <c r="DD60" s="41">
        <f t="shared" ca="1" si="966"/>
        <v>6.8749877232362243E-3</v>
      </c>
      <c r="DE60" s="41">
        <f t="shared" ca="1" si="967"/>
        <v>5.3571332908334088E-2</v>
      </c>
      <c r="DF60" s="41">
        <f t="shared" ca="1" si="968"/>
        <v>0</v>
      </c>
      <c r="DG60" s="41">
        <f t="shared" ca="1" si="969"/>
        <v>0</v>
      </c>
      <c r="DH60" s="41">
        <f t="shared" ca="1" si="970"/>
        <v>0</v>
      </c>
      <c r="DI60" s="41">
        <f t="shared" ca="1" si="971"/>
        <v>0</v>
      </c>
      <c r="DJ60" s="41">
        <f t="shared" ca="1" si="972"/>
        <v>0</v>
      </c>
      <c r="DK60" s="41">
        <f t="shared" ca="1" si="973"/>
        <v>0</v>
      </c>
      <c r="DL60" s="41">
        <f t="shared" ca="1" si="974"/>
        <v>0</v>
      </c>
      <c r="DM60" s="41">
        <f t="shared" ca="1" si="975"/>
        <v>0</v>
      </c>
      <c r="DN60" s="41">
        <f t="shared" ca="1" si="976"/>
        <v>0.48044557063290949</v>
      </c>
      <c r="DP60" s="41">
        <f t="shared" ca="1" si="977"/>
        <v>8.3245900390262015E-2</v>
      </c>
      <c r="DQ60" s="41">
        <f t="shared" ca="1" si="978"/>
        <v>0.16649180078052403</v>
      </c>
      <c r="DR60" s="41">
        <f t="shared" ca="1" si="979"/>
        <v>8.3225900390262009E-2</v>
      </c>
      <c r="DS60" s="41">
        <f t="shared" ca="1" si="980"/>
        <v>8.3215900390262013E-2</v>
      </c>
      <c r="DT60" s="41">
        <f t="shared" ca="1" si="981"/>
        <v>6.2391925292696514E-2</v>
      </c>
      <c r="DU60" s="41">
        <f t="shared" ca="1" si="982"/>
        <v>6.2381925292696518E-2</v>
      </c>
      <c r="DV60" s="41">
        <f t="shared" ca="1" si="983"/>
        <v>5.3451650250882755E-2</v>
      </c>
      <c r="DW60" s="41">
        <f t="shared" ca="1" si="984"/>
        <v>0.10101645047388964</v>
      </c>
      <c r="DX60" s="41">
        <f t="shared" ca="1" si="985"/>
        <v>8.3165900390261921E-2</v>
      </c>
      <c r="DY60" s="41">
        <f t="shared" ca="1" si="986"/>
        <v>9.5049600446013779E-2</v>
      </c>
      <c r="DZ60" s="41">
        <f t="shared" ca="1" si="987"/>
        <v>1.4199607879576323E-2</v>
      </c>
      <c r="EA60" s="41">
        <f t="shared" ca="1" si="988"/>
        <v>0.11138343802267238</v>
      </c>
      <c r="EB60" s="41">
        <f t="shared" ca="1" si="989"/>
        <v>-1.2999999999999999E-4</v>
      </c>
      <c r="EC60" s="41">
        <f t="shared" ca="1" si="990"/>
        <v>-1.3999999999999999E-4</v>
      </c>
      <c r="ED60" s="41">
        <f t="shared" ca="1" si="991"/>
        <v>-1.4999999999999999E-4</v>
      </c>
      <c r="EE60" s="41">
        <f t="shared" ca="1" si="992"/>
        <v>-1.6000000000000001E-4</v>
      </c>
      <c r="EF60" s="41">
        <f t="shared" ca="1" si="993"/>
        <v>-1.7000000000000001E-4</v>
      </c>
      <c r="EG60" s="41">
        <f t="shared" ca="1" si="994"/>
        <v>-1.8000000000000001E-4</v>
      </c>
      <c r="EH60" s="41">
        <f t="shared" ca="1" si="995"/>
        <v>-1.9000000000000001E-4</v>
      </c>
      <c r="EI60" s="41">
        <f t="shared" ca="1" si="996"/>
        <v>-2.0000000000000001E-4</v>
      </c>
      <c r="EJ60" s="41">
        <f t="shared" ca="1" si="997"/>
        <v>0.99789999999999979</v>
      </c>
      <c r="EL60" s="378">
        <f t="shared" ca="1" si="998"/>
        <v>5</v>
      </c>
      <c r="EM60" s="378">
        <f t="shared" ca="1" si="999"/>
        <v>1</v>
      </c>
      <c r="EN60" s="378">
        <f t="shared" ca="1" si="1000"/>
        <v>6</v>
      </c>
      <c r="EO60" s="378">
        <f t="shared" ca="1" si="1001"/>
        <v>7</v>
      </c>
      <c r="EP60" s="378">
        <f t="shared" ca="1" si="1002"/>
        <v>9</v>
      </c>
      <c r="EQ60" s="378">
        <f t="shared" ca="1" si="1003"/>
        <v>10</v>
      </c>
      <c r="ER60" s="378">
        <f t="shared" ca="1" si="1004"/>
        <v>11</v>
      </c>
      <c r="ES60" s="378">
        <f t="shared" ca="1" si="1005"/>
        <v>3</v>
      </c>
      <c r="ET60" s="378">
        <f t="shared" ca="1" si="1006"/>
        <v>8</v>
      </c>
      <c r="EU60" s="378">
        <f t="shared" ca="1" si="1007"/>
        <v>4</v>
      </c>
      <c r="EV60" s="378">
        <f t="shared" ca="1" si="1008"/>
        <v>12</v>
      </c>
      <c r="EW60" s="378">
        <f t="shared" ca="1" si="1009"/>
        <v>2</v>
      </c>
      <c r="EX60" s="378">
        <f t="shared" ca="1" si="1010"/>
        <v>13</v>
      </c>
      <c r="EY60" s="378">
        <f t="shared" ca="1" si="1011"/>
        <v>14</v>
      </c>
      <c r="EZ60" s="378">
        <f t="shared" ca="1" si="1012"/>
        <v>15</v>
      </c>
      <c r="FA60" s="378">
        <f t="shared" ca="1" si="1013"/>
        <v>16</v>
      </c>
      <c r="FB60" s="378">
        <f t="shared" ca="1" si="1014"/>
        <v>17</v>
      </c>
      <c r="FC60" s="378">
        <f t="shared" ca="1" si="1015"/>
        <v>18</v>
      </c>
      <c r="FD60" s="378">
        <f t="shared" ca="1" si="1016"/>
        <v>19</v>
      </c>
      <c r="FE60" s="378">
        <f t="shared" ca="1" si="1017"/>
        <v>20</v>
      </c>
      <c r="FG60" s="378">
        <f t="shared" ca="1" si="1018"/>
        <v>2</v>
      </c>
      <c r="FH60" s="378">
        <f t="shared" ca="1" si="1018"/>
        <v>12</v>
      </c>
      <c r="FI60" s="378">
        <f t="shared" ca="1" si="1018"/>
        <v>8</v>
      </c>
      <c r="FJ60" s="378">
        <f t="shared" ca="1" si="1018"/>
        <v>10</v>
      </c>
      <c r="FK60" s="378">
        <f t="shared" ca="1" si="1018"/>
        <v>1</v>
      </c>
      <c r="FL60" s="378">
        <f t="shared" ca="1" si="1018"/>
        <v>3</v>
      </c>
      <c r="FM60" s="378">
        <f t="shared" ca="1" si="1018"/>
        <v>4</v>
      </c>
      <c r="FN60" s="378">
        <f t="shared" ca="1" si="1018"/>
        <v>9</v>
      </c>
      <c r="FO60" s="378">
        <f t="shared" ca="1" si="1018"/>
        <v>5</v>
      </c>
      <c r="FP60" s="378">
        <f t="shared" ca="1" si="1018"/>
        <v>6</v>
      </c>
      <c r="FQ60" s="378">
        <f t="shared" ca="1" si="1018"/>
        <v>7</v>
      </c>
      <c r="FR60" s="378">
        <f t="shared" ca="1" si="1018"/>
        <v>11</v>
      </c>
      <c r="FS60" s="378">
        <f t="shared" ca="1" si="1018"/>
        <v>13</v>
      </c>
      <c r="FT60" s="378">
        <f t="shared" ca="1" si="1018"/>
        <v>14</v>
      </c>
      <c r="FU60" s="378">
        <f t="shared" ca="1" si="1018"/>
        <v>15</v>
      </c>
      <c r="FV60" s="378">
        <f t="shared" ca="1" si="1018"/>
        <v>16</v>
      </c>
      <c r="FW60" s="378">
        <f t="shared" ca="1" si="1019"/>
        <v>17</v>
      </c>
      <c r="FX60" s="378">
        <f t="shared" ca="1" si="1019"/>
        <v>18</v>
      </c>
      <c r="FY60" s="378">
        <f t="shared" ca="1" si="1019"/>
        <v>19</v>
      </c>
      <c r="FZ60" s="378">
        <f t="shared" ca="1" si="1019"/>
        <v>20</v>
      </c>
      <c r="GB60" s="275" t="str">
        <f t="shared" ca="1" si="1020"/>
        <v>Financial planning (17%)</v>
      </c>
      <c r="GC60" s="231" t="str">
        <f t="shared" ca="1" si="1021"/>
        <v>; Enhance BI Platform (11%)</v>
      </c>
      <c r="GD60" s="231" t="str">
        <f t="shared" ca="1" si="1022"/>
        <v>; Supply Chain / Ops Data Integration (10%)</v>
      </c>
      <c r="GE60" s="231" t="str">
        <f t="shared" ca="1" si="1023"/>
        <v>; Other Data Integration (10%)</v>
      </c>
      <c r="GF60" s="231" t="str">
        <f t="shared" ca="1" si="1024"/>
        <v>; Financial analysis (8%)</v>
      </c>
      <c r="GG60" s="231" t="str">
        <f t="shared" ca="1" si="1025"/>
        <v>; Profitability management (8%)</v>
      </c>
      <c r="GH60" s="231" t="str">
        <f t="shared" ca="1" si="1026"/>
        <v>; Activity-based costing (8%)</v>
      </c>
      <c r="GI60" s="231" t="str">
        <f t="shared" ca="1" si="1027"/>
        <v/>
      </c>
      <c r="GJ60" s="231" t="str">
        <f t="shared" ca="1" si="1028"/>
        <v/>
      </c>
      <c r="GK60" s="231" t="str">
        <f t="shared" ca="1" si="1029"/>
        <v/>
      </c>
      <c r="GL60" s="231" t="str">
        <f t="shared" ca="1" si="1030"/>
        <v/>
      </c>
      <c r="GM60" s="231" t="str">
        <f t="shared" ca="1" si="1031"/>
        <v/>
      </c>
      <c r="GN60" s="231" t="str">
        <f t="shared" ca="1" si="1032"/>
        <v/>
      </c>
      <c r="GO60" s="231" t="str">
        <f t="shared" ca="1" si="1033"/>
        <v/>
      </c>
      <c r="GP60" s="231" t="str">
        <f t="shared" ca="1" si="1034"/>
        <v/>
      </c>
      <c r="GQ60" s="231" t="str">
        <f t="shared" ca="1" si="1035"/>
        <v/>
      </c>
      <c r="GR60" s="231" t="str">
        <f t="shared" ca="1" si="1036"/>
        <v/>
      </c>
      <c r="GS60" s="231" t="str">
        <f t="shared" ca="1" si="1037"/>
        <v/>
      </c>
      <c r="GT60" s="231" t="str">
        <f t="shared" ca="1" si="1038"/>
        <v/>
      </c>
      <c r="GU60" s="231" t="str">
        <f t="shared" ca="1" si="1039"/>
        <v/>
      </c>
    </row>
    <row r="61" spans="1:203" s="386" customFormat="1" ht="15" hidden="1" customHeight="1">
      <c r="B61" s="373"/>
      <c r="C61" s="81" t="str">
        <f>Productivity!B24</f>
        <v>Consolidation</v>
      </c>
      <c r="D61" s="404">
        <f t="shared" ca="1" si="950"/>
        <v>0.46529906940186105</v>
      </c>
      <c r="E61" s="374">
        <f>ROW(Initiatives!$A$30)</f>
        <v>30</v>
      </c>
      <c r="F61" s="374">
        <f>ROW(Initiatives!$A$31)</f>
        <v>31</v>
      </c>
      <c r="G61" s="374">
        <f>ROW(Initiatives!$A$32)</f>
        <v>32</v>
      </c>
      <c r="H61" s="374">
        <f>ROW(Initiatives!$A$33)</f>
        <v>33</v>
      </c>
      <c r="I61" s="374">
        <f>ROW(Initiatives!$A$34)</f>
        <v>34</v>
      </c>
      <c r="J61" s="374">
        <f>ROW(Initiatives!$A$35)</f>
        <v>35</v>
      </c>
      <c r="K61" s="374">
        <f>ROW(Initiatives!$A$172)</f>
        <v>172</v>
      </c>
      <c r="L61" s="374">
        <f>ROW(Initiatives!$A$173)</f>
        <v>173</v>
      </c>
      <c r="M61" s="374">
        <f>ROW(Initiatives!$A$174)</f>
        <v>174</v>
      </c>
      <c r="N61" s="374">
        <f>ROW(Initiatives!$A$175)</f>
        <v>175</v>
      </c>
      <c r="O61" s="374">
        <f>ROW(Initiatives!$A$183)</f>
        <v>183</v>
      </c>
      <c r="P61" s="374">
        <f>ROW(Initiatives!$A$189)</f>
        <v>189</v>
      </c>
      <c r="Q61" s="374" t="s">
        <v>975</v>
      </c>
      <c r="R61" s="374" t="s">
        <v>975</v>
      </c>
      <c r="S61" s="374" t="s">
        <v>975</v>
      </c>
      <c r="T61" s="374" t="s">
        <v>975</v>
      </c>
      <c r="U61" s="374" t="s">
        <v>975</v>
      </c>
      <c r="V61" s="374" t="s">
        <v>975</v>
      </c>
      <c r="W61" s="374" t="s">
        <v>975</v>
      </c>
      <c r="X61" s="374" t="s">
        <v>975</v>
      </c>
      <c r="Y61" s="392" t="str">
        <f ca="1">OFFSET(Initiatives!$D$1,E61-1,$BS$3)</f>
        <v>Financial analysis</v>
      </c>
      <c r="Z61" s="375">
        <v>1</v>
      </c>
      <c r="AA61" s="392" t="str">
        <f ca="1">OFFSET(Initiatives!$D$1,F61-1,$BS$3)</f>
        <v>Financial planning</v>
      </c>
      <c r="AB61" s="375">
        <v>4</v>
      </c>
      <c r="AC61" s="392" t="str">
        <f ca="1">OFFSET(Initiatives!$D$1,G61-1,$BS$3)</f>
        <v>Profitability management</v>
      </c>
      <c r="AD61" s="375">
        <v>1</v>
      </c>
      <c r="AE61" s="392" t="str">
        <f ca="1">OFFSET(Initiatives!$D$1,H61-1,$BS$3)</f>
        <v>Activity-based costing</v>
      </c>
      <c r="AF61" s="375">
        <v>1</v>
      </c>
      <c r="AG61" s="392" t="str">
        <f ca="1">OFFSET(Initiatives!$D$1,I61-1,$BS$3)</f>
        <v>Financial reporting</v>
      </c>
      <c r="AH61" s="375">
        <v>6</v>
      </c>
      <c r="AI61" s="392" t="str">
        <f ca="1">OFFSET(Initiatives!$D$1,J61-1,$BS$3)</f>
        <v>Financial consolidation</v>
      </c>
      <c r="AJ61" s="375">
        <v>9</v>
      </c>
      <c r="AK61" s="392" t="str">
        <f ca="1">OFFSET(Initiatives!$D$1,K61-1,$BS$3)</f>
        <v>Marketing / Sales Data Integration</v>
      </c>
      <c r="AL61" s="375">
        <v>3</v>
      </c>
      <c r="AM61" s="392" t="str">
        <f ca="1">OFFSET(Initiatives!$D$1,L61-1,$BS$3)</f>
        <v>Supply Chain / Ops Data Integration</v>
      </c>
      <c r="AN61" s="375">
        <v>3</v>
      </c>
      <c r="AO61" s="392" t="str">
        <f ca="1">OFFSET(Initiatives!$D$1,M61-1,$BS$3)</f>
        <v>Financial Data Integration</v>
      </c>
      <c r="AP61" s="375">
        <v>9</v>
      </c>
      <c r="AQ61" s="392" t="str">
        <f ca="1">OFFSET(Initiatives!$D$1,N61-1,$BS$3)</f>
        <v>Other Data Integration</v>
      </c>
      <c r="AR61" s="375">
        <v>3</v>
      </c>
      <c r="AS61" s="392" t="str">
        <f ca="1">OFFSET(Initiatives!$D$1,O61-1,$BS$3)</f>
        <v>Enhance DW Platform</v>
      </c>
      <c r="AT61" s="375">
        <v>5</v>
      </c>
      <c r="AU61" s="392" t="str">
        <f ca="1">OFFSET(Initiatives!$D$1,P61-1,$BS$3)</f>
        <v>Enhance BI Platform</v>
      </c>
      <c r="AV61" s="375">
        <v>5</v>
      </c>
      <c r="AW61" s="392" t="e">
        <f ca="1">OFFSET(Initiatives!$D$1,Q61-1,$BS$3)</f>
        <v>#VALUE!</v>
      </c>
      <c r="AX61" s="375"/>
      <c r="AY61" s="392" t="e">
        <f ca="1">OFFSET(Initiatives!$D$1,R61-1,$BS$3)</f>
        <v>#VALUE!</v>
      </c>
      <c r="AZ61" s="375"/>
      <c r="BA61" s="392" t="e">
        <f ca="1">OFFSET(Initiatives!$D$1,S61-1,$BS$3)</f>
        <v>#VALUE!</v>
      </c>
      <c r="BB61" s="375"/>
      <c r="BC61" s="392" t="e">
        <f ca="1">OFFSET(Initiatives!$D$1,T61-1,$BS$3)</f>
        <v>#VALUE!</v>
      </c>
      <c r="BD61" s="375"/>
      <c r="BE61" s="392" t="e">
        <f ca="1">OFFSET(Initiatives!$D$1,U61-1,$BS$3)</f>
        <v>#VALUE!</v>
      </c>
      <c r="BF61" s="375"/>
      <c r="BG61" s="392" t="e">
        <f ca="1">OFFSET(Initiatives!$D$1,V61-1,$BS$3)</f>
        <v>#VALUE!</v>
      </c>
      <c r="BH61" s="375"/>
      <c r="BI61" s="392" t="e">
        <f ca="1">OFFSET(Initiatives!$D$1,W61-1,$BS$3)</f>
        <v>#VALUE!</v>
      </c>
      <c r="BJ61" s="375"/>
      <c r="BK61" s="392" t="e">
        <f ca="1">OFFSET(Initiatives!$D$1,X61-1,$BS$3)</f>
        <v>#VALUE!</v>
      </c>
      <c r="BL61" s="375"/>
      <c r="BN61" s="101">
        <f t="shared" si="951"/>
        <v>50.000100000000003</v>
      </c>
      <c r="BP61" s="231" t="str">
        <f t="shared" ca="1" si="952"/>
        <v>Financial consolidation (22%); Financial reporting (14%); Enhance BI Platform (13%); Financial Data Integration (11%); Financial planning (10%); Supply Chain / Ops Data Integration (9%); Other Data Integration (8%)</v>
      </c>
      <c r="BQ61" s="338">
        <v>0.01</v>
      </c>
      <c r="BR61" s="40">
        <f t="shared" ca="1" si="953"/>
        <v>11</v>
      </c>
      <c r="BS61" s="274">
        <v>0.05</v>
      </c>
      <c r="BT61" s="40">
        <f t="shared" ca="1" si="954"/>
        <v>7</v>
      </c>
      <c r="BU61" s="376">
        <v>7</v>
      </c>
      <c r="BV61" s="40">
        <f t="shared" ca="1" si="955"/>
        <v>7</v>
      </c>
      <c r="BY61" s="377">
        <f ca="1">IF(ISERROR(OFFSET(Initiatives!$D$1,E61-1,$BY$3)),,OFFSET(Initiatives!$D$1,E61-1,$BY$3))</f>
        <v>0.55999999999999983</v>
      </c>
      <c r="BZ61" s="377">
        <f ca="1">IF(ISERROR(OFFSET(Initiatives!$D$1,F61-1,$BY$3)),,OFFSET(Initiatives!$D$1,F61-1,$BY$3))</f>
        <v>0.55999999999999983</v>
      </c>
      <c r="CA61" s="377">
        <f ca="1">IF(ISERROR(OFFSET(Initiatives!$D$1,G61-1,$BY$3)),,OFFSET(Initiatives!$D$1,G61-1,$BY$3))</f>
        <v>0.55999999999999983</v>
      </c>
      <c r="CB61" s="377">
        <f ca="1">IF(ISERROR(OFFSET(Initiatives!$D$1,H61-1,$BY$3)),,OFFSET(Initiatives!$D$1,H61-1,$BY$3))</f>
        <v>0.55999999999999983</v>
      </c>
      <c r="CC61" s="377">
        <f ca="1">IF(ISERROR(OFFSET(Initiatives!$D$1,I61-1,$BY$3)),,OFFSET(Initiatives!$D$1,I61-1,$BY$3))</f>
        <v>0.55999999999999983</v>
      </c>
      <c r="CD61" s="377">
        <f ca="1">IF(ISERROR(OFFSET(Initiatives!$D$1,J61-1,$BY$3)),,OFFSET(Initiatives!$D$1,J61-1,$BY$3))</f>
        <v>0.55999999999999983</v>
      </c>
      <c r="CE61" s="377">
        <f ca="1">IF(ISERROR(OFFSET(Initiatives!$D$1,K61-1,$BY$3)),,OFFSET(Initiatives!$D$1,K61-1,$BY$3))</f>
        <v>0.3600000000000001</v>
      </c>
      <c r="CF61" s="377">
        <f ca="1">IF(ISERROR(OFFSET(Initiatives!$D$1,L61-1,$BY$3)),,OFFSET(Initiatives!$D$1,L61-1,$BY$3))</f>
        <v>0.68000000000000016</v>
      </c>
      <c r="CG61" s="377">
        <f ca="1">IF(ISERROR(OFFSET(Initiatives!$D$1,M61-1,$BY$3)),,OFFSET(Initiatives!$D$1,M61-1,$BY$3))</f>
        <v>0.27999999999999958</v>
      </c>
      <c r="CH61" s="377">
        <f ca="1">IF(ISERROR(OFFSET(Initiatives!$D$1,N61-1,$BY$3)),,OFFSET(Initiatives!$D$1,N61-1,$BY$3))</f>
        <v>0.64000000000000012</v>
      </c>
      <c r="CI61" s="377">
        <f ca="1">IF(ISERROR(OFFSET(Initiatives!$D$1,O61-1,$BY$3)),,OFFSET(Initiatives!$D$1,O61-1,$BY$3))</f>
        <v>7.7000000000000179E-2</v>
      </c>
      <c r="CJ61" s="377">
        <f ca="1">IF(ISERROR(OFFSET(Initiatives!$D$1,P61-1,$BY$3)),,OFFSET(Initiatives!$D$1,P61-1,$BY$3))</f>
        <v>0.6</v>
      </c>
      <c r="CK61" s="377">
        <f ca="1">IF(ISERROR(OFFSET(Initiatives!$D$1,Q61-1,$BY$3)),,OFFSET(Initiatives!$D$1,Q61-1,$BY$3))</f>
        <v>0</v>
      </c>
      <c r="CL61" s="377">
        <f ca="1">IF(ISERROR(OFFSET(Initiatives!$D$1,R61-1,$BY$3)),,OFFSET(Initiatives!$D$1,R61-1,$BY$3))</f>
        <v>0</v>
      </c>
      <c r="CM61" s="377">
        <f ca="1">IF(ISERROR(OFFSET(Initiatives!$D$1,S61-1,$BY$3)),,OFFSET(Initiatives!$D$1,S61-1,$BY$3))</f>
        <v>0</v>
      </c>
      <c r="CN61" s="377">
        <f ca="1">IF(ISERROR(OFFSET(Initiatives!$D$1,T61-1,$BY$3)),,OFFSET(Initiatives!$D$1,T61-1,$BY$3))</f>
        <v>0</v>
      </c>
      <c r="CO61" s="377">
        <f ca="1">IF(ISERROR(OFFSET(Initiatives!$D$1,U61-1,$BY$3)),,OFFSET(Initiatives!$D$1,U61-1,$BY$3))</f>
        <v>0</v>
      </c>
      <c r="CP61" s="377">
        <f ca="1">IF(ISERROR(OFFSET(Initiatives!$D$1,V61-1,$BY$3)),,OFFSET(Initiatives!$D$1,V61-1,$BY$3))</f>
        <v>0</v>
      </c>
      <c r="CQ61" s="377">
        <f ca="1">IF(ISERROR(OFFSET(Initiatives!$D$1,W61-1,$BY$3)),,OFFSET(Initiatives!$D$1,W61-1,$BY$3))</f>
        <v>0</v>
      </c>
      <c r="CR61" s="377">
        <f ca="1">IF(ISERROR(OFFSET(Initiatives!$D$1,X61-1,$BY$3)),,OFFSET(Initiatives!$D$1,X61-1,$BY$3))</f>
        <v>0</v>
      </c>
      <c r="CT61" s="41">
        <f t="shared" ca="1" si="956"/>
        <v>1.1199977600044795E-2</v>
      </c>
      <c r="CU61" s="41">
        <f t="shared" ca="1" si="957"/>
        <v>4.479991040017918E-2</v>
      </c>
      <c r="CV61" s="41">
        <f t="shared" ca="1" si="958"/>
        <v>1.1199977600044795E-2</v>
      </c>
      <c r="CW61" s="41">
        <f t="shared" ca="1" si="959"/>
        <v>1.1199977600044795E-2</v>
      </c>
      <c r="CX61" s="41">
        <f t="shared" ca="1" si="960"/>
        <v>6.7199865600268777E-2</v>
      </c>
      <c r="CY61" s="41">
        <f t="shared" ca="1" si="961"/>
        <v>0.10079979840040315</v>
      </c>
      <c r="CZ61" s="41">
        <f t="shared" ca="1" si="962"/>
        <v>2.1599956800086403E-2</v>
      </c>
      <c r="DA61" s="41">
        <f t="shared" ca="1" si="963"/>
        <v>4.0799918400163206E-2</v>
      </c>
      <c r="DB61" s="41">
        <f t="shared" ca="1" si="964"/>
        <v>5.039989920020152E-2</v>
      </c>
      <c r="DC61" s="41">
        <f t="shared" ca="1" si="965"/>
        <v>3.8399923200153604E-2</v>
      </c>
      <c r="DD61" s="41">
        <f t="shared" ca="1" si="966"/>
        <v>7.6999846000308176E-3</v>
      </c>
      <c r="DE61" s="41">
        <f t="shared" ca="1" si="967"/>
        <v>5.9999880000239994E-2</v>
      </c>
      <c r="DF61" s="41">
        <f t="shared" ca="1" si="968"/>
        <v>0</v>
      </c>
      <c r="DG61" s="41">
        <f t="shared" ca="1" si="969"/>
        <v>0</v>
      </c>
      <c r="DH61" s="41">
        <f t="shared" ca="1" si="970"/>
        <v>0</v>
      </c>
      <c r="DI61" s="41">
        <f t="shared" ca="1" si="971"/>
        <v>0</v>
      </c>
      <c r="DJ61" s="41">
        <f t="shared" ca="1" si="972"/>
        <v>0</v>
      </c>
      <c r="DK61" s="41">
        <f t="shared" ca="1" si="973"/>
        <v>0</v>
      </c>
      <c r="DL61" s="41">
        <f t="shared" ca="1" si="974"/>
        <v>0</v>
      </c>
      <c r="DM61" s="41">
        <f t="shared" ca="1" si="975"/>
        <v>0</v>
      </c>
      <c r="DN61" s="41">
        <f t="shared" ca="1" si="976"/>
        <v>0.46529906940186105</v>
      </c>
      <c r="DP61" s="41">
        <f t="shared" ca="1" si="977"/>
        <v>2.4060492155598537E-2</v>
      </c>
      <c r="DQ61" s="41">
        <f t="shared" ca="1" si="978"/>
        <v>9.626196862239414E-2</v>
      </c>
      <c r="DR61" s="41">
        <f t="shared" ca="1" si="979"/>
        <v>2.4040492155598538E-2</v>
      </c>
      <c r="DS61" s="41">
        <f t="shared" ca="1" si="980"/>
        <v>2.4030492155598538E-2</v>
      </c>
      <c r="DT61" s="41">
        <f t="shared" ca="1" si="981"/>
        <v>0.14437295293359123</v>
      </c>
      <c r="DU61" s="41">
        <f t="shared" ca="1" si="982"/>
        <v>0.21657442940038679</v>
      </c>
      <c r="DV61" s="41">
        <f t="shared" ca="1" si="983"/>
        <v>4.6351663442940061E-2</v>
      </c>
      <c r="DW61" s="41">
        <f t="shared" ca="1" si="984"/>
        <v>8.7605364281109002E-2</v>
      </c>
      <c r="DX61" s="41">
        <f t="shared" ca="1" si="985"/>
        <v>0.10822721470019328</v>
      </c>
      <c r="DY61" s="41">
        <f t="shared" ca="1" si="986"/>
        <v>8.2427401676337886E-2</v>
      </c>
      <c r="DZ61" s="41">
        <f t="shared" ca="1" si="987"/>
        <v>1.6438463356974038E-2</v>
      </c>
      <c r="EA61" s="41">
        <f t="shared" ca="1" si="988"/>
        <v>0.12882906511927791</v>
      </c>
      <c r="EB61" s="41">
        <f t="shared" ca="1" si="989"/>
        <v>-1.2999999999999999E-4</v>
      </c>
      <c r="EC61" s="41">
        <f t="shared" ca="1" si="990"/>
        <v>-1.3999999999999999E-4</v>
      </c>
      <c r="ED61" s="41">
        <f t="shared" ca="1" si="991"/>
        <v>-1.4999999999999999E-4</v>
      </c>
      <c r="EE61" s="41">
        <f t="shared" ca="1" si="992"/>
        <v>-1.6000000000000001E-4</v>
      </c>
      <c r="EF61" s="41">
        <f t="shared" ca="1" si="993"/>
        <v>-1.7000000000000001E-4</v>
      </c>
      <c r="EG61" s="41">
        <f t="shared" ca="1" si="994"/>
        <v>-1.8000000000000001E-4</v>
      </c>
      <c r="EH61" s="41">
        <f t="shared" ca="1" si="995"/>
        <v>-1.9000000000000001E-4</v>
      </c>
      <c r="EI61" s="41">
        <f t="shared" ca="1" si="996"/>
        <v>-2.0000000000000001E-4</v>
      </c>
      <c r="EJ61" s="41">
        <f t="shared" ca="1" si="997"/>
        <v>0.99790000000000001</v>
      </c>
      <c r="EL61" s="378">
        <f t="shared" ca="1" si="998"/>
        <v>9</v>
      </c>
      <c r="EM61" s="378">
        <f t="shared" ca="1" si="999"/>
        <v>5</v>
      </c>
      <c r="EN61" s="378">
        <f t="shared" ca="1" si="1000"/>
        <v>10</v>
      </c>
      <c r="EO61" s="378">
        <f t="shared" ca="1" si="1001"/>
        <v>11</v>
      </c>
      <c r="EP61" s="378">
        <f t="shared" ca="1" si="1002"/>
        <v>2</v>
      </c>
      <c r="EQ61" s="378">
        <f t="shared" ca="1" si="1003"/>
        <v>1</v>
      </c>
      <c r="ER61" s="378">
        <f t="shared" ca="1" si="1004"/>
        <v>8</v>
      </c>
      <c r="ES61" s="378">
        <f t="shared" ca="1" si="1005"/>
        <v>6</v>
      </c>
      <c r="ET61" s="378">
        <f t="shared" ca="1" si="1006"/>
        <v>4</v>
      </c>
      <c r="EU61" s="378">
        <f t="shared" ca="1" si="1007"/>
        <v>7</v>
      </c>
      <c r="EV61" s="378">
        <f t="shared" ca="1" si="1008"/>
        <v>12</v>
      </c>
      <c r="EW61" s="378">
        <f t="shared" ca="1" si="1009"/>
        <v>3</v>
      </c>
      <c r="EX61" s="378">
        <f t="shared" ca="1" si="1010"/>
        <v>13</v>
      </c>
      <c r="EY61" s="378">
        <f t="shared" ca="1" si="1011"/>
        <v>14</v>
      </c>
      <c r="EZ61" s="378">
        <f t="shared" ca="1" si="1012"/>
        <v>15</v>
      </c>
      <c r="FA61" s="378">
        <f t="shared" ca="1" si="1013"/>
        <v>16</v>
      </c>
      <c r="FB61" s="378">
        <f t="shared" ca="1" si="1014"/>
        <v>17</v>
      </c>
      <c r="FC61" s="378">
        <f t="shared" ca="1" si="1015"/>
        <v>18</v>
      </c>
      <c r="FD61" s="378">
        <f t="shared" ca="1" si="1016"/>
        <v>19</v>
      </c>
      <c r="FE61" s="378">
        <f t="shared" ca="1" si="1017"/>
        <v>20</v>
      </c>
      <c r="FG61" s="378">
        <f t="shared" ca="1" si="1018"/>
        <v>6</v>
      </c>
      <c r="FH61" s="378">
        <f t="shared" ca="1" si="1018"/>
        <v>5</v>
      </c>
      <c r="FI61" s="378">
        <f t="shared" ca="1" si="1018"/>
        <v>12</v>
      </c>
      <c r="FJ61" s="378">
        <f t="shared" ca="1" si="1018"/>
        <v>9</v>
      </c>
      <c r="FK61" s="378">
        <f t="shared" ca="1" si="1018"/>
        <v>2</v>
      </c>
      <c r="FL61" s="378">
        <f t="shared" ca="1" si="1018"/>
        <v>8</v>
      </c>
      <c r="FM61" s="378">
        <f t="shared" ca="1" si="1018"/>
        <v>10</v>
      </c>
      <c r="FN61" s="378">
        <f t="shared" ca="1" si="1018"/>
        <v>7</v>
      </c>
      <c r="FO61" s="378">
        <f t="shared" ca="1" si="1018"/>
        <v>1</v>
      </c>
      <c r="FP61" s="378">
        <f t="shared" ca="1" si="1018"/>
        <v>3</v>
      </c>
      <c r="FQ61" s="378">
        <f t="shared" ca="1" si="1018"/>
        <v>4</v>
      </c>
      <c r="FR61" s="378">
        <f t="shared" ca="1" si="1018"/>
        <v>11</v>
      </c>
      <c r="FS61" s="378">
        <f t="shared" ca="1" si="1018"/>
        <v>13</v>
      </c>
      <c r="FT61" s="378">
        <f t="shared" ca="1" si="1018"/>
        <v>14</v>
      </c>
      <c r="FU61" s="378">
        <f t="shared" ca="1" si="1018"/>
        <v>15</v>
      </c>
      <c r="FV61" s="378">
        <f t="shared" ca="1" si="1018"/>
        <v>16</v>
      </c>
      <c r="FW61" s="378">
        <f t="shared" ca="1" si="1019"/>
        <v>17</v>
      </c>
      <c r="FX61" s="378">
        <f t="shared" ca="1" si="1019"/>
        <v>18</v>
      </c>
      <c r="FY61" s="378">
        <f t="shared" ca="1" si="1019"/>
        <v>19</v>
      </c>
      <c r="FZ61" s="378">
        <f t="shared" ca="1" si="1019"/>
        <v>20</v>
      </c>
      <c r="GB61" s="275" t="str">
        <f t="shared" ca="1" si="1020"/>
        <v>Financial consolidation (22%)</v>
      </c>
      <c r="GC61" s="231" t="str">
        <f t="shared" ca="1" si="1021"/>
        <v>; Financial reporting (14%)</v>
      </c>
      <c r="GD61" s="231" t="str">
        <f t="shared" ca="1" si="1022"/>
        <v>; Enhance BI Platform (13%)</v>
      </c>
      <c r="GE61" s="231" t="str">
        <f t="shared" ca="1" si="1023"/>
        <v>; Financial Data Integration (11%)</v>
      </c>
      <c r="GF61" s="231" t="str">
        <f t="shared" ca="1" si="1024"/>
        <v>; Financial planning (10%)</v>
      </c>
      <c r="GG61" s="231" t="str">
        <f t="shared" ca="1" si="1025"/>
        <v>; Supply Chain / Ops Data Integration (9%)</v>
      </c>
      <c r="GH61" s="231" t="str">
        <f t="shared" ca="1" si="1026"/>
        <v>; Other Data Integration (8%)</v>
      </c>
      <c r="GI61" s="231" t="str">
        <f t="shared" ca="1" si="1027"/>
        <v/>
      </c>
      <c r="GJ61" s="231" t="str">
        <f t="shared" ca="1" si="1028"/>
        <v/>
      </c>
      <c r="GK61" s="231" t="str">
        <f t="shared" ca="1" si="1029"/>
        <v/>
      </c>
      <c r="GL61" s="231" t="str">
        <f t="shared" ca="1" si="1030"/>
        <v/>
      </c>
      <c r="GM61" s="231" t="str">
        <f t="shared" ca="1" si="1031"/>
        <v/>
      </c>
      <c r="GN61" s="231" t="str">
        <f t="shared" ca="1" si="1032"/>
        <v/>
      </c>
      <c r="GO61" s="231" t="str">
        <f t="shared" ca="1" si="1033"/>
        <v/>
      </c>
      <c r="GP61" s="231" t="str">
        <f t="shared" ca="1" si="1034"/>
        <v/>
      </c>
      <c r="GQ61" s="231" t="str">
        <f t="shared" ca="1" si="1035"/>
        <v/>
      </c>
      <c r="GR61" s="231" t="str">
        <f t="shared" ca="1" si="1036"/>
        <v/>
      </c>
      <c r="GS61" s="231" t="str">
        <f t="shared" ca="1" si="1037"/>
        <v/>
      </c>
      <c r="GT61" s="231" t="str">
        <f t="shared" ca="1" si="1038"/>
        <v/>
      </c>
      <c r="GU61" s="231" t="str">
        <f t="shared" ca="1" si="1039"/>
        <v/>
      </c>
    </row>
    <row r="62" spans="1:203" hidden="1"/>
    <row r="63" spans="1:203" ht="15" hidden="1">
      <c r="B63" s="6" t="str">
        <f>Productivity!A12</f>
        <v>Business Process Automation</v>
      </c>
    </row>
    <row r="64" spans="1:203" s="386" customFormat="1" ht="15.75" hidden="1" customHeight="1">
      <c r="B64" s="373"/>
      <c r="C64" s="81" t="str">
        <f>Productivity!B13</f>
        <v>Elimination of business process activities</v>
      </c>
      <c r="D64" s="404">
        <f t="shared" ref="D64:D65" ca="1" si="1040">DN64</f>
        <v>0.43716934980300665</v>
      </c>
      <c r="E64" s="374">
        <f>ROW(Initiatives!$A$170)</f>
        <v>170</v>
      </c>
      <c r="F64" s="374">
        <f>ROW(Initiatives!$A$176)</f>
        <v>176</v>
      </c>
      <c r="G64" s="374">
        <f>ROW(Initiatives!$A$183)</f>
        <v>183</v>
      </c>
      <c r="H64" s="374">
        <f>ROW(Initiatives!$A$185)</f>
        <v>185</v>
      </c>
      <c r="I64" s="374">
        <f>ROW(Initiatives!$A$186)</f>
        <v>186</v>
      </c>
      <c r="J64" s="374">
        <f>ROW(Initiatives!$A$187)</f>
        <v>187</v>
      </c>
      <c r="K64" s="374">
        <f>ROW(Initiatives!$A$188)</f>
        <v>188</v>
      </c>
      <c r="L64" s="374" t="s">
        <v>975</v>
      </c>
      <c r="M64" s="374" t="s">
        <v>975</v>
      </c>
      <c r="N64" s="374" t="s">
        <v>975</v>
      </c>
      <c r="O64" s="374" t="s">
        <v>975</v>
      </c>
      <c r="P64" s="374" t="s">
        <v>975</v>
      </c>
      <c r="Q64" s="374" t="s">
        <v>975</v>
      </c>
      <c r="R64" s="374" t="s">
        <v>975</v>
      </c>
      <c r="S64" s="374" t="s">
        <v>975</v>
      </c>
      <c r="T64" s="374" t="s">
        <v>975</v>
      </c>
      <c r="U64" s="374" t="s">
        <v>975</v>
      </c>
      <c r="V64" s="374" t="s">
        <v>975</v>
      </c>
      <c r="W64" s="374" t="s">
        <v>975</v>
      </c>
      <c r="X64" s="374" t="s">
        <v>975</v>
      </c>
      <c r="Y64" s="392" t="str">
        <f ca="1">OFFSET(Initiatives!$D$1,E64-1,$BS$3)</f>
        <v>BI Applications</v>
      </c>
      <c r="Z64" s="375">
        <v>7</v>
      </c>
      <c r="AA64" s="392" t="str">
        <f ca="1">OFFSET(Initiatives!$D$1,F64-1,$BS$3)</f>
        <v>Source System Inclusion / Integration</v>
      </c>
      <c r="AB64" s="375">
        <v>5</v>
      </c>
      <c r="AC64" s="392" t="str">
        <f ca="1">OFFSET(Initiatives!$D$1,G64-1,$BS$3)</f>
        <v>Enhance DW Platform</v>
      </c>
      <c r="AD64" s="375">
        <v>6</v>
      </c>
      <c r="AE64" s="392" t="str">
        <f ca="1">OFFSET(Initiatives!$D$1,H64-1,$BS$3)</f>
        <v>Reporting</v>
      </c>
      <c r="AF64" s="375">
        <v>0</v>
      </c>
      <c r="AG64" s="392" t="str">
        <f ca="1">OFFSET(Initiatives!$D$1,I64-1,$BS$3)</f>
        <v>Scorecards / Dashboards</v>
      </c>
      <c r="AH64" s="375">
        <v>3</v>
      </c>
      <c r="AI64" s="392" t="str">
        <f ca="1">OFFSET(Initiatives!$D$1,J64-1,$BS$3)</f>
        <v>Analytical Tools</v>
      </c>
      <c r="AJ64" s="375">
        <v>2</v>
      </c>
      <c r="AK64" s="392" t="str">
        <f ca="1">OFFSET(Initiatives!$D$1,K64-1,$BS$3)</f>
        <v>Workflow and Collaboration</v>
      </c>
      <c r="AL64" s="375">
        <v>4</v>
      </c>
      <c r="AM64" s="392" t="e">
        <f ca="1">OFFSET(Initiatives!$D$1,L64-1,$BS$3)</f>
        <v>#VALUE!</v>
      </c>
      <c r="AN64" s="375"/>
      <c r="AO64" s="392" t="e">
        <f ca="1">OFFSET(Initiatives!$D$1,M64-1,$BS$3)</f>
        <v>#VALUE!</v>
      </c>
      <c r="AP64" s="375"/>
      <c r="AQ64" s="392" t="e">
        <f ca="1">OFFSET(Initiatives!$D$1,N64-1,$BS$3)</f>
        <v>#VALUE!</v>
      </c>
      <c r="AR64" s="375"/>
      <c r="AS64" s="392" t="e">
        <f ca="1">OFFSET(Initiatives!$D$1,O64-1,$BS$3)</f>
        <v>#VALUE!</v>
      </c>
      <c r="AT64" s="375"/>
      <c r="AU64" s="392" t="e">
        <f ca="1">OFFSET(Initiatives!$D$1,P64-1,$BS$3)</f>
        <v>#VALUE!</v>
      </c>
      <c r="AV64" s="375"/>
      <c r="AW64" s="392" t="e">
        <f ca="1">OFFSET(Initiatives!$D$1,Q64-1,$BS$3)</f>
        <v>#VALUE!</v>
      </c>
      <c r="AX64" s="375"/>
      <c r="AY64" s="392" t="e">
        <f ca="1">OFFSET(Initiatives!$D$1,R64-1,$BS$3)</f>
        <v>#VALUE!</v>
      </c>
      <c r="AZ64" s="375"/>
      <c r="BA64" s="392" t="e">
        <f ca="1">OFFSET(Initiatives!$D$1,S64-1,$BS$3)</f>
        <v>#VALUE!</v>
      </c>
      <c r="BB64" s="375"/>
      <c r="BC64" s="392" t="e">
        <f ca="1">OFFSET(Initiatives!$D$1,T64-1,$BS$3)</f>
        <v>#VALUE!</v>
      </c>
      <c r="BD64" s="375"/>
      <c r="BE64" s="392" t="e">
        <f ca="1">OFFSET(Initiatives!$D$1,U64-1,$BS$3)</f>
        <v>#VALUE!</v>
      </c>
      <c r="BF64" s="375"/>
      <c r="BG64" s="392" t="e">
        <f ca="1">OFFSET(Initiatives!$D$1,V64-1,$BS$3)</f>
        <v>#VALUE!</v>
      </c>
      <c r="BH64" s="375"/>
      <c r="BI64" s="392" t="e">
        <f ca="1">OFFSET(Initiatives!$D$1,W64-1,$BS$3)</f>
        <v>#VALUE!</v>
      </c>
      <c r="BJ64" s="375"/>
      <c r="BK64" s="392" t="e">
        <f ca="1">OFFSET(Initiatives!$D$1,X64-1,$BS$3)</f>
        <v>#VALUE!</v>
      </c>
      <c r="BL64" s="375"/>
      <c r="BN64" s="101">
        <f t="shared" ref="BN64:BN65" si="1041">SUM(Z64,AB64,AD64,AF64,AH64,AJ64,AL64,AN64,AP64,AR64,AT64,AV64,AX64,AZ64,BB64,BD64,BF64,BH64,BJ64,BL64)+0.0001</f>
        <v>27.0001</v>
      </c>
      <c r="BP64" s="231" t="str">
        <f t="shared" ref="BP64:BP65" ca="1" si="1042">CONCATENATE(GB64,GC64,GD64,GE64,GF64,GG64,GH64,GI64,GJ64,GK64,GL64,GM64,GN64,GO64,GP64,GQ64,GR64,GS64,GT64,GU64)</f>
        <v>BI Applications (27%); Workflow and Collaboration (24%); Source System Inclusion / Integration (19%); Scorecards / Dashboards (15%); Analytical Tools (10%)</v>
      </c>
      <c r="BQ64" s="338">
        <v>0.01</v>
      </c>
      <c r="BR64" s="40">
        <f t="shared" ref="BR64:BR65" ca="1" si="1043">COUNTIF(CT64:DM64,"&gt;"&amp;BQ64)</f>
        <v>6</v>
      </c>
      <c r="BS64" s="274">
        <v>0.05</v>
      </c>
      <c r="BT64" s="40">
        <f t="shared" ref="BT64:BT65" ca="1" si="1044">COUNTIF(DP64:EI64,"&gt;"&amp;BS64)</f>
        <v>5</v>
      </c>
      <c r="BU64" s="376">
        <v>7</v>
      </c>
      <c r="BV64" s="40">
        <f t="shared" ref="BV64:BV65" ca="1" si="1045">MIN(BR64,BT64,BU64)</f>
        <v>5</v>
      </c>
      <c r="BY64" s="377">
        <f ca="1">IF(ISERROR(OFFSET(Initiatives!$D$1,E64-1,$BY$3)),,OFFSET(Initiatives!$D$1,E64-1,$BY$3))</f>
        <v>0.45555555555555544</v>
      </c>
      <c r="BZ64" s="377">
        <f ca="1">IF(ISERROR(OFFSET(Initiatives!$D$1,F64-1,$BY$3)),,OFFSET(Initiatives!$D$1,F64-1,$BY$3))</f>
        <v>0.45454545454545436</v>
      </c>
      <c r="CA64" s="377">
        <f ca="1">IF(ISERROR(OFFSET(Initiatives!$D$1,G64-1,$BY$3)),,OFFSET(Initiatives!$D$1,G64-1,$BY$3))</f>
        <v>7.7000000000000179E-2</v>
      </c>
      <c r="CB64" s="377">
        <f ca="1">IF(ISERROR(OFFSET(Initiatives!$D$1,H64-1,$BY$3)),,OFFSET(Initiatives!$D$1,H64-1,$BY$3))</f>
        <v>0.48</v>
      </c>
      <c r="CC64" s="377">
        <f ca="1">IF(ISERROR(OFFSET(Initiatives!$D$1,I64-1,$BY$3)),,OFFSET(Initiatives!$D$1,I64-1,$BY$3))</f>
        <v>0.6</v>
      </c>
      <c r="CD64" s="377">
        <f ca="1">IF(ISERROR(OFFSET(Initiatives!$D$1,J64-1,$BY$3)),,OFFSET(Initiatives!$D$1,J64-1,$BY$3))</f>
        <v>0.6</v>
      </c>
      <c r="CE64" s="377">
        <f ca="1">IF(ISERROR(OFFSET(Initiatives!$D$1,K64-1,$BY$3)),,OFFSET(Initiatives!$D$1,K64-1,$BY$3))</f>
        <v>0.72000000000000008</v>
      </c>
      <c r="CF64" s="377">
        <f ca="1">IF(ISERROR(OFFSET(Initiatives!$D$1,L64-1,$BY$3)),,OFFSET(Initiatives!$D$1,L64-1,$BY$3))</f>
        <v>0</v>
      </c>
      <c r="CG64" s="377">
        <f ca="1">IF(ISERROR(OFFSET(Initiatives!$D$1,M64-1,$BY$3)),,OFFSET(Initiatives!$D$1,M64-1,$BY$3))</f>
        <v>0</v>
      </c>
      <c r="CH64" s="377">
        <f ca="1">IF(ISERROR(OFFSET(Initiatives!$D$1,N64-1,$BY$3)),,OFFSET(Initiatives!$D$1,N64-1,$BY$3))</f>
        <v>0</v>
      </c>
      <c r="CI64" s="377">
        <f ca="1">IF(ISERROR(OFFSET(Initiatives!$D$1,O64-1,$BY$3)),,OFFSET(Initiatives!$D$1,O64-1,$BY$3))</f>
        <v>0</v>
      </c>
      <c r="CJ64" s="377">
        <f ca="1">IF(ISERROR(OFFSET(Initiatives!$D$1,P64-1,$BY$3)),,OFFSET(Initiatives!$D$1,P64-1,$BY$3))</f>
        <v>0</v>
      </c>
      <c r="CK64" s="377">
        <f ca="1">IF(ISERROR(OFFSET(Initiatives!$D$1,Q64-1,$BY$3)),,OFFSET(Initiatives!$D$1,Q64-1,$BY$3))</f>
        <v>0</v>
      </c>
      <c r="CL64" s="377">
        <f ca="1">IF(ISERROR(OFFSET(Initiatives!$D$1,R64-1,$BY$3)),,OFFSET(Initiatives!$D$1,R64-1,$BY$3))</f>
        <v>0</v>
      </c>
      <c r="CM64" s="377">
        <f ca="1">IF(ISERROR(OFFSET(Initiatives!$D$1,S64-1,$BY$3)),,OFFSET(Initiatives!$D$1,S64-1,$BY$3))</f>
        <v>0</v>
      </c>
      <c r="CN64" s="377">
        <f ca="1">IF(ISERROR(OFFSET(Initiatives!$D$1,T64-1,$BY$3)),,OFFSET(Initiatives!$D$1,T64-1,$BY$3))</f>
        <v>0</v>
      </c>
      <c r="CO64" s="377">
        <f ca="1">IF(ISERROR(OFFSET(Initiatives!$D$1,U64-1,$BY$3)),,OFFSET(Initiatives!$D$1,U64-1,$BY$3))</f>
        <v>0</v>
      </c>
      <c r="CP64" s="377">
        <f ca="1">IF(ISERROR(OFFSET(Initiatives!$D$1,V64-1,$BY$3)),,OFFSET(Initiatives!$D$1,V64-1,$BY$3))</f>
        <v>0</v>
      </c>
      <c r="CQ64" s="377">
        <f ca="1">IF(ISERROR(OFFSET(Initiatives!$D$1,W64-1,$BY$3)),,OFFSET(Initiatives!$D$1,W64-1,$BY$3))</f>
        <v>0</v>
      </c>
      <c r="CR64" s="377">
        <f ca="1">IF(ISERROR(OFFSET(Initiatives!$D$1,X64-1,$BY$3)),,OFFSET(Initiatives!$D$1,X64-1,$BY$3))</f>
        <v>0</v>
      </c>
      <c r="CT64" s="41">
        <f t="shared" ref="CT64:CT65" ca="1" si="1046">BY64*Z64/$BN64</f>
        <v>0.11810655845307566</v>
      </c>
      <c r="CU64" s="41">
        <f t="shared" ref="CU64:CU65" ca="1" si="1047">BZ64*AB64/$BN64</f>
        <v>8.4174772416667779E-2</v>
      </c>
      <c r="CV64" s="41">
        <f t="shared" ref="CV64:CV65" ca="1" si="1048">CA64*AD64/$BN64</f>
        <v>1.7111047736860275E-2</v>
      </c>
      <c r="CW64" s="41">
        <f t="shared" ref="CW64:CW65" ca="1" si="1049">CB64*AF64/$BN64</f>
        <v>0</v>
      </c>
      <c r="CX64" s="41">
        <f t="shared" ref="CX64:CX65" ca="1" si="1050">CC64*AH64/$BN64</f>
        <v>6.6666419754000908E-2</v>
      </c>
      <c r="CY64" s="41">
        <f t="shared" ref="CY64:CY65" ca="1" si="1051">CD64*AJ64/$BN64</f>
        <v>4.4444279836000605E-2</v>
      </c>
      <c r="CZ64" s="41">
        <f t="shared" ref="CZ64:CZ65" ca="1" si="1052">CE64*AL64/$BN64</f>
        <v>0.10666627160640148</v>
      </c>
      <c r="DA64" s="41">
        <f t="shared" ref="DA64:DA65" ca="1" si="1053">CF64*AN64/$BN64</f>
        <v>0</v>
      </c>
      <c r="DB64" s="41">
        <f t="shared" ref="DB64:DB65" ca="1" si="1054">CG64*AP64/$BN64</f>
        <v>0</v>
      </c>
      <c r="DC64" s="41">
        <f t="shared" ref="DC64:DC65" ca="1" si="1055">CH64*AR64/$BN64</f>
        <v>0</v>
      </c>
      <c r="DD64" s="41">
        <f t="shared" ref="DD64:DD65" ca="1" si="1056">CI64*AT64/$BN64</f>
        <v>0</v>
      </c>
      <c r="DE64" s="41">
        <f t="shared" ref="DE64:DE65" ca="1" si="1057">CJ64*AV64/$BN64</f>
        <v>0</v>
      </c>
      <c r="DF64" s="41">
        <f t="shared" ref="DF64:DF65" ca="1" si="1058">CK64*AX64/$BN64</f>
        <v>0</v>
      </c>
      <c r="DG64" s="41">
        <f t="shared" ref="DG64:DG65" ca="1" si="1059">CL64*AZ64/$BN64</f>
        <v>0</v>
      </c>
      <c r="DH64" s="41">
        <f t="shared" ref="DH64:DH65" ca="1" si="1060">CM64*BB64/$BN64</f>
        <v>0</v>
      </c>
      <c r="DI64" s="41">
        <f t="shared" ref="DI64:DI65" ca="1" si="1061">CN64*BD64/$BN64</f>
        <v>0</v>
      </c>
      <c r="DJ64" s="41">
        <f t="shared" ref="DJ64:DJ65" ca="1" si="1062">CO64*BF64/$BN64</f>
        <v>0</v>
      </c>
      <c r="DK64" s="41">
        <f t="shared" ref="DK64:DK65" ca="1" si="1063">CP64*BH64/$BN64</f>
        <v>0</v>
      </c>
      <c r="DL64" s="41">
        <f t="shared" ref="DL64:DL65" ca="1" si="1064">CQ64*BJ64/$BN64</f>
        <v>0</v>
      </c>
      <c r="DM64" s="41">
        <f t="shared" ref="DM64:DM65" ca="1" si="1065">CR64*BL64/$BN64</f>
        <v>0</v>
      </c>
      <c r="DN64" s="41">
        <f t="shared" ref="DN64:DN65" ca="1" si="1066">SUM(CT64:DM64)</f>
        <v>0.43716934980300665</v>
      </c>
      <c r="DP64" s="41">
        <f t="shared" ref="DP64:DP65" ca="1" si="1067">CT64/$DN64-DP$5/100000</f>
        <v>0.27015202875680966</v>
      </c>
      <c r="DQ64" s="41">
        <f t="shared" ref="DQ64:DQ65" ca="1" si="1068">CU64/$DN64-DQ$5/100000</f>
        <v>0.19252499990586683</v>
      </c>
      <c r="DR64" s="41">
        <f t="shared" ref="DR64:DR65" ca="1" si="1069">CV64/$DN64-DR$5/100000</f>
        <v>3.911054758086472E-2</v>
      </c>
      <c r="DS64" s="41">
        <f t="shared" ref="DS64:DS65" ca="1" si="1070">CW64/$DN64-DS$5/100000</f>
        <v>-4.0000000000000003E-5</v>
      </c>
      <c r="DT64" s="41">
        <f t="shared" ref="DT64:DT65" ca="1" si="1071">CX64/$DN64-DT$5/100000</f>
        <v>0.1524456399254466</v>
      </c>
      <c r="DU64" s="41">
        <f t="shared" ref="DU64:DU65" ca="1" si="1072">CY64/$DN64-DU$5/100000</f>
        <v>0.10160375995029772</v>
      </c>
      <c r="DV64" s="41">
        <f t="shared" ref="DV64:DV65" ca="1" si="1073">CZ64/$DN64-DV$5/100000</f>
        <v>0.24392302388071463</v>
      </c>
      <c r="DW64" s="41">
        <f t="shared" ref="DW64:DW65" ca="1" si="1074">DA64/$DN64-DW$5/100000</f>
        <v>-8.0000000000000007E-5</v>
      </c>
      <c r="DX64" s="41">
        <f t="shared" ref="DX64:DX65" ca="1" si="1075">DB64/$DN64-DX$5/100000</f>
        <v>-9.0000000000000006E-5</v>
      </c>
      <c r="DY64" s="41">
        <f t="shared" ref="DY64:DY65" ca="1" si="1076">DC64/$DN64-DY$5/100000</f>
        <v>-1E-4</v>
      </c>
      <c r="DZ64" s="41">
        <f t="shared" ref="DZ64:DZ65" ca="1" si="1077">DD64/$DN64-DZ$5/100000</f>
        <v>-1.1E-4</v>
      </c>
      <c r="EA64" s="41">
        <f t="shared" ref="EA64:EA65" ca="1" si="1078">DE64/$DN64-EA$5/100000</f>
        <v>-1.2E-4</v>
      </c>
      <c r="EB64" s="41">
        <f t="shared" ref="EB64:EB65" ca="1" si="1079">DF64/$DN64-EB$5/100000</f>
        <v>-1.2999999999999999E-4</v>
      </c>
      <c r="EC64" s="41">
        <f t="shared" ref="EC64:EC65" ca="1" si="1080">DG64/$DN64-EC$5/100000</f>
        <v>-1.3999999999999999E-4</v>
      </c>
      <c r="ED64" s="41">
        <f t="shared" ref="ED64:ED65" ca="1" si="1081">DH64/$DN64-ED$5/100000</f>
        <v>-1.4999999999999999E-4</v>
      </c>
      <c r="EE64" s="41">
        <f t="shared" ref="EE64:EE65" ca="1" si="1082">DI64/$DN64-EE$5/100000</f>
        <v>-1.6000000000000001E-4</v>
      </c>
      <c r="EF64" s="41">
        <f t="shared" ref="EF64:EF65" ca="1" si="1083">DJ64/$DN64-EF$5/100000</f>
        <v>-1.7000000000000001E-4</v>
      </c>
      <c r="EG64" s="41">
        <f t="shared" ref="EG64:EG65" ca="1" si="1084">DK64/$DN64-EG$5/100000</f>
        <v>-1.8000000000000001E-4</v>
      </c>
      <c r="EH64" s="41">
        <f t="shared" ref="EH64:EH65" ca="1" si="1085">DL64/$DN64-EH$5/100000</f>
        <v>-1.9000000000000001E-4</v>
      </c>
      <c r="EI64" s="41">
        <f t="shared" ref="EI64:EI65" ca="1" si="1086">DM64/$DN64-EI$5/100000</f>
        <v>-2.0000000000000001E-4</v>
      </c>
      <c r="EJ64" s="41">
        <f t="shared" ref="EJ64:EJ65" ca="1" si="1087">SUM(DP64:EI64)</f>
        <v>0.99790000000000001</v>
      </c>
      <c r="EL64" s="378">
        <f t="shared" ref="EL64:EL65" ca="1" si="1088">RANK(DP64,$DP64:$EI64)</f>
        <v>1</v>
      </c>
      <c r="EM64" s="378">
        <f t="shared" ref="EM64:EM65" ca="1" si="1089">RANK(DQ64,$DP64:$EI64)</f>
        <v>3</v>
      </c>
      <c r="EN64" s="378">
        <f t="shared" ref="EN64:EN65" ca="1" si="1090">RANK(DR64,$DP64:$EI64)</f>
        <v>6</v>
      </c>
      <c r="EO64" s="378">
        <f t="shared" ref="EO64:EO65" ca="1" si="1091">RANK(DS64,$DP64:$EI64)</f>
        <v>7</v>
      </c>
      <c r="EP64" s="378">
        <f t="shared" ref="EP64:EP65" ca="1" si="1092">RANK(DT64,$DP64:$EI64)</f>
        <v>4</v>
      </c>
      <c r="EQ64" s="378">
        <f t="shared" ref="EQ64:EQ65" ca="1" si="1093">RANK(DU64,$DP64:$EI64)</f>
        <v>5</v>
      </c>
      <c r="ER64" s="378">
        <f t="shared" ref="ER64:ER65" ca="1" si="1094">RANK(DV64,$DP64:$EI64)</f>
        <v>2</v>
      </c>
      <c r="ES64" s="378">
        <f t="shared" ref="ES64:ES65" ca="1" si="1095">RANK(DW64,$DP64:$EI64)</f>
        <v>8</v>
      </c>
      <c r="ET64" s="378">
        <f t="shared" ref="ET64:ET65" ca="1" si="1096">RANK(DX64,$DP64:$EI64)</f>
        <v>9</v>
      </c>
      <c r="EU64" s="378">
        <f t="shared" ref="EU64:EU65" ca="1" si="1097">RANK(DY64,$DP64:$EI64)</f>
        <v>10</v>
      </c>
      <c r="EV64" s="378">
        <f t="shared" ref="EV64:EV65" ca="1" si="1098">RANK(DZ64,$DP64:$EI64)</f>
        <v>11</v>
      </c>
      <c r="EW64" s="378">
        <f t="shared" ref="EW64:EW65" ca="1" si="1099">RANK(EA64,$DP64:$EI64)</f>
        <v>12</v>
      </c>
      <c r="EX64" s="378">
        <f t="shared" ref="EX64:EX65" ca="1" si="1100">RANK(EB64,$DP64:$EI64)</f>
        <v>13</v>
      </c>
      <c r="EY64" s="378">
        <f t="shared" ref="EY64:EY65" ca="1" si="1101">RANK(EC64,$DP64:$EI64)</f>
        <v>14</v>
      </c>
      <c r="EZ64" s="378">
        <f t="shared" ref="EZ64:EZ65" ca="1" si="1102">RANK(ED64,$DP64:$EI64)</f>
        <v>15</v>
      </c>
      <c r="FA64" s="378">
        <f t="shared" ref="FA64:FA65" ca="1" si="1103">RANK(EE64,$DP64:$EI64)</f>
        <v>16</v>
      </c>
      <c r="FB64" s="378">
        <f t="shared" ref="FB64:FB65" ca="1" si="1104">RANK(EF64,$DP64:$EI64)</f>
        <v>17</v>
      </c>
      <c r="FC64" s="378">
        <f t="shared" ref="FC64:FC65" ca="1" si="1105">RANK(EG64,$DP64:$EI64)</f>
        <v>18</v>
      </c>
      <c r="FD64" s="378">
        <f t="shared" ref="FD64:FD65" ca="1" si="1106">RANK(EH64,$DP64:$EI64)</f>
        <v>19</v>
      </c>
      <c r="FE64" s="378">
        <f t="shared" ref="FE64:FE65" ca="1" si="1107">RANK(EI64,$DP64:$EI64)</f>
        <v>20</v>
      </c>
      <c r="FG64" s="378">
        <f t="shared" ref="FG64:FV66" ca="1" si="1108">MATCH(FG$5,$EL64:$FE64,0)</f>
        <v>1</v>
      </c>
      <c r="FH64" s="378">
        <f t="shared" ca="1" si="1108"/>
        <v>7</v>
      </c>
      <c r="FI64" s="378">
        <f t="shared" ca="1" si="1108"/>
        <v>2</v>
      </c>
      <c r="FJ64" s="378">
        <f t="shared" ca="1" si="1108"/>
        <v>5</v>
      </c>
      <c r="FK64" s="378">
        <f t="shared" ca="1" si="1108"/>
        <v>6</v>
      </c>
      <c r="FL64" s="378">
        <f t="shared" ca="1" si="1108"/>
        <v>3</v>
      </c>
      <c r="FM64" s="378">
        <f t="shared" ca="1" si="1108"/>
        <v>4</v>
      </c>
      <c r="FN64" s="378">
        <f t="shared" ca="1" si="1108"/>
        <v>8</v>
      </c>
      <c r="FO64" s="378">
        <f t="shared" ca="1" si="1108"/>
        <v>9</v>
      </c>
      <c r="FP64" s="378">
        <f t="shared" ca="1" si="1108"/>
        <v>10</v>
      </c>
      <c r="FQ64" s="378">
        <f t="shared" ca="1" si="1108"/>
        <v>11</v>
      </c>
      <c r="FR64" s="378">
        <f t="shared" ca="1" si="1108"/>
        <v>12</v>
      </c>
      <c r="FS64" s="378">
        <f t="shared" ca="1" si="1108"/>
        <v>13</v>
      </c>
      <c r="FT64" s="378">
        <f t="shared" ca="1" si="1108"/>
        <v>14</v>
      </c>
      <c r="FU64" s="378">
        <f t="shared" ca="1" si="1108"/>
        <v>15</v>
      </c>
      <c r="FV64" s="378">
        <f t="shared" ca="1" si="1108"/>
        <v>16</v>
      </c>
      <c r="FW64" s="378">
        <f t="shared" ref="FW64:FZ66" ca="1" si="1109">MATCH(FW$5,$EL64:$FE64,0)</f>
        <v>17</v>
      </c>
      <c r="FX64" s="378">
        <f t="shared" ca="1" si="1109"/>
        <v>18</v>
      </c>
      <c r="FY64" s="378">
        <f t="shared" ca="1" si="1109"/>
        <v>19</v>
      </c>
      <c r="FZ64" s="378">
        <f t="shared" ca="1" si="1109"/>
        <v>20</v>
      </c>
      <c r="GB64" s="275" t="str">
        <f t="shared" ref="GB64:GB65" ca="1" si="1110">IF(GB$5&lt;=$BV64,INDEX($Y64:$BL64,1,FG64*2-1)&amp;" ("&amp;TEXT(INDEX($DP64:$EI64,1,FG64),"0%")&amp;")","")</f>
        <v>BI Applications (27%)</v>
      </c>
      <c r="GC64" s="231" t="str">
        <f t="shared" ref="GC64:GC65" ca="1" si="1111">IF(GC$5&lt;=$BV64,"; "&amp;INDEX($Y64:$BL64,1,FH64*2-1)&amp;" ("&amp;TEXT(INDEX($DP64:$EI64,1,FH64),"0%")&amp;")","")</f>
        <v>; Workflow and Collaboration (24%)</v>
      </c>
      <c r="GD64" s="231" t="str">
        <f t="shared" ref="GD64:GD65" ca="1" si="1112">IF(GD$5&lt;=$BV64,"; "&amp;INDEX($Y64:$BL64,1,FI64*2-1)&amp;" ("&amp;TEXT(INDEX($DP64:$EI64,1,FI64),"0%")&amp;")","")</f>
        <v>; Source System Inclusion / Integration (19%)</v>
      </c>
      <c r="GE64" s="231" t="str">
        <f t="shared" ref="GE64:GE65" ca="1" si="1113">IF(GE$5&lt;=$BV64,"; "&amp;INDEX($Y64:$BL64,1,FJ64*2-1)&amp;" ("&amp;TEXT(INDEX($DP64:$EI64,1,FJ64),"0%")&amp;")","")</f>
        <v>; Scorecards / Dashboards (15%)</v>
      </c>
      <c r="GF64" s="231" t="str">
        <f t="shared" ref="GF64:GF65" ca="1" si="1114">IF(GF$5&lt;=$BV64,"; "&amp;INDEX($Y64:$BL64,1,FK64*2-1)&amp;" ("&amp;TEXT(INDEX($DP64:$EI64,1,FK64),"0%")&amp;")","")</f>
        <v>; Analytical Tools (10%)</v>
      </c>
      <c r="GG64" s="231" t="str">
        <f t="shared" ref="GG64:GG65" ca="1" si="1115">IF(GG$5&lt;=$BV64,"; "&amp;INDEX($Y64:$BL64,1,FL64*2-1)&amp;" ("&amp;TEXT(INDEX($DP64:$EI64,1,FL64),"0%")&amp;")","")</f>
        <v/>
      </c>
      <c r="GH64" s="231" t="str">
        <f t="shared" ref="GH64:GH65" ca="1" si="1116">IF(GH$5&lt;=$BV64,"; "&amp;INDEX($Y64:$BL64,1,FM64*2-1)&amp;" ("&amp;TEXT(INDEX($DP64:$EI64,1,FM64),"0%")&amp;")","")</f>
        <v/>
      </c>
      <c r="GI64" s="231" t="str">
        <f t="shared" ref="GI64:GI65" ca="1" si="1117">IF(GI$5&lt;=$BV64,"; "&amp;INDEX($Y64:$BL64,1,FN64*2-1)&amp;" ("&amp;TEXT(INDEX($DP64:$EI64,1,FN64),"0%")&amp;")","")</f>
        <v/>
      </c>
      <c r="GJ64" s="231" t="str">
        <f t="shared" ref="GJ64:GJ65" ca="1" si="1118">IF(GJ$5&lt;=$BV64,"; "&amp;INDEX($Y64:$BL64,1,FO64*2-1)&amp;" ("&amp;TEXT(INDEX($DP64:$EI64,1,FO64),"0%")&amp;")","")</f>
        <v/>
      </c>
      <c r="GK64" s="231" t="str">
        <f t="shared" ref="GK64:GK65" ca="1" si="1119">IF(GK$5&lt;=$BV64,"; "&amp;INDEX($Y64:$BL64,1,FP64*2-1)&amp;" ("&amp;TEXT(INDEX($DP64:$EI64,1,FP64),"0%")&amp;")","")</f>
        <v/>
      </c>
      <c r="GL64" s="231" t="str">
        <f t="shared" ref="GL64:GL65" ca="1" si="1120">IF(GL$5&lt;=$BV64,"; "&amp;INDEX($Y64:$BL64,1,FQ64*2-1)&amp;" ("&amp;TEXT(INDEX($DP64:$EI64,1,FQ64),"0%")&amp;")","")</f>
        <v/>
      </c>
      <c r="GM64" s="231" t="str">
        <f t="shared" ref="GM64:GM65" ca="1" si="1121">IF(GM$5&lt;=$BV64,"; "&amp;INDEX($Y64:$BL64,1,FR64*2-1)&amp;" ("&amp;TEXT(INDEX($DP64:$EI64,1,FR64),"0%")&amp;")","")</f>
        <v/>
      </c>
      <c r="GN64" s="231" t="str">
        <f t="shared" ref="GN64:GN65" ca="1" si="1122">IF(GN$5&lt;=$BV64,"; "&amp;INDEX($Y64:$BL64,1,FS64*2-1)&amp;" ("&amp;TEXT(INDEX($DP64:$EI64,1,FS64),"0%")&amp;")","")</f>
        <v/>
      </c>
      <c r="GO64" s="231" t="str">
        <f t="shared" ref="GO64:GO65" ca="1" si="1123">IF(GO$5&lt;=$BV64,"; "&amp;INDEX($Y64:$BL64,1,FT64*2-1)&amp;" ("&amp;TEXT(INDEX($DP64:$EI64,1,FT64),"0%")&amp;")","")</f>
        <v/>
      </c>
      <c r="GP64" s="231" t="str">
        <f t="shared" ref="GP64:GP65" ca="1" si="1124">IF(GP$5&lt;=$BV64,"; "&amp;INDEX($Y64:$BL64,1,FU64*2-1)&amp;" ("&amp;TEXT(INDEX($DP64:$EI64,1,FU64),"0%")&amp;")","")</f>
        <v/>
      </c>
      <c r="GQ64" s="231" t="str">
        <f t="shared" ref="GQ64:GQ65" ca="1" si="1125">IF(GQ$5&lt;=$BV64,"; "&amp;INDEX($Y64:$BL64,1,FV64*2-1)&amp;" ("&amp;TEXT(INDEX($DP64:$EI64,1,FV64),"0%")&amp;")","")</f>
        <v/>
      </c>
      <c r="GR64" s="231" t="str">
        <f t="shared" ref="GR64:GR65" ca="1" si="1126">IF(GR$5&lt;=$BV64,"; "&amp;INDEX($Y64:$BL64,1,FW64*2-1)&amp;" ("&amp;TEXT(INDEX($DP64:$EI64,1,FW64),"0%")&amp;")","")</f>
        <v/>
      </c>
      <c r="GS64" s="231" t="str">
        <f t="shared" ref="GS64:GS65" ca="1" si="1127">IF(GS$5&lt;=$BV64,"; "&amp;INDEX($Y64:$BL64,1,FX64*2-1)&amp;" ("&amp;TEXT(INDEX($DP64:$EI64,1,FX64),"0%")&amp;")","")</f>
        <v/>
      </c>
      <c r="GT64" s="231" t="str">
        <f t="shared" ref="GT64:GT65" ca="1" si="1128">IF(GT$5&lt;=$BV64,"; "&amp;INDEX($Y64:$BL64,1,FY64*2-1)&amp;" ("&amp;TEXT(INDEX($DP64:$EI64,1,FY64),"0%")&amp;")","")</f>
        <v/>
      </c>
      <c r="GU64" s="231" t="str">
        <f t="shared" ref="GU64:GU65" ca="1" si="1129">IF(GU$5&lt;=$BV64,"; "&amp;INDEX($Y64:$BL64,1,FZ64*2-1)&amp;" ("&amp;TEXT(INDEX($DP64:$EI64,1,FZ64),"0%")&amp;")","")</f>
        <v/>
      </c>
    </row>
    <row r="65" spans="2:203" s="386" customFormat="1" ht="15.75" hidden="1" customHeight="1">
      <c r="B65" s="373"/>
      <c r="C65" s="81" t="str">
        <f>Productivity!B14</f>
        <v>Workflow activities</v>
      </c>
      <c r="D65" s="404">
        <f t="shared" ca="1" si="1040"/>
        <v>0.50558548249297541</v>
      </c>
      <c r="E65" s="374">
        <f>ROW(Initiatives!$A$170)</f>
        <v>170</v>
      </c>
      <c r="F65" s="374">
        <f>ROW(Initiatives!$A$176)</f>
        <v>176</v>
      </c>
      <c r="G65" s="374">
        <f>ROW(Initiatives!$A$183)</f>
        <v>183</v>
      </c>
      <c r="H65" s="374">
        <f>ROW(Initiatives!$A$185)</f>
        <v>185</v>
      </c>
      <c r="I65" s="374">
        <f>ROW(Initiatives!$A$186)</f>
        <v>186</v>
      </c>
      <c r="J65" s="374">
        <f>ROW(Initiatives!$A$187)</f>
        <v>187</v>
      </c>
      <c r="K65" s="374">
        <f>ROW(Initiatives!$A$188)</f>
        <v>188</v>
      </c>
      <c r="L65" s="374"/>
      <c r="M65" s="374"/>
      <c r="N65" s="374"/>
      <c r="O65" s="374"/>
      <c r="P65" s="374"/>
      <c r="Q65" s="374"/>
      <c r="R65" s="374"/>
      <c r="S65" s="374"/>
      <c r="T65" s="374"/>
      <c r="U65" s="374"/>
      <c r="V65" s="374"/>
      <c r="W65" s="374"/>
      <c r="X65" s="374"/>
      <c r="Y65" s="392" t="str">
        <f ca="1">OFFSET(Initiatives!$D$1,E65-1,$BS$3)</f>
        <v>BI Applications</v>
      </c>
      <c r="Z65" s="375">
        <v>4</v>
      </c>
      <c r="AA65" s="392" t="str">
        <f ca="1">OFFSET(Initiatives!$D$1,F65-1,$BS$3)</f>
        <v>Source System Inclusion / Integration</v>
      </c>
      <c r="AB65" s="375">
        <v>3</v>
      </c>
      <c r="AC65" s="392" t="str">
        <f ca="1">OFFSET(Initiatives!$D$1,G65-1,$BS$3)</f>
        <v>Enhance DW Platform</v>
      </c>
      <c r="AD65" s="375">
        <v>5</v>
      </c>
      <c r="AE65" s="392" t="str">
        <f ca="1">OFFSET(Initiatives!$D$1,H65-1,$BS$3)</f>
        <v>Reporting</v>
      </c>
      <c r="AF65" s="375"/>
      <c r="AG65" s="392" t="str">
        <f ca="1">OFFSET(Initiatives!$D$1,I65-1,$BS$3)</f>
        <v>Scorecards / Dashboards</v>
      </c>
      <c r="AH65" s="375">
        <v>6</v>
      </c>
      <c r="AI65" s="392" t="str">
        <f ca="1">OFFSET(Initiatives!$D$1,J65-1,$BS$3)</f>
        <v>Analytical Tools</v>
      </c>
      <c r="AJ65" s="375"/>
      <c r="AK65" s="392" t="str">
        <f ca="1">OFFSET(Initiatives!$D$1,K65-1,$BS$3)</f>
        <v>Workflow and Collaboration</v>
      </c>
      <c r="AL65" s="375">
        <v>9</v>
      </c>
      <c r="AM65" s="392" t="e">
        <f ca="1">OFFSET(Initiatives!$D$1,L65-1,$BS$3)</f>
        <v>#REF!</v>
      </c>
      <c r="AN65" s="375"/>
      <c r="AO65" s="392" t="e">
        <f ca="1">OFFSET(Initiatives!$D$1,M65-1,$BS$3)</f>
        <v>#REF!</v>
      </c>
      <c r="AP65" s="375"/>
      <c r="AQ65" s="392" t="e">
        <f ca="1">OFFSET(Initiatives!$D$1,N65-1,$BS$3)</f>
        <v>#REF!</v>
      </c>
      <c r="AR65" s="375"/>
      <c r="AS65" s="392" t="e">
        <f ca="1">OFFSET(Initiatives!$D$1,O65-1,$BS$3)</f>
        <v>#REF!</v>
      </c>
      <c r="AT65" s="375"/>
      <c r="AU65" s="392" t="e">
        <f ca="1">OFFSET(Initiatives!$D$1,P65-1,$BS$3)</f>
        <v>#REF!</v>
      </c>
      <c r="AV65" s="375"/>
      <c r="AW65" s="392" t="e">
        <f ca="1">OFFSET(Initiatives!$D$1,Q65-1,$BS$3)</f>
        <v>#REF!</v>
      </c>
      <c r="AX65" s="375"/>
      <c r="AY65" s="392" t="e">
        <f ca="1">OFFSET(Initiatives!$D$1,R65-1,$BS$3)</f>
        <v>#REF!</v>
      </c>
      <c r="AZ65" s="375"/>
      <c r="BA65" s="392" t="e">
        <f ca="1">OFFSET(Initiatives!$D$1,S65-1,$BS$3)</f>
        <v>#REF!</v>
      </c>
      <c r="BB65" s="375"/>
      <c r="BC65" s="392" t="e">
        <f ca="1">OFFSET(Initiatives!$D$1,T65-1,$BS$3)</f>
        <v>#REF!</v>
      </c>
      <c r="BD65" s="375"/>
      <c r="BE65" s="392" t="e">
        <f ca="1">OFFSET(Initiatives!$D$1,U65-1,$BS$3)</f>
        <v>#REF!</v>
      </c>
      <c r="BF65" s="375"/>
      <c r="BG65" s="392" t="e">
        <f ca="1">OFFSET(Initiatives!$D$1,V65-1,$BS$3)</f>
        <v>#REF!</v>
      </c>
      <c r="BH65" s="375"/>
      <c r="BI65" s="392" t="e">
        <f ca="1">OFFSET(Initiatives!$D$1,W65-1,$BS$3)</f>
        <v>#REF!</v>
      </c>
      <c r="BJ65" s="375"/>
      <c r="BK65" s="392" t="e">
        <f ca="1">OFFSET(Initiatives!$D$1,X65-1,$BS$3)</f>
        <v>#REF!</v>
      </c>
      <c r="BL65" s="375"/>
      <c r="BN65" s="101">
        <f t="shared" si="1041"/>
        <v>27.0001</v>
      </c>
      <c r="BP65" s="231" t="str">
        <f t="shared" ca="1" si="1042"/>
        <v>Workflow and Collaboration (47%); Scorecards / Dashboards (26%); BI Applications (13%); Source System Inclusion / Integration (10%)</v>
      </c>
      <c r="BQ65" s="338">
        <v>0.01</v>
      </c>
      <c r="BR65" s="40">
        <f t="shared" ca="1" si="1043"/>
        <v>5</v>
      </c>
      <c r="BS65" s="274">
        <v>0.05</v>
      </c>
      <c r="BT65" s="40">
        <f t="shared" ca="1" si="1044"/>
        <v>4</v>
      </c>
      <c r="BU65" s="376">
        <v>7</v>
      </c>
      <c r="BV65" s="40">
        <f t="shared" ca="1" si="1045"/>
        <v>4</v>
      </c>
      <c r="BY65" s="377">
        <f ca="1">IF(ISERROR(OFFSET(Initiatives!$D$1,E65-1,$BY$3)),,OFFSET(Initiatives!$D$1,E65-1,$BY$3))</f>
        <v>0.45555555555555544</v>
      </c>
      <c r="BZ65" s="377">
        <f ca="1">IF(ISERROR(OFFSET(Initiatives!$D$1,F65-1,$BY$3)),,OFFSET(Initiatives!$D$1,F65-1,$BY$3))</f>
        <v>0.45454545454545436</v>
      </c>
      <c r="CA65" s="377">
        <f ca="1">IF(ISERROR(OFFSET(Initiatives!$D$1,G65-1,$BY$3)),,OFFSET(Initiatives!$D$1,G65-1,$BY$3))</f>
        <v>7.7000000000000179E-2</v>
      </c>
      <c r="CB65" s="377">
        <f ca="1">IF(ISERROR(OFFSET(Initiatives!$D$1,H65-1,$BY$3)),,OFFSET(Initiatives!$D$1,H65-1,$BY$3))</f>
        <v>0.48</v>
      </c>
      <c r="CC65" s="377">
        <f ca="1">IF(ISERROR(OFFSET(Initiatives!$D$1,I65-1,$BY$3)),,OFFSET(Initiatives!$D$1,I65-1,$BY$3))</f>
        <v>0.6</v>
      </c>
      <c r="CD65" s="377">
        <f ca="1">IF(ISERROR(OFFSET(Initiatives!$D$1,J65-1,$BY$3)),,OFFSET(Initiatives!$D$1,J65-1,$BY$3))</f>
        <v>0.6</v>
      </c>
      <c r="CE65" s="377">
        <f ca="1">IF(ISERROR(OFFSET(Initiatives!$D$1,K65-1,$BY$3)),,OFFSET(Initiatives!$D$1,K65-1,$BY$3))</f>
        <v>0.72000000000000008</v>
      </c>
      <c r="CF65" s="377">
        <f ca="1">IF(ISERROR(OFFSET(Initiatives!$D$1,L65-1,$BY$3)),,OFFSET(Initiatives!$D$1,L65-1,$BY$3))</f>
        <v>0</v>
      </c>
      <c r="CG65" s="377">
        <f ca="1">IF(ISERROR(OFFSET(Initiatives!$D$1,M65-1,$BY$3)),,OFFSET(Initiatives!$D$1,M65-1,$BY$3))</f>
        <v>0</v>
      </c>
      <c r="CH65" s="377">
        <f ca="1">IF(ISERROR(OFFSET(Initiatives!$D$1,N65-1,$BY$3)),,OFFSET(Initiatives!$D$1,N65-1,$BY$3))</f>
        <v>0</v>
      </c>
      <c r="CI65" s="377">
        <f ca="1">IF(ISERROR(OFFSET(Initiatives!$D$1,O65-1,$BY$3)),,OFFSET(Initiatives!$D$1,O65-1,$BY$3))</f>
        <v>0</v>
      </c>
      <c r="CJ65" s="377">
        <f ca="1">IF(ISERROR(OFFSET(Initiatives!$D$1,P65-1,$BY$3)),,OFFSET(Initiatives!$D$1,P65-1,$BY$3))</f>
        <v>0</v>
      </c>
      <c r="CK65" s="377">
        <f ca="1">IF(ISERROR(OFFSET(Initiatives!$D$1,Q65-1,$BY$3)),,OFFSET(Initiatives!$D$1,Q65-1,$BY$3))</f>
        <v>0</v>
      </c>
      <c r="CL65" s="377">
        <f ca="1">IF(ISERROR(OFFSET(Initiatives!$D$1,R65-1,$BY$3)),,OFFSET(Initiatives!$D$1,R65-1,$BY$3))</f>
        <v>0</v>
      </c>
      <c r="CM65" s="377">
        <f ca="1">IF(ISERROR(OFFSET(Initiatives!$D$1,S65-1,$BY$3)),,OFFSET(Initiatives!$D$1,S65-1,$BY$3))</f>
        <v>0</v>
      </c>
      <c r="CN65" s="377">
        <f ca="1">IF(ISERROR(OFFSET(Initiatives!$D$1,T65-1,$BY$3)),,OFFSET(Initiatives!$D$1,T65-1,$BY$3))</f>
        <v>0</v>
      </c>
      <c r="CO65" s="377">
        <f ca="1">IF(ISERROR(OFFSET(Initiatives!$D$1,U65-1,$BY$3)),,OFFSET(Initiatives!$D$1,U65-1,$BY$3))</f>
        <v>0</v>
      </c>
      <c r="CP65" s="377">
        <f ca="1">IF(ISERROR(OFFSET(Initiatives!$D$1,V65-1,$BY$3)),,OFFSET(Initiatives!$D$1,V65-1,$BY$3))</f>
        <v>0</v>
      </c>
      <c r="CQ65" s="377">
        <f ca="1">IF(ISERROR(OFFSET(Initiatives!$D$1,W65-1,$BY$3)),,OFFSET(Initiatives!$D$1,W65-1,$BY$3))</f>
        <v>0</v>
      </c>
      <c r="CR65" s="377">
        <f ca="1">IF(ISERROR(OFFSET(Initiatives!$D$1,X65-1,$BY$3)),,OFFSET(Initiatives!$D$1,X65-1,$BY$3))</f>
        <v>0</v>
      </c>
      <c r="CT65" s="41">
        <f t="shared" ca="1" si="1046"/>
        <v>6.7489461973186088E-2</v>
      </c>
      <c r="CU65" s="41">
        <f t="shared" ca="1" si="1047"/>
        <v>5.0504863450000673E-2</v>
      </c>
      <c r="CV65" s="41">
        <f t="shared" ca="1" si="1048"/>
        <v>1.4259206447383561E-2</v>
      </c>
      <c r="CW65" s="41">
        <f t="shared" ca="1" si="1049"/>
        <v>0</v>
      </c>
      <c r="CX65" s="41">
        <f t="shared" ca="1" si="1050"/>
        <v>0.13333283950800182</v>
      </c>
      <c r="CY65" s="41">
        <f t="shared" ca="1" si="1051"/>
        <v>0</v>
      </c>
      <c r="CZ65" s="41">
        <f t="shared" ca="1" si="1052"/>
        <v>0.23999911111440331</v>
      </c>
      <c r="DA65" s="41">
        <f t="shared" ca="1" si="1053"/>
        <v>0</v>
      </c>
      <c r="DB65" s="41">
        <f t="shared" ca="1" si="1054"/>
        <v>0</v>
      </c>
      <c r="DC65" s="41">
        <f t="shared" ca="1" si="1055"/>
        <v>0</v>
      </c>
      <c r="DD65" s="41">
        <f t="shared" ca="1" si="1056"/>
        <v>0</v>
      </c>
      <c r="DE65" s="41">
        <f t="shared" ca="1" si="1057"/>
        <v>0</v>
      </c>
      <c r="DF65" s="41">
        <f t="shared" ca="1" si="1058"/>
        <v>0</v>
      </c>
      <c r="DG65" s="41">
        <f t="shared" ca="1" si="1059"/>
        <v>0</v>
      </c>
      <c r="DH65" s="41">
        <f t="shared" ca="1" si="1060"/>
        <v>0</v>
      </c>
      <c r="DI65" s="41">
        <f t="shared" ca="1" si="1061"/>
        <v>0</v>
      </c>
      <c r="DJ65" s="41">
        <f t="shared" ca="1" si="1062"/>
        <v>0</v>
      </c>
      <c r="DK65" s="41">
        <f t="shared" ca="1" si="1063"/>
        <v>0</v>
      </c>
      <c r="DL65" s="41">
        <f t="shared" ca="1" si="1064"/>
        <v>0</v>
      </c>
      <c r="DM65" s="41">
        <f t="shared" ca="1" si="1065"/>
        <v>0</v>
      </c>
      <c r="DN65" s="41">
        <f t="shared" ca="1" si="1066"/>
        <v>0.50558548249297541</v>
      </c>
      <c r="DP65" s="41">
        <f t="shared" ca="1" si="1067"/>
        <v>0.1334777371090729</v>
      </c>
      <c r="DQ65" s="41">
        <f t="shared" ca="1" si="1068"/>
        <v>9.9873816572754112E-2</v>
      </c>
      <c r="DR65" s="41">
        <f t="shared" ca="1" si="1069"/>
        <v>2.8173354212374321E-2</v>
      </c>
      <c r="DS65" s="41">
        <f t="shared" ca="1" si="1070"/>
        <v>-4.0000000000000003E-5</v>
      </c>
      <c r="DT65" s="41">
        <f t="shared" ca="1" si="1071"/>
        <v>0.26366967575207095</v>
      </c>
      <c r="DU65" s="41">
        <f t="shared" ca="1" si="1072"/>
        <v>-6.0000000000000002E-5</v>
      </c>
      <c r="DV65" s="41">
        <f t="shared" ca="1" si="1073"/>
        <v>0.47462541635372774</v>
      </c>
      <c r="DW65" s="41">
        <f t="shared" ca="1" si="1074"/>
        <v>-8.0000000000000007E-5</v>
      </c>
      <c r="DX65" s="41">
        <f t="shared" ca="1" si="1075"/>
        <v>-9.0000000000000006E-5</v>
      </c>
      <c r="DY65" s="41">
        <f t="shared" ca="1" si="1076"/>
        <v>-1E-4</v>
      </c>
      <c r="DZ65" s="41">
        <f t="shared" ca="1" si="1077"/>
        <v>-1.1E-4</v>
      </c>
      <c r="EA65" s="41">
        <f t="shared" ca="1" si="1078"/>
        <v>-1.2E-4</v>
      </c>
      <c r="EB65" s="41">
        <f t="shared" ca="1" si="1079"/>
        <v>-1.2999999999999999E-4</v>
      </c>
      <c r="EC65" s="41">
        <f t="shared" ca="1" si="1080"/>
        <v>-1.3999999999999999E-4</v>
      </c>
      <c r="ED65" s="41">
        <f t="shared" ca="1" si="1081"/>
        <v>-1.4999999999999999E-4</v>
      </c>
      <c r="EE65" s="41">
        <f t="shared" ca="1" si="1082"/>
        <v>-1.6000000000000001E-4</v>
      </c>
      <c r="EF65" s="41">
        <f t="shared" ca="1" si="1083"/>
        <v>-1.7000000000000001E-4</v>
      </c>
      <c r="EG65" s="41">
        <f t="shared" ca="1" si="1084"/>
        <v>-1.8000000000000001E-4</v>
      </c>
      <c r="EH65" s="41">
        <f t="shared" ca="1" si="1085"/>
        <v>-1.9000000000000001E-4</v>
      </c>
      <c r="EI65" s="41">
        <f t="shared" ca="1" si="1086"/>
        <v>-2.0000000000000001E-4</v>
      </c>
      <c r="EJ65" s="41">
        <f t="shared" ca="1" si="1087"/>
        <v>0.99790000000000012</v>
      </c>
      <c r="EL65" s="378">
        <f t="shared" ca="1" si="1088"/>
        <v>3</v>
      </c>
      <c r="EM65" s="378">
        <f t="shared" ca="1" si="1089"/>
        <v>4</v>
      </c>
      <c r="EN65" s="378">
        <f t="shared" ca="1" si="1090"/>
        <v>5</v>
      </c>
      <c r="EO65" s="378">
        <f t="shared" ca="1" si="1091"/>
        <v>6</v>
      </c>
      <c r="EP65" s="378">
        <f t="shared" ca="1" si="1092"/>
        <v>2</v>
      </c>
      <c r="EQ65" s="378">
        <f t="shared" ca="1" si="1093"/>
        <v>7</v>
      </c>
      <c r="ER65" s="378">
        <f t="shared" ca="1" si="1094"/>
        <v>1</v>
      </c>
      <c r="ES65" s="378">
        <f t="shared" ca="1" si="1095"/>
        <v>8</v>
      </c>
      <c r="ET65" s="378">
        <f t="shared" ca="1" si="1096"/>
        <v>9</v>
      </c>
      <c r="EU65" s="378">
        <f t="shared" ca="1" si="1097"/>
        <v>10</v>
      </c>
      <c r="EV65" s="378">
        <f t="shared" ca="1" si="1098"/>
        <v>11</v>
      </c>
      <c r="EW65" s="378">
        <f t="shared" ca="1" si="1099"/>
        <v>12</v>
      </c>
      <c r="EX65" s="378">
        <f t="shared" ca="1" si="1100"/>
        <v>13</v>
      </c>
      <c r="EY65" s="378">
        <f t="shared" ca="1" si="1101"/>
        <v>14</v>
      </c>
      <c r="EZ65" s="378">
        <f t="shared" ca="1" si="1102"/>
        <v>15</v>
      </c>
      <c r="FA65" s="378">
        <f t="shared" ca="1" si="1103"/>
        <v>16</v>
      </c>
      <c r="FB65" s="378">
        <f t="shared" ca="1" si="1104"/>
        <v>17</v>
      </c>
      <c r="FC65" s="378">
        <f t="shared" ca="1" si="1105"/>
        <v>18</v>
      </c>
      <c r="FD65" s="378">
        <f t="shared" ca="1" si="1106"/>
        <v>19</v>
      </c>
      <c r="FE65" s="378">
        <f t="shared" ca="1" si="1107"/>
        <v>20</v>
      </c>
      <c r="FG65" s="378">
        <f t="shared" ca="1" si="1108"/>
        <v>7</v>
      </c>
      <c r="FH65" s="378">
        <f t="shared" ca="1" si="1108"/>
        <v>5</v>
      </c>
      <c r="FI65" s="378">
        <f t="shared" ca="1" si="1108"/>
        <v>1</v>
      </c>
      <c r="FJ65" s="378">
        <f t="shared" ca="1" si="1108"/>
        <v>2</v>
      </c>
      <c r="FK65" s="378">
        <f t="shared" ca="1" si="1108"/>
        <v>3</v>
      </c>
      <c r="FL65" s="378">
        <f t="shared" ca="1" si="1108"/>
        <v>4</v>
      </c>
      <c r="FM65" s="378">
        <f t="shared" ca="1" si="1108"/>
        <v>6</v>
      </c>
      <c r="FN65" s="378">
        <f t="shared" ca="1" si="1108"/>
        <v>8</v>
      </c>
      <c r="FO65" s="378">
        <f t="shared" ca="1" si="1108"/>
        <v>9</v>
      </c>
      <c r="FP65" s="378">
        <f t="shared" ca="1" si="1108"/>
        <v>10</v>
      </c>
      <c r="FQ65" s="378">
        <f t="shared" ca="1" si="1108"/>
        <v>11</v>
      </c>
      <c r="FR65" s="378">
        <f t="shared" ca="1" si="1108"/>
        <v>12</v>
      </c>
      <c r="FS65" s="378">
        <f t="shared" ca="1" si="1108"/>
        <v>13</v>
      </c>
      <c r="FT65" s="378">
        <f t="shared" ca="1" si="1108"/>
        <v>14</v>
      </c>
      <c r="FU65" s="378">
        <f t="shared" ca="1" si="1108"/>
        <v>15</v>
      </c>
      <c r="FV65" s="378">
        <f t="shared" ca="1" si="1108"/>
        <v>16</v>
      </c>
      <c r="FW65" s="378">
        <f t="shared" ca="1" si="1109"/>
        <v>17</v>
      </c>
      <c r="FX65" s="378">
        <f t="shared" ca="1" si="1109"/>
        <v>18</v>
      </c>
      <c r="FY65" s="378">
        <f t="shared" ca="1" si="1109"/>
        <v>19</v>
      </c>
      <c r="FZ65" s="378">
        <f t="shared" ca="1" si="1109"/>
        <v>20</v>
      </c>
      <c r="GB65" s="275" t="str">
        <f t="shared" ca="1" si="1110"/>
        <v>Workflow and Collaboration (47%)</v>
      </c>
      <c r="GC65" s="231" t="str">
        <f t="shared" ca="1" si="1111"/>
        <v>; Scorecards / Dashboards (26%)</v>
      </c>
      <c r="GD65" s="231" t="str">
        <f t="shared" ca="1" si="1112"/>
        <v>; BI Applications (13%)</v>
      </c>
      <c r="GE65" s="231" t="str">
        <f t="shared" ca="1" si="1113"/>
        <v>; Source System Inclusion / Integration (10%)</v>
      </c>
      <c r="GF65" s="231" t="str">
        <f t="shared" ca="1" si="1114"/>
        <v/>
      </c>
      <c r="GG65" s="231" t="str">
        <f t="shared" ca="1" si="1115"/>
        <v/>
      </c>
      <c r="GH65" s="231" t="str">
        <f t="shared" ca="1" si="1116"/>
        <v/>
      </c>
      <c r="GI65" s="231" t="str">
        <f t="shared" ca="1" si="1117"/>
        <v/>
      </c>
      <c r="GJ65" s="231" t="str">
        <f t="shared" ca="1" si="1118"/>
        <v/>
      </c>
      <c r="GK65" s="231" t="str">
        <f t="shared" ca="1" si="1119"/>
        <v/>
      </c>
      <c r="GL65" s="231" t="str">
        <f t="shared" ca="1" si="1120"/>
        <v/>
      </c>
      <c r="GM65" s="231" t="str">
        <f t="shared" ca="1" si="1121"/>
        <v/>
      </c>
      <c r="GN65" s="231" t="str">
        <f t="shared" ca="1" si="1122"/>
        <v/>
      </c>
      <c r="GO65" s="231" t="str">
        <f t="shared" ca="1" si="1123"/>
        <v/>
      </c>
      <c r="GP65" s="231" t="str">
        <f t="shared" ca="1" si="1124"/>
        <v/>
      </c>
      <c r="GQ65" s="231" t="str">
        <f t="shared" ca="1" si="1125"/>
        <v/>
      </c>
      <c r="GR65" s="231" t="str">
        <f t="shared" ca="1" si="1126"/>
        <v/>
      </c>
      <c r="GS65" s="231" t="str">
        <f t="shared" ca="1" si="1127"/>
        <v/>
      </c>
      <c r="GT65" s="231" t="str">
        <f t="shared" ca="1" si="1128"/>
        <v/>
      </c>
      <c r="GU65" s="231" t="str">
        <f t="shared" ca="1" si="1129"/>
        <v/>
      </c>
    </row>
    <row r="66" spans="2:203" s="386" customFormat="1" ht="15.75" hidden="1" customHeight="1">
      <c r="B66" s="373"/>
      <c r="C66" s="81" t="str">
        <f>Productivity!B15</f>
        <v>Integration of applications and data</v>
      </c>
      <c r="D66" s="404">
        <f t="shared" ref="D66" ca="1" si="1130">DN66</f>
        <v>0.43483479454389895</v>
      </c>
      <c r="E66" s="374">
        <f>ROW(Initiatives!$A$170)</f>
        <v>170</v>
      </c>
      <c r="F66" s="374">
        <f>ROW(Initiatives!$A$176)</f>
        <v>176</v>
      </c>
      <c r="G66" s="374">
        <f>ROW(Initiatives!$A$183)</f>
        <v>183</v>
      </c>
      <c r="H66" s="374">
        <f>ROW(Initiatives!$A$189)</f>
        <v>189</v>
      </c>
      <c r="I66" s="374"/>
      <c r="J66" s="374"/>
      <c r="K66" s="374"/>
      <c r="L66" s="374"/>
      <c r="M66" s="374"/>
      <c r="N66" s="374"/>
      <c r="O66" s="374"/>
      <c r="P66" s="374"/>
      <c r="Q66" s="374"/>
      <c r="R66" s="374"/>
      <c r="S66" s="374"/>
      <c r="T66" s="374"/>
      <c r="U66" s="374"/>
      <c r="V66" s="374"/>
      <c r="W66" s="374"/>
      <c r="X66" s="374"/>
      <c r="Y66" s="392" t="str">
        <f ca="1">OFFSET(Initiatives!$D$1,E66-1,$BS$3)</f>
        <v>BI Applications</v>
      </c>
      <c r="Z66" s="375">
        <v>7</v>
      </c>
      <c r="AA66" s="392" t="str">
        <f ca="1">OFFSET(Initiatives!$D$1,F66-1,$BS$3)</f>
        <v>Source System Inclusion / Integration</v>
      </c>
      <c r="AB66" s="375">
        <v>8</v>
      </c>
      <c r="AC66" s="392" t="str">
        <f ca="1">OFFSET(Initiatives!$D$1,G66-1,$BS$3)</f>
        <v>Enhance DW Platform</v>
      </c>
      <c r="AD66" s="375">
        <v>5</v>
      </c>
      <c r="AE66" s="392" t="str">
        <f ca="1">OFFSET(Initiatives!$D$1,H66-1,$BS$3)</f>
        <v>Enhance BI Platform</v>
      </c>
      <c r="AF66" s="375">
        <v>9</v>
      </c>
      <c r="AG66" s="392" t="e">
        <f ca="1">OFFSET(Initiatives!$D$1,I66-1,$BS$3)</f>
        <v>#REF!</v>
      </c>
      <c r="AH66" s="375"/>
      <c r="AI66" s="392" t="e">
        <f ca="1">OFFSET(Initiatives!$D$1,J66-1,$BS$3)</f>
        <v>#REF!</v>
      </c>
      <c r="AJ66" s="375"/>
      <c r="AK66" s="392" t="e">
        <f ca="1">OFFSET(Initiatives!$D$1,K66-1,$BS$3)</f>
        <v>#REF!</v>
      </c>
      <c r="AL66" s="375"/>
      <c r="AM66" s="392" t="e">
        <f ca="1">OFFSET(Initiatives!$D$1,L66-1,$BS$3)</f>
        <v>#REF!</v>
      </c>
      <c r="AN66" s="375"/>
      <c r="AO66" s="392" t="e">
        <f ca="1">OFFSET(Initiatives!$D$1,M66-1,$BS$3)</f>
        <v>#REF!</v>
      </c>
      <c r="AP66" s="375"/>
      <c r="AQ66" s="392" t="e">
        <f ca="1">OFFSET(Initiatives!$D$1,N66-1,$BS$3)</f>
        <v>#REF!</v>
      </c>
      <c r="AR66" s="375"/>
      <c r="AS66" s="392" t="e">
        <f ca="1">OFFSET(Initiatives!$D$1,O66-1,$BS$3)</f>
        <v>#REF!</v>
      </c>
      <c r="AT66" s="375"/>
      <c r="AU66" s="392" t="e">
        <f ca="1">OFFSET(Initiatives!$D$1,P66-1,$BS$3)</f>
        <v>#REF!</v>
      </c>
      <c r="AV66" s="375"/>
      <c r="AW66" s="392" t="e">
        <f ca="1">OFFSET(Initiatives!$D$1,Q66-1,$BS$3)</f>
        <v>#REF!</v>
      </c>
      <c r="AX66" s="375"/>
      <c r="AY66" s="392" t="e">
        <f ca="1">OFFSET(Initiatives!$D$1,R66-1,$BS$3)</f>
        <v>#REF!</v>
      </c>
      <c r="AZ66" s="375"/>
      <c r="BA66" s="392" t="e">
        <f ca="1">OFFSET(Initiatives!$D$1,S66-1,$BS$3)</f>
        <v>#REF!</v>
      </c>
      <c r="BB66" s="375"/>
      <c r="BC66" s="392" t="e">
        <f ca="1">OFFSET(Initiatives!$D$1,T66-1,$BS$3)</f>
        <v>#REF!</v>
      </c>
      <c r="BD66" s="375"/>
      <c r="BE66" s="392" t="e">
        <f ca="1">OFFSET(Initiatives!$D$1,U66-1,$BS$3)</f>
        <v>#REF!</v>
      </c>
      <c r="BF66" s="375"/>
      <c r="BG66" s="392" t="e">
        <f ca="1">OFFSET(Initiatives!$D$1,V66-1,$BS$3)</f>
        <v>#REF!</v>
      </c>
      <c r="BH66" s="375"/>
      <c r="BI66" s="392" t="e">
        <f ca="1">OFFSET(Initiatives!$D$1,W66-1,$BS$3)</f>
        <v>#REF!</v>
      </c>
      <c r="BJ66" s="375"/>
      <c r="BK66" s="392" t="e">
        <f ca="1">OFFSET(Initiatives!$D$1,X66-1,$BS$3)</f>
        <v>#REF!</v>
      </c>
      <c r="BL66" s="375"/>
      <c r="BN66" s="101">
        <f t="shared" ref="BN66" si="1131">SUM(Z66,AB66,AD66,AF66,AH66,AJ66,AL66,AN66,AP66,AR66,AT66,AV66,AX66,AZ66,BB66,BD66,BF66,BH66,BJ66,BL66)+0.0001</f>
        <v>29.0001</v>
      </c>
      <c r="BP66" s="231" t="str">
        <f t="shared" ref="BP66" ca="1" si="1132">CONCATENATE(GB66,GC66,GD66,GE66,GF66,GG66,GH66,GI66,GJ66,GK66,GL66,GM66,GN66,GO66,GP66,GQ66,GR66,GS66,GT66,GU66)</f>
        <v>Enhance BI Platform (43%); Source System Inclusion / Integration (29%); BI Applications (25%)</v>
      </c>
      <c r="BQ66" s="338">
        <v>0.01</v>
      </c>
      <c r="BR66" s="40">
        <f t="shared" ref="BR66" ca="1" si="1133">COUNTIF(CT66:DM66,"&gt;"&amp;BQ66)</f>
        <v>4</v>
      </c>
      <c r="BS66" s="274">
        <v>0.05</v>
      </c>
      <c r="BT66" s="40">
        <f t="shared" ref="BT66" ca="1" si="1134">COUNTIF(DP66:EI66,"&gt;"&amp;BS66)</f>
        <v>3</v>
      </c>
      <c r="BU66" s="376">
        <v>7</v>
      </c>
      <c r="BV66" s="40">
        <f t="shared" ref="BV66" ca="1" si="1135">MIN(BR66,BT66,BU66)</f>
        <v>3</v>
      </c>
      <c r="BY66" s="377">
        <f ca="1">IF(ISERROR(OFFSET(Initiatives!$D$1,E66-1,$BY$3)),,OFFSET(Initiatives!$D$1,E66-1,$BY$3))</f>
        <v>0.45555555555555544</v>
      </c>
      <c r="BZ66" s="377">
        <f ca="1">IF(ISERROR(OFFSET(Initiatives!$D$1,F66-1,$BY$3)),,OFFSET(Initiatives!$D$1,F66-1,$BY$3))</f>
        <v>0.45454545454545436</v>
      </c>
      <c r="CA66" s="377">
        <f ca="1">IF(ISERROR(OFFSET(Initiatives!$D$1,G66-1,$BY$3)),,OFFSET(Initiatives!$D$1,G66-1,$BY$3))</f>
        <v>7.7000000000000179E-2</v>
      </c>
      <c r="CB66" s="377">
        <f ca="1">IF(ISERROR(OFFSET(Initiatives!$D$1,H66-1,$BY$3)),,OFFSET(Initiatives!$D$1,H66-1,$BY$3))</f>
        <v>0.6</v>
      </c>
      <c r="CC66" s="377">
        <f ca="1">IF(ISERROR(OFFSET(Initiatives!$D$1,I66-1,$BY$3)),,OFFSET(Initiatives!$D$1,I66-1,$BY$3))</f>
        <v>0</v>
      </c>
      <c r="CD66" s="377">
        <f ca="1">IF(ISERROR(OFFSET(Initiatives!$D$1,J66-1,$BY$3)),,OFFSET(Initiatives!$D$1,J66-1,$BY$3))</f>
        <v>0</v>
      </c>
      <c r="CE66" s="377">
        <f ca="1">IF(ISERROR(OFFSET(Initiatives!$D$1,K66-1,$BY$3)),,OFFSET(Initiatives!$D$1,K66-1,$BY$3))</f>
        <v>0</v>
      </c>
      <c r="CF66" s="377">
        <f ca="1">IF(ISERROR(OFFSET(Initiatives!$D$1,L66-1,$BY$3)),,OFFSET(Initiatives!$D$1,L66-1,$BY$3))</f>
        <v>0</v>
      </c>
      <c r="CG66" s="377">
        <f ca="1">IF(ISERROR(OFFSET(Initiatives!$D$1,M66-1,$BY$3)),,OFFSET(Initiatives!$D$1,M66-1,$BY$3))</f>
        <v>0</v>
      </c>
      <c r="CH66" s="377">
        <f ca="1">IF(ISERROR(OFFSET(Initiatives!$D$1,N66-1,$BY$3)),,OFFSET(Initiatives!$D$1,N66-1,$BY$3))</f>
        <v>0</v>
      </c>
      <c r="CI66" s="377">
        <f ca="1">IF(ISERROR(OFFSET(Initiatives!$D$1,O66-1,$BY$3)),,OFFSET(Initiatives!$D$1,O66-1,$BY$3))</f>
        <v>0</v>
      </c>
      <c r="CJ66" s="377">
        <f ca="1">IF(ISERROR(OFFSET(Initiatives!$D$1,P66-1,$BY$3)),,OFFSET(Initiatives!$D$1,P66-1,$BY$3))</f>
        <v>0</v>
      </c>
      <c r="CK66" s="377">
        <f ca="1">IF(ISERROR(OFFSET(Initiatives!$D$1,Q66-1,$BY$3)),,OFFSET(Initiatives!$D$1,Q66-1,$BY$3))</f>
        <v>0</v>
      </c>
      <c r="CL66" s="377">
        <f ca="1">IF(ISERROR(OFFSET(Initiatives!$D$1,R66-1,$BY$3)),,OFFSET(Initiatives!$D$1,R66-1,$BY$3))</f>
        <v>0</v>
      </c>
      <c r="CM66" s="377">
        <f ca="1">IF(ISERROR(OFFSET(Initiatives!$D$1,S66-1,$BY$3)),,OFFSET(Initiatives!$D$1,S66-1,$BY$3))</f>
        <v>0</v>
      </c>
      <c r="CN66" s="377">
        <f ca="1">IF(ISERROR(OFFSET(Initiatives!$D$1,T66-1,$BY$3)),,OFFSET(Initiatives!$D$1,T66-1,$BY$3))</f>
        <v>0</v>
      </c>
      <c r="CO66" s="377">
        <f ca="1">IF(ISERROR(OFFSET(Initiatives!$D$1,U66-1,$BY$3)),,OFFSET(Initiatives!$D$1,U66-1,$BY$3))</f>
        <v>0</v>
      </c>
      <c r="CP66" s="377">
        <f ca="1">IF(ISERROR(OFFSET(Initiatives!$D$1,V66-1,$BY$3)),,OFFSET(Initiatives!$D$1,V66-1,$BY$3))</f>
        <v>0</v>
      </c>
      <c r="CQ66" s="377">
        <f ca="1">IF(ISERROR(OFFSET(Initiatives!$D$1,W66-1,$BY$3)),,OFFSET(Initiatives!$D$1,W66-1,$BY$3))</f>
        <v>0</v>
      </c>
      <c r="CR66" s="377">
        <f ca="1">IF(ISERROR(OFFSET(Initiatives!$D$1,X66-1,$BY$3)),,OFFSET(Initiatives!$D$1,X66-1,$BY$3))</f>
        <v>0</v>
      </c>
      <c r="CT66" s="41">
        <f t="shared" ref="CT66" ca="1" si="1136">BY66*Z66/$BN66</f>
        <v>0.10996130664683529</v>
      </c>
      <c r="CU66" s="41">
        <f t="shared" ref="CU66" ca="1" si="1137">BZ66*AB66/$BN66</f>
        <v>0.12539141714558347</v>
      </c>
      <c r="CV66" s="41">
        <f t="shared" ref="CV66" ca="1" si="1138">CA66*AD66/$BN66</f>
        <v>1.3275816290288685E-2</v>
      </c>
      <c r="CW66" s="41">
        <f t="shared" ref="CW66" ca="1" si="1139">CB66*AF66/$BN66</f>
        <v>0.18620625446119149</v>
      </c>
      <c r="CX66" s="41">
        <f t="shared" ref="CX66" ca="1" si="1140">CC66*AH66/$BN66</f>
        <v>0</v>
      </c>
      <c r="CY66" s="41">
        <f t="shared" ref="CY66" ca="1" si="1141">CD66*AJ66/$BN66</f>
        <v>0</v>
      </c>
      <c r="CZ66" s="41">
        <f t="shared" ref="CZ66" ca="1" si="1142">CE66*AL66/$BN66</f>
        <v>0</v>
      </c>
      <c r="DA66" s="41">
        <f t="shared" ref="DA66" ca="1" si="1143">CF66*AN66/$BN66</f>
        <v>0</v>
      </c>
      <c r="DB66" s="41">
        <f t="shared" ref="DB66" ca="1" si="1144">CG66*AP66/$BN66</f>
        <v>0</v>
      </c>
      <c r="DC66" s="41">
        <f t="shared" ref="DC66" ca="1" si="1145">CH66*AR66/$BN66</f>
        <v>0</v>
      </c>
      <c r="DD66" s="41">
        <f t="shared" ref="DD66" ca="1" si="1146">CI66*AT66/$BN66</f>
        <v>0</v>
      </c>
      <c r="DE66" s="41">
        <f t="shared" ref="DE66" ca="1" si="1147">CJ66*AV66/$BN66</f>
        <v>0</v>
      </c>
      <c r="DF66" s="41">
        <f t="shared" ref="DF66" ca="1" si="1148">CK66*AX66/$BN66</f>
        <v>0</v>
      </c>
      <c r="DG66" s="41">
        <f t="shared" ref="DG66" ca="1" si="1149">CL66*AZ66/$BN66</f>
        <v>0</v>
      </c>
      <c r="DH66" s="41">
        <f t="shared" ref="DH66" ca="1" si="1150">CM66*BB66/$BN66</f>
        <v>0</v>
      </c>
      <c r="DI66" s="41">
        <f t="shared" ref="DI66" ca="1" si="1151">CN66*BD66/$BN66</f>
        <v>0</v>
      </c>
      <c r="DJ66" s="41">
        <f t="shared" ref="DJ66" ca="1" si="1152">CO66*BF66/$BN66</f>
        <v>0</v>
      </c>
      <c r="DK66" s="41">
        <f t="shared" ref="DK66" ca="1" si="1153">CP66*BH66/$BN66</f>
        <v>0</v>
      </c>
      <c r="DL66" s="41">
        <f t="shared" ref="DL66" ca="1" si="1154">CQ66*BJ66/$BN66</f>
        <v>0</v>
      </c>
      <c r="DM66" s="41">
        <f t="shared" ref="DM66" ca="1" si="1155">CR66*BL66/$BN66</f>
        <v>0</v>
      </c>
      <c r="DN66" s="41">
        <f t="shared" ref="DN66" ca="1" si="1156">SUM(CT66:DM66)</f>
        <v>0.43483479454389895</v>
      </c>
      <c r="DP66" s="41">
        <f t="shared" ref="DP66" ca="1" si="1157">CT66/$DN66-DP$5/100000</f>
        <v>0.25287065266758246</v>
      </c>
      <c r="DQ66" s="41">
        <f t="shared" ref="DQ66" ca="1" si="1158">CU66/$DN66-DQ$5/100000</f>
        <v>0.28834564764120896</v>
      </c>
      <c r="DR66" s="41">
        <f t="shared" ref="DR66" ca="1" si="1159">CV66/$DN66-DR$5/100000</f>
        <v>3.0500712944013082E-2</v>
      </c>
      <c r="DS66" s="41">
        <f t="shared" ref="DS66" ca="1" si="1160">CW66/$DN66-DS$5/100000</f>
        <v>0.42818298674719546</v>
      </c>
      <c r="DT66" s="41">
        <f t="shared" ref="DT66" ca="1" si="1161">CX66/$DN66-DT$5/100000</f>
        <v>-5.0000000000000002E-5</v>
      </c>
      <c r="DU66" s="41">
        <f t="shared" ref="DU66" ca="1" si="1162">CY66/$DN66-DU$5/100000</f>
        <v>-6.0000000000000002E-5</v>
      </c>
      <c r="DV66" s="41">
        <f t="shared" ref="DV66" ca="1" si="1163">CZ66/$DN66-DV$5/100000</f>
        <v>-6.9999999999999994E-5</v>
      </c>
      <c r="DW66" s="41">
        <f t="shared" ref="DW66" ca="1" si="1164">DA66/$DN66-DW$5/100000</f>
        <v>-8.0000000000000007E-5</v>
      </c>
      <c r="DX66" s="41">
        <f t="shared" ref="DX66" ca="1" si="1165">DB66/$DN66-DX$5/100000</f>
        <v>-9.0000000000000006E-5</v>
      </c>
      <c r="DY66" s="41">
        <f t="shared" ref="DY66" ca="1" si="1166">DC66/$DN66-DY$5/100000</f>
        <v>-1E-4</v>
      </c>
      <c r="DZ66" s="41">
        <f t="shared" ref="DZ66" ca="1" si="1167">DD66/$DN66-DZ$5/100000</f>
        <v>-1.1E-4</v>
      </c>
      <c r="EA66" s="41">
        <f t="shared" ref="EA66" ca="1" si="1168">DE66/$DN66-EA$5/100000</f>
        <v>-1.2E-4</v>
      </c>
      <c r="EB66" s="41">
        <f t="shared" ref="EB66" ca="1" si="1169">DF66/$DN66-EB$5/100000</f>
        <v>-1.2999999999999999E-4</v>
      </c>
      <c r="EC66" s="41">
        <f t="shared" ref="EC66" ca="1" si="1170">DG66/$DN66-EC$5/100000</f>
        <v>-1.3999999999999999E-4</v>
      </c>
      <c r="ED66" s="41">
        <f t="shared" ref="ED66" ca="1" si="1171">DH66/$DN66-ED$5/100000</f>
        <v>-1.4999999999999999E-4</v>
      </c>
      <c r="EE66" s="41">
        <f t="shared" ref="EE66" ca="1" si="1172">DI66/$DN66-EE$5/100000</f>
        <v>-1.6000000000000001E-4</v>
      </c>
      <c r="EF66" s="41">
        <f t="shared" ref="EF66" ca="1" si="1173">DJ66/$DN66-EF$5/100000</f>
        <v>-1.7000000000000001E-4</v>
      </c>
      <c r="EG66" s="41">
        <f t="shared" ref="EG66" ca="1" si="1174">DK66/$DN66-EG$5/100000</f>
        <v>-1.8000000000000001E-4</v>
      </c>
      <c r="EH66" s="41">
        <f t="shared" ref="EH66" ca="1" si="1175">DL66/$DN66-EH$5/100000</f>
        <v>-1.9000000000000001E-4</v>
      </c>
      <c r="EI66" s="41">
        <f t="shared" ref="EI66" ca="1" si="1176">DM66/$DN66-EI$5/100000</f>
        <v>-2.0000000000000001E-4</v>
      </c>
      <c r="EJ66" s="41">
        <f t="shared" ref="EJ66" ca="1" si="1177">SUM(DP66:EI66)</f>
        <v>0.99790000000000001</v>
      </c>
      <c r="EL66" s="378">
        <f t="shared" ref="EL66" ca="1" si="1178">RANK(DP66,$DP66:$EI66)</f>
        <v>3</v>
      </c>
      <c r="EM66" s="378">
        <f t="shared" ref="EM66" ca="1" si="1179">RANK(DQ66,$DP66:$EI66)</f>
        <v>2</v>
      </c>
      <c r="EN66" s="378">
        <f t="shared" ref="EN66" ca="1" si="1180">RANK(DR66,$DP66:$EI66)</f>
        <v>4</v>
      </c>
      <c r="EO66" s="378">
        <f t="shared" ref="EO66" ca="1" si="1181">RANK(DS66,$DP66:$EI66)</f>
        <v>1</v>
      </c>
      <c r="EP66" s="378">
        <f t="shared" ref="EP66" ca="1" si="1182">RANK(DT66,$DP66:$EI66)</f>
        <v>5</v>
      </c>
      <c r="EQ66" s="378">
        <f t="shared" ref="EQ66" ca="1" si="1183">RANK(DU66,$DP66:$EI66)</f>
        <v>6</v>
      </c>
      <c r="ER66" s="378">
        <f t="shared" ref="ER66" ca="1" si="1184">RANK(DV66,$DP66:$EI66)</f>
        <v>7</v>
      </c>
      <c r="ES66" s="378">
        <f t="shared" ref="ES66" ca="1" si="1185">RANK(DW66,$DP66:$EI66)</f>
        <v>8</v>
      </c>
      <c r="ET66" s="378">
        <f t="shared" ref="ET66" ca="1" si="1186">RANK(DX66,$DP66:$EI66)</f>
        <v>9</v>
      </c>
      <c r="EU66" s="378">
        <f t="shared" ref="EU66" ca="1" si="1187">RANK(DY66,$DP66:$EI66)</f>
        <v>10</v>
      </c>
      <c r="EV66" s="378">
        <f t="shared" ref="EV66" ca="1" si="1188">RANK(DZ66,$DP66:$EI66)</f>
        <v>11</v>
      </c>
      <c r="EW66" s="378">
        <f t="shared" ref="EW66" ca="1" si="1189">RANK(EA66,$DP66:$EI66)</f>
        <v>12</v>
      </c>
      <c r="EX66" s="378">
        <f t="shared" ref="EX66" ca="1" si="1190">RANK(EB66,$DP66:$EI66)</f>
        <v>13</v>
      </c>
      <c r="EY66" s="378">
        <f t="shared" ref="EY66" ca="1" si="1191">RANK(EC66,$DP66:$EI66)</f>
        <v>14</v>
      </c>
      <c r="EZ66" s="378">
        <f t="shared" ref="EZ66" ca="1" si="1192">RANK(ED66,$DP66:$EI66)</f>
        <v>15</v>
      </c>
      <c r="FA66" s="378">
        <f t="shared" ref="FA66" ca="1" si="1193">RANK(EE66,$DP66:$EI66)</f>
        <v>16</v>
      </c>
      <c r="FB66" s="378">
        <f t="shared" ref="FB66" ca="1" si="1194">RANK(EF66,$DP66:$EI66)</f>
        <v>17</v>
      </c>
      <c r="FC66" s="378">
        <f t="shared" ref="FC66" ca="1" si="1195">RANK(EG66,$DP66:$EI66)</f>
        <v>18</v>
      </c>
      <c r="FD66" s="378">
        <f t="shared" ref="FD66" ca="1" si="1196">RANK(EH66,$DP66:$EI66)</f>
        <v>19</v>
      </c>
      <c r="FE66" s="378">
        <f t="shared" ref="FE66" ca="1" si="1197">RANK(EI66,$DP66:$EI66)</f>
        <v>20</v>
      </c>
      <c r="FG66" s="378">
        <f t="shared" ca="1" si="1108"/>
        <v>4</v>
      </c>
      <c r="FH66" s="378">
        <f t="shared" ca="1" si="1108"/>
        <v>2</v>
      </c>
      <c r="FI66" s="378">
        <f t="shared" ca="1" si="1108"/>
        <v>1</v>
      </c>
      <c r="FJ66" s="378">
        <f t="shared" ca="1" si="1108"/>
        <v>3</v>
      </c>
      <c r="FK66" s="378">
        <f t="shared" ca="1" si="1108"/>
        <v>5</v>
      </c>
      <c r="FL66" s="378">
        <f t="shared" ca="1" si="1108"/>
        <v>6</v>
      </c>
      <c r="FM66" s="378">
        <f t="shared" ca="1" si="1108"/>
        <v>7</v>
      </c>
      <c r="FN66" s="378">
        <f t="shared" ca="1" si="1108"/>
        <v>8</v>
      </c>
      <c r="FO66" s="378">
        <f t="shared" ca="1" si="1108"/>
        <v>9</v>
      </c>
      <c r="FP66" s="378">
        <f t="shared" ca="1" si="1108"/>
        <v>10</v>
      </c>
      <c r="FQ66" s="378">
        <f t="shared" ca="1" si="1108"/>
        <v>11</v>
      </c>
      <c r="FR66" s="378">
        <f t="shared" ca="1" si="1108"/>
        <v>12</v>
      </c>
      <c r="FS66" s="378">
        <f t="shared" ca="1" si="1108"/>
        <v>13</v>
      </c>
      <c r="FT66" s="378">
        <f t="shared" ca="1" si="1108"/>
        <v>14</v>
      </c>
      <c r="FU66" s="378">
        <f t="shared" ca="1" si="1108"/>
        <v>15</v>
      </c>
      <c r="FV66" s="378">
        <f t="shared" ca="1" si="1108"/>
        <v>16</v>
      </c>
      <c r="FW66" s="378">
        <f t="shared" ca="1" si="1109"/>
        <v>17</v>
      </c>
      <c r="FX66" s="378">
        <f t="shared" ca="1" si="1109"/>
        <v>18</v>
      </c>
      <c r="FY66" s="378">
        <f t="shared" ca="1" si="1109"/>
        <v>19</v>
      </c>
      <c r="FZ66" s="378">
        <f t="shared" ca="1" si="1109"/>
        <v>20</v>
      </c>
      <c r="GB66" s="275" t="str">
        <f t="shared" ref="GB66" ca="1" si="1198">IF(GB$5&lt;=$BV66,INDEX($Y66:$BL66,1,FG66*2-1)&amp;" ("&amp;TEXT(INDEX($DP66:$EI66,1,FG66),"0%")&amp;")","")</f>
        <v>Enhance BI Platform (43%)</v>
      </c>
      <c r="GC66" s="231" t="str">
        <f t="shared" ref="GC66" ca="1" si="1199">IF(GC$5&lt;=$BV66,"; "&amp;INDEX($Y66:$BL66,1,FH66*2-1)&amp;" ("&amp;TEXT(INDEX($DP66:$EI66,1,FH66),"0%")&amp;")","")</f>
        <v>; Source System Inclusion / Integration (29%)</v>
      </c>
      <c r="GD66" s="231" t="str">
        <f t="shared" ref="GD66" ca="1" si="1200">IF(GD$5&lt;=$BV66,"; "&amp;INDEX($Y66:$BL66,1,FI66*2-1)&amp;" ("&amp;TEXT(INDEX($DP66:$EI66,1,FI66),"0%")&amp;")","")</f>
        <v>; BI Applications (25%)</v>
      </c>
      <c r="GE66" s="231" t="str">
        <f t="shared" ref="GE66" ca="1" si="1201">IF(GE$5&lt;=$BV66,"; "&amp;INDEX($Y66:$BL66,1,FJ66*2-1)&amp;" ("&amp;TEXT(INDEX($DP66:$EI66,1,FJ66),"0%")&amp;")","")</f>
        <v/>
      </c>
      <c r="GF66" s="231" t="str">
        <f t="shared" ref="GF66" ca="1" si="1202">IF(GF$5&lt;=$BV66,"; "&amp;INDEX($Y66:$BL66,1,FK66*2-1)&amp;" ("&amp;TEXT(INDEX($DP66:$EI66,1,FK66),"0%")&amp;")","")</f>
        <v/>
      </c>
      <c r="GG66" s="231" t="str">
        <f t="shared" ref="GG66" ca="1" si="1203">IF(GG$5&lt;=$BV66,"; "&amp;INDEX($Y66:$BL66,1,FL66*2-1)&amp;" ("&amp;TEXT(INDEX($DP66:$EI66,1,FL66),"0%")&amp;")","")</f>
        <v/>
      </c>
      <c r="GH66" s="231" t="str">
        <f t="shared" ref="GH66" ca="1" si="1204">IF(GH$5&lt;=$BV66,"; "&amp;INDEX($Y66:$BL66,1,FM66*2-1)&amp;" ("&amp;TEXT(INDEX($DP66:$EI66,1,FM66),"0%")&amp;")","")</f>
        <v/>
      </c>
      <c r="GI66" s="231" t="str">
        <f t="shared" ref="GI66" ca="1" si="1205">IF(GI$5&lt;=$BV66,"; "&amp;INDEX($Y66:$BL66,1,FN66*2-1)&amp;" ("&amp;TEXT(INDEX($DP66:$EI66,1,FN66),"0%")&amp;")","")</f>
        <v/>
      </c>
      <c r="GJ66" s="231" t="str">
        <f t="shared" ref="GJ66" ca="1" si="1206">IF(GJ$5&lt;=$BV66,"; "&amp;INDEX($Y66:$BL66,1,FO66*2-1)&amp;" ("&amp;TEXT(INDEX($DP66:$EI66,1,FO66),"0%")&amp;")","")</f>
        <v/>
      </c>
      <c r="GK66" s="231" t="str">
        <f t="shared" ref="GK66" ca="1" si="1207">IF(GK$5&lt;=$BV66,"; "&amp;INDEX($Y66:$BL66,1,FP66*2-1)&amp;" ("&amp;TEXT(INDEX($DP66:$EI66,1,FP66),"0%")&amp;")","")</f>
        <v/>
      </c>
      <c r="GL66" s="231" t="str">
        <f t="shared" ref="GL66" ca="1" si="1208">IF(GL$5&lt;=$BV66,"; "&amp;INDEX($Y66:$BL66,1,FQ66*2-1)&amp;" ("&amp;TEXT(INDEX($DP66:$EI66,1,FQ66),"0%")&amp;")","")</f>
        <v/>
      </c>
      <c r="GM66" s="231" t="str">
        <f t="shared" ref="GM66" ca="1" si="1209">IF(GM$5&lt;=$BV66,"; "&amp;INDEX($Y66:$BL66,1,FR66*2-1)&amp;" ("&amp;TEXT(INDEX($DP66:$EI66,1,FR66),"0%")&amp;")","")</f>
        <v/>
      </c>
      <c r="GN66" s="231" t="str">
        <f t="shared" ref="GN66" ca="1" si="1210">IF(GN$5&lt;=$BV66,"; "&amp;INDEX($Y66:$BL66,1,FS66*2-1)&amp;" ("&amp;TEXT(INDEX($DP66:$EI66,1,FS66),"0%")&amp;")","")</f>
        <v/>
      </c>
      <c r="GO66" s="231" t="str">
        <f t="shared" ref="GO66" ca="1" si="1211">IF(GO$5&lt;=$BV66,"; "&amp;INDEX($Y66:$BL66,1,FT66*2-1)&amp;" ("&amp;TEXT(INDEX($DP66:$EI66,1,FT66),"0%")&amp;")","")</f>
        <v/>
      </c>
      <c r="GP66" s="231" t="str">
        <f t="shared" ref="GP66" ca="1" si="1212">IF(GP$5&lt;=$BV66,"; "&amp;INDEX($Y66:$BL66,1,FU66*2-1)&amp;" ("&amp;TEXT(INDEX($DP66:$EI66,1,FU66),"0%")&amp;")","")</f>
        <v/>
      </c>
      <c r="GQ66" s="231" t="str">
        <f t="shared" ref="GQ66" ca="1" si="1213">IF(GQ$5&lt;=$BV66,"; "&amp;INDEX($Y66:$BL66,1,FV66*2-1)&amp;" ("&amp;TEXT(INDEX($DP66:$EI66,1,FV66),"0%")&amp;")","")</f>
        <v/>
      </c>
      <c r="GR66" s="231" t="str">
        <f t="shared" ref="GR66" ca="1" si="1214">IF(GR$5&lt;=$BV66,"; "&amp;INDEX($Y66:$BL66,1,FW66*2-1)&amp;" ("&amp;TEXT(INDEX($DP66:$EI66,1,FW66),"0%")&amp;")","")</f>
        <v/>
      </c>
      <c r="GS66" s="231" t="str">
        <f t="shared" ref="GS66" ca="1" si="1215">IF(GS$5&lt;=$BV66,"; "&amp;INDEX($Y66:$BL66,1,FX66*2-1)&amp;" ("&amp;TEXT(INDEX($DP66:$EI66,1,FX66),"0%")&amp;")","")</f>
        <v/>
      </c>
      <c r="GT66" s="231" t="str">
        <f t="shared" ref="GT66" ca="1" si="1216">IF(GT$5&lt;=$BV66,"; "&amp;INDEX($Y66:$BL66,1,FY66*2-1)&amp;" ("&amp;TEXT(INDEX($DP66:$EI66,1,FY66),"0%")&amp;")","")</f>
        <v/>
      </c>
      <c r="GU66" s="231" t="str">
        <f t="shared" ref="GU66" ca="1" si="1217">IF(GU$5&lt;=$BV66,"; "&amp;INDEX($Y66:$BL66,1,FZ66*2-1)&amp;" ("&amp;TEXT(INDEX($DP66:$EI66,1,FZ66),"0%")&amp;")","")</f>
        <v/>
      </c>
    </row>
    <row r="67" spans="2:203" hidden="1"/>
    <row r="68" spans="2:203" s="386" customFormat="1" ht="15" hidden="1">
      <c r="B68" s="6" t="str">
        <f>Productivity!A17</f>
        <v>Communication &amp; Collaboration</v>
      </c>
      <c r="BP68" s="29"/>
    </row>
    <row r="69" spans="2:203" s="386" customFormat="1" ht="16.5" hidden="1" customHeight="1">
      <c r="B69" s="373"/>
      <c r="C69" s="81" t="str">
        <f>Productivity!B18</f>
        <v>Communication and distribution of BI-related information</v>
      </c>
      <c r="D69" s="404">
        <f t="shared" ref="D69:D70" ca="1" si="1218">DN69</f>
        <v>0.5315779285573814</v>
      </c>
      <c r="E69" s="374">
        <f>ROW(Initiatives!$A$170)</f>
        <v>170</v>
      </c>
      <c r="F69" s="374">
        <f>ROW(Initiatives!$A$176)</f>
        <v>176</v>
      </c>
      <c r="G69" s="374">
        <f>ROW(Initiatives!$A$183)</f>
        <v>183</v>
      </c>
      <c r="H69" s="374">
        <f>ROW(Initiatives!$A$185)</f>
        <v>185</v>
      </c>
      <c r="I69" s="374">
        <f>ROW(Initiatives!$A$186)</f>
        <v>186</v>
      </c>
      <c r="J69" s="374">
        <f>ROW(Initiatives!$A$187)</f>
        <v>187</v>
      </c>
      <c r="K69" s="374">
        <f>ROW(Initiatives!$A$188)</f>
        <v>188</v>
      </c>
      <c r="L69" s="374"/>
      <c r="M69" s="374"/>
      <c r="N69" s="374"/>
      <c r="O69" s="374"/>
      <c r="P69" s="374"/>
      <c r="Q69" s="374"/>
      <c r="R69" s="374"/>
      <c r="S69" s="374"/>
      <c r="T69" s="374"/>
      <c r="U69" s="374"/>
      <c r="V69" s="374"/>
      <c r="W69" s="374"/>
      <c r="X69" s="374"/>
      <c r="Y69" s="392" t="str">
        <f ca="1">OFFSET(Initiatives!$D$1,E69-1,$BS$3)</f>
        <v>BI Applications</v>
      </c>
      <c r="Z69" s="375">
        <v>4</v>
      </c>
      <c r="AA69" s="392" t="str">
        <f ca="1">OFFSET(Initiatives!$D$1,F69-1,$BS$3)</f>
        <v>Source System Inclusion / Integration</v>
      </c>
      <c r="AB69" s="375">
        <v>3</v>
      </c>
      <c r="AC69" s="392" t="str">
        <f ca="1">OFFSET(Initiatives!$D$1,G69-1,$BS$3)</f>
        <v>Enhance DW Platform</v>
      </c>
      <c r="AD69" s="375">
        <v>3</v>
      </c>
      <c r="AE69" s="392" t="str">
        <f ca="1">OFFSET(Initiatives!$D$1,H69-1,$BS$3)</f>
        <v>Reporting</v>
      </c>
      <c r="AF69" s="375">
        <v>7</v>
      </c>
      <c r="AG69" s="392" t="str">
        <f ca="1">OFFSET(Initiatives!$D$1,I69-1,$BS$3)</f>
        <v>Scorecards / Dashboards</v>
      </c>
      <c r="AH69" s="375">
        <v>9</v>
      </c>
      <c r="AI69" s="392" t="str">
        <f ca="1">OFFSET(Initiatives!$D$1,J69-1,$BS$3)</f>
        <v>Analytical Tools</v>
      </c>
      <c r="AJ69" s="375">
        <v>2</v>
      </c>
      <c r="AK69" s="392" t="str">
        <f ca="1">OFFSET(Initiatives!$D$1,K69-1,$BS$3)</f>
        <v>Workflow and Collaboration</v>
      </c>
      <c r="AL69" s="375">
        <v>8</v>
      </c>
      <c r="AM69" s="392" t="e">
        <f ca="1">OFFSET(Initiatives!$D$1,L69-1,$BS$3)</f>
        <v>#REF!</v>
      </c>
      <c r="AN69" s="375"/>
      <c r="AO69" s="392" t="e">
        <f ca="1">OFFSET(Initiatives!$D$1,M69-1,$BS$3)</f>
        <v>#REF!</v>
      </c>
      <c r="AP69" s="375"/>
      <c r="AQ69" s="392" t="e">
        <f ca="1">OFFSET(Initiatives!$D$1,N69-1,$BS$3)</f>
        <v>#REF!</v>
      </c>
      <c r="AR69" s="375"/>
      <c r="AS69" s="392" t="e">
        <f ca="1">OFFSET(Initiatives!$D$1,O69-1,$BS$3)</f>
        <v>#REF!</v>
      </c>
      <c r="AT69" s="375"/>
      <c r="AU69" s="392" t="e">
        <f ca="1">OFFSET(Initiatives!$D$1,P69-1,$BS$3)</f>
        <v>#REF!</v>
      </c>
      <c r="AV69" s="375"/>
      <c r="AW69" s="392" t="e">
        <f ca="1">OFFSET(Initiatives!$D$1,Q69-1,$BS$3)</f>
        <v>#REF!</v>
      </c>
      <c r="AX69" s="375"/>
      <c r="AY69" s="392" t="e">
        <f ca="1">OFFSET(Initiatives!$D$1,R69-1,$BS$3)</f>
        <v>#REF!</v>
      </c>
      <c r="AZ69" s="375"/>
      <c r="BA69" s="392" t="e">
        <f ca="1">OFFSET(Initiatives!$D$1,S69-1,$BS$3)</f>
        <v>#REF!</v>
      </c>
      <c r="BB69" s="375"/>
      <c r="BC69" s="392" t="e">
        <f ca="1">OFFSET(Initiatives!$D$1,T69-1,$BS$3)</f>
        <v>#REF!</v>
      </c>
      <c r="BD69" s="375"/>
      <c r="BE69" s="392" t="e">
        <f ca="1">OFFSET(Initiatives!$D$1,U69-1,$BS$3)</f>
        <v>#REF!</v>
      </c>
      <c r="BF69" s="375"/>
      <c r="BG69" s="392" t="e">
        <f ca="1">OFFSET(Initiatives!$D$1,V69-1,$BS$3)</f>
        <v>#REF!</v>
      </c>
      <c r="BH69" s="375"/>
      <c r="BI69" s="392" t="e">
        <f ca="1">OFFSET(Initiatives!$D$1,W69-1,$BS$3)</f>
        <v>#REF!</v>
      </c>
      <c r="BJ69" s="375"/>
      <c r="BK69" s="392" t="e">
        <f ca="1">OFFSET(Initiatives!$D$1,X69-1,$BS$3)</f>
        <v>#REF!</v>
      </c>
      <c r="BL69" s="375"/>
      <c r="BN69" s="101">
        <f t="shared" ref="BN69:BN70" si="1219">SUM(Z69,AB69,AD69,AF69,AH69,AJ69,AL69,AN69,AP69,AR69,AT69,AV69,AX69,AZ69,BB69,BD69,BF69,BH69,BJ69,BL69)+0.0001</f>
        <v>36.000100000000003</v>
      </c>
      <c r="BP69" s="231" t="str">
        <f t="shared" ref="BP69:BP70" ca="1" si="1220">CONCATENATE(GB69,GC69,GD69,GE69,GF69,GG69,GH69,GI69,GJ69,GK69,GL69,GM69,GN69,GO69,GP69,GQ69,GR69,GS69,GT69,GU69)</f>
        <v>Workflow and Collaboration (30%); Scorecards / Dashboards (28%); Reporting (18%); BI Applications (10%); Source System Inclusion / Integration (7%); Analytical Tools (6%)</v>
      </c>
      <c r="BQ69" s="338">
        <v>0.01</v>
      </c>
      <c r="BR69" s="40">
        <f t="shared" ref="BR69:BR70" ca="1" si="1221">COUNTIF(CT69:DM69,"&gt;"&amp;BQ69)</f>
        <v>6</v>
      </c>
      <c r="BS69" s="274">
        <v>0.05</v>
      </c>
      <c r="BT69" s="40">
        <f t="shared" ref="BT69:BT70" ca="1" si="1222">COUNTIF(DP69:EI69,"&gt;"&amp;BS69)</f>
        <v>6</v>
      </c>
      <c r="BU69" s="376">
        <v>7</v>
      </c>
      <c r="BV69" s="40">
        <f t="shared" ref="BV69:BV70" ca="1" si="1223">MIN(BR69,BT69,BU69)</f>
        <v>6</v>
      </c>
      <c r="BY69" s="377">
        <f ca="1">IF(ISERROR(OFFSET(Initiatives!$D$1,E69-1,$BY$3)),,OFFSET(Initiatives!$D$1,E69-1,$BY$3))</f>
        <v>0.45555555555555544</v>
      </c>
      <c r="BZ69" s="377">
        <f ca="1">IF(ISERROR(OFFSET(Initiatives!$D$1,F69-1,$BY$3)),,OFFSET(Initiatives!$D$1,F69-1,$BY$3))</f>
        <v>0.45454545454545436</v>
      </c>
      <c r="CA69" s="377">
        <f ca="1">IF(ISERROR(OFFSET(Initiatives!$D$1,G69-1,$BY$3)),,OFFSET(Initiatives!$D$1,G69-1,$BY$3))</f>
        <v>7.7000000000000179E-2</v>
      </c>
      <c r="CB69" s="377">
        <f ca="1">IF(ISERROR(OFFSET(Initiatives!$D$1,H69-1,$BY$3)),,OFFSET(Initiatives!$D$1,H69-1,$BY$3))</f>
        <v>0.48</v>
      </c>
      <c r="CC69" s="377">
        <f ca="1">IF(ISERROR(OFFSET(Initiatives!$D$1,I69-1,$BY$3)),,OFFSET(Initiatives!$D$1,I69-1,$BY$3))</f>
        <v>0.6</v>
      </c>
      <c r="CD69" s="377">
        <f ca="1">IF(ISERROR(OFFSET(Initiatives!$D$1,J69-1,$BY$3)),,OFFSET(Initiatives!$D$1,J69-1,$BY$3))</f>
        <v>0.6</v>
      </c>
      <c r="CE69" s="377">
        <f ca="1">IF(ISERROR(OFFSET(Initiatives!$D$1,K69-1,$BY$3)),,OFFSET(Initiatives!$D$1,K69-1,$BY$3))</f>
        <v>0.72000000000000008</v>
      </c>
      <c r="CF69" s="377">
        <f ca="1">IF(ISERROR(OFFSET(Initiatives!$D$1,L69-1,$BY$3)),,OFFSET(Initiatives!$D$1,L69-1,$BY$3))</f>
        <v>0</v>
      </c>
      <c r="CG69" s="377">
        <f ca="1">IF(ISERROR(OFFSET(Initiatives!$D$1,M69-1,$BY$3)),,OFFSET(Initiatives!$D$1,M69-1,$BY$3))</f>
        <v>0</v>
      </c>
      <c r="CH69" s="377">
        <f ca="1">IF(ISERROR(OFFSET(Initiatives!$D$1,N69-1,$BY$3)),,OFFSET(Initiatives!$D$1,N69-1,$BY$3))</f>
        <v>0</v>
      </c>
      <c r="CI69" s="377">
        <f ca="1">IF(ISERROR(OFFSET(Initiatives!$D$1,O69-1,$BY$3)),,OFFSET(Initiatives!$D$1,O69-1,$BY$3))</f>
        <v>0</v>
      </c>
      <c r="CJ69" s="377">
        <f ca="1">IF(ISERROR(OFFSET(Initiatives!$D$1,P69-1,$BY$3)),,OFFSET(Initiatives!$D$1,P69-1,$BY$3))</f>
        <v>0</v>
      </c>
      <c r="CK69" s="377">
        <f ca="1">IF(ISERROR(OFFSET(Initiatives!$D$1,Q69-1,$BY$3)),,OFFSET(Initiatives!$D$1,Q69-1,$BY$3))</f>
        <v>0</v>
      </c>
      <c r="CL69" s="377">
        <f ca="1">IF(ISERROR(OFFSET(Initiatives!$D$1,R69-1,$BY$3)),,OFFSET(Initiatives!$D$1,R69-1,$BY$3))</f>
        <v>0</v>
      </c>
      <c r="CM69" s="377">
        <f ca="1">IF(ISERROR(OFFSET(Initiatives!$D$1,S69-1,$BY$3)),,OFFSET(Initiatives!$D$1,S69-1,$BY$3))</f>
        <v>0</v>
      </c>
      <c r="CN69" s="377">
        <f ca="1">IF(ISERROR(OFFSET(Initiatives!$D$1,T69-1,$BY$3)),,OFFSET(Initiatives!$D$1,T69-1,$BY$3))</f>
        <v>0</v>
      </c>
      <c r="CO69" s="377">
        <f ca="1">IF(ISERROR(OFFSET(Initiatives!$D$1,U69-1,$BY$3)),,OFFSET(Initiatives!$D$1,U69-1,$BY$3))</f>
        <v>0</v>
      </c>
      <c r="CP69" s="377">
        <f ca="1">IF(ISERROR(OFFSET(Initiatives!$D$1,V69-1,$BY$3)),,OFFSET(Initiatives!$D$1,V69-1,$BY$3))</f>
        <v>0</v>
      </c>
      <c r="CQ69" s="377">
        <f ca="1">IF(ISERROR(OFFSET(Initiatives!$D$1,W69-1,$BY$3)),,OFFSET(Initiatives!$D$1,W69-1,$BY$3))</f>
        <v>0</v>
      </c>
      <c r="CR69" s="377">
        <f ca="1">IF(ISERROR(OFFSET(Initiatives!$D$1,X69-1,$BY$3)),,OFFSET(Initiatives!$D$1,X69-1,$BY$3))</f>
        <v>0</v>
      </c>
      <c r="CT69" s="41">
        <f t="shared" ref="CT69:CT70" ca="1" si="1224">BY69*Z69/$BN69</f>
        <v>5.0617143347441301E-2</v>
      </c>
      <c r="CU69" s="41">
        <f t="shared" ref="CU69:CU70" ca="1" si="1225">BZ69*AB69/$BN69</f>
        <v>3.7878682660224913E-2</v>
      </c>
      <c r="CV69" s="41">
        <f t="shared" ref="CV69:CV70" ca="1" si="1226">CA69*AD69/$BN69</f>
        <v>6.416648842642118E-3</v>
      </c>
      <c r="CW69" s="41">
        <f t="shared" ref="CW69:CW70" ca="1" si="1227">CB69*AF69/$BN69</f>
        <v>9.3333074074794228E-2</v>
      </c>
      <c r="CX69" s="41">
        <f t="shared" ref="CX69:CX70" ca="1" si="1228">CC69*AH69/$BN69</f>
        <v>0.1499995833344907</v>
      </c>
      <c r="CY69" s="41">
        <f t="shared" ref="CY69:CY70" ca="1" si="1229">CD69*AJ69/$BN69</f>
        <v>3.3333240740997937E-2</v>
      </c>
      <c r="CZ69" s="41">
        <f t="shared" ref="CZ69:CZ70" ca="1" si="1230">CE69*AL69/$BN69</f>
        <v>0.15999955555679013</v>
      </c>
      <c r="DA69" s="41">
        <f t="shared" ref="DA69:DA70" ca="1" si="1231">CF69*AN69/$BN69</f>
        <v>0</v>
      </c>
      <c r="DB69" s="41">
        <f t="shared" ref="DB69:DB70" ca="1" si="1232">CG69*AP69/$BN69</f>
        <v>0</v>
      </c>
      <c r="DC69" s="41">
        <f t="shared" ref="DC69:DC70" ca="1" si="1233">CH69*AR69/$BN69</f>
        <v>0</v>
      </c>
      <c r="DD69" s="41">
        <f t="shared" ref="DD69:DD70" ca="1" si="1234">CI69*AT69/$BN69</f>
        <v>0</v>
      </c>
      <c r="DE69" s="41">
        <f t="shared" ref="DE69:DE70" ca="1" si="1235">CJ69*AV69/$BN69</f>
        <v>0</v>
      </c>
      <c r="DF69" s="41">
        <f t="shared" ref="DF69:DF70" ca="1" si="1236">CK69*AX69/$BN69</f>
        <v>0</v>
      </c>
      <c r="DG69" s="41">
        <f t="shared" ref="DG69:DG70" ca="1" si="1237">CL69*AZ69/$BN69</f>
        <v>0</v>
      </c>
      <c r="DH69" s="41">
        <f t="shared" ref="DH69:DH70" ca="1" si="1238">CM69*BB69/$BN69</f>
        <v>0</v>
      </c>
      <c r="DI69" s="41">
        <f t="shared" ref="DI69:DI70" ca="1" si="1239">CN69*BD69/$BN69</f>
        <v>0</v>
      </c>
      <c r="DJ69" s="41">
        <f t="shared" ref="DJ69:DJ70" ca="1" si="1240">CO69*BF69/$BN69</f>
        <v>0</v>
      </c>
      <c r="DK69" s="41">
        <f t="shared" ref="DK69:DK70" ca="1" si="1241">CP69*BH69/$BN69</f>
        <v>0</v>
      </c>
      <c r="DL69" s="41">
        <f t="shared" ref="DL69:DL70" ca="1" si="1242">CQ69*BJ69/$BN69</f>
        <v>0</v>
      </c>
      <c r="DM69" s="41">
        <f t="shared" ref="DM69:DM70" ca="1" si="1243">CR69*BL69/$BN69</f>
        <v>0</v>
      </c>
      <c r="DN69" s="41">
        <f t="shared" ref="DN69:DN70" ca="1" si="1244">SUM(CT69:DM69)</f>
        <v>0.5315779285573814</v>
      </c>
      <c r="DP69" s="41">
        <f t="shared" ref="DP69:DP70" ca="1" si="1245">CT69/$DN69-DP$5/100000</f>
        <v>9.5210551170753541E-2</v>
      </c>
      <c r="DQ69" s="41">
        <f t="shared" ref="DQ69:DQ70" ca="1" si="1246">CU69/$DN69-DQ$5/100000</f>
        <v>7.1237064346184722E-2</v>
      </c>
      <c r="DR69" s="41">
        <f t="shared" ref="DR69:DR70" ca="1" si="1247">CV69/$DN69-DR$5/100000</f>
        <v>1.2040946700243726E-2</v>
      </c>
      <c r="DS69" s="41">
        <f t="shared" ref="DS69:DS70" ca="1" si="1248">CW69/$DN69-DS$5/100000</f>
        <v>0.17553740654899924</v>
      </c>
      <c r="DT69" s="41">
        <f t="shared" ref="DT69:DT70" ca="1" si="1249">CX69/$DN69-DT$5/100000</f>
        <v>0.28212797481089164</v>
      </c>
      <c r="DU69" s="41">
        <f t="shared" ref="DU69:DU70" ca="1" si="1250">CY69/$DN69-DU$5/100000</f>
        <v>6.2646216624642578E-2</v>
      </c>
      <c r="DV69" s="41">
        <f t="shared" ref="DV69:DV70" ca="1" si="1251">CZ69/$DN69-DV$5/100000</f>
        <v>0.30091983979828446</v>
      </c>
      <c r="DW69" s="41">
        <f t="shared" ref="DW69:DW70" ca="1" si="1252">DA69/$DN69-DW$5/100000</f>
        <v>-8.0000000000000007E-5</v>
      </c>
      <c r="DX69" s="41">
        <f t="shared" ref="DX69:DX70" ca="1" si="1253">DB69/$DN69-DX$5/100000</f>
        <v>-9.0000000000000006E-5</v>
      </c>
      <c r="DY69" s="41">
        <f t="shared" ref="DY69:DY70" ca="1" si="1254">DC69/$DN69-DY$5/100000</f>
        <v>-1E-4</v>
      </c>
      <c r="DZ69" s="41">
        <f t="shared" ref="DZ69:DZ70" ca="1" si="1255">DD69/$DN69-DZ$5/100000</f>
        <v>-1.1E-4</v>
      </c>
      <c r="EA69" s="41">
        <f t="shared" ref="EA69:EA70" ca="1" si="1256">DE69/$DN69-EA$5/100000</f>
        <v>-1.2E-4</v>
      </c>
      <c r="EB69" s="41">
        <f t="shared" ref="EB69:EB70" ca="1" si="1257">DF69/$DN69-EB$5/100000</f>
        <v>-1.2999999999999999E-4</v>
      </c>
      <c r="EC69" s="41">
        <f t="shared" ref="EC69:EC70" ca="1" si="1258">DG69/$DN69-EC$5/100000</f>
        <v>-1.3999999999999999E-4</v>
      </c>
      <c r="ED69" s="41">
        <f t="shared" ref="ED69:ED70" ca="1" si="1259">DH69/$DN69-ED$5/100000</f>
        <v>-1.4999999999999999E-4</v>
      </c>
      <c r="EE69" s="41">
        <f t="shared" ref="EE69:EE70" ca="1" si="1260">DI69/$DN69-EE$5/100000</f>
        <v>-1.6000000000000001E-4</v>
      </c>
      <c r="EF69" s="41">
        <f t="shared" ref="EF69:EF70" ca="1" si="1261">DJ69/$DN69-EF$5/100000</f>
        <v>-1.7000000000000001E-4</v>
      </c>
      <c r="EG69" s="41">
        <f t="shared" ref="EG69:EG70" ca="1" si="1262">DK69/$DN69-EG$5/100000</f>
        <v>-1.8000000000000001E-4</v>
      </c>
      <c r="EH69" s="41">
        <f t="shared" ref="EH69:EH70" ca="1" si="1263">DL69/$DN69-EH$5/100000</f>
        <v>-1.9000000000000001E-4</v>
      </c>
      <c r="EI69" s="41">
        <f t="shared" ref="EI69:EI70" ca="1" si="1264">DM69/$DN69-EI$5/100000</f>
        <v>-2.0000000000000001E-4</v>
      </c>
      <c r="EJ69" s="41">
        <f t="shared" ref="EJ69:EJ70" ca="1" si="1265">SUM(DP69:EI69)</f>
        <v>0.9978999999999999</v>
      </c>
      <c r="EL69" s="378">
        <f t="shared" ref="EL69:EL70" ca="1" si="1266">RANK(DP69,$DP69:$EI69)</f>
        <v>4</v>
      </c>
      <c r="EM69" s="378">
        <f t="shared" ref="EM69:EM70" ca="1" si="1267">RANK(DQ69,$DP69:$EI69)</f>
        <v>5</v>
      </c>
      <c r="EN69" s="378">
        <f t="shared" ref="EN69:EN70" ca="1" si="1268">RANK(DR69,$DP69:$EI69)</f>
        <v>7</v>
      </c>
      <c r="EO69" s="378">
        <f t="shared" ref="EO69:EO70" ca="1" si="1269">RANK(DS69,$DP69:$EI69)</f>
        <v>3</v>
      </c>
      <c r="EP69" s="378">
        <f t="shared" ref="EP69:EP70" ca="1" si="1270">RANK(DT69,$DP69:$EI69)</f>
        <v>2</v>
      </c>
      <c r="EQ69" s="378">
        <f t="shared" ref="EQ69:EQ70" ca="1" si="1271">RANK(DU69,$DP69:$EI69)</f>
        <v>6</v>
      </c>
      <c r="ER69" s="378">
        <f t="shared" ref="ER69:ER70" ca="1" si="1272">RANK(DV69,$DP69:$EI69)</f>
        <v>1</v>
      </c>
      <c r="ES69" s="378">
        <f t="shared" ref="ES69:ES70" ca="1" si="1273">RANK(DW69,$DP69:$EI69)</f>
        <v>8</v>
      </c>
      <c r="ET69" s="378">
        <f t="shared" ref="ET69:ET70" ca="1" si="1274">RANK(DX69,$DP69:$EI69)</f>
        <v>9</v>
      </c>
      <c r="EU69" s="378">
        <f t="shared" ref="EU69:EU70" ca="1" si="1275">RANK(DY69,$DP69:$EI69)</f>
        <v>10</v>
      </c>
      <c r="EV69" s="378">
        <f t="shared" ref="EV69:EV70" ca="1" si="1276">RANK(DZ69,$DP69:$EI69)</f>
        <v>11</v>
      </c>
      <c r="EW69" s="378">
        <f t="shared" ref="EW69:EW70" ca="1" si="1277">RANK(EA69,$DP69:$EI69)</f>
        <v>12</v>
      </c>
      <c r="EX69" s="378">
        <f t="shared" ref="EX69:EX70" ca="1" si="1278">RANK(EB69,$DP69:$EI69)</f>
        <v>13</v>
      </c>
      <c r="EY69" s="378">
        <f t="shared" ref="EY69:EY70" ca="1" si="1279">RANK(EC69,$DP69:$EI69)</f>
        <v>14</v>
      </c>
      <c r="EZ69" s="378">
        <f t="shared" ref="EZ69:EZ70" ca="1" si="1280">RANK(ED69,$DP69:$EI69)</f>
        <v>15</v>
      </c>
      <c r="FA69" s="378">
        <f t="shared" ref="FA69:FA70" ca="1" si="1281">RANK(EE69,$DP69:$EI69)</f>
        <v>16</v>
      </c>
      <c r="FB69" s="378">
        <f t="shared" ref="FB69:FB70" ca="1" si="1282">RANK(EF69,$DP69:$EI69)</f>
        <v>17</v>
      </c>
      <c r="FC69" s="378">
        <f t="shared" ref="FC69:FC70" ca="1" si="1283">RANK(EG69,$DP69:$EI69)</f>
        <v>18</v>
      </c>
      <c r="FD69" s="378">
        <f t="shared" ref="FD69:FD70" ca="1" si="1284">RANK(EH69,$DP69:$EI69)</f>
        <v>19</v>
      </c>
      <c r="FE69" s="378">
        <f t="shared" ref="FE69:FE70" ca="1" si="1285">RANK(EI69,$DP69:$EI69)</f>
        <v>20</v>
      </c>
      <c r="FG69" s="378">
        <f t="shared" ref="FG69:FV70" ca="1" si="1286">MATCH(FG$5,$EL69:$FE69,0)</f>
        <v>7</v>
      </c>
      <c r="FH69" s="378">
        <f t="shared" ca="1" si="1286"/>
        <v>5</v>
      </c>
      <c r="FI69" s="378">
        <f t="shared" ca="1" si="1286"/>
        <v>4</v>
      </c>
      <c r="FJ69" s="378">
        <f t="shared" ca="1" si="1286"/>
        <v>1</v>
      </c>
      <c r="FK69" s="378">
        <f t="shared" ca="1" si="1286"/>
        <v>2</v>
      </c>
      <c r="FL69" s="378">
        <f t="shared" ca="1" si="1286"/>
        <v>6</v>
      </c>
      <c r="FM69" s="378">
        <f t="shared" ca="1" si="1286"/>
        <v>3</v>
      </c>
      <c r="FN69" s="378">
        <f t="shared" ca="1" si="1286"/>
        <v>8</v>
      </c>
      <c r="FO69" s="378">
        <f t="shared" ca="1" si="1286"/>
        <v>9</v>
      </c>
      <c r="FP69" s="378">
        <f t="shared" ca="1" si="1286"/>
        <v>10</v>
      </c>
      <c r="FQ69" s="378">
        <f t="shared" ca="1" si="1286"/>
        <v>11</v>
      </c>
      <c r="FR69" s="378">
        <f t="shared" ca="1" si="1286"/>
        <v>12</v>
      </c>
      <c r="FS69" s="378">
        <f t="shared" ca="1" si="1286"/>
        <v>13</v>
      </c>
      <c r="FT69" s="378">
        <f t="shared" ca="1" si="1286"/>
        <v>14</v>
      </c>
      <c r="FU69" s="378">
        <f t="shared" ca="1" si="1286"/>
        <v>15</v>
      </c>
      <c r="FV69" s="378">
        <f t="shared" ca="1" si="1286"/>
        <v>16</v>
      </c>
      <c r="FW69" s="378">
        <f t="shared" ref="FW69:FZ70" ca="1" si="1287">MATCH(FW$5,$EL69:$FE69,0)</f>
        <v>17</v>
      </c>
      <c r="FX69" s="378">
        <f t="shared" ca="1" si="1287"/>
        <v>18</v>
      </c>
      <c r="FY69" s="378">
        <f t="shared" ca="1" si="1287"/>
        <v>19</v>
      </c>
      <c r="FZ69" s="378">
        <f t="shared" ca="1" si="1287"/>
        <v>20</v>
      </c>
      <c r="GB69" s="275" t="str">
        <f t="shared" ref="GB69:GB70" ca="1" si="1288">IF(GB$5&lt;=$BV69,INDEX($Y69:$BL69,1,FG69*2-1)&amp;" ("&amp;TEXT(INDEX($DP69:$EI69,1,FG69),"0%")&amp;")","")</f>
        <v>Workflow and Collaboration (30%)</v>
      </c>
      <c r="GC69" s="231" t="str">
        <f t="shared" ref="GC69:GC70" ca="1" si="1289">IF(GC$5&lt;=$BV69,"; "&amp;INDEX($Y69:$BL69,1,FH69*2-1)&amp;" ("&amp;TEXT(INDEX($DP69:$EI69,1,FH69),"0%")&amp;")","")</f>
        <v>; Scorecards / Dashboards (28%)</v>
      </c>
      <c r="GD69" s="231" t="str">
        <f t="shared" ref="GD69:GD70" ca="1" si="1290">IF(GD$5&lt;=$BV69,"; "&amp;INDEX($Y69:$BL69,1,FI69*2-1)&amp;" ("&amp;TEXT(INDEX($DP69:$EI69,1,FI69),"0%")&amp;")","")</f>
        <v>; Reporting (18%)</v>
      </c>
      <c r="GE69" s="231" t="str">
        <f t="shared" ref="GE69:GE70" ca="1" si="1291">IF(GE$5&lt;=$BV69,"; "&amp;INDEX($Y69:$BL69,1,FJ69*2-1)&amp;" ("&amp;TEXT(INDEX($DP69:$EI69,1,FJ69),"0%")&amp;")","")</f>
        <v>; BI Applications (10%)</v>
      </c>
      <c r="GF69" s="231" t="str">
        <f t="shared" ref="GF69:GF70" ca="1" si="1292">IF(GF$5&lt;=$BV69,"; "&amp;INDEX($Y69:$BL69,1,FK69*2-1)&amp;" ("&amp;TEXT(INDEX($DP69:$EI69,1,FK69),"0%")&amp;")","")</f>
        <v>; Source System Inclusion / Integration (7%)</v>
      </c>
      <c r="GG69" s="231" t="str">
        <f t="shared" ref="GG69:GG70" ca="1" si="1293">IF(GG$5&lt;=$BV69,"; "&amp;INDEX($Y69:$BL69,1,FL69*2-1)&amp;" ("&amp;TEXT(INDEX($DP69:$EI69,1,FL69),"0%")&amp;")","")</f>
        <v>; Analytical Tools (6%)</v>
      </c>
      <c r="GH69" s="231" t="str">
        <f t="shared" ref="GH69:GH70" ca="1" si="1294">IF(GH$5&lt;=$BV69,"; "&amp;INDEX($Y69:$BL69,1,FM69*2-1)&amp;" ("&amp;TEXT(INDEX($DP69:$EI69,1,FM69),"0%")&amp;")","")</f>
        <v/>
      </c>
      <c r="GI69" s="231" t="str">
        <f t="shared" ref="GI69:GI70" ca="1" si="1295">IF(GI$5&lt;=$BV69,"; "&amp;INDEX($Y69:$BL69,1,FN69*2-1)&amp;" ("&amp;TEXT(INDEX($DP69:$EI69,1,FN69),"0%")&amp;")","")</f>
        <v/>
      </c>
      <c r="GJ69" s="231" t="str">
        <f t="shared" ref="GJ69:GJ70" ca="1" si="1296">IF(GJ$5&lt;=$BV69,"; "&amp;INDEX($Y69:$BL69,1,FO69*2-1)&amp;" ("&amp;TEXT(INDEX($DP69:$EI69,1,FO69),"0%")&amp;")","")</f>
        <v/>
      </c>
      <c r="GK69" s="231" t="str">
        <f t="shared" ref="GK69:GK70" ca="1" si="1297">IF(GK$5&lt;=$BV69,"; "&amp;INDEX($Y69:$BL69,1,FP69*2-1)&amp;" ("&amp;TEXT(INDEX($DP69:$EI69,1,FP69),"0%")&amp;")","")</f>
        <v/>
      </c>
      <c r="GL69" s="231" t="str">
        <f t="shared" ref="GL69:GL70" ca="1" si="1298">IF(GL$5&lt;=$BV69,"; "&amp;INDEX($Y69:$BL69,1,FQ69*2-1)&amp;" ("&amp;TEXT(INDEX($DP69:$EI69,1,FQ69),"0%")&amp;")","")</f>
        <v/>
      </c>
      <c r="GM69" s="231" t="str">
        <f t="shared" ref="GM69:GM70" ca="1" si="1299">IF(GM$5&lt;=$BV69,"; "&amp;INDEX($Y69:$BL69,1,FR69*2-1)&amp;" ("&amp;TEXT(INDEX($DP69:$EI69,1,FR69),"0%")&amp;")","")</f>
        <v/>
      </c>
      <c r="GN69" s="231" t="str">
        <f t="shared" ref="GN69:GN70" ca="1" si="1300">IF(GN$5&lt;=$BV69,"; "&amp;INDEX($Y69:$BL69,1,FS69*2-1)&amp;" ("&amp;TEXT(INDEX($DP69:$EI69,1,FS69),"0%")&amp;")","")</f>
        <v/>
      </c>
      <c r="GO69" s="231" t="str">
        <f t="shared" ref="GO69:GO70" ca="1" si="1301">IF(GO$5&lt;=$BV69,"; "&amp;INDEX($Y69:$BL69,1,FT69*2-1)&amp;" ("&amp;TEXT(INDEX($DP69:$EI69,1,FT69),"0%")&amp;")","")</f>
        <v/>
      </c>
      <c r="GP69" s="231" t="str">
        <f t="shared" ref="GP69:GP70" ca="1" si="1302">IF(GP$5&lt;=$BV69,"; "&amp;INDEX($Y69:$BL69,1,FU69*2-1)&amp;" ("&amp;TEXT(INDEX($DP69:$EI69,1,FU69),"0%")&amp;")","")</f>
        <v/>
      </c>
      <c r="GQ69" s="231" t="str">
        <f t="shared" ref="GQ69:GQ70" ca="1" si="1303">IF(GQ$5&lt;=$BV69,"; "&amp;INDEX($Y69:$BL69,1,FV69*2-1)&amp;" ("&amp;TEXT(INDEX($DP69:$EI69,1,FV69),"0%")&amp;")","")</f>
        <v/>
      </c>
      <c r="GR69" s="231" t="str">
        <f t="shared" ref="GR69:GR70" ca="1" si="1304">IF(GR$5&lt;=$BV69,"; "&amp;INDEX($Y69:$BL69,1,FW69*2-1)&amp;" ("&amp;TEXT(INDEX($DP69:$EI69,1,FW69),"0%")&amp;")","")</f>
        <v/>
      </c>
      <c r="GS69" s="231" t="str">
        <f t="shared" ref="GS69:GS70" ca="1" si="1305">IF(GS$5&lt;=$BV69,"; "&amp;INDEX($Y69:$BL69,1,FX69*2-1)&amp;" ("&amp;TEXT(INDEX($DP69:$EI69,1,FX69),"0%")&amp;")","")</f>
        <v/>
      </c>
      <c r="GT69" s="231" t="str">
        <f t="shared" ref="GT69:GT70" ca="1" si="1306">IF(GT$5&lt;=$BV69,"; "&amp;INDEX($Y69:$BL69,1,FY69*2-1)&amp;" ("&amp;TEXT(INDEX($DP69:$EI69,1,FY69),"0%")&amp;")","")</f>
        <v/>
      </c>
      <c r="GU69" s="231" t="str">
        <f t="shared" ref="GU69:GU70" ca="1" si="1307">IF(GU$5&lt;=$BV69,"; "&amp;INDEX($Y69:$BL69,1,FZ69*2-1)&amp;" ("&amp;TEXT(INDEX($DP69:$EI69,1,FZ69),"0%")&amp;")","")</f>
        <v/>
      </c>
    </row>
    <row r="70" spans="2:203" s="386" customFormat="1" ht="16.5" hidden="1" customHeight="1">
      <c r="B70" s="373"/>
      <c r="C70" s="81" t="str">
        <f>Productivity!B19</f>
        <v>Collaboration (data-intensive)</v>
      </c>
      <c r="D70" s="404">
        <f t="shared" ca="1" si="1218"/>
        <v>0.54064390805794615</v>
      </c>
      <c r="E70" s="374">
        <f>ROW(Initiatives!$A$170)</f>
        <v>170</v>
      </c>
      <c r="F70" s="374">
        <f>ROW(Initiatives!$A$176)</f>
        <v>176</v>
      </c>
      <c r="G70" s="374">
        <f>ROW(Initiatives!$A$183)</f>
        <v>183</v>
      </c>
      <c r="H70" s="374">
        <f>ROW(Initiatives!$A$185)</f>
        <v>185</v>
      </c>
      <c r="I70" s="374">
        <f>ROW(Initiatives!$A$186)</f>
        <v>186</v>
      </c>
      <c r="J70" s="374">
        <f>ROW(Initiatives!$A$187)</f>
        <v>187</v>
      </c>
      <c r="K70" s="374">
        <f>ROW(Initiatives!$A$188)</f>
        <v>188</v>
      </c>
      <c r="L70" s="374"/>
      <c r="M70" s="374"/>
      <c r="N70" s="374"/>
      <c r="O70" s="374"/>
      <c r="P70" s="374"/>
      <c r="Q70" s="374"/>
      <c r="R70" s="374"/>
      <c r="S70" s="374"/>
      <c r="T70" s="374"/>
      <c r="U70" s="374"/>
      <c r="V70" s="374"/>
      <c r="W70" s="374"/>
      <c r="X70" s="374"/>
      <c r="Y70" s="392" t="str">
        <f ca="1">OFFSET(Initiatives!$D$1,E70-1,$BS$3)</f>
        <v>BI Applications</v>
      </c>
      <c r="Z70" s="375">
        <v>3</v>
      </c>
      <c r="AA70" s="392" t="str">
        <f ca="1">OFFSET(Initiatives!$D$1,F70-1,$BS$3)</f>
        <v>Source System Inclusion / Integration</v>
      </c>
      <c r="AB70" s="375">
        <v>3</v>
      </c>
      <c r="AC70" s="392" t="str">
        <f ca="1">OFFSET(Initiatives!$D$1,G70-1,$BS$3)</f>
        <v>Enhance DW Platform</v>
      </c>
      <c r="AD70" s="375">
        <v>3</v>
      </c>
      <c r="AE70" s="392" t="str">
        <f ca="1">OFFSET(Initiatives!$D$1,H70-1,$BS$3)</f>
        <v>Reporting</v>
      </c>
      <c r="AF70" s="375">
        <v>5</v>
      </c>
      <c r="AG70" s="392" t="str">
        <f ca="1">OFFSET(Initiatives!$D$1,I70-1,$BS$3)</f>
        <v>Scorecards / Dashboards</v>
      </c>
      <c r="AH70" s="375">
        <v>6</v>
      </c>
      <c r="AI70" s="392" t="str">
        <f ca="1">OFFSET(Initiatives!$D$1,J70-1,$BS$3)</f>
        <v>Analytical Tools</v>
      </c>
      <c r="AJ70" s="375">
        <v>4</v>
      </c>
      <c r="AK70" s="392" t="str">
        <f ca="1">OFFSET(Initiatives!$D$1,K70-1,$BS$3)</f>
        <v>Workflow and Collaboration</v>
      </c>
      <c r="AL70" s="375">
        <v>9</v>
      </c>
      <c r="AM70" s="392" t="e">
        <f ca="1">OFFSET(Initiatives!$D$1,L70-1,$BS$3)</f>
        <v>#REF!</v>
      </c>
      <c r="AN70" s="375"/>
      <c r="AO70" s="392" t="e">
        <f ca="1">OFFSET(Initiatives!$D$1,M70-1,$BS$3)</f>
        <v>#REF!</v>
      </c>
      <c r="AP70" s="375"/>
      <c r="AQ70" s="392" t="e">
        <f ca="1">OFFSET(Initiatives!$D$1,N70-1,$BS$3)</f>
        <v>#REF!</v>
      </c>
      <c r="AR70" s="375"/>
      <c r="AS70" s="392" t="e">
        <f ca="1">OFFSET(Initiatives!$D$1,O70-1,$BS$3)</f>
        <v>#REF!</v>
      </c>
      <c r="AT70" s="375"/>
      <c r="AU70" s="392" t="e">
        <f ca="1">OFFSET(Initiatives!$D$1,P70-1,$BS$3)</f>
        <v>#REF!</v>
      </c>
      <c r="AV70" s="375"/>
      <c r="AW70" s="392" t="e">
        <f ca="1">OFFSET(Initiatives!$D$1,Q70-1,$BS$3)</f>
        <v>#REF!</v>
      </c>
      <c r="AX70" s="375"/>
      <c r="AY70" s="392" t="e">
        <f ca="1">OFFSET(Initiatives!$D$1,R70-1,$BS$3)</f>
        <v>#REF!</v>
      </c>
      <c r="AZ70" s="375"/>
      <c r="BA70" s="392" t="e">
        <f ca="1">OFFSET(Initiatives!$D$1,S70-1,$BS$3)</f>
        <v>#REF!</v>
      </c>
      <c r="BB70" s="375"/>
      <c r="BC70" s="392" t="e">
        <f ca="1">OFFSET(Initiatives!$D$1,T70-1,$BS$3)</f>
        <v>#REF!</v>
      </c>
      <c r="BD70" s="375"/>
      <c r="BE70" s="392" t="e">
        <f ca="1">OFFSET(Initiatives!$D$1,U70-1,$BS$3)</f>
        <v>#REF!</v>
      </c>
      <c r="BF70" s="375"/>
      <c r="BG70" s="392" t="e">
        <f ca="1">OFFSET(Initiatives!$D$1,V70-1,$BS$3)</f>
        <v>#REF!</v>
      </c>
      <c r="BH70" s="375"/>
      <c r="BI70" s="392" t="e">
        <f ca="1">OFFSET(Initiatives!$D$1,W70-1,$BS$3)</f>
        <v>#REF!</v>
      </c>
      <c r="BJ70" s="375"/>
      <c r="BK70" s="392" t="e">
        <f ca="1">OFFSET(Initiatives!$D$1,X70-1,$BS$3)</f>
        <v>#REF!</v>
      </c>
      <c r="BL70" s="375"/>
      <c r="BN70" s="101">
        <f t="shared" si="1219"/>
        <v>33.000100000000003</v>
      </c>
      <c r="BP70" s="231" t="str">
        <f t="shared" ca="1" si="1220"/>
        <v>Workflow and Collaboration (36%); Scorecards / Dashboards (20%); Reporting (13%); Analytical Tools (13%); BI Applications (8%); Source System Inclusion / Integration (8%)</v>
      </c>
      <c r="BQ70" s="338">
        <v>0.01</v>
      </c>
      <c r="BR70" s="40">
        <f t="shared" ca="1" si="1221"/>
        <v>6</v>
      </c>
      <c r="BS70" s="274">
        <v>0.05</v>
      </c>
      <c r="BT70" s="40">
        <f t="shared" ca="1" si="1222"/>
        <v>6</v>
      </c>
      <c r="BU70" s="376">
        <v>7</v>
      </c>
      <c r="BV70" s="40">
        <f t="shared" ca="1" si="1223"/>
        <v>6</v>
      </c>
      <c r="BY70" s="377">
        <f ca="1">IF(ISERROR(OFFSET(Initiatives!$D$1,E70-1,$BY$3)),,OFFSET(Initiatives!$D$1,E70-1,$BY$3))</f>
        <v>0.45555555555555544</v>
      </c>
      <c r="BZ70" s="377">
        <f ca="1">IF(ISERROR(OFFSET(Initiatives!$D$1,F70-1,$BY$3)),,OFFSET(Initiatives!$D$1,F70-1,$BY$3))</f>
        <v>0.45454545454545436</v>
      </c>
      <c r="CA70" s="377">
        <f ca="1">IF(ISERROR(OFFSET(Initiatives!$D$1,G70-1,$BY$3)),,OFFSET(Initiatives!$D$1,G70-1,$BY$3))</f>
        <v>7.7000000000000179E-2</v>
      </c>
      <c r="CB70" s="377">
        <f ca="1">IF(ISERROR(OFFSET(Initiatives!$D$1,H70-1,$BY$3)),,OFFSET(Initiatives!$D$1,H70-1,$BY$3))</f>
        <v>0.48</v>
      </c>
      <c r="CC70" s="377">
        <f ca="1">IF(ISERROR(OFFSET(Initiatives!$D$1,I70-1,$BY$3)),,OFFSET(Initiatives!$D$1,I70-1,$BY$3))</f>
        <v>0.6</v>
      </c>
      <c r="CD70" s="377">
        <f ca="1">IF(ISERROR(OFFSET(Initiatives!$D$1,J70-1,$BY$3)),,OFFSET(Initiatives!$D$1,J70-1,$BY$3))</f>
        <v>0.6</v>
      </c>
      <c r="CE70" s="377">
        <f ca="1">IF(ISERROR(OFFSET(Initiatives!$D$1,K70-1,$BY$3)),,OFFSET(Initiatives!$D$1,K70-1,$BY$3))</f>
        <v>0.72000000000000008</v>
      </c>
      <c r="CF70" s="377">
        <f ca="1">IF(ISERROR(OFFSET(Initiatives!$D$1,L70-1,$BY$3)),,OFFSET(Initiatives!$D$1,L70-1,$BY$3))</f>
        <v>0</v>
      </c>
      <c r="CG70" s="377">
        <f ca="1">IF(ISERROR(OFFSET(Initiatives!$D$1,M70-1,$BY$3)),,OFFSET(Initiatives!$D$1,M70-1,$BY$3))</f>
        <v>0</v>
      </c>
      <c r="CH70" s="377">
        <f ca="1">IF(ISERROR(OFFSET(Initiatives!$D$1,N70-1,$BY$3)),,OFFSET(Initiatives!$D$1,N70-1,$BY$3))</f>
        <v>0</v>
      </c>
      <c r="CI70" s="377">
        <f ca="1">IF(ISERROR(OFFSET(Initiatives!$D$1,O70-1,$BY$3)),,OFFSET(Initiatives!$D$1,O70-1,$BY$3))</f>
        <v>0</v>
      </c>
      <c r="CJ70" s="377">
        <f ca="1">IF(ISERROR(OFFSET(Initiatives!$D$1,P70-1,$BY$3)),,OFFSET(Initiatives!$D$1,P70-1,$BY$3))</f>
        <v>0</v>
      </c>
      <c r="CK70" s="377">
        <f ca="1">IF(ISERROR(OFFSET(Initiatives!$D$1,Q70-1,$BY$3)),,OFFSET(Initiatives!$D$1,Q70-1,$BY$3))</f>
        <v>0</v>
      </c>
      <c r="CL70" s="377">
        <f ca="1">IF(ISERROR(OFFSET(Initiatives!$D$1,R70-1,$BY$3)),,OFFSET(Initiatives!$D$1,R70-1,$BY$3))</f>
        <v>0</v>
      </c>
      <c r="CM70" s="377">
        <f ca="1">IF(ISERROR(OFFSET(Initiatives!$D$1,S70-1,$BY$3)),,OFFSET(Initiatives!$D$1,S70-1,$BY$3))</f>
        <v>0</v>
      </c>
      <c r="CN70" s="377">
        <f ca="1">IF(ISERROR(OFFSET(Initiatives!$D$1,T70-1,$BY$3)),,OFFSET(Initiatives!$D$1,T70-1,$BY$3))</f>
        <v>0</v>
      </c>
      <c r="CO70" s="377">
        <f ca="1">IF(ISERROR(OFFSET(Initiatives!$D$1,U70-1,$BY$3)),,OFFSET(Initiatives!$D$1,U70-1,$BY$3))</f>
        <v>0</v>
      </c>
      <c r="CP70" s="377">
        <f ca="1">IF(ISERROR(OFFSET(Initiatives!$D$1,V70-1,$BY$3)),,OFFSET(Initiatives!$D$1,V70-1,$BY$3))</f>
        <v>0</v>
      </c>
      <c r="CQ70" s="377">
        <f ca="1">IF(ISERROR(OFFSET(Initiatives!$D$1,W70-1,$BY$3)),,OFFSET(Initiatives!$D$1,W70-1,$BY$3))</f>
        <v>0</v>
      </c>
      <c r="CR70" s="377">
        <f ca="1">IF(ISERROR(OFFSET(Initiatives!$D$1,X70-1,$BY$3)),,OFFSET(Initiatives!$D$1,X70-1,$BY$3))</f>
        <v>0</v>
      </c>
      <c r="CT70" s="41">
        <f t="shared" ca="1" si="1224"/>
        <v>4.1414015917123466E-2</v>
      </c>
      <c r="CU70" s="41">
        <f t="shared" ca="1" si="1225"/>
        <v>4.1322188830832725E-2</v>
      </c>
      <c r="CV70" s="41">
        <f t="shared" ca="1" si="1226"/>
        <v>6.9999787879430828E-3</v>
      </c>
      <c r="CW70" s="41">
        <f t="shared" ca="1" si="1227"/>
        <v>7.2727052342265619E-2</v>
      </c>
      <c r="CX70" s="41">
        <f t="shared" ca="1" si="1228"/>
        <v>0.10909057851339843</v>
      </c>
      <c r="CY70" s="41">
        <f t="shared" ca="1" si="1229"/>
        <v>7.2727052342265619E-2</v>
      </c>
      <c r="CZ70" s="41">
        <f t="shared" ca="1" si="1230"/>
        <v>0.19636304132411719</v>
      </c>
      <c r="DA70" s="41">
        <f t="shared" ca="1" si="1231"/>
        <v>0</v>
      </c>
      <c r="DB70" s="41">
        <f t="shared" ca="1" si="1232"/>
        <v>0</v>
      </c>
      <c r="DC70" s="41">
        <f t="shared" ca="1" si="1233"/>
        <v>0</v>
      </c>
      <c r="DD70" s="41">
        <f t="shared" ca="1" si="1234"/>
        <v>0</v>
      </c>
      <c r="DE70" s="41">
        <f t="shared" ca="1" si="1235"/>
        <v>0</v>
      </c>
      <c r="DF70" s="41">
        <f t="shared" ca="1" si="1236"/>
        <v>0</v>
      </c>
      <c r="DG70" s="41">
        <f t="shared" ca="1" si="1237"/>
        <v>0</v>
      </c>
      <c r="DH70" s="41">
        <f t="shared" ca="1" si="1238"/>
        <v>0</v>
      </c>
      <c r="DI70" s="41">
        <f t="shared" ca="1" si="1239"/>
        <v>0</v>
      </c>
      <c r="DJ70" s="41">
        <f t="shared" ca="1" si="1240"/>
        <v>0</v>
      </c>
      <c r="DK70" s="41">
        <f t="shared" ca="1" si="1241"/>
        <v>0</v>
      </c>
      <c r="DL70" s="41">
        <f t="shared" ca="1" si="1242"/>
        <v>0</v>
      </c>
      <c r="DM70" s="41">
        <f t="shared" ca="1" si="1243"/>
        <v>0</v>
      </c>
      <c r="DN70" s="41">
        <f t="shared" ca="1" si="1244"/>
        <v>0.54064390805794615</v>
      </c>
      <c r="DP70" s="41">
        <f t="shared" ca="1" si="1245"/>
        <v>7.6591280990823116E-2</v>
      </c>
      <c r="DQ70" s="41">
        <f t="shared" ca="1" si="1246"/>
        <v>7.6411433361131695E-2</v>
      </c>
      <c r="DR70" s="41">
        <f t="shared" ca="1" si="1247"/>
        <v>1.2917484811375744E-2</v>
      </c>
      <c r="DS70" s="41">
        <f t="shared" ca="1" si="1248"/>
        <v>0.13447932271559182</v>
      </c>
      <c r="DT70" s="41">
        <f t="shared" ca="1" si="1249"/>
        <v>0.20172898407338777</v>
      </c>
      <c r="DU70" s="41">
        <f t="shared" ca="1" si="1250"/>
        <v>0.13445932271559183</v>
      </c>
      <c r="DV70" s="41">
        <f t="shared" ca="1" si="1251"/>
        <v>0.36313217133209796</v>
      </c>
      <c r="DW70" s="41">
        <f t="shared" ca="1" si="1252"/>
        <v>-8.0000000000000007E-5</v>
      </c>
      <c r="DX70" s="41">
        <f t="shared" ca="1" si="1253"/>
        <v>-9.0000000000000006E-5</v>
      </c>
      <c r="DY70" s="41">
        <f t="shared" ca="1" si="1254"/>
        <v>-1E-4</v>
      </c>
      <c r="DZ70" s="41">
        <f t="shared" ca="1" si="1255"/>
        <v>-1.1E-4</v>
      </c>
      <c r="EA70" s="41">
        <f t="shared" ca="1" si="1256"/>
        <v>-1.2E-4</v>
      </c>
      <c r="EB70" s="41">
        <f t="shared" ca="1" si="1257"/>
        <v>-1.2999999999999999E-4</v>
      </c>
      <c r="EC70" s="41">
        <f t="shared" ca="1" si="1258"/>
        <v>-1.3999999999999999E-4</v>
      </c>
      <c r="ED70" s="41">
        <f t="shared" ca="1" si="1259"/>
        <v>-1.4999999999999999E-4</v>
      </c>
      <c r="EE70" s="41">
        <f t="shared" ca="1" si="1260"/>
        <v>-1.6000000000000001E-4</v>
      </c>
      <c r="EF70" s="41">
        <f t="shared" ca="1" si="1261"/>
        <v>-1.7000000000000001E-4</v>
      </c>
      <c r="EG70" s="41">
        <f t="shared" ca="1" si="1262"/>
        <v>-1.8000000000000001E-4</v>
      </c>
      <c r="EH70" s="41">
        <f t="shared" ca="1" si="1263"/>
        <v>-1.9000000000000001E-4</v>
      </c>
      <c r="EI70" s="41">
        <f t="shared" ca="1" si="1264"/>
        <v>-2.0000000000000001E-4</v>
      </c>
      <c r="EJ70" s="41">
        <f t="shared" ca="1" si="1265"/>
        <v>0.9978999999999999</v>
      </c>
      <c r="EL70" s="378">
        <f t="shared" ca="1" si="1266"/>
        <v>5</v>
      </c>
      <c r="EM70" s="378">
        <f t="shared" ca="1" si="1267"/>
        <v>6</v>
      </c>
      <c r="EN70" s="378">
        <f t="shared" ca="1" si="1268"/>
        <v>7</v>
      </c>
      <c r="EO70" s="378">
        <f t="shared" ca="1" si="1269"/>
        <v>3</v>
      </c>
      <c r="EP70" s="378">
        <f t="shared" ca="1" si="1270"/>
        <v>2</v>
      </c>
      <c r="EQ70" s="378">
        <f t="shared" ca="1" si="1271"/>
        <v>4</v>
      </c>
      <c r="ER70" s="378">
        <f t="shared" ca="1" si="1272"/>
        <v>1</v>
      </c>
      <c r="ES70" s="378">
        <f t="shared" ca="1" si="1273"/>
        <v>8</v>
      </c>
      <c r="ET70" s="378">
        <f t="shared" ca="1" si="1274"/>
        <v>9</v>
      </c>
      <c r="EU70" s="378">
        <f t="shared" ca="1" si="1275"/>
        <v>10</v>
      </c>
      <c r="EV70" s="378">
        <f t="shared" ca="1" si="1276"/>
        <v>11</v>
      </c>
      <c r="EW70" s="378">
        <f t="shared" ca="1" si="1277"/>
        <v>12</v>
      </c>
      <c r="EX70" s="378">
        <f t="shared" ca="1" si="1278"/>
        <v>13</v>
      </c>
      <c r="EY70" s="378">
        <f t="shared" ca="1" si="1279"/>
        <v>14</v>
      </c>
      <c r="EZ70" s="378">
        <f t="shared" ca="1" si="1280"/>
        <v>15</v>
      </c>
      <c r="FA70" s="378">
        <f t="shared" ca="1" si="1281"/>
        <v>16</v>
      </c>
      <c r="FB70" s="378">
        <f t="shared" ca="1" si="1282"/>
        <v>17</v>
      </c>
      <c r="FC70" s="378">
        <f t="shared" ca="1" si="1283"/>
        <v>18</v>
      </c>
      <c r="FD70" s="378">
        <f t="shared" ca="1" si="1284"/>
        <v>19</v>
      </c>
      <c r="FE70" s="378">
        <f t="shared" ca="1" si="1285"/>
        <v>20</v>
      </c>
      <c r="FG70" s="378">
        <f t="shared" ca="1" si="1286"/>
        <v>7</v>
      </c>
      <c r="FH70" s="378">
        <f t="shared" ca="1" si="1286"/>
        <v>5</v>
      </c>
      <c r="FI70" s="378">
        <f t="shared" ca="1" si="1286"/>
        <v>4</v>
      </c>
      <c r="FJ70" s="378">
        <f t="shared" ca="1" si="1286"/>
        <v>6</v>
      </c>
      <c r="FK70" s="378">
        <f t="shared" ca="1" si="1286"/>
        <v>1</v>
      </c>
      <c r="FL70" s="378">
        <f t="shared" ca="1" si="1286"/>
        <v>2</v>
      </c>
      <c r="FM70" s="378">
        <f t="shared" ca="1" si="1286"/>
        <v>3</v>
      </c>
      <c r="FN70" s="378">
        <f t="shared" ca="1" si="1286"/>
        <v>8</v>
      </c>
      <c r="FO70" s="378">
        <f t="shared" ca="1" si="1286"/>
        <v>9</v>
      </c>
      <c r="FP70" s="378">
        <f t="shared" ca="1" si="1286"/>
        <v>10</v>
      </c>
      <c r="FQ70" s="378">
        <f t="shared" ca="1" si="1286"/>
        <v>11</v>
      </c>
      <c r="FR70" s="378">
        <f t="shared" ca="1" si="1286"/>
        <v>12</v>
      </c>
      <c r="FS70" s="378">
        <f t="shared" ca="1" si="1286"/>
        <v>13</v>
      </c>
      <c r="FT70" s="378">
        <f t="shared" ca="1" si="1286"/>
        <v>14</v>
      </c>
      <c r="FU70" s="378">
        <f t="shared" ca="1" si="1286"/>
        <v>15</v>
      </c>
      <c r="FV70" s="378">
        <f t="shared" ca="1" si="1286"/>
        <v>16</v>
      </c>
      <c r="FW70" s="378">
        <f t="shared" ca="1" si="1287"/>
        <v>17</v>
      </c>
      <c r="FX70" s="378">
        <f t="shared" ca="1" si="1287"/>
        <v>18</v>
      </c>
      <c r="FY70" s="378">
        <f t="shared" ca="1" si="1287"/>
        <v>19</v>
      </c>
      <c r="FZ70" s="378">
        <f t="shared" ca="1" si="1287"/>
        <v>20</v>
      </c>
      <c r="GB70" s="275" t="str">
        <f t="shared" ca="1" si="1288"/>
        <v>Workflow and Collaboration (36%)</v>
      </c>
      <c r="GC70" s="231" t="str">
        <f t="shared" ca="1" si="1289"/>
        <v>; Scorecards / Dashboards (20%)</v>
      </c>
      <c r="GD70" s="231" t="str">
        <f t="shared" ca="1" si="1290"/>
        <v>; Reporting (13%)</v>
      </c>
      <c r="GE70" s="231" t="str">
        <f t="shared" ca="1" si="1291"/>
        <v>; Analytical Tools (13%)</v>
      </c>
      <c r="GF70" s="231" t="str">
        <f t="shared" ca="1" si="1292"/>
        <v>; BI Applications (8%)</v>
      </c>
      <c r="GG70" s="231" t="str">
        <f t="shared" ca="1" si="1293"/>
        <v>; Source System Inclusion / Integration (8%)</v>
      </c>
      <c r="GH70" s="231" t="str">
        <f t="shared" ca="1" si="1294"/>
        <v/>
      </c>
      <c r="GI70" s="231" t="str">
        <f t="shared" ca="1" si="1295"/>
        <v/>
      </c>
      <c r="GJ70" s="231" t="str">
        <f t="shared" ca="1" si="1296"/>
        <v/>
      </c>
      <c r="GK70" s="231" t="str">
        <f t="shared" ca="1" si="1297"/>
        <v/>
      </c>
      <c r="GL70" s="231" t="str">
        <f t="shared" ca="1" si="1298"/>
        <v/>
      </c>
      <c r="GM70" s="231" t="str">
        <f t="shared" ca="1" si="1299"/>
        <v/>
      </c>
      <c r="GN70" s="231" t="str">
        <f t="shared" ca="1" si="1300"/>
        <v/>
      </c>
      <c r="GO70" s="231" t="str">
        <f t="shared" ca="1" si="1301"/>
        <v/>
      </c>
      <c r="GP70" s="231" t="str">
        <f t="shared" ca="1" si="1302"/>
        <v/>
      </c>
      <c r="GQ70" s="231" t="str">
        <f t="shared" ca="1" si="1303"/>
        <v/>
      </c>
      <c r="GR70" s="231" t="str">
        <f t="shared" ca="1" si="1304"/>
        <v/>
      </c>
      <c r="GS70" s="231" t="str">
        <f t="shared" ca="1" si="1305"/>
        <v/>
      </c>
      <c r="GT70" s="231" t="str">
        <f t="shared" ca="1" si="1306"/>
        <v/>
      </c>
      <c r="GU70" s="231" t="str">
        <f t="shared" ca="1" si="1307"/>
        <v/>
      </c>
    </row>
    <row r="71" spans="2:203" hidden="1"/>
    <row r="72" spans="2:203" ht="15" hidden="1">
      <c r="B72" s="6" t="str">
        <f>Productivity!A30</f>
        <v>Performance, Reliability, and Security</v>
      </c>
    </row>
    <row r="73" spans="2:203" s="386" customFormat="1" ht="21" hidden="1" customHeight="1">
      <c r="B73" s="373"/>
      <c r="C73" s="81" t="str">
        <f>Productivity!B31</f>
        <v>Response time (performance)</v>
      </c>
      <c r="D73" s="404">
        <f t="shared" ref="D73:D77" ca="1" si="1308">DN73</f>
        <v>5.9374628908569343E-2</v>
      </c>
      <c r="E73" s="374">
        <f>ROW(Initiatives!$A$100)</f>
        <v>100</v>
      </c>
      <c r="F73" s="374">
        <f>ROW(Initiatives!$A$101)</f>
        <v>101</v>
      </c>
      <c r="G73" s="374">
        <f>ROW(Initiatives!$A$102)</f>
        <v>102</v>
      </c>
      <c r="H73" s="374">
        <f>ROW(Initiatives!$A$106)</f>
        <v>106</v>
      </c>
      <c r="I73" s="374">
        <f>ROW(Initiatives!$A$107)</f>
        <v>107</v>
      </c>
      <c r="J73" s="374">
        <f>ROW(Initiatives!$A$108)</f>
        <v>108</v>
      </c>
      <c r="K73" s="374">
        <f>ROW(Initiatives!$A$109)</f>
        <v>109</v>
      </c>
      <c r="L73" s="374">
        <f>ROW(Initiatives!$A$112)</f>
        <v>112</v>
      </c>
      <c r="M73" s="374">
        <f>ROW(Initiatives!$A$113)</f>
        <v>113</v>
      </c>
      <c r="N73" s="374">
        <f>ROW(Initiatives!$A$114)</f>
        <v>114</v>
      </c>
      <c r="O73" s="374">
        <f>ROW(Initiatives!$A$117)</f>
        <v>117</v>
      </c>
      <c r="P73" s="374">
        <f>ROW(Initiatives!$A$118)</f>
        <v>118</v>
      </c>
      <c r="Q73" s="374">
        <f>ROW(Initiatives!$A$119)</f>
        <v>119</v>
      </c>
      <c r="R73" s="374">
        <f>ROW(Initiatives!$A$126)</f>
        <v>126</v>
      </c>
      <c r="S73" s="374">
        <f>ROW(Initiatives!$A$178)</f>
        <v>178</v>
      </c>
      <c r="T73" s="374">
        <f>ROW(Initiatives!$A$179)</f>
        <v>179</v>
      </c>
      <c r="U73" s="374">
        <f>ROW(Initiatives!$A$180)</f>
        <v>180</v>
      </c>
      <c r="V73" s="374">
        <f>ROW(Initiatives!$A$181)</f>
        <v>181</v>
      </c>
      <c r="W73" s="374">
        <f>ROW(Initiatives!$A$182)</f>
        <v>182</v>
      </c>
      <c r="X73" s="374"/>
      <c r="Y73" s="392" t="str">
        <f ca="1">OFFSET(Initiatives!$D$1,E73-1,$BS$3)</f>
        <v>Governance</v>
      </c>
      <c r="Z73" s="375">
        <v>1</v>
      </c>
      <c r="AA73" s="392" t="str">
        <f ca="1">OFFSET(Initiatives!$D$1,F73-1,$BS$3)</f>
        <v>Architecture</v>
      </c>
      <c r="AB73" s="375">
        <v>2</v>
      </c>
      <c r="AC73" s="392" t="str">
        <f ca="1">OFFSET(Initiatives!$D$1,G73-1,$BS$3)</f>
        <v>Robust security</v>
      </c>
      <c r="AD73" s="375"/>
      <c r="AE73" s="392" t="str">
        <f ca="1">OFFSET(Initiatives!$D$1,H73-1,$BS$3)</f>
        <v>Metadata definitions</v>
      </c>
      <c r="AF73" s="375"/>
      <c r="AG73" s="392" t="str">
        <f ca="1">OFFSET(Initiatives!$D$1,I73-1,$BS$3)</f>
        <v>Metadata management</v>
      </c>
      <c r="AH73" s="375"/>
      <c r="AI73" s="392" t="str">
        <f ca="1">OFFSET(Initiatives!$D$1,J73-1,$BS$3)</f>
        <v>High data quality</v>
      </c>
      <c r="AJ73" s="375"/>
      <c r="AK73" s="392" t="str">
        <f ca="1">OFFSET(Initiatives!$D$1,K73-1,$BS$3)</f>
        <v>Data Management</v>
      </c>
      <c r="AL73" s="375"/>
      <c r="AM73" s="392" t="str">
        <f ca="1">OFFSET(Initiatives!$D$1,L73-1,$BS$3)</f>
        <v>Automated DW synchronization</v>
      </c>
      <c r="AN73" s="375"/>
      <c r="AO73" s="392" t="str">
        <f ca="1">OFFSET(Initiatives!$D$1,M73-1,$BS$3)</f>
        <v>DW refresh rate</v>
      </c>
      <c r="AP73" s="375">
        <v>2</v>
      </c>
      <c r="AQ73" s="392" t="str">
        <f ca="1">OFFSET(Initiatives!$D$1,N73-1,$BS$3)</f>
        <v>Data Integration/ETL</v>
      </c>
      <c r="AR73" s="375"/>
      <c r="AS73" s="392" t="str">
        <f ca="1">OFFSET(Initiatives!$D$1,O73-1,$BS$3)</f>
        <v>Standardized data marts</v>
      </c>
      <c r="AT73" s="375"/>
      <c r="AU73" s="392" t="str">
        <f ca="1">OFFSET(Initiatives!$D$1,P73-1,$BS$3)</f>
        <v>A single, central DW</v>
      </c>
      <c r="AV73" s="375">
        <v>2</v>
      </c>
      <c r="AW73" s="392" t="str">
        <f ca="1">OFFSET(Initiatives!$D$1,Q73-1,$BS$3)</f>
        <v>High performance/reliability infrastructure</v>
      </c>
      <c r="AX73" s="375">
        <v>9</v>
      </c>
      <c r="AY73" s="392" t="str">
        <f ca="1">OFFSET(Initiatives!$D$1,R73-1,$BS$3)</f>
        <v>Development</v>
      </c>
      <c r="AZ73" s="375"/>
      <c r="BA73" s="392" t="str">
        <f ca="1">OFFSET(Initiatives!$D$1,S73-1,$BS$3)</f>
        <v>Architecture Standards &amp; Adherence</v>
      </c>
      <c r="BB73" s="375"/>
      <c r="BC73" s="392" t="str">
        <f ca="1">OFFSET(Initiatives!$D$1,T73-1,$BS$3)</f>
        <v>Data Management</v>
      </c>
      <c r="BD73" s="375"/>
      <c r="BE73" s="392" t="str">
        <f ca="1">OFFSET(Initiatives!$D$1,U73-1,$BS$3)</f>
        <v>Data Integration/ETL</v>
      </c>
      <c r="BF73" s="375"/>
      <c r="BG73" s="392" t="str">
        <f ca="1">OFFSET(Initiatives!$D$1,V73-1,$BS$3)</f>
        <v>Data Warehouse / Data Marts</v>
      </c>
      <c r="BH73" s="375"/>
      <c r="BI73" s="392" t="str">
        <f ca="1">OFFSET(Initiatives!$D$1,W73-1,$BS$3)</f>
        <v>Development</v>
      </c>
      <c r="BJ73" s="375"/>
      <c r="BK73" s="392" t="e">
        <f ca="1">OFFSET(Initiatives!$D$1,X73-1,$BS$3)</f>
        <v>#REF!</v>
      </c>
      <c r="BL73" s="375"/>
      <c r="BN73" s="101">
        <f t="shared" ref="BN73:BN77" si="1309">SUM(Z73,AB73,AD73,AF73,AH73,AJ73,AL73,AN73,AP73,AR73,AT73,AV73,AX73,AZ73,BB73,BD73,BF73,BH73,BJ73,BL73)+0.0001</f>
        <v>16.0001</v>
      </c>
      <c r="BP73" s="231" t="str">
        <f t="shared" ref="BP73:BP77" ca="1" si="1310">CONCATENATE(GB73,GC73,GD73,GE73,GF73,GG73,GH73,GI73,GJ73,GK73,GL73,GM73,GN73,GO73,GP73,GQ73,GR73,GS73,GT73,GU73)</f>
        <v>Architecture (29%); High performance/reliability infrastructure (28%); DW refresh rate (21%)</v>
      </c>
      <c r="BQ73" s="338">
        <v>0.01</v>
      </c>
      <c r="BR73" s="40">
        <f t="shared" ref="BR73:BR77" ca="1" si="1311">COUNTIF(CT73:DM73,"&gt;"&amp;BQ73)</f>
        <v>3</v>
      </c>
      <c r="BS73" s="274">
        <v>0.05</v>
      </c>
      <c r="BT73" s="40">
        <f t="shared" ref="BT73:BT77" ca="1" si="1312">COUNTIF(DP73:EI73,"&gt;"&amp;BS73)</f>
        <v>5</v>
      </c>
      <c r="BU73" s="376">
        <v>7</v>
      </c>
      <c r="BV73" s="40">
        <f t="shared" ref="BV73:BV77" ca="1" si="1313">MIN(BR73,BT73,BU73)</f>
        <v>3</v>
      </c>
      <c r="BY73" s="377">
        <f ca="1">IF(ISERROR(OFFSET(Initiatives!$D$1,E73-1,$BY$3)),,OFFSET(Initiatives!$D$1,E73-1,$BY$3))</f>
        <v>0.14000000000000001</v>
      </c>
      <c r="BZ73" s="377">
        <f ca="1">IF(ISERROR(OFFSET(Initiatives!$D$1,F73-1,$BY$3)),,OFFSET(Initiatives!$D$1,F73-1,$BY$3))</f>
        <v>0.14000000000000001</v>
      </c>
      <c r="CA73" s="377">
        <f ca="1">IF(ISERROR(OFFSET(Initiatives!$D$1,G73-1,$BY$3)),,OFFSET(Initiatives!$D$1,G73-1,$BY$3))</f>
        <v>0.14000000000000001</v>
      </c>
      <c r="CB73" s="377">
        <f ca="1">IF(ISERROR(OFFSET(Initiatives!$D$1,H73-1,$BY$3)),,OFFSET(Initiatives!$D$1,H73-1,$BY$3))</f>
        <v>9.9999999999999978E-2</v>
      </c>
      <c r="CC73" s="377">
        <f ca="1">IF(ISERROR(OFFSET(Initiatives!$D$1,I73-1,$BY$3)),,OFFSET(Initiatives!$D$1,I73-1,$BY$3))</f>
        <v>9.9999999999999978E-2</v>
      </c>
      <c r="CD73" s="377">
        <f ca="1">IF(ISERROR(OFFSET(Initiatives!$D$1,J73-1,$BY$3)),,OFFSET(Initiatives!$D$1,J73-1,$BY$3))</f>
        <v>9.9999999999999978E-2</v>
      </c>
      <c r="CE73" s="377">
        <f ca="1">IF(ISERROR(OFFSET(Initiatives!$D$1,K73-1,$BY$3)),,OFFSET(Initiatives!$D$1,K73-1,$BY$3))</f>
        <v>9.9999999999999978E-2</v>
      </c>
      <c r="CF73" s="377">
        <f ca="1">IF(ISERROR(OFFSET(Initiatives!$D$1,L73-1,$BY$3)),,OFFSET(Initiatives!$D$1,L73-1,$BY$3))</f>
        <v>9.9999999999999978E-2</v>
      </c>
      <c r="CG73" s="377">
        <f ca="1">IF(ISERROR(OFFSET(Initiatives!$D$1,M73-1,$BY$3)),,OFFSET(Initiatives!$D$1,M73-1,$BY$3))</f>
        <v>9.9999999999999978E-2</v>
      </c>
      <c r="CH73" s="377">
        <f ca="1">IF(ISERROR(OFFSET(Initiatives!$D$1,N73-1,$BY$3)),,OFFSET(Initiatives!$D$1,N73-1,$BY$3))</f>
        <v>9.9999999999999978E-2</v>
      </c>
      <c r="CI73" s="377">
        <f ca="1">IF(ISERROR(OFFSET(Initiatives!$D$1,O73-1,$BY$3)),,OFFSET(Initiatives!$D$1,O73-1,$BY$3))</f>
        <v>3.0000000000000027E-2</v>
      </c>
      <c r="CJ73" s="377">
        <f ca="1">IF(ISERROR(OFFSET(Initiatives!$D$1,P73-1,$BY$3)),,OFFSET(Initiatives!$D$1,P73-1,$BY$3))</f>
        <v>3.0000000000000027E-2</v>
      </c>
      <c r="CK73" s="377">
        <f ca="1">IF(ISERROR(OFFSET(Initiatives!$D$1,Q73-1,$BY$3)),,OFFSET(Initiatives!$D$1,Q73-1,$BY$3))</f>
        <v>3.0000000000000027E-2</v>
      </c>
      <c r="CL73" s="377">
        <f ca="1">IF(ISERROR(OFFSET(Initiatives!$D$1,R73-1,$BY$3)),,OFFSET(Initiatives!$D$1,R73-1,$BY$3))</f>
        <v>1.5000000000000124E-2</v>
      </c>
      <c r="CM73" s="377">
        <f ca="1">IF(ISERROR(OFFSET(Initiatives!$D$1,S73-1,$BY$3)),,OFFSET(Initiatives!$D$1,S73-1,$BY$3))</f>
        <v>0.14000000000000012</v>
      </c>
      <c r="CN73" s="377">
        <f ca="1">IF(ISERROR(OFFSET(Initiatives!$D$1,T73-1,$BY$3)),,OFFSET(Initiatives!$D$1,T73-1,$BY$3))</f>
        <v>9.9999999999999978E-2</v>
      </c>
      <c r="CO73" s="377">
        <f ca="1">IF(ISERROR(OFFSET(Initiatives!$D$1,U73-1,$BY$3)),,OFFSET(Initiatives!$D$1,U73-1,$BY$3))</f>
        <v>9.9999999999999978E-2</v>
      </c>
      <c r="CP73" s="377">
        <f ca="1">IF(ISERROR(OFFSET(Initiatives!$D$1,V73-1,$BY$3)),,OFFSET(Initiatives!$D$1,V73-1,$BY$3))</f>
        <v>3.0000000000000027E-2</v>
      </c>
      <c r="CQ73" s="377">
        <f ca="1">IF(ISERROR(OFFSET(Initiatives!$D$1,W73-1,$BY$3)),,OFFSET(Initiatives!$D$1,W73-1,$BY$3))</f>
        <v>1.5000000000000124E-2</v>
      </c>
      <c r="CR73" s="377">
        <f ca="1">IF(ISERROR(OFFSET(Initiatives!$D$1,X73-1,$BY$3)),,OFFSET(Initiatives!$D$1,X73-1,$BY$3))</f>
        <v>0</v>
      </c>
      <c r="CT73" s="41">
        <f t="shared" ref="CT73:CT77" ca="1" si="1314">BY73*Z73/$BN73</f>
        <v>8.7499453128417962E-3</v>
      </c>
      <c r="CU73" s="41">
        <f t="shared" ref="CU73:CU77" ca="1" si="1315">BZ73*AB73/$BN73</f>
        <v>1.7499890625683592E-2</v>
      </c>
      <c r="CV73" s="41">
        <f t="shared" ref="CV73:CV77" ca="1" si="1316">CA73*AD73/$BN73</f>
        <v>0</v>
      </c>
      <c r="CW73" s="41">
        <f t="shared" ref="CW73:CW77" ca="1" si="1317">CB73*AF73/$BN73</f>
        <v>0</v>
      </c>
      <c r="CX73" s="41">
        <f t="shared" ref="CX73:CX77" ca="1" si="1318">CC73*AH73/$BN73</f>
        <v>0</v>
      </c>
      <c r="CY73" s="41">
        <f t="shared" ref="CY73:CY77" ca="1" si="1319">CD73*AJ73/$BN73</f>
        <v>0</v>
      </c>
      <c r="CZ73" s="41">
        <f t="shared" ref="CZ73:CZ77" ca="1" si="1320">CE73*AL73/$BN73</f>
        <v>0</v>
      </c>
      <c r="DA73" s="41">
        <f t="shared" ref="DA73:DA77" ca="1" si="1321">CF73*AN73/$BN73</f>
        <v>0</v>
      </c>
      <c r="DB73" s="41">
        <f t="shared" ref="DB73:DB77" ca="1" si="1322">CG73*AP73/$BN73</f>
        <v>1.2499921875488276E-2</v>
      </c>
      <c r="DC73" s="41">
        <f t="shared" ref="DC73:DC77" ca="1" si="1323">CH73*AR73/$BN73</f>
        <v>0</v>
      </c>
      <c r="DD73" s="41">
        <f t="shared" ref="DD73:DD77" ca="1" si="1324">CI73*AT73/$BN73</f>
        <v>0</v>
      </c>
      <c r="DE73" s="41">
        <f t="shared" ref="DE73:DE77" ca="1" si="1325">CJ73*AV73/$BN73</f>
        <v>3.749976562646487E-3</v>
      </c>
      <c r="DF73" s="41">
        <f t="shared" ref="DF73:DF77" ca="1" si="1326">CK73*AX73/$BN73</f>
        <v>1.6874894531909192E-2</v>
      </c>
      <c r="DG73" s="41">
        <f t="shared" ref="DG73:DG77" ca="1" si="1327">CL73*AZ73/$BN73</f>
        <v>0</v>
      </c>
      <c r="DH73" s="41">
        <f t="shared" ref="DH73:DH77" ca="1" si="1328">CM73*BB73/$BN73</f>
        <v>0</v>
      </c>
      <c r="DI73" s="41">
        <f t="shared" ref="DI73:DI77" ca="1" si="1329">CN73*BD73/$BN73</f>
        <v>0</v>
      </c>
      <c r="DJ73" s="41">
        <f t="shared" ref="DJ73:DJ77" ca="1" si="1330">CO73*BF73/$BN73</f>
        <v>0</v>
      </c>
      <c r="DK73" s="41">
        <f t="shared" ref="DK73:DK77" ca="1" si="1331">CP73*BH73/$BN73</f>
        <v>0</v>
      </c>
      <c r="DL73" s="41">
        <f t="shared" ref="DL73:DL77" ca="1" si="1332">CQ73*BJ73/$BN73</f>
        <v>0</v>
      </c>
      <c r="DM73" s="41">
        <f t="shared" ref="DM73:DM77" ca="1" si="1333">CR73*BL73/$BN73</f>
        <v>0</v>
      </c>
      <c r="DN73" s="41">
        <f t="shared" ref="DN73:DN77" ca="1" si="1334">SUM(CT73:DM73)</f>
        <v>5.9374628908569343E-2</v>
      </c>
      <c r="DP73" s="41">
        <f t="shared" ref="DP73:DP77" ca="1" si="1335">CT73/$DN73-DP$5/100000</f>
        <v>0.14735842105263153</v>
      </c>
      <c r="DQ73" s="41">
        <f t="shared" ref="DQ73:DQ77" ca="1" si="1336">CU73/$DN73-DQ$5/100000</f>
        <v>0.29471684210526305</v>
      </c>
      <c r="DR73" s="41">
        <f t="shared" ref="DR73:DR77" ca="1" si="1337">CV73/$DN73-DR$5/100000</f>
        <v>-3.0000000000000001E-5</v>
      </c>
      <c r="DS73" s="41">
        <f t="shared" ref="DS73:DS77" ca="1" si="1338">CW73/$DN73-DS$5/100000</f>
        <v>-4.0000000000000003E-5</v>
      </c>
      <c r="DT73" s="41">
        <f t="shared" ref="DT73:DT77" ca="1" si="1339">CX73/$DN73-DT$5/100000</f>
        <v>-5.0000000000000002E-5</v>
      </c>
      <c r="DU73" s="41">
        <f t="shared" ref="DU73:DU77" ca="1" si="1340">CY73/$DN73-DU$5/100000</f>
        <v>-6.0000000000000002E-5</v>
      </c>
      <c r="DV73" s="41">
        <f t="shared" ref="DV73:DV77" ca="1" si="1341">CZ73/$DN73-DV$5/100000</f>
        <v>-6.9999999999999994E-5</v>
      </c>
      <c r="DW73" s="41">
        <f t="shared" ref="DW73:DW77" ca="1" si="1342">DA73/$DN73-DW$5/100000</f>
        <v>-8.0000000000000007E-5</v>
      </c>
      <c r="DX73" s="41">
        <f t="shared" ref="DX73:DX77" ca="1" si="1343">DB73/$DN73-DX$5/100000</f>
        <v>0.21043631578947355</v>
      </c>
      <c r="DY73" s="41">
        <f t="shared" ref="DY73:DY77" ca="1" si="1344">DC73/$DN73-DY$5/100000</f>
        <v>-1E-4</v>
      </c>
      <c r="DZ73" s="41">
        <f t="shared" ref="DZ73:DZ77" ca="1" si="1345">DD73/$DN73-DZ$5/100000</f>
        <v>-1.1E-4</v>
      </c>
      <c r="EA73" s="41">
        <f t="shared" ref="EA73:EA77" ca="1" si="1346">DE73/$DN73-EA$5/100000</f>
        <v>6.3037894736842154E-2</v>
      </c>
      <c r="EB73" s="41">
        <f t="shared" ref="EB73:EB77" ca="1" si="1347">DF73/$DN73-EB$5/100000</f>
        <v>0.28408052631578962</v>
      </c>
      <c r="EC73" s="41">
        <f t="shared" ref="EC73:EC77" ca="1" si="1348">DG73/$DN73-EC$5/100000</f>
        <v>-1.3999999999999999E-4</v>
      </c>
      <c r="ED73" s="41">
        <f t="shared" ref="ED73:ED77" ca="1" si="1349">DH73/$DN73-ED$5/100000</f>
        <v>-1.4999999999999999E-4</v>
      </c>
      <c r="EE73" s="41">
        <f t="shared" ref="EE73:EE77" ca="1" si="1350">DI73/$DN73-EE$5/100000</f>
        <v>-1.6000000000000001E-4</v>
      </c>
      <c r="EF73" s="41">
        <f t="shared" ref="EF73:EF77" ca="1" si="1351">DJ73/$DN73-EF$5/100000</f>
        <v>-1.7000000000000001E-4</v>
      </c>
      <c r="EG73" s="41">
        <f t="shared" ref="EG73:EG77" ca="1" si="1352">DK73/$DN73-EG$5/100000</f>
        <v>-1.8000000000000001E-4</v>
      </c>
      <c r="EH73" s="41">
        <f t="shared" ref="EH73:EH77" ca="1" si="1353">DL73/$DN73-EH$5/100000</f>
        <v>-1.9000000000000001E-4</v>
      </c>
      <c r="EI73" s="41">
        <f t="shared" ref="EI73:EI77" ca="1" si="1354">DM73/$DN73-EI$5/100000</f>
        <v>-2.0000000000000001E-4</v>
      </c>
      <c r="EJ73" s="41">
        <f t="shared" ref="EJ73:EJ77" ca="1" si="1355">SUM(DP73:EI73)</f>
        <v>0.9978999999999999</v>
      </c>
      <c r="EL73" s="378">
        <f t="shared" ref="EL73:EL77" ca="1" si="1356">RANK(DP73,$DP73:$EI73)</f>
        <v>4</v>
      </c>
      <c r="EM73" s="378">
        <f t="shared" ref="EM73:EM77" ca="1" si="1357">RANK(DQ73,$DP73:$EI73)</f>
        <v>1</v>
      </c>
      <c r="EN73" s="378">
        <f t="shared" ref="EN73:EN77" ca="1" si="1358">RANK(DR73,$DP73:$EI73)</f>
        <v>6</v>
      </c>
      <c r="EO73" s="378">
        <f t="shared" ref="EO73:EO77" ca="1" si="1359">RANK(DS73,$DP73:$EI73)</f>
        <v>7</v>
      </c>
      <c r="EP73" s="378">
        <f t="shared" ref="EP73:EP77" ca="1" si="1360">RANK(DT73,$DP73:$EI73)</f>
        <v>8</v>
      </c>
      <c r="EQ73" s="378">
        <f t="shared" ref="EQ73:EQ77" ca="1" si="1361">RANK(DU73,$DP73:$EI73)</f>
        <v>9</v>
      </c>
      <c r="ER73" s="378">
        <f t="shared" ref="ER73:ER77" ca="1" si="1362">RANK(DV73,$DP73:$EI73)</f>
        <v>10</v>
      </c>
      <c r="ES73" s="378">
        <f t="shared" ref="ES73:ES77" ca="1" si="1363">RANK(DW73,$DP73:$EI73)</f>
        <v>11</v>
      </c>
      <c r="ET73" s="378">
        <f t="shared" ref="ET73:ET77" ca="1" si="1364">RANK(DX73,$DP73:$EI73)</f>
        <v>3</v>
      </c>
      <c r="EU73" s="378">
        <f t="shared" ref="EU73:EU77" ca="1" si="1365">RANK(DY73,$DP73:$EI73)</f>
        <v>12</v>
      </c>
      <c r="EV73" s="378">
        <f t="shared" ref="EV73:EV77" ca="1" si="1366">RANK(DZ73,$DP73:$EI73)</f>
        <v>13</v>
      </c>
      <c r="EW73" s="378">
        <f t="shared" ref="EW73:EW77" ca="1" si="1367">RANK(EA73,$DP73:$EI73)</f>
        <v>5</v>
      </c>
      <c r="EX73" s="378">
        <f t="shared" ref="EX73:EX77" ca="1" si="1368">RANK(EB73,$DP73:$EI73)</f>
        <v>2</v>
      </c>
      <c r="EY73" s="378">
        <f t="shared" ref="EY73:EY77" ca="1" si="1369">RANK(EC73,$DP73:$EI73)</f>
        <v>14</v>
      </c>
      <c r="EZ73" s="378">
        <f t="shared" ref="EZ73:EZ77" ca="1" si="1370">RANK(ED73,$DP73:$EI73)</f>
        <v>15</v>
      </c>
      <c r="FA73" s="378">
        <f t="shared" ref="FA73:FA77" ca="1" si="1371">RANK(EE73,$DP73:$EI73)</f>
        <v>16</v>
      </c>
      <c r="FB73" s="378">
        <f t="shared" ref="FB73:FB77" ca="1" si="1372">RANK(EF73,$DP73:$EI73)</f>
        <v>17</v>
      </c>
      <c r="FC73" s="378">
        <f t="shared" ref="FC73:FC77" ca="1" si="1373">RANK(EG73,$DP73:$EI73)</f>
        <v>18</v>
      </c>
      <c r="FD73" s="378">
        <f t="shared" ref="FD73:FD77" ca="1" si="1374">RANK(EH73,$DP73:$EI73)</f>
        <v>19</v>
      </c>
      <c r="FE73" s="378">
        <f t="shared" ref="FE73:FE77" ca="1" si="1375">RANK(EI73,$DP73:$EI73)</f>
        <v>20</v>
      </c>
      <c r="FG73" s="378">
        <f t="shared" ref="FG73:FV77" ca="1" si="1376">MATCH(FG$5,$EL73:$FE73,0)</f>
        <v>2</v>
      </c>
      <c r="FH73" s="378">
        <f t="shared" ca="1" si="1376"/>
        <v>13</v>
      </c>
      <c r="FI73" s="378">
        <f t="shared" ca="1" si="1376"/>
        <v>9</v>
      </c>
      <c r="FJ73" s="378">
        <f t="shared" ca="1" si="1376"/>
        <v>1</v>
      </c>
      <c r="FK73" s="378">
        <f t="shared" ca="1" si="1376"/>
        <v>12</v>
      </c>
      <c r="FL73" s="378">
        <f t="shared" ca="1" si="1376"/>
        <v>3</v>
      </c>
      <c r="FM73" s="378">
        <f t="shared" ca="1" si="1376"/>
        <v>4</v>
      </c>
      <c r="FN73" s="378">
        <f t="shared" ca="1" si="1376"/>
        <v>5</v>
      </c>
      <c r="FO73" s="378">
        <f t="shared" ca="1" si="1376"/>
        <v>6</v>
      </c>
      <c r="FP73" s="378">
        <f t="shared" ca="1" si="1376"/>
        <v>7</v>
      </c>
      <c r="FQ73" s="378">
        <f t="shared" ca="1" si="1376"/>
        <v>8</v>
      </c>
      <c r="FR73" s="378">
        <f t="shared" ca="1" si="1376"/>
        <v>10</v>
      </c>
      <c r="FS73" s="378">
        <f t="shared" ca="1" si="1376"/>
        <v>11</v>
      </c>
      <c r="FT73" s="378">
        <f t="shared" ca="1" si="1376"/>
        <v>14</v>
      </c>
      <c r="FU73" s="378">
        <f t="shared" ca="1" si="1376"/>
        <v>15</v>
      </c>
      <c r="FV73" s="378">
        <f t="shared" ca="1" si="1376"/>
        <v>16</v>
      </c>
      <c r="FW73" s="378">
        <f t="shared" ref="FW73:FZ77" ca="1" si="1377">MATCH(FW$5,$EL73:$FE73,0)</f>
        <v>17</v>
      </c>
      <c r="FX73" s="378">
        <f t="shared" ca="1" si="1377"/>
        <v>18</v>
      </c>
      <c r="FY73" s="378">
        <f t="shared" ca="1" si="1377"/>
        <v>19</v>
      </c>
      <c r="FZ73" s="378">
        <f t="shared" ca="1" si="1377"/>
        <v>20</v>
      </c>
      <c r="GB73" s="275" t="str">
        <f t="shared" ref="GB73:GB77" ca="1" si="1378">IF(GB$5&lt;=$BV73,INDEX($Y73:$BL73,1,FG73*2-1)&amp;" ("&amp;TEXT(INDEX($DP73:$EI73,1,FG73),"0%")&amp;")","")</f>
        <v>Architecture (29%)</v>
      </c>
      <c r="GC73" s="231" t="str">
        <f t="shared" ref="GC73:GC77" ca="1" si="1379">IF(GC$5&lt;=$BV73,"; "&amp;INDEX($Y73:$BL73,1,FH73*2-1)&amp;" ("&amp;TEXT(INDEX($DP73:$EI73,1,FH73),"0%")&amp;")","")</f>
        <v>; High performance/reliability infrastructure (28%)</v>
      </c>
      <c r="GD73" s="231" t="str">
        <f t="shared" ref="GD73:GD77" ca="1" si="1380">IF(GD$5&lt;=$BV73,"; "&amp;INDEX($Y73:$BL73,1,FI73*2-1)&amp;" ("&amp;TEXT(INDEX($DP73:$EI73,1,FI73),"0%")&amp;")","")</f>
        <v>; DW refresh rate (21%)</v>
      </c>
      <c r="GE73" s="231" t="str">
        <f t="shared" ref="GE73:GE77" ca="1" si="1381">IF(GE$5&lt;=$BV73,"; "&amp;INDEX($Y73:$BL73,1,FJ73*2-1)&amp;" ("&amp;TEXT(INDEX($DP73:$EI73,1,FJ73),"0%")&amp;")","")</f>
        <v/>
      </c>
      <c r="GF73" s="231" t="str">
        <f t="shared" ref="GF73:GF77" ca="1" si="1382">IF(GF$5&lt;=$BV73,"; "&amp;INDEX($Y73:$BL73,1,FK73*2-1)&amp;" ("&amp;TEXT(INDEX($DP73:$EI73,1,FK73),"0%")&amp;")","")</f>
        <v/>
      </c>
      <c r="GG73" s="231" t="str">
        <f t="shared" ref="GG73:GG77" ca="1" si="1383">IF(GG$5&lt;=$BV73,"; "&amp;INDEX($Y73:$BL73,1,FL73*2-1)&amp;" ("&amp;TEXT(INDEX($DP73:$EI73,1,FL73),"0%")&amp;")","")</f>
        <v/>
      </c>
      <c r="GH73" s="231" t="str">
        <f t="shared" ref="GH73:GH77" ca="1" si="1384">IF(GH$5&lt;=$BV73,"; "&amp;INDEX($Y73:$BL73,1,FM73*2-1)&amp;" ("&amp;TEXT(INDEX($DP73:$EI73,1,FM73),"0%")&amp;")","")</f>
        <v/>
      </c>
      <c r="GI73" s="231" t="str">
        <f t="shared" ref="GI73:GI77" ca="1" si="1385">IF(GI$5&lt;=$BV73,"; "&amp;INDEX($Y73:$BL73,1,FN73*2-1)&amp;" ("&amp;TEXT(INDEX($DP73:$EI73,1,FN73),"0%")&amp;")","")</f>
        <v/>
      </c>
      <c r="GJ73" s="231" t="str">
        <f t="shared" ref="GJ73:GJ77" ca="1" si="1386">IF(GJ$5&lt;=$BV73,"; "&amp;INDEX($Y73:$BL73,1,FO73*2-1)&amp;" ("&amp;TEXT(INDEX($DP73:$EI73,1,FO73),"0%")&amp;")","")</f>
        <v/>
      </c>
      <c r="GK73" s="231" t="str">
        <f t="shared" ref="GK73:GK77" ca="1" si="1387">IF(GK$5&lt;=$BV73,"; "&amp;INDEX($Y73:$BL73,1,FP73*2-1)&amp;" ("&amp;TEXT(INDEX($DP73:$EI73,1,FP73),"0%")&amp;")","")</f>
        <v/>
      </c>
      <c r="GL73" s="231" t="str">
        <f t="shared" ref="GL73:GL77" ca="1" si="1388">IF(GL$5&lt;=$BV73,"; "&amp;INDEX($Y73:$BL73,1,FQ73*2-1)&amp;" ("&amp;TEXT(INDEX($DP73:$EI73,1,FQ73),"0%")&amp;")","")</f>
        <v/>
      </c>
      <c r="GM73" s="231" t="str">
        <f t="shared" ref="GM73:GM77" ca="1" si="1389">IF(GM$5&lt;=$BV73,"; "&amp;INDEX($Y73:$BL73,1,FR73*2-1)&amp;" ("&amp;TEXT(INDEX($DP73:$EI73,1,FR73),"0%")&amp;")","")</f>
        <v/>
      </c>
      <c r="GN73" s="231" t="str">
        <f t="shared" ref="GN73:GN77" ca="1" si="1390">IF(GN$5&lt;=$BV73,"; "&amp;INDEX($Y73:$BL73,1,FS73*2-1)&amp;" ("&amp;TEXT(INDEX($DP73:$EI73,1,FS73),"0%")&amp;")","")</f>
        <v/>
      </c>
      <c r="GO73" s="231" t="str">
        <f t="shared" ref="GO73:GO77" ca="1" si="1391">IF(GO$5&lt;=$BV73,"; "&amp;INDEX($Y73:$BL73,1,FT73*2-1)&amp;" ("&amp;TEXT(INDEX($DP73:$EI73,1,FT73),"0%")&amp;")","")</f>
        <v/>
      </c>
      <c r="GP73" s="231" t="str">
        <f t="shared" ref="GP73:GP77" ca="1" si="1392">IF(GP$5&lt;=$BV73,"; "&amp;INDEX($Y73:$BL73,1,FU73*2-1)&amp;" ("&amp;TEXT(INDEX($DP73:$EI73,1,FU73),"0%")&amp;")","")</f>
        <v/>
      </c>
      <c r="GQ73" s="231" t="str">
        <f t="shared" ref="GQ73:GQ77" ca="1" si="1393">IF(GQ$5&lt;=$BV73,"; "&amp;INDEX($Y73:$BL73,1,FV73*2-1)&amp;" ("&amp;TEXT(INDEX($DP73:$EI73,1,FV73),"0%")&amp;")","")</f>
        <v/>
      </c>
      <c r="GR73" s="231" t="str">
        <f t="shared" ref="GR73:GR77" ca="1" si="1394">IF(GR$5&lt;=$BV73,"; "&amp;INDEX($Y73:$BL73,1,FW73*2-1)&amp;" ("&amp;TEXT(INDEX($DP73:$EI73,1,FW73),"0%")&amp;")","")</f>
        <v/>
      </c>
      <c r="GS73" s="231" t="str">
        <f t="shared" ref="GS73:GS77" ca="1" si="1395">IF(GS$5&lt;=$BV73,"; "&amp;INDEX($Y73:$BL73,1,FX73*2-1)&amp;" ("&amp;TEXT(INDEX($DP73:$EI73,1,FX73),"0%")&amp;")","")</f>
        <v/>
      </c>
      <c r="GT73" s="231" t="str">
        <f t="shared" ref="GT73:GT77" ca="1" si="1396">IF(GT$5&lt;=$BV73,"; "&amp;INDEX($Y73:$BL73,1,FY73*2-1)&amp;" ("&amp;TEXT(INDEX($DP73:$EI73,1,FY73),"0%")&amp;")","")</f>
        <v/>
      </c>
      <c r="GU73" s="231" t="str">
        <f t="shared" ref="GU73:GU77" ca="1" si="1397">IF(GU$5&lt;=$BV73,"; "&amp;INDEX($Y73:$BL73,1,FZ73*2-1)&amp;" ("&amp;TEXT(INDEX($DP73:$EI73,1,FZ73),"0%")&amp;")","")</f>
        <v/>
      </c>
    </row>
    <row r="74" spans="2:203" s="386" customFormat="1" ht="15" hidden="1" customHeight="1">
      <c r="B74" s="373"/>
      <c r="C74" s="81" t="str">
        <f>Productivity!B32</f>
        <v>Downtime or trouble-shooting time of BI-related systems</v>
      </c>
      <c r="D74" s="404">
        <f t="shared" ca="1" si="1308"/>
        <v>6.437459765876466E-2</v>
      </c>
      <c r="E74" s="374">
        <f>ROW(Initiatives!$A$100)</f>
        <v>100</v>
      </c>
      <c r="F74" s="374">
        <f>ROW(Initiatives!$A$101)</f>
        <v>101</v>
      </c>
      <c r="G74" s="374">
        <f>ROW(Initiatives!$A$102)</f>
        <v>102</v>
      </c>
      <c r="H74" s="374">
        <f>ROW(Initiatives!$A$106)</f>
        <v>106</v>
      </c>
      <c r="I74" s="374">
        <f>ROW(Initiatives!$A$107)</f>
        <v>107</v>
      </c>
      <c r="J74" s="374">
        <f>ROW(Initiatives!$A$108)</f>
        <v>108</v>
      </c>
      <c r="K74" s="374">
        <f>ROW(Initiatives!$A$109)</f>
        <v>109</v>
      </c>
      <c r="L74" s="374">
        <f>ROW(Initiatives!$A$112)</f>
        <v>112</v>
      </c>
      <c r="M74" s="374">
        <f>ROW(Initiatives!$A$113)</f>
        <v>113</v>
      </c>
      <c r="N74" s="374">
        <f>ROW(Initiatives!$A$114)</f>
        <v>114</v>
      </c>
      <c r="O74" s="374">
        <f>ROW(Initiatives!$A$117)</f>
        <v>117</v>
      </c>
      <c r="P74" s="374">
        <f>ROW(Initiatives!$A$118)</f>
        <v>118</v>
      </c>
      <c r="Q74" s="374">
        <f>ROW(Initiatives!$A$119)</f>
        <v>119</v>
      </c>
      <c r="R74" s="374">
        <f>ROW(Initiatives!$A$126)</f>
        <v>126</v>
      </c>
      <c r="S74" s="374">
        <f>ROW(Initiatives!$A$178)</f>
        <v>178</v>
      </c>
      <c r="T74" s="374">
        <f>ROW(Initiatives!$A$179)</f>
        <v>179</v>
      </c>
      <c r="U74" s="374">
        <f>ROW(Initiatives!$A$180)</f>
        <v>180</v>
      </c>
      <c r="V74" s="374">
        <f>ROW(Initiatives!$A$181)</f>
        <v>181</v>
      </c>
      <c r="W74" s="374">
        <f>ROW(Initiatives!$A$182)</f>
        <v>182</v>
      </c>
      <c r="X74" s="374"/>
      <c r="Y74" s="392" t="str">
        <f ca="1">OFFSET(Initiatives!$D$1,E74-1,$BS$3)</f>
        <v>Governance</v>
      </c>
      <c r="Z74" s="375">
        <v>2</v>
      </c>
      <c r="AA74" s="392" t="str">
        <f ca="1">OFFSET(Initiatives!$D$1,F74-1,$BS$3)</f>
        <v>Architecture</v>
      </c>
      <c r="AB74" s="375">
        <v>3</v>
      </c>
      <c r="AC74" s="392" t="str">
        <f ca="1">OFFSET(Initiatives!$D$1,G74-1,$BS$3)</f>
        <v>Robust security</v>
      </c>
      <c r="AD74" s="375"/>
      <c r="AE74" s="392" t="str">
        <f ca="1">OFFSET(Initiatives!$D$1,H74-1,$BS$3)</f>
        <v>Metadata definitions</v>
      </c>
      <c r="AF74" s="375"/>
      <c r="AG74" s="392" t="str">
        <f ca="1">OFFSET(Initiatives!$D$1,I74-1,$BS$3)</f>
        <v>Metadata management</v>
      </c>
      <c r="AH74" s="375"/>
      <c r="AI74" s="392" t="str">
        <f ca="1">OFFSET(Initiatives!$D$1,J74-1,$BS$3)</f>
        <v>High data quality</v>
      </c>
      <c r="AJ74" s="375"/>
      <c r="AK74" s="392" t="str">
        <f ca="1">OFFSET(Initiatives!$D$1,K74-1,$BS$3)</f>
        <v>Data Management</v>
      </c>
      <c r="AL74" s="375"/>
      <c r="AM74" s="392" t="str">
        <f ca="1">OFFSET(Initiatives!$D$1,L74-1,$BS$3)</f>
        <v>Automated DW synchronization</v>
      </c>
      <c r="AN74" s="375"/>
      <c r="AO74" s="392" t="str">
        <f ca="1">OFFSET(Initiatives!$D$1,M74-1,$BS$3)</f>
        <v>DW refresh rate</v>
      </c>
      <c r="AP74" s="375"/>
      <c r="AQ74" s="392" t="str">
        <f ca="1">OFFSET(Initiatives!$D$1,N74-1,$BS$3)</f>
        <v>Data Integration/ETL</v>
      </c>
      <c r="AR74" s="375"/>
      <c r="AS74" s="392" t="str">
        <f ca="1">OFFSET(Initiatives!$D$1,O74-1,$BS$3)</f>
        <v>Standardized data marts</v>
      </c>
      <c r="AT74" s="375"/>
      <c r="AU74" s="392" t="str">
        <f ca="1">OFFSET(Initiatives!$D$1,P74-1,$BS$3)</f>
        <v>A single, central DW</v>
      </c>
      <c r="AV74" s="375">
        <v>2</v>
      </c>
      <c r="AW74" s="392" t="str">
        <f ca="1">OFFSET(Initiatives!$D$1,Q74-1,$BS$3)</f>
        <v>High performance/reliability infrastructure</v>
      </c>
      <c r="AX74" s="375">
        <v>9</v>
      </c>
      <c r="AY74" s="392" t="str">
        <f ca="1">OFFSET(Initiatives!$D$1,R74-1,$BS$3)</f>
        <v>Development</v>
      </c>
      <c r="AZ74" s="375"/>
      <c r="BA74" s="392" t="str">
        <f ca="1">OFFSET(Initiatives!$D$1,S74-1,$BS$3)</f>
        <v>Architecture Standards &amp; Adherence</v>
      </c>
      <c r="BB74" s="375"/>
      <c r="BC74" s="392" t="str">
        <f ca="1">OFFSET(Initiatives!$D$1,T74-1,$BS$3)</f>
        <v>Data Management</v>
      </c>
      <c r="BD74" s="375"/>
      <c r="BE74" s="392" t="str">
        <f ca="1">OFFSET(Initiatives!$D$1,U74-1,$BS$3)</f>
        <v>Data Integration/ETL</v>
      </c>
      <c r="BF74" s="375"/>
      <c r="BG74" s="392" t="str">
        <f ca="1">OFFSET(Initiatives!$D$1,V74-1,$BS$3)</f>
        <v>Data Warehouse / Data Marts</v>
      </c>
      <c r="BH74" s="375"/>
      <c r="BI74" s="392" t="str">
        <f ca="1">OFFSET(Initiatives!$D$1,W74-1,$BS$3)</f>
        <v>Development</v>
      </c>
      <c r="BJ74" s="375"/>
      <c r="BK74" s="392" t="e">
        <f ca="1">OFFSET(Initiatives!$D$1,X74-1,$BS$3)</f>
        <v>#REF!</v>
      </c>
      <c r="BL74" s="375"/>
      <c r="BN74" s="101">
        <f t="shared" si="1309"/>
        <v>16.0001</v>
      </c>
      <c r="BP74" s="231" t="str">
        <f t="shared" ca="1" si="1310"/>
        <v>Architecture (41%); Governance (27%); High performance/reliability infrastructure (26%)</v>
      </c>
      <c r="BQ74" s="338">
        <v>0.01</v>
      </c>
      <c r="BR74" s="40">
        <f t="shared" ca="1" si="1311"/>
        <v>3</v>
      </c>
      <c r="BS74" s="274">
        <v>0.05</v>
      </c>
      <c r="BT74" s="40">
        <f t="shared" ca="1" si="1312"/>
        <v>4</v>
      </c>
      <c r="BU74" s="376">
        <v>7</v>
      </c>
      <c r="BV74" s="40">
        <f t="shared" ca="1" si="1313"/>
        <v>3</v>
      </c>
      <c r="BY74" s="377">
        <f ca="1">IF(ISERROR(OFFSET(Initiatives!$D$1,E74-1,$BY$3)),,OFFSET(Initiatives!$D$1,E74-1,$BY$3))</f>
        <v>0.14000000000000001</v>
      </c>
      <c r="BZ74" s="377">
        <f ca="1">IF(ISERROR(OFFSET(Initiatives!$D$1,F74-1,$BY$3)),,OFFSET(Initiatives!$D$1,F74-1,$BY$3))</f>
        <v>0.14000000000000001</v>
      </c>
      <c r="CA74" s="377">
        <f ca="1">IF(ISERROR(OFFSET(Initiatives!$D$1,G74-1,$BY$3)),,OFFSET(Initiatives!$D$1,G74-1,$BY$3))</f>
        <v>0.14000000000000001</v>
      </c>
      <c r="CB74" s="377">
        <f ca="1">IF(ISERROR(OFFSET(Initiatives!$D$1,H74-1,$BY$3)),,OFFSET(Initiatives!$D$1,H74-1,$BY$3))</f>
        <v>9.9999999999999978E-2</v>
      </c>
      <c r="CC74" s="377">
        <f ca="1">IF(ISERROR(OFFSET(Initiatives!$D$1,I74-1,$BY$3)),,OFFSET(Initiatives!$D$1,I74-1,$BY$3))</f>
        <v>9.9999999999999978E-2</v>
      </c>
      <c r="CD74" s="377">
        <f ca="1">IF(ISERROR(OFFSET(Initiatives!$D$1,J74-1,$BY$3)),,OFFSET(Initiatives!$D$1,J74-1,$BY$3))</f>
        <v>9.9999999999999978E-2</v>
      </c>
      <c r="CE74" s="377">
        <f ca="1">IF(ISERROR(OFFSET(Initiatives!$D$1,K74-1,$BY$3)),,OFFSET(Initiatives!$D$1,K74-1,$BY$3))</f>
        <v>9.9999999999999978E-2</v>
      </c>
      <c r="CF74" s="377">
        <f ca="1">IF(ISERROR(OFFSET(Initiatives!$D$1,L74-1,$BY$3)),,OFFSET(Initiatives!$D$1,L74-1,$BY$3))</f>
        <v>9.9999999999999978E-2</v>
      </c>
      <c r="CG74" s="377">
        <f ca="1">IF(ISERROR(OFFSET(Initiatives!$D$1,M74-1,$BY$3)),,OFFSET(Initiatives!$D$1,M74-1,$BY$3))</f>
        <v>9.9999999999999978E-2</v>
      </c>
      <c r="CH74" s="377">
        <f ca="1">IF(ISERROR(OFFSET(Initiatives!$D$1,N74-1,$BY$3)),,OFFSET(Initiatives!$D$1,N74-1,$BY$3))</f>
        <v>9.9999999999999978E-2</v>
      </c>
      <c r="CI74" s="377">
        <f ca="1">IF(ISERROR(OFFSET(Initiatives!$D$1,O74-1,$BY$3)),,OFFSET(Initiatives!$D$1,O74-1,$BY$3))</f>
        <v>3.0000000000000027E-2</v>
      </c>
      <c r="CJ74" s="377">
        <f ca="1">IF(ISERROR(OFFSET(Initiatives!$D$1,P74-1,$BY$3)),,OFFSET(Initiatives!$D$1,P74-1,$BY$3))</f>
        <v>3.0000000000000027E-2</v>
      </c>
      <c r="CK74" s="377">
        <f ca="1">IF(ISERROR(OFFSET(Initiatives!$D$1,Q74-1,$BY$3)),,OFFSET(Initiatives!$D$1,Q74-1,$BY$3))</f>
        <v>3.0000000000000027E-2</v>
      </c>
      <c r="CL74" s="377">
        <f ca="1">IF(ISERROR(OFFSET(Initiatives!$D$1,R74-1,$BY$3)),,OFFSET(Initiatives!$D$1,R74-1,$BY$3))</f>
        <v>1.5000000000000124E-2</v>
      </c>
      <c r="CM74" s="377">
        <f ca="1">IF(ISERROR(OFFSET(Initiatives!$D$1,S74-1,$BY$3)),,OFFSET(Initiatives!$D$1,S74-1,$BY$3))</f>
        <v>0.14000000000000012</v>
      </c>
      <c r="CN74" s="377">
        <f ca="1">IF(ISERROR(OFFSET(Initiatives!$D$1,T74-1,$BY$3)),,OFFSET(Initiatives!$D$1,T74-1,$BY$3))</f>
        <v>9.9999999999999978E-2</v>
      </c>
      <c r="CO74" s="377">
        <f ca="1">IF(ISERROR(OFFSET(Initiatives!$D$1,U74-1,$BY$3)),,OFFSET(Initiatives!$D$1,U74-1,$BY$3))</f>
        <v>9.9999999999999978E-2</v>
      </c>
      <c r="CP74" s="377">
        <f ca="1">IF(ISERROR(OFFSET(Initiatives!$D$1,V74-1,$BY$3)),,OFFSET(Initiatives!$D$1,V74-1,$BY$3))</f>
        <v>3.0000000000000027E-2</v>
      </c>
      <c r="CQ74" s="377">
        <f ca="1">IF(ISERROR(OFFSET(Initiatives!$D$1,W74-1,$BY$3)),,OFFSET(Initiatives!$D$1,W74-1,$BY$3))</f>
        <v>1.5000000000000124E-2</v>
      </c>
      <c r="CR74" s="377">
        <f ca="1">IF(ISERROR(OFFSET(Initiatives!$D$1,X74-1,$BY$3)),,OFFSET(Initiatives!$D$1,X74-1,$BY$3))</f>
        <v>0</v>
      </c>
      <c r="CT74" s="41">
        <f t="shared" ca="1" si="1314"/>
        <v>1.7499890625683592E-2</v>
      </c>
      <c r="CU74" s="41">
        <f t="shared" ca="1" si="1315"/>
        <v>2.6249835938525388E-2</v>
      </c>
      <c r="CV74" s="41">
        <f t="shared" ca="1" si="1316"/>
        <v>0</v>
      </c>
      <c r="CW74" s="41">
        <f t="shared" ca="1" si="1317"/>
        <v>0</v>
      </c>
      <c r="CX74" s="41">
        <f t="shared" ca="1" si="1318"/>
        <v>0</v>
      </c>
      <c r="CY74" s="41">
        <f t="shared" ca="1" si="1319"/>
        <v>0</v>
      </c>
      <c r="CZ74" s="41">
        <f t="shared" ca="1" si="1320"/>
        <v>0</v>
      </c>
      <c r="DA74" s="41">
        <f t="shared" ca="1" si="1321"/>
        <v>0</v>
      </c>
      <c r="DB74" s="41">
        <f t="shared" ca="1" si="1322"/>
        <v>0</v>
      </c>
      <c r="DC74" s="41">
        <f t="shared" ca="1" si="1323"/>
        <v>0</v>
      </c>
      <c r="DD74" s="41">
        <f t="shared" ca="1" si="1324"/>
        <v>0</v>
      </c>
      <c r="DE74" s="41">
        <f t="shared" ca="1" si="1325"/>
        <v>3.749976562646487E-3</v>
      </c>
      <c r="DF74" s="41">
        <f t="shared" ca="1" si="1326"/>
        <v>1.6874894531909192E-2</v>
      </c>
      <c r="DG74" s="41">
        <f t="shared" ca="1" si="1327"/>
        <v>0</v>
      </c>
      <c r="DH74" s="41">
        <f t="shared" ca="1" si="1328"/>
        <v>0</v>
      </c>
      <c r="DI74" s="41">
        <f t="shared" ca="1" si="1329"/>
        <v>0</v>
      </c>
      <c r="DJ74" s="41">
        <f t="shared" ca="1" si="1330"/>
        <v>0</v>
      </c>
      <c r="DK74" s="41">
        <f t="shared" ca="1" si="1331"/>
        <v>0</v>
      </c>
      <c r="DL74" s="41">
        <f t="shared" ca="1" si="1332"/>
        <v>0</v>
      </c>
      <c r="DM74" s="41">
        <f t="shared" ca="1" si="1333"/>
        <v>0</v>
      </c>
      <c r="DN74" s="41">
        <f t="shared" ca="1" si="1334"/>
        <v>6.437459765876466E-2</v>
      </c>
      <c r="DP74" s="41">
        <f t="shared" ca="1" si="1335"/>
        <v>0.27183466019417468</v>
      </c>
      <c r="DQ74" s="41">
        <f t="shared" ca="1" si="1336"/>
        <v>0.40774699029126199</v>
      </c>
      <c r="DR74" s="41">
        <f t="shared" ca="1" si="1337"/>
        <v>-3.0000000000000001E-5</v>
      </c>
      <c r="DS74" s="41">
        <f t="shared" ca="1" si="1338"/>
        <v>-4.0000000000000003E-5</v>
      </c>
      <c r="DT74" s="41">
        <f t="shared" ca="1" si="1339"/>
        <v>-5.0000000000000002E-5</v>
      </c>
      <c r="DU74" s="41">
        <f t="shared" ca="1" si="1340"/>
        <v>-6.0000000000000002E-5</v>
      </c>
      <c r="DV74" s="41">
        <f t="shared" ca="1" si="1341"/>
        <v>-6.9999999999999994E-5</v>
      </c>
      <c r="DW74" s="41">
        <f t="shared" ca="1" si="1342"/>
        <v>-8.0000000000000007E-5</v>
      </c>
      <c r="DX74" s="41">
        <f t="shared" ca="1" si="1343"/>
        <v>-9.0000000000000006E-5</v>
      </c>
      <c r="DY74" s="41">
        <f t="shared" ca="1" si="1344"/>
        <v>-1E-4</v>
      </c>
      <c r="DZ74" s="41">
        <f t="shared" ca="1" si="1345"/>
        <v>-1.1E-4</v>
      </c>
      <c r="EA74" s="41">
        <f t="shared" ca="1" si="1346"/>
        <v>5.8132427184466047E-2</v>
      </c>
      <c r="EB74" s="41">
        <f t="shared" ca="1" si="1347"/>
        <v>0.26200592233009723</v>
      </c>
      <c r="EC74" s="41">
        <f t="shared" ca="1" si="1348"/>
        <v>-1.3999999999999999E-4</v>
      </c>
      <c r="ED74" s="41">
        <f t="shared" ca="1" si="1349"/>
        <v>-1.4999999999999999E-4</v>
      </c>
      <c r="EE74" s="41">
        <f t="shared" ca="1" si="1350"/>
        <v>-1.6000000000000001E-4</v>
      </c>
      <c r="EF74" s="41">
        <f t="shared" ca="1" si="1351"/>
        <v>-1.7000000000000001E-4</v>
      </c>
      <c r="EG74" s="41">
        <f t="shared" ca="1" si="1352"/>
        <v>-1.8000000000000001E-4</v>
      </c>
      <c r="EH74" s="41">
        <f t="shared" ca="1" si="1353"/>
        <v>-1.9000000000000001E-4</v>
      </c>
      <c r="EI74" s="41">
        <f t="shared" ca="1" si="1354"/>
        <v>-2.0000000000000001E-4</v>
      </c>
      <c r="EJ74" s="41">
        <f t="shared" ca="1" si="1355"/>
        <v>0.9978999999999999</v>
      </c>
      <c r="EL74" s="378">
        <f t="shared" ca="1" si="1356"/>
        <v>2</v>
      </c>
      <c r="EM74" s="378">
        <f t="shared" ca="1" si="1357"/>
        <v>1</v>
      </c>
      <c r="EN74" s="378">
        <f t="shared" ca="1" si="1358"/>
        <v>5</v>
      </c>
      <c r="EO74" s="378">
        <f t="shared" ca="1" si="1359"/>
        <v>6</v>
      </c>
      <c r="EP74" s="378">
        <f t="shared" ca="1" si="1360"/>
        <v>7</v>
      </c>
      <c r="EQ74" s="378">
        <f t="shared" ca="1" si="1361"/>
        <v>8</v>
      </c>
      <c r="ER74" s="378">
        <f t="shared" ca="1" si="1362"/>
        <v>9</v>
      </c>
      <c r="ES74" s="378">
        <f t="shared" ca="1" si="1363"/>
        <v>10</v>
      </c>
      <c r="ET74" s="378">
        <f t="shared" ca="1" si="1364"/>
        <v>11</v>
      </c>
      <c r="EU74" s="378">
        <f t="shared" ca="1" si="1365"/>
        <v>12</v>
      </c>
      <c r="EV74" s="378">
        <f t="shared" ca="1" si="1366"/>
        <v>13</v>
      </c>
      <c r="EW74" s="378">
        <f t="shared" ca="1" si="1367"/>
        <v>4</v>
      </c>
      <c r="EX74" s="378">
        <f t="shared" ca="1" si="1368"/>
        <v>3</v>
      </c>
      <c r="EY74" s="378">
        <f t="shared" ca="1" si="1369"/>
        <v>14</v>
      </c>
      <c r="EZ74" s="378">
        <f t="shared" ca="1" si="1370"/>
        <v>15</v>
      </c>
      <c r="FA74" s="378">
        <f t="shared" ca="1" si="1371"/>
        <v>16</v>
      </c>
      <c r="FB74" s="378">
        <f t="shared" ca="1" si="1372"/>
        <v>17</v>
      </c>
      <c r="FC74" s="378">
        <f t="shared" ca="1" si="1373"/>
        <v>18</v>
      </c>
      <c r="FD74" s="378">
        <f t="shared" ca="1" si="1374"/>
        <v>19</v>
      </c>
      <c r="FE74" s="378">
        <f t="shared" ca="1" si="1375"/>
        <v>20</v>
      </c>
      <c r="FG74" s="378">
        <f t="shared" ca="1" si="1376"/>
        <v>2</v>
      </c>
      <c r="FH74" s="378">
        <f t="shared" ca="1" si="1376"/>
        <v>1</v>
      </c>
      <c r="FI74" s="378">
        <f t="shared" ca="1" si="1376"/>
        <v>13</v>
      </c>
      <c r="FJ74" s="378">
        <f t="shared" ca="1" si="1376"/>
        <v>12</v>
      </c>
      <c r="FK74" s="378">
        <f t="shared" ca="1" si="1376"/>
        <v>3</v>
      </c>
      <c r="FL74" s="378">
        <f t="shared" ca="1" si="1376"/>
        <v>4</v>
      </c>
      <c r="FM74" s="378">
        <f t="shared" ca="1" si="1376"/>
        <v>5</v>
      </c>
      <c r="FN74" s="378">
        <f t="shared" ca="1" si="1376"/>
        <v>6</v>
      </c>
      <c r="FO74" s="378">
        <f t="shared" ca="1" si="1376"/>
        <v>7</v>
      </c>
      <c r="FP74" s="378">
        <f t="shared" ca="1" si="1376"/>
        <v>8</v>
      </c>
      <c r="FQ74" s="378">
        <f t="shared" ca="1" si="1376"/>
        <v>9</v>
      </c>
      <c r="FR74" s="378">
        <f t="shared" ca="1" si="1376"/>
        <v>10</v>
      </c>
      <c r="FS74" s="378">
        <f t="shared" ca="1" si="1376"/>
        <v>11</v>
      </c>
      <c r="FT74" s="378">
        <f t="shared" ca="1" si="1376"/>
        <v>14</v>
      </c>
      <c r="FU74" s="378">
        <f t="shared" ca="1" si="1376"/>
        <v>15</v>
      </c>
      <c r="FV74" s="378">
        <f t="shared" ca="1" si="1376"/>
        <v>16</v>
      </c>
      <c r="FW74" s="378">
        <f t="shared" ca="1" si="1377"/>
        <v>17</v>
      </c>
      <c r="FX74" s="378">
        <f t="shared" ca="1" si="1377"/>
        <v>18</v>
      </c>
      <c r="FY74" s="378">
        <f t="shared" ca="1" si="1377"/>
        <v>19</v>
      </c>
      <c r="FZ74" s="378">
        <f t="shared" ca="1" si="1377"/>
        <v>20</v>
      </c>
      <c r="GB74" s="275" t="str">
        <f t="shared" ca="1" si="1378"/>
        <v>Architecture (41%)</v>
      </c>
      <c r="GC74" s="231" t="str">
        <f t="shared" ca="1" si="1379"/>
        <v>; Governance (27%)</v>
      </c>
      <c r="GD74" s="231" t="str">
        <f t="shared" ca="1" si="1380"/>
        <v>; High performance/reliability infrastructure (26%)</v>
      </c>
      <c r="GE74" s="231" t="str">
        <f t="shared" ca="1" si="1381"/>
        <v/>
      </c>
      <c r="GF74" s="231" t="str">
        <f t="shared" ca="1" si="1382"/>
        <v/>
      </c>
      <c r="GG74" s="231" t="str">
        <f t="shared" ca="1" si="1383"/>
        <v/>
      </c>
      <c r="GH74" s="231" t="str">
        <f t="shared" ca="1" si="1384"/>
        <v/>
      </c>
      <c r="GI74" s="231" t="str">
        <f t="shared" ca="1" si="1385"/>
        <v/>
      </c>
      <c r="GJ74" s="231" t="str">
        <f t="shared" ca="1" si="1386"/>
        <v/>
      </c>
      <c r="GK74" s="231" t="str">
        <f t="shared" ca="1" si="1387"/>
        <v/>
      </c>
      <c r="GL74" s="231" t="str">
        <f t="shared" ca="1" si="1388"/>
        <v/>
      </c>
      <c r="GM74" s="231" t="str">
        <f t="shared" ca="1" si="1389"/>
        <v/>
      </c>
      <c r="GN74" s="231" t="str">
        <f t="shared" ca="1" si="1390"/>
        <v/>
      </c>
      <c r="GO74" s="231" t="str">
        <f t="shared" ca="1" si="1391"/>
        <v/>
      </c>
      <c r="GP74" s="231" t="str">
        <f t="shared" ca="1" si="1392"/>
        <v/>
      </c>
      <c r="GQ74" s="231" t="str">
        <f t="shared" ca="1" si="1393"/>
        <v/>
      </c>
      <c r="GR74" s="231" t="str">
        <f t="shared" ca="1" si="1394"/>
        <v/>
      </c>
      <c r="GS74" s="231" t="str">
        <f t="shared" ca="1" si="1395"/>
        <v/>
      </c>
      <c r="GT74" s="231" t="str">
        <f t="shared" ca="1" si="1396"/>
        <v/>
      </c>
      <c r="GU74" s="231" t="str">
        <f t="shared" ca="1" si="1397"/>
        <v/>
      </c>
    </row>
    <row r="75" spans="2:203" s="386" customFormat="1" ht="15" hidden="1" customHeight="1">
      <c r="B75" s="373"/>
      <c r="C75" s="81" t="str">
        <f>Productivity!B33</f>
        <v>Rework due to lost work or data</v>
      </c>
      <c r="D75" s="404">
        <f t="shared" ca="1" si="1308"/>
        <v>5.9332937780414818E-2</v>
      </c>
      <c r="E75" s="374">
        <f>ROW(Initiatives!$A$100)</f>
        <v>100</v>
      </c>
      <c r="F75" s="374">
        <f>ROW(Initiatives!$A$101)</f>
        <v>101</v>
      </c>
      <c r="G75" s="374">
        <f>ROW(Initiatives!$A$102)</f>
        <v>102</v>
      </c>
      <c r="H75" s="374">
        <f>ROW(Initiatives!$A$106)</f>
        <v>106</v>
      </c>
      <c r="I75" s="374">
        <f>ROW(Initiatives!$A$107)</f>
        <v>107</v>
      </c>
      <c r="J75" s="374">
        <f>ROW(Initiatives!$A$108)</f>
        <v>108</v>
      </c>
      <c r="K75" s="374">
        <f>ROW(Initiatives!$A$109)</f>
        <v>109</v>
      </c>
      <c r="L75" s="374">
        <f>ROW(Initiatives!$A$112)</f>
        <v>112</v>
      </c>
      <c r="M75" s="374">
        <f>ROW(Initiatives!$A$113)</f>
        <v>113</v>
      </c>
      <c r="N75" s="374">
        <f>ROW(Initiatives!$A$114)</f>
        <v>114</v>
      </c>
      <c r="O75" s="374">
        <f>ROW(Initiatives!$A$117)</f>
        <v>117</v>
      </c>
      <c r="P75" s="374">
        <f>ROW(Initiatives!$A$118)</f>
        <v>118</v>
      </c>
      <c r="Q75" s="374">
        <f>ROW(Initiatives!$A$119)</f>
        <v>119</v>
      </c>
      <c r="R75" s="374">
        <f>ROW(Initiatives!$A$126)</f>
        <v>126</v>
      </c>
      <c r="S75" s="374">
        <f>ROW(Initiatives!$A$178)</f>
        <v>178</v>
      </c>
      <c r="T75" s="374">
        <f>ROW(Initiatives!$A$179)</f>
        <v>179</v>
      </c>
      <c r="U75" s="374">
        <f>ROW(Initiatives!$A$180)</f>
        <v>180</v>
      </c>
      <c r="V75" s="374">
        <f>ROW(Initiatives!$A$181)</f>
        <v>181</v>
      </c>
      <c r="W75" s="374">
        <f>ROW(Initiatives!$A$182)</f>
        <v>182</v>
      </c>
      <c r="X75" s="374"/>
      <c r="Y75" s="392" t="str">
        <f ca="1">OFFSET(Initiatives!$D$1,E75-1,$BS$3)</f>
        <v>Governance</v>
      </c>
      <c r="Z75" s="375">
        <v>1</v>
      </c>
      <c r="AA75" s="392" t="str">
        <f ca="1">OFFSET(Initiatives!$D$1,F75-1,$BS$3)</f>
        <v>Architecture</v>
      </c>
      <c r="AB75" s="375">
        <v>3</v>
      </c>
      <c r="AC75" s="392" t="str">
        <f ca="1">OFFSET(Initiatives!$D$1,G75-1,$BS$3)</f>
        <v>Robust security</v>
      </c>
      <c r="AD75" s="375"/>
      <c r="AE75" s="392" t="str">
        <f ca="1">OFFSET(Initiatives!$D$1,H75-1,$BS$3)</f>
        <v>Metadata definitions</v>
      </c>
      <c r="AF75" s="375"/>
      <c r="AG75" s="392" t="str">
        <f ca="1">OFFSET(Initiatives!$D$1,I75-1,$BS$3)</f>
        <v>Metadata management</v>
      </c>
      <c r="AH75" s="375"/>
      <c r="AI75" s="392" t="str">
        <f ca="1">OFFSET(Initiatives!$D$1,J75-1,$BS$3)</f>
        <v>High data quality</v>
      </c>
      <c r="AJ75" s="375"/>
      <c r="AK75" s="392" t="str">
        <f ca="1">OFFSET(Initiatives!$D$1,K75-1,$BS$3)</f>
        <v>Data Management</v>
      </c>
      <c r="AL75" s="375"/>
      <c r="AM75" s="392" t="str">
        <f ca="1">OFFSET(Initiatives!$D$1,L75-1,$BS$3)</f>
        <v>Automated DW synchronization</v>
      </c>
      <c r="AN75" s="375"/>
      <c r="AO75" s="392" t="str">
        <f ca="1">OFFSET(Initiatives!$D$1,M75-1,$BS$3)</f>
        <v>DW refresh rate</v>
      </c>
      <c r="AP75" s="375"/>
      <c r="AQ75" s="392" t="str">
        <f ca="1">OFFSET(Initiatives!$D$1,N75-1,$BS$3)</f>
        <v>Data Integration/ETL</v>
      </c>
      <c r="AR75" s="375"/>
      <c r="AS75" s="392" t="str">
        <f ca="1">OFFSET(Initiatives!$D$1,O75-1,$BS$3)</f>
        <v>Standardized data marts</v>
      </c>
      <c r="AT75" s="375"/>
      <c r="AU75" s="392" t="str">
        <f ca="1">OFFSET(Initiatives!$D$1,P75-1,$BS$3)</f>
        <v>A single, central DW</v>
      </c>
      <c r="AV75" s="375"/>
      <c r="AW75" s="392" t="str">
        <f ca="1">OFFSET(Initiatives!$D$1,Q75-1,$BS$3)</f>
        <v>High performance/reliability infrastructure</v>
      </c>
      <c r="AX75" s="375">
        <v>9</v>
      </c>
      <c r="AY75" s="392" t="str">
        <f ca="1">OFFSET(Initiatives!$D$1,R75-1,$BS$3)</f>
        <v>Development</v>
      </c>
      <c r="AZ75" s="375"/>
      <c r="BA75" s="392" t="str">
        <f ca="1">OFFSET(Initiatives!$D$1,S75-1,$BS$3)</f>
        <v>Architecture Standards &amp; Adherence</v>
      </c>
      <c r="BB75" s="375"/>
      <c r="BC75" s="392" t="str">
        <f ca="1">OFFSET(Initiatives!$D$1,T75-1,$BS$3)</f>
        <v>Data Management</v>
      </c>
      <c r="BD75" s="375"/>
      <c r="BE75" s="392" t="str">
        <f ca="1">OFFSET(Initiatives!$D$1,U75-1,$BS$3)</f>
        <v>Data Integration/ETL</v>
      </c>
      <c r="BF75" s="375"/>
      <c r="BG75" s="392" t="str">
        <f ca="1">OFFSET(Initiatives!$D$1,V75-1,$BS$3)</f>
        <v>Data Warehouse / Data Marts</v>
      </c>
      <c r="BH75" s="375">
        <v>2</v>
      </c>
      <c r="BI75" s="392" t="str">
        <f ca="1">OFFSET(Initiatives!$D$1,W75-1,$BS$3)</f>
        <v>Development</v>
      </c>
      <c r="BJ75" s="375"/>
      <c r="BK75" s="392" t="e">
        <f ca="1">OFFSET(Initiatives!$D$1,X75-1,$BS$3)</f>
        <v>#REF!</v>
      </c>
      <c r="BL75" s="375"/>
      <c r="BN75" s="101">
        <f t="shared" si="1309"/>
        <v>15.0001</v>
      </c>
      <c r="BP75" s="231" t="str">
        <f t="shared" ca="1" si="1310"/>
        <v>Architecture (47%); High performance/reliability infrastructure (30%)</v>
      </c>
      <c r="BQ75" s="338">
        <v>0.01</v>
      </c>
      <c r="BR75" s="40">
        <f t="shared" ca="1" si="1311"/>
        <v>2</v>
      </c>
      <c r="BS75" s="274">
        <v>0.05</v>
      </c>
      <c r="BT75" s="40">
        <f t="shared" ca="1" si="1312"/>
        <v>4</v>
      </c>
      <c r="BU75" s="376">
        <v>7</v>
      </c>
      <c r="BV75" s="40">
        <f t="shared" ca="1" si="1313"/>
        <v>2</v>
      </c>
      <c r="BY75" s="377">
        <f ca="1">IF(ISERROR(OFFSET(Initiatives!$D$1,E75-1,$BY$3)),,OFFSET(Initiatives!$D$1,E75-1,$BY$3))</f>
        <v>0.14000000000000001</v>
      </c>
      <c r="BZ75" s="377">
        <f ca="1">IF(ISERROR(OFFSET(Initiatives!$D$1,F75-1,$BY$3)),,OFFSET(Initiatives!$D$1,F75-1,$BY$3))</f>
        <v>0.14000000000000001</v>
      </c>
      <c r="CA75" s="377">
        <f ca="1">IF(ISERROR(OFFSET(Initiatives!$D$1,G75-1,$BY$3)),,OFFSET(Initiatives!$D$1,G75-1,$BY$3))</f>
        <v>0.14000000000000001</v>
      </c>
      <c r="CB75" s="377">
        <f ca="1">IF(ISERROR(OFFSET(Initiatives!$D$1,H75-1,$BY$3)),,OFFSET(Initiatives!$D$1,H75-1,$BY$3))</f>
        <v>9.9999999999999978E-2</v>
      </c>
      <c r="CC75" s="377">
        <f ca="1">IF(ISERROR(OFFSET(Initiatives!$D$1,I75-1,$BY$3)),,OFFSET(Initiatives!$D$1,I75-1,$BY$3))</f>
        <v>9.9999999999999978E-2</v>
      </c>
      <c r="CD75" s="377">
        <f ca="1">IF(ISERROR(OFFSET(Initiatives!$D$1,J75-1,$BY$3)),,OFFSET(Initiatives!$D$1,J75-1,$BY$3))</f>
        <v>9.9999999999999978E-2</v>
      </c>
      <c r="CE75" s="377">
        <f ca="1">IF(ISERROR(OFFSET(Initiatives!$D$1,K75-1,$BY$3)),,OFFSET(Initiatives!$D$1,K75-1,$BY$3))</f>
        <v>9.9999999999999978E-2</v>
      </c>
      <c r="CF75" s="377">
        <f ca="1">IF(ISERROR(OFFSET(Initiatives!$D$1,L75-1,$BY$3)),,OFFSET(Initiatives!$D$1,L75-1,$BY$3))</f>
        <v>9.9999999999999978E-2</v>
      </c>
      <c r="CG75" s="377">
        <f ca="1">IF(ISERROR(OFFSET(Initiatives!$D$1,M75-1,$BY$3)),,OFFSET(Initiatives!$D$1,M75-1,$BY$3))</f>
        <v>9.9999999999999978E-2</v>
      </c>
      <c r="CH75" s="377">
        <f ca="1">IF(ISERROR(OFFSET(Initiatives!$D$1,N75-1,$BY$3)),,OFFSET(Initiatives!$D$1,N75-1,$BY$3))</f>
        <v>9.9999999999999978E-2</v>
      </c>
      <c r="CI75" s="377">
        <f ca="1">IF(ISERROR(OFFSET(Initiatives!$D$1,O75-1,$BY$3)),,OFFSET(Initiatives!$D$1,O75-1,$BY$3))</f>
        <v>3.0000000000000027E-2</v>
      </c>
      <c r="CJ75" s="377">
        <f ca="1">IF(ISERROR(OFFSET(Initiatives!$D$1,P75-1,$BY$3)),,OFFSET(Initiatives!$D$1,P75-1,$BY$3))</f>
        <v>3.0000000000000027E-2</v>
      </c>
      <c r="CK75" s="377">
        <f ca="1">IF(ISERROR(OFFSET(Initiatives!$D$1,Q75-1,$BY$3)),,OFFSET(Initiatives!$D$1,Q75-1,$BY$3))</f>
        <v>3.0000000000000027E-2</v>
      </c>
      <c r="CL75" s="377">
        <f ca="1">IF(ISERROR(OFFSET(Initiatives!$D$1,R75-1,$BY$3)),,OFFSET(Initiatives!$D$1,R75-1,$BY$3))</f>
        <v>1.5000000000000124E-2</v>
      </c>
      <c r="CM75" s="377">
        <f ca="1">IF(ISERROR(OFFSET(Initiatives!$D$1,S75-1,$BY$3)),,OFFSET(Initiatives!$D$1,S75-1,$BY$3))</f>
        <v>0.14000000000000012</v>
      </c>
      <c r="CN75" s="377">
        <f ca="1">IF(ISERROR(OFFSET(Initiatives!$D$1,T75-1,$BY$3)),,OFFSET(Initiatives!$D$1,T75-1,$BY$3))</f>
        <v>9.9999999999999978E-2</v>
      </c>
      <c r="CO75" s="377">
        <f ca="1">IF(ISERROR(OFFSET(Initiatives!$D$1,U75-1,$BY$3)),,OFFSET(Initiatives!$D$1,U75-1,$BY$3))</f>
        <v>9.9999999999999978E-2</v>
      </c>
      <c r="CP75" s="377">
        <f ca="1">IF(ISERROR(OFFSET(Initiatives!$D$1,V75-1,$BY$3)),,OFFSET(Initiatives!$D$1,V75-1,$BY$3))</f>
        <v>3.0000000000000027E-2</v>
      </c>
      <c r="CQ75" s="377">
        <f ca="1">IF(ISERROR(OFFSET(Initiatives!$D$1,W75-1,$BY$3)),,OFFSET(Initiatives!$D$1,W75-1,$BY$3))</f>
        <v>1.5000000000000124E-2</v>
      </c>
      <c r="CR75" s="377">
        <f ca="1">IF(ISERROR(OFFSET(Initiatives!$D$1,X75-1,$BY$3)),,OFFSET(Initiatives!$D$1,X75-1,$BY$3))</f>
        <v>0</v>
      </c>
      <c r="CT75" s="41">
        <f t="shared" ca="1" si="1314"/>
        <v>9.3332711115259245E-3</v>
      </c>
      <c r="CU75" s="41">
        <f t="shared" ca="1" si="1315"/>
        <v>2.7999813334577774E-2</v>
      </c>
      <c r="CV75" s="41">
        <f t="shared" ca="1" si="1316"/>
        <v>0</v>
      </c>
      <c r="CW75" s="41">
        <f t="shared" ca="1" si="1317"/>
        <v>0</v>
      </c>
      <c r="CX75" s="41">
        <f t="shared" ca="1" si="1318"/>
        <v>0</v>
      </c>
      <c r="CY75" s="41">
        <f t="shared" ca="1" si="1319"/>
        <v>0</v>
      </c>
      <c r="CZ75" s="41">
        <f t="shared" ca="1" si="1320"/>
        <v>0</v>
      </c>
      <c r="DA75" s="41">
        <f t="shared" ca="1" si="1321"/>
        <v>0</v>
      </c>
      <c r="DB75" s="41">
        <f t="shared" ca="1" si="1322"/>
        <v>0</v>
      </c>
      <c r="DC75" s="41">
        <f t="shared" ca="1" si="1323"/>
        <v>0</v>
      </c>
      <c r="DD75" s="41">
        <f t="shared" ca="1" si="1324"/>
        <v>0</v>
      </c>
      <c r="DE75" s="41">
        <f t="shared" ca="1" si="1325"/>
        <v>0</v>
      </c>
      <c r="DF75" s="41">
        <f t="shared" ca="1" si="1326"/>
        <v>1.7999880000800012E-2</v>
      </c>
      <c r="DG75" s="41">
        <f t="shared" ca="1" si="1327"/>
        <v>0</v>
      </c>
      <c r="DH75" s="41">
        <f t="shared" ca="1" si="1328"/>
        <v>0</v>
      </c>
      <c r="DI75" s="41">
        <f t="shared" ca="1" si="1329"/>
        <v>0</v>
      </c>
      <c r="DJ75" s="41">
        <f t="shared" ca="1" si="1330"/>
        <v>0</v>
      </c>
      <c r="DK75" s="41">
        <f t="shared" ca="1" si="1331"/>
        <v>3.9999733335111132E-3</v>
      </c>
      <c r="DL75" s="41">
        <f t="shared" ca="1" si="1332"/>
        <v>0</v>
      </c>
      <c r="DM75" s="41">
        <f t="shared" ca="1" si="1333"/>
        <v>0</v>
      </c>
      <c r="DN75" s="41">
        <f t="shared" ca="1" si="1334"/>
        <v>5.9332937780414818E-2</v>
      </c>
      <c r="DP75" s="41">
        <f t="shared" ca="1" si="1335"/>
        <v>0.15729337078651681</v>
      </c>
      <c r="DQ75" s="41">
        <f t="shared" ca="1" si="1336"/>
        <v>0.47189011235955042</v>
      </c>
      <c r="DR75" s="41">
        <f t="shared" ca="1" si="1337"/>
        <v>-3.0000000000000001E-5</v>
      </c>
      <c r="DS75" s="41">
        <f t="shared" ca="1" si="1338"/>
        <v>-4.0000000000000003E-5</v>
      </c>
      <c r="DT75" s="41">
        <f t="shared" ca="1" si="1339"/>
        <v>-5.0000000000000002E-5</v>
      </c>
      <c r="DU75" s="41">
        <f t="shared" ca="1" si="1340"/>
        <v>-6.0000000000000002E-5</v>
      </c>
      <c r="DV75" s="41">
        <f t="shared" ca="1" si="1341"/>
        <v>-6.9999999999999994E-5</v>
      </c>
      <c r="DW75" s="41">
        <f t="shared" ca="1" si="1342"/>
        <v>-8.0000000000000007E-5</v>
      </c>
      <c r="DX75" s="41">
        <f t="shared" ca="1" si="1343"/>
        <v>-9.0000000000000006E-5</v>
      </c>
      <c r="DY75" s="41">
        <f t="shared" ca="1" si="1344"/>
        <v>-1E-4</v>
      </c>
      <c r="DZ75" s="41">
        <f t="shared" ca="1" si="1345"/>
        <v>-1.1E-4</v>
      </c>
      <c r="EA75" s="41">
        <f t="shared" ca="1" si="1346"/>
        <v>-1.2E-4</v>
      </c>
      <c r="EB75" s="41">
        <f t="shared" ca="1" si="1347"/>
        <v>0.3032407865168541</v>
      </c>
      <c r="EC75" s="41">
        <f t="shared" ca="1" si="1348"/>
        <v>-1.3999999999999999E-4</v>
      </c>
      <c r="ED75" s="41">
        <f t="shared" ca="1" si="1349"/>
        <v>-1.4999999999999999E-4</v>
      </c>
      <c r="EE75" s="41">
        <f t="shared" ca="1" si="1350"/>
        <v>-1.6000000000000001E-4</v>
      </c>
      <c r="EF75" s="41">
        <f t="shared" ca="1" si="1351"/>
        <v>-1.7000000000000001E-4</v>
      </c>
      <c r="EG75" s="41">
        <f t="shared" ca="1" si="1352"/>
        <v>6.7235730337078678E-2</v>
      </c>
      <c r="EH75" s="41">
        <f t="shared" ca="1" si="1353"/>
        <v>-1.9000000000000001E-4</v>
      </c>
      <c r="EI75" s="41">
        <f t="shared" ca="1" si="1354"/>
        <v>-2.0000000000000001E-4</v>
      </c>
      <c r="EJ75" s="41">
        <f t="shared" ca="1" si="1355"/>
        <v>0.99789999999999979</v>
      </c>
      <c r="EL75" s="378">
        <f t="shared" ca="1" si="1356"/>
        <v>3</v>
      </c>
      <c r="EM75" s="378">
        <f t="shared" ca="1" si="1357"/>
        <v>1</v>
      </c>
      <c r="EN75" s="378">
        <f t="shared" ca="1" si="1358"/>
        <v>5</v>
      </c>
      <c r="EO75" s="378">
        <f t="shared" ca="1" si="1359"/>
        <v>6</v>
      </c>
      <c r="EP75" s="378">
        <f t="shared" ca="1" si="1360"/>
        <v>7</v>
      </c>
      <c r="EQ75" s="378">
        <f t="shared" ca="1" si="1361"/>
        <v>8</v>
      </c>
      <c r="ER75" s="378">
        <f t="shared" ca="1" si="1362"/>
        <v>9</v>
      </c>
      <c r="ES75" s="378">
        <f t="shared" ca="1" si="1363"/>
        <v>10</v>
      </c>
      <c r="ET75" s="378">
        <f t="shared" ca="1" si="1364"/>
        <v>11</v>
      </c>
      <c r="EU75" s="378">
        <f t="shared" ca="1" si="1365"/>
        <v>12</v>
      </c>
      <c r="EV75" s="378">
        <f t="shared" ca="1" si="1366"/>
        <v>13</v>
      </c>
      <c r="EW75" s="378">
        <f t="shared" ca="1" si="1367"/>
        <v>14</v>
      </c>
      <c r="EX75" s="378">
        <f t="shared" ca="1" si="1368"/>
        <v>2</v>
      </c>
      <c r="EY75" s="378">
        <f t="shared" ca="1" si="1369"/>
        <v>15</v>
      </c>
      <c r="EZ75" s="378">
        <f t="shared" ca="1" si="1370"/>
        <v>16</v>
      </c>
      <c r="FA75" s="378">
        <f t="shared" ca="1" si="1371"/>
        <v>17</v>
      </c>
      <c r="FB75" s="378">
        <f t="shared" ca="1" si="1372"/>
        <v>18</v>
      </c>
      <c r="FC75" s="378">
        <f t="shared" ca="1" si="1373"/>
        <v>4</v>
      </c>
      <c r="FD75" s="378">
        <f t="shared" ca="1" si="1374"/>
        <v>19</v>
      </c>
      <c r="FE75" s="378">
        <f t="shared" ca="1" si="1375"/>
        <v>20</v>
      </c>
      <c r="FG75" s="378">
        <f t="shared" ca="1" si="1376"/>
        <v>2</v>
      </c>
      <c r="FH75" s="378">
        <f t="shared" ca="1" si="1376"/>
        <v>13</v>
      </c>
      <c r="FI75" s="378">
        <f t="shared" ca="1" si="1376"/>
        <v>1</v>
      </c>
      <c r="FJ75" s="378">
        <f t="shared" ca="1" si="1376"/>
        <v>18</v>
      </c>
      <c r="FK75" s="378">
        <f t="shared" ca="1" si="1376"/>
        <v>3</v>
      </c>
      <c r="FL75" s="378">
        <f t="shared" ca="1" si="1376"/>
        <v>4</v>
      </c>
      <c r="FM75" s="378">
        <f t="shared" ca="1" si="1376"/>
        <v>5</v>
      </c>
      <c r="FN75" s="378">
        <f t="shared" ca="1" si="1376"/>
        <v>6</v>
      </c>
      <c r="FO75" s="378">
        <f t="shared" ca="1" si="1376"/>
        <v>7</v>
      </c>
      <c r="FP75" s="378">
        <f t="shared" ca="1" si="1376"/>
        <v>8</v>
      </c>
      <c r="FQ75" s="378">
        <f t="shared" ca="1" si="1376"/>
        <v>9</v>
      </c>
      <c r="FR75" s="378">
        <f t="shared" ca="1" si="1376"/>
        <v>10</v>
      </c>
      <c r="FS75" s="378">
        <f t="shared" ca="1" si="1376"/>
        <v>11</v>
      </c>
      <c r="FT75" s="378">
        <f t="shared" ca="1" si="1376"/>
        <v>12</v>
      </c>
      <c r="FU75" s="378">
        <f t="shared" ca="1" si="1376"/>
        <v>14</v>
      </c>
      <c r="FV75" s="378">
        <f t="shared" ca="1" si="1376"/>
        <v>15</v>
      </c>
      <c r="FW75" s="378">
        <f t="shared" ca="1" si="1377"/>
        <v>16</v>
      </c>
      <c r="FX75" s="378">
        <f t="shared" ca="1" si="1377"/>
        <v>17</v>
      </c>
      <c r="FY75" s="378">
        <f t="shared" ca="1" si="1377"/>
        <v>19</v>
      </c>
      <c r="FZ75" s="378">
        <f t="shared" ca="1" si="1377"/>
        <v>20</v>
      </c>
      <c r="GB75" s="275" t="str">
        <f t="shared" ca="1" si="1378"/>
        <v>Architecture (47%)</v>
      </c>
      <c r="GC75" s="231" t="str">
        <f t="shared" ca="1" si="1379"/>
        <v>; High performance/reliability infrastructure (30%)</v>
      </c>
      <c r="GD75" s="231" t="str">
        <f t="shared" ca="1" si="1380"/>
        <v/>
      </c>
      <c r="GE75" s="231" t="str">
        <f t="shared" ca="1" si="1381"/>
        <v/>
      </c>
      <c r="GF75" s="231" t="str">
        <f t="shared" ca="1" si="1382"/>
        <v/>
      </c>
      <c r="GG75" s="231" t="str">
        <f t="shared" ca="1" si="1383"/>
        <v/>
      </c>
      <c r="GH75" s="231" t="str">
        <f t="shared" ca="1" si="1384"/>
        <v/>
      </c>
      <c r="GI75" s="231" t="str">
        <f t="shared" ca="1" si="1385"/>
        <v/>
      </c>
      <c r="GJ75" s="231" t="str">
        <f t="shared" ca="1" si="1386"/>
        <v/>
      </c>
      <c r="GK75" s="231" t="str">
        <f t="shared" ca="1" si="1387"/>
        <v/>
      </c>
      <c r="GL75" s="231" t="str">
        <f t="shared" ca="1" si="1388"/>
        <v/>
      </c>
      <c r="GM75" s="231" t="str">
        <f t="shared" ca="1" si="1389"/>
        <v/>
      </c>
      <c r="GN75" s="231" t="str">
        <f t="shared" ca="1" si="1390"/>
        <v/>
      </c>
      <c r="GO75" s="231" t="str">
        <f t="shared" ca="1" si="1391"/>
        <v/>
      </c>
      <c r="GP75" s="231" t="str">
        <f t="shared" ca="1" si="1392"/>
        <v/>
      </c>
      <c r="GQ75" s="231" t="str">
        <f t="shared" ca="1" si="1393"/>
        <v/>
      </c>
      <c r="GR75" s="231" t="str">
        <f t="shared" ca="1" si="1394"/>
        <v/>
      </c>
      <c r="GS75" s="231" t="str">
        <f t="shared" ca="1" si="1395"/>
        <v/>
      </c>
      <c r="GT75" s="231" t="str">
        <f t="shared" ca="1" si="1396"/>
        <v/>
      </c>
      <c r="GU75" s="231" t="str">
        <f t="shared" ca="1" si="1397"/>
        <v/>
      </c>
    </row>
    <row r="76" spans="2:203" s="386" customFormat="1" ht="15" hidden="1" customHeight="1">
      <c r="B76" s="373"/>
      <c r="C76" s="81" t="str">
        <f>Productivity!B34</f>
        <v>Intrusion, unauthorized use, data loss</v>
      </c>
      <c r="D76" s="404">
        <f t="shared" ca="1" si="1308"/>
        <v>0.13999883334305549</v>
      </c>
      <c r="E76" s="374">
        <f>ROW(Initiatives!$A$100)</f>
        <v>100</v>
      </c>
      <c r="F76" s="374">
        <f>ROW(Initiatives!$A$101)</f>
        <v>101</v>
      </c>
      <c r="G76" s="374">
        <f>ROW(Initiatives!$A$102)</f>
        <v>102</v>
      </c>
      <c r="H76" s="374">
        <f>ROW(Initiatives!$A$106)</f>
        <v>106</v>
      </c>
      <c r="I76" s="374">
        <f>ROW(Initiatives!$A$107)</f>
        <v>107</v>
      </c>
      <c r="J76" s="374">
        <f>ROW(Initiatives!$A$108)</f>
        <v>108</v>
      </c>
      <c r="K76" s="374">
        <f>ROW(Initiatives!$A$109)</f>
        <v>109</v>
      </c>
      <c r="L76" s="374">
        <f>ROW(Initiatives!$A$112)</f>
        <v>112</v>
      </c>
      <c r="M76" s="374">
        <f>ROW(Initiatives!$A$113)</f>
        <v>113</v>
      </c>
      <c r="N76" s="374">
        <f>ROW(Initiatives!$A$114)</f>
        <v>114</v>
      </c>
      <c r="O76" s="374">
        <f>ROW(Initiatives!$A$117)</f>
        <v>117</v>
      </c>
      <c r="P76" s="374">
        <f>ROW(Initiatives!$A$118)</f>
        <v>118</v>
      </c>
      <c r="Q76" s="374">
        <f>ROW(Initiatives!$A$119)</f>
        <v>119</v>
      </c>
      <c r="R76" s="374">
        <f>ROW(Initiatives!$A$126)</f>
        <v>126</v>
      </c>
      <c r="S76" s="374">
        <f>ROW(Initiatives!$A$178)</f>
        <v>178</v>
      </c>
      <c r="T76" s="374">
        <f>ROW(Initiatives!$A$179)</f>
        <v>179</v>
      </c>
      <c r="U76" s="374">
        <f>ROW(Initiatives!$A$180)</f>
        <v>180</v>
      </c>
      <c r="V76" s="374">
        <f>ROW(Initiatives!$A$181)</f>
        <v>181</v>
      </c>
      <c r="W76" s="374">
        <f>ROW(Initiatives!$A$182)</f>
        <v>182</v>
      </c>
      <c r="X76" s="374"/>
      <c r="Y76" s="392" t="str">
        <f ca="1">OFFSET(Initiatives!$D$1,E76-1,$BS$3)</f>
        <v>Governance</v>
      </c>
      <c r="Z76" s="375">
        <v>1</v>
      </c>
      <c r="AA76" s="392" t="str">
        <f ca="1">OFFSET(Initiatives!$D$1,F76-1,$BS$3)</f>
        <v>Architecture</v>
      </c>
      <c r="AB76" s="375">
        <v>2</v>
      </c>
      <c r="AC76" s="392" t="str">
        <f ca="1">OFFSET(Initiatives!$D$1,G76-1,$BS$3)</f>
        <v>Robust security</v>
      </c>
      <c r="AD76" s="375">
        <v>9</v>
      </c>
      <c r="AE76" s="392" t="str">
        <f ca="1">OFFSET(Initiatives!$D$1,H76-1,$BS$3)</f>
        <v>Metadata definitions</v>
      </c>
      <c r="AF76" s="375"/>
      <c r="AG76" s="392" t="str">
        <f ca="1">OFFSET(Initiatives!$D$1,I76-1,$BS$3)</f>
        <v>Metadata management</v>
      </c>
      <c r="AH76" s="375"/>
      <c r="AI76" s="392" t="str">
        <f ca="1">OFFSET(Initiatives!$D$1,J76-1,$BS$3)</f>
        <v>High data quality</v>
      </c>
      <c r="AJ76" s="375"/>
      <c r="AK76" s="392" t="str">
        <f ca="1">OFFSET(Initiatives!$D$1,K76-1,$BS$3)</f>
        <v>Data Management</v>
      </c>
      <c r="AL76" s="375"/>
      <c r="AM76" s="392" t="str">
        <f ca="1">OFFSET(Initiatives!$D$1,L76-1,$BS$3)</f>
        <v>Automated DW synchronization</v>
      </c>
      <c r="AN76" s="375"/>
      <c r="AO76" s="392" t="str">
        <f ca="1">OFFSET(Initiatives!$D$1,M76-1,$BS$3)</f>
        <v>DW refresh rate</v>
      </c>
      <c r="AP76" s="375"/>
      <c r="AQ76" s="392" t="str">
        <f ca="1">OFFSET(Initiatives!$D$1,N76-1,$BS$3)</f>
        <v>Data Integration/ETL</v>
      </c>
      <c r="AR76" s="375"/>
      <c r="AS76" s="392" t="str">
        <f ca="1">OFFSET(Initiatives!$D$1,O76-1,$BS$3)</f>
        <v>Standardized data marts</v>
      </c>
      <c r="AT76" s="375"/>
      <c r="AU76" s="392" t="str">
        <f ca="1">OFFSET(Initiatives!$D$1,P76-1,$BS$3)</f>
        <v>A single, central DW</v>
      </c>
      <c r="AV76" s="375"/>
      <c r="AW76" s="392" t="str">
        <f ca="1">OFFSET(Initiatives!$D$1,Q76-1,$BS$3)</f>
        <v>High performance/reliability infrastructure</v>
      </c>
      <c r="AX76" s="375"/>
      <c r="AY76" s="392" t="str">
        <f ca="1">OFFSET(Initiatives!$D$1,R76-1,$BS$3)</f>
        <v>Development</v>
      </c>
      <c r="AZ76" s="375"/>
      <c r="BA76" s="392" t="str">
        <f ca="1">OFFSET(Initiatives!$D$1,S76-1,$BS$3)</f>
        <v>Architecture Standards &amp; Adherence</v>
      </c>
      <c r="BB76" s="375"/>
      <c r="BC76" s="392" t="str">
        <f ca="1">OFFSET(Initiatives!$D$1,T76-1,$BS$3)</f>
        <v>Data Management</v>
      </c>
      <c r="BD76" s="375"/>
      <c r="BE76" s="392" t="str">
        <f ca="1">OFFSET(Initiatives!$D$1,U76-1,$BS$3)</f>
        <v>Data Integration/ETL</v>
      </c>
      <c r="BF76" s="375"/>
      <c r="BG76" s="392" t="str">
        <f ca="1">OFFSET(Initiatives!$D$1,V76-1,$BS$3)</f>
        <v>Data Warehouse / Data Marts</v>
      </c>
      <c r="BH76" s="375"/>
      <c r="BI76" s="392" t="str">
        <f ca="1">OFFSET(Initiatives!$D$1,W76-1,$BS$3)</f>
        <v>Development</v>
      </c>
      <c r="BJ76" s="375"/>
      <c r="BK76" s="392" t="e">
        <f ca="1">OFFSET(Initiatives!$D$1,X76-1,$BS$3)</f>
        <v>#REF!</v>
      </c>
      <c r="BL76" s="375"/>
      <c r="BN76" s="101">
        <f t="shared" si="1309"/>
        <v>12.0001</v>
      </c>
      <c r="BP76" s="231" t="str">
        <f t="shared" ca="1" si="1310"/>
        <v>Robust security (75%); Architecture (17%); Governance (8%)</v>
      </c>
      <c r="BQ76" s="338">
        <v>0.01</v>
      </c>
      <c r="BR76" s="40">
        <f t="shared" ca="1" si="1311"/>
        <v>3</v>
      </c>
      <c r="BS76" s="274">
        <v>0.05</v>
      </c>
      <c r="BT76" s="40">
        <f t="shared" ca="1" si="1312"/>
        <v>3</v>
      </c>
      <c r="BU76" s="376">
        <v>7</v>
      </c>
      <c r="BV76" s="40">
        <f t="shared" ca="1" si="1313"/>
        <v>3</v>
      </c>
      <c r="BY76" s="377">
        <f ca="1">IF(ISERROR(OFFSET(Initiatives!$D$1,E76-1,$BY$3)),,OFFSET(Initiatives!$D$1,E76-1,$BY$3))</f>
        <v>0.14000000000000001</v>
      </c>
      <c r="BZ76" s="377">
        <f ca="1">IF(ISERROR(OFFSET(Initiatives!$D$1,F76-1,$BY$3)),,OFFSET(Initiatives!$D$1,F76-1,$BY$3))</f>
        <v>0.14000000000000001</v>
      </c>
      <c r="CA76" s="377">
        <f ca="1">IF(ISERROR(OFFSET(Initiatives!$D$1,G76-1,$BY$3)),,OFFSET(Initiatives!$D$1,G76-1,$BY$3))</f>
        <v>0.14000000000000001</v>
      </c>
      <c r="CB76" s="377">
        <f ca="1">IF(ISERROR(OFFSET(Initiatives!$D$1,H76-1,$BY$3)),,OFFSET(Initiatives!$D$1,H76-1,$BY$3))</f>
        <v>9.9999999999999978E-2</v>
      </c>
      <c r="CC76" s="377">
        <f ca="1">IF(ISERROR(OFFSET(Initiatives!$D$1,I76-1,$BY$3)),,OFFSET(Initiatives!$D$1,I76-1,$BY$3))</f>
        <v>9.9999999999999978E-2</v>
      </c>
      <c r="CD76" s="377">
        <f ca="1">IF(ISERROR(OFFSET(Initiatives!$D$1,J76-1,$BY$3)),,OFFSET(Initiatives!$D$1,J76-1,$BY$3))</f>
        <v>9.9999999999999978E-2</v>
      </c>
      <c r="CE76" s="377">
        <f ca="1">IF(ISERROR(OFFSET(Initiatives!$D$1,K76-1,$BY$3)),,OFFSET(Initiatives!$D$1,K76-1,$BY$3))</f>
        <v>9.9999999999999978E-2</v>
      </c>
      <c r="CF76" s="377">
        <f ca="1">IF(ISERROR(OFFSET(Initiatives!$D$1,L76-1,$BY$3)),,OFFSET(Initiatives!$D$1,L76-1,$BY$3))</f>
        <v>9.9999999999999978E-2</v>
      </c>
      <c r="CG76" s="377">
        <f ca="1">IF(ISERROR(OFFSET(Initiatives!$D$1,M76-1,$BY$3)),,OFFSET(Initiatives!$D$1,M76-1,$BY$3))</f>
        <v>9.9999999999999978E-2</v>
      </c>
      <c r="CH76" s="377">
        <f ca="1">IF(ISERROR(OFFSET(Initiatives!$D$1,N76-1,$BY$3)),,OFFSET(Initiatives!$D$1,N76-1,$BY$3))</f>
        <v>9.9999999999999978E-2</v>
      </c>
      <c r="CI76" s="377">
        <f ca="1">IF(ISERROR(OFFSET(Initiatives!$D$1,O76-1,$BY$3)),,OFFSET(Initiatives!$D$1,O76-1,$BY$3))</f>
        <v>3.0000000000000027E-2</v>
      </c>
      <c r="CJ76" s="377">
        <f ca="1">IF(ISERROR(OFFSET(Initiatives!$D$1,P76-1,$BY$3)),,OFFSET(Initiatives!$D$1,P76-1,$BY$3))</f>
        <v>3.0000000000000027E-2</v>
      </c>
      <c r="CK76" s="377">
        <f ca="1">IF(ISERROR(OFFSET(Initiatives!$D$1,Q76-1,$BY$3)),,OFFSET(Initiatives!$D$1,Q76-1,$BY$3))</f>
        <v>3.0000000000000027E-2</v>
      </c>
      <c r="CL76" s="377">
        <f ca="1">IF(ISERROR(OFFSET(Initiatives!$D$1,R76-1,$BY$3)),,OFFSET(Initiatives!$D$1,R76-1,$BY$3))</f>
        <v>1.5000000000000124E-2</v>
      </c>
      <c r="CM76" s="377">
        <f ca="1">IF(ISERROR(OFFSET(Initiatives!$D$1,S76-1,$BY$3)),,OFFSET(Initiatives!$D$1,S76-1,$BY$3))</f>
        <v>0.14000000000000012</v>
      </c>
      <c r="CN76" s="377">
        <f ca="1">IF(ISERROR(OFFSET(Initiatives!$D$1,T76-1,$BY$3)),,OFFSET(Initiatives!$D$1,T76-1,$BY$3))</f>
        <v>9.9999999999999978E-2</v>
      </c>
      <c r="CO76" s="377">
        <f ca="1">IF(ISERROR(OFFSET(Initiatives!$D$1,U76-1,$BY$3)),,OFFSET(Initiatives!$D$1,U76-1,$BY$3))</f>
        <v>9.9999999999999978E-2</v>
      </c>
      <c r="CP76" s="377">
        <f ca="1">IF(ISERROR(OFFSET(Initiatives!$D$1,V76-1,$BY$3)),,OFFSET(Initiatives!$D$1,V76-1,$BY$3))</f>
        <v>3.0000000000000027E-2</v>
      </c>
      <c r="CQ76" s="377">
        <f ca="1">IF(ISERROR(OFFSET(Initiatives!$D$1,W76-1,$BY$3)),,OFFSET(Initiatives!$D$1,W76-1,$BY$3))</f>
        <v>1.5000000000000124E-2</v>
      </c>
      <c r="CR76" s="377">
        <f ca="1">IF(ISERROR(OFFSET(Initiatives!$D$1,X76-1,$BY$3)),,OFFSET(Initiatives!$D$1,X76-1,$BY$3))</f>
        <v>0</v>
      </c>
      <c r="CT76" s="41">
        <f t="shared" ca="1" si="1314"/>
        <v>1.1666569445254625E-2</v>
      </c>
      <c r="CU76" s="41">
        <f t="shared" ca="1" si="1315"/>
        <v>2.3333138890509249E-2</v>
      </c>
      <c r="CV76" s="41">
        <f t="shared" ca="1" si="1316"/>
        <v>0.10499912500729162</v>
      </c>
      <c r="CW76" s="41">
        <f t="shared" ca="1" si="1317"/>
        <v>0</v>
      </c>
      <c r="CX76" s="41">
        <f t="shared" ca="1" si="1318"/>
        <v>0</v>
      </c>
      <c r="CY76" s="41">
        <f t="shared" ca="1" si="1319"/>
        <v>0</v>
      </c>
      <c r="CZ76" s="41">
        <f t="shared" ca="1" si="1320"/>
        <v>0</v>
      </c>
      <c r="DA76" s="41">
        <f t="shared" ca="1" si="1321"/>
        <v>0</v>
      </c>
      <c r="DB76" s="41">
        <f t="shared" ca="1" si="1322"/>
        <v>0</v>
      </c>
      <c r="DC76" s="41">
        <f t="shared" ca="1" si="1323"/>
        <v>0</v>
      </c>
      <c r="DD76" s="41">
        <f t="shared" ca="1" si="1324"/>
        <v>0</v>
      </c>
      <c r="DE76" s="41">
        <f t="shared" ca="1" si="1325"/>
        <v>0</v>
      </c>
      <c r="DF76" s="41">
        <f t="shared" ca="1" si="1326"/>
        <v>0</v>
      </c>
      <c r="DG76" s="41">
        <f t="shared" ca="1" si="1327"/>
        <v>0</v>
      </c>
      <c r="DH76" s="41">
        <f t="shared" ca="1" si="1328"/>
        <v>0</v>
      </c>
      <c r="DI76" s="41">
        <f t="shared" ca="1" si="1329"/>
        <v>0</v>
      </c>
      <c r="DJ76" s="41">
        <f t="shared" ca="1" si="1330"/>
        <v>0</v>
      </c>
      <c r="DK76" s="41">
        <f t="shared" ca="1" si="1331"/>
        <v>0</v>
      </c>
      <c r="DL76" s="41">
        <f t="shared" ca="1" si="1332"/>
        <v>0</v>
      </c>
      <c r="DM76" s="41">
        <f t="shared" ca="1" si="1333"/>
        <v>0</v>
      </c>
      <c r="DN76" s="41">
        <f t="shared" ca="1" si="1334"/>
        <v>0.13999883334305549</v>
      </c>
      <c r="DP76" s="41">
        <f t="shared" ca="1" si="1335"/>
        <v>8.3323333333333346E-2</v>
      </c>
      <c r="DQ76" s="41">
        <f t="shared" ca="1" si="1336"/>
        <v>0.16664666666666669</v>
      </c>
      <c r="DR76" s="41">
        <f t="shared" ca="1" si="1337"/>
        <v>0.74997000000000003</v>
      </c>
      <c r="DS76" s="41">
        <f t="shared" ca="1" si="1338"/>
        <v>-4.0000000000000003E-5</v>
      </c>
      <c r="DT76" s="41">
        <f t="shared" ca="1" si="1339"/>
        <v>-5.0000000000000002E-5</v>
      </c>
      <c r="DU76" s="41">
        <f t="shared" ca="1" si="1340"/>
        <v>-6.0000000000000002E-5</v>
      </c>
      <c r="DV76" s="41">
        <f t="shared" ca="1" si="1341"/>
        <v>-6.9999999999999994E-5</v>
      </c>
      <c r="DW76" s="41">
        <f t="shared" ca="1" si="1342"/>
        <v>-8.0000000000000007E-5</v>
      </c>
      <c r="DX76" s="41">
        <f t="shared" ca="1" si="1343"/>
        <v>-9.0000000000000006E-5</v>
      </c>
      <c r="DY76" s="41">
        <f t="shared" ca="1" si="1344"/>
        <v>-1E-4</v>
      </c>
      <c r="DZ76" s="41">
        <f t="shared" ca="1" si="1345"/>
        <v>-1.1E-4</v>
      </c>
      <c r="EA76" s="41">
        <f t="shared" ca="1" si="1346"/>
        <v>-1.2E-4</v>
      </c>
      <c r="EB76" s="41">
        <f t="shared" ca="1" si="1347"/>
        <v>-1.2999999999999999E-4</v>
      </c>
      <c r="EC76" s="41">
        <f t="shared" ca="1" si="1348"/>
        <v>-1.3999999999999999E-4</v>
      </c>
      <c r="ED76" s="41">
        <f t="shared" ca="1" si="1349"/>
        <v>-1.4999999999999999E-4</v>
      </c>
      <c r="EE76" s="41">
        <f t="shared" ca="1" si="1350"/>
        <v>-1.6000000000000001E-4</v>
      </c>
      <c r="EF76" s="41">
        <f t="shared" ca="1" si="1351"/>
        <v>-1.7000000000000001E-4</v>
      </c>
      <c r="EG76" s="41">
        <f t="shared" ca="1" si="1352"/>
        <v>-1.8000000000000001E-4</v>
      </c>
      <c r="EH76" s="41">
        <f t="shared" ca="1" si="1353"/>
        <v>-1.9000000000000001E-4</v>
      </c>
      <c r="EI76" s="41">
        <f t="shared" ca="1" si="1354"/>
        <v>-2.0000000000000001E-4</v>
      </c>
      <c r="EJ76" s="41">
        <f t="shared" ca="1" si="1355"/>
        <v>0.99790000000000001</v>
      </c>
      <c r="EL76" s="378">
        <f t="shared" ca="1" si="1356"/>
        <v>3</v>
      </c>
      <c r="EM76" s="378">
        <f t="shared" ca="1" si="1357"/>
        <v>2</v>
      </c>
      <c r="EN76" s="378">
        <f t="shared" ca="1" si="1358"/>
        <v>1</v>
      </c>
      <c r="EO76" s="378">
        <f t="shared" ca="1" si="1359"/>
        <v>4</v>
      </c>
      <c r="EP76" s="378">
        <f t="shared" ca="1" si="1360"/>
        <v>5</v>
      </c>
      <c r="EQ76" s="378">
        <f t="shared" ca="1" si="1361"/>
        <v>6</v>
      </c>
      <c r="ER76" s="378">
        <f t="shared" ca="1" si="1362"/>
        <v>7</v>
      </c>
      <c r="ES76" s="378">
        <f t="shared" ca="1" si="1363"/>
        <v>8</v>
      </c>
      <c r="ET76" s="378">
        <f t="shared" ca="1" si="1364"/>
        <v>9</v>
      </c>
      <c r="EU76" s="378">
        <f t="shared" ca="1" si="1365"/>
        <v>10</v>
      </c>
      <c r="EV76" s="378">
        <f t="shared" ca="1" si="1366"/>
        <v>11</v>
      </c>
      <c r="EW76" s="378">
        <f t="shared" ca="1" si="1367"/>
        <v>12</v>
      </c>
      <c r="EX76" s="378">
        <f t="shared" ca="1" si="1368"/>
        <v>13</v>
      </c>
      <c r="EY76" s="378">
        <f t="shared" ca="1" si="1369"/>
        <v>14</v>
      </c>
      <c r="EZ76" s="378">
        <f t="shared" ca="1" si="1370"/>
        <v>15</v>
      </c>
      <c r="FA76" s="378">
        <f t="shared" ca="1" si="1371"/>
        <v>16</v>
      </c>
      <c r="FB76" s="378">
        <f t="shared" ca="1" si="1372"/>
        <v>17</v>
      </c>
      <c r="FC76" s="378">
        <f t="shared" ca="1" si="1373"/>
        <v>18</v>
      </c>
      <c r="FD76" s="378">
        <f t="shared" ca="1" si="1374"/>
        <v>19</v>
      </c>
      <c r="FE76" s="378">
        <f t="shared" ca="1" si="1375"/>
        <v>20</v>
      </c>
      <c r="FG76" s="378">
        <f t="shared" ca="1" si="1376"/>
        <v>3</v>
      </c>
      <c r="FH76" s="378">
        <f t="shared" ca="1" si="1376"/>
        <v>2</v>
      </c>
      <c r="FI76" s="378">
        <f t="shared" ca="1" si="1376"/>
        <v>1</v>
      </c>
      <c r="FJ76" s="378">
        <f t="shared" ca="1" si="1376"/>
        <v>4</v>
      </c>
      <c r="FK76" s="378">
        <f t="shared" ca="1" si="1376"/>
        <v>5</v>
      </c>
      <c r="FL76" s="378">
        <f t="shared" ca="1" si="1376"/>
        <v>6</v>
      </c>
      <c r="FM76" s="378">
        <f t="shared" ca="1" si="1376"/>
        <v>7</v>
      </c>
      <c r="FN76" s="378">
        <f t="shared" ca="1" si="1376"/>
        <v>8</v>
      </c>
      <c r="FO76" s="378">
        <f t="shared" ca="1" si="1376"/>
        <v>9</v>
      </c>
      <c r="FP76" s="378">
        <f t="shared" ca="1" si="1376"/>
        <v>10</v>
      </c>
      <c r="FQ76" s="378">
        <f t="shared" ca="1" si="1376"/>
        <v>11</v>
      </c>
      <c r="FR76" s="378">
        <f t="shared" ca="1" si="1376"/>
        <v>12</v>
      </c>
      <c r="FS76" s="378">
        <f t="shared" ca="1" si="1376"/>
        <v>13</v>
      </c>
      <c r="FT76" s="378">
        <f t="shared" ca="1" si="1376"/>
        <v>14</v>
      </c>
      <c r="FU76" s="378">
        <f t="shared" ca="1" si="1376"/>
        <v>15</v>
      </c>
      <c r="FV76" s="378">
        <f t="shared" ca="1" si="1376"/>
        <v>16</v>
      </c>
      <c r="FW76" s="378">
        <f t="shared" ca="1" si="1377"/>
        <v>17</v>
      </c>
      <c r="FX76" s="378">
        <f t="shared" ca="1" si="1377"/>
        <v>18</v>
      </c>
      <c r="FY76" s="378">
        <f t="shared" ca="1" si="1377"/>
        <v>19</v>
      </c>
      <c r="FZ76" s="378">
        <f t="shared" ca="1" si="1377"/>
        <v>20</v>
      </c>
      <c r="GB76" s="275" t="str">
        <f t="shared" ca="1" si="1378"/>
        <v>Robust security (75%)</v>
      </c>
      <c r="GC76" s="231" t="str">
        <f t="shared" ca="1" si="1379"/>
        <v>; Architecture (17%)</v>
      </c>
      <c r="GD76" s="231" t="str">
        <f t="shared" ca="1" si="1380"/>
        <v>; Governance (8%)</v>
      </c>
      <c r="GE76" s="231" t="str">
        <f t="shared" ca="1" si="1381"/>
        <v/>
      </c>
      <c r="GF76" s="231" t="str">
        <f t="shared" ca="1" si="1382"/>
        <v/>
      </c>
      <c r="GG76" s="231" t="str">
        <f t="shared" ca="1" si="1383"/>
        <v/>
      </c>
      <c r="GH76" s="231" t="str">
        <f t="shared" ca="1" si="1384"/>
        <v/>
      </c>
      <c r="GI76" s="231" t="str">
        <f t="shared" ca="1" si="1385"/>
        <v/>
      </c>
      <c r="GJ76" s="231" t="str">
        <f t="shared" ca="1" si="1386"/>
        <v/>
      </c>
      <c r="GK76" s="231" t="str">
        <f t="shared" ca="1" si="1387"/>
        <v/>
      </c>
      <c r="GL76" s="231" t="str">
        <f t="shared" ca="1" si="1388"/>
        <v/>
      </c>
      <c r="GM76" s="231" t="str">
        <f t="shared" ca="1" si="1389"/>
        <v/>
      </c>
      <c r="GN76" s="231" t="str">
        <f t="shared" ca="1" si="1390"/>
        <v/>
      </c>
      <c r="GO76" s="231" t="str">
        <f t="shared" ca="1" si="1391"/>
        <v/>
      </c>
      <c r="GP76" s="231" t="str">
        <f t="shared" ca="1" si="1392"/>
        <v/>
      </c>
      <c r="GQ76" s="231" t="str">
        <f t="shared" ca="1" si="1393"/>
        <v/>
      </c>
      <c r="GR76" s="231" t="str">
        <f t="shared" ca="1" si="1394"/>
        <v/>
      </c>
      <c r="GS76" s="231" t="str">
        <f t="shared" ca="1" si="1395"/>
        <v/>
      </c>
      <c r="GT76" s="231" t="str">
        <f t="shared" ca="1" si="1396"/>
        <v/>
      </c>
      <c r="GU76" s="231" t="str">
        <f t="shared" ca="1" si="1397"/>
        <v/>
      </c>
    </row>
    <row r="77" spans="2:203" s="386" customFormat="1" ht="15" hidden="1" customHeight="1">
      <c r="B77" s="373"/>
      <c r="C77" s="81" t="str">
        <f>Productivity!B35</f>
        <v>Security pre-cautions</v>
      </c>
      <c r="D77" s="404">
        <f t="shared" ca="1" si="1308"/>
        <v>0.13999883334305549</v>
      </c>
      <c r="E77" s="374">
        <f>ROW(Initiatives!$A$100)</f>
        <v>100</v>
      </c>
      <c r="F77" s="374">
        <f>ROW(Initiatives!$A$101)</f>
        <v>101</v>
      </c>
      <c r="G77" s="374">
        <f>ROW(Initiatives!$A$102)</f>
        <v>102</v>
      </c>
      <c r="H77" s="374">
        <f>ROW(Initiatives!$A$106)</f>
        <v>106</v>
      </c>
      <c r="I77" s="374">
        <f>ROW(Initiatives!$A$107)</f>
        <v>107</v>
      </c>
      <c r="J77" s="374">
        <f>ROW(Initiatives!$A$108)</f>
        <v>108</v>
      </c>
      <c r="K77" s="374">
        <f>ROW(Initiatives!$A$109)</f>
        <v>109</v>
      </c>
      <c r="L77" s="374">
        <f>ROW(Initiatives!$A$112)</f>
        <v>112</v>
      </c>
      <c r="M77" s="374">
        <f>ROW(Initiatives!$A$113)</f>
        <v>113</v>
      </c>
      <c r="N77" s="374">
        <f>ROW(Initiatives!$A$114)</f>
        <v>114</v>
      </c>
      <c r="O77" s="374">
        <f>ROW(Initiatives!$A$117)</f>
        <v>117</v>
      </c>
      <c r="P77" s="374">
        <f>ROW(Initiatives!$A$118)</f>
        <v>118</v>
      </c>
      <c r="Q77" s="374">
        <f>ROW(Initiatives!$A$119)</f>
        <v>119</v>
      </c>
      <c r="R77" s="374">
        <f>ROW(Initiatives!$A$126)</f>
        <v>126</v>
      </c>
      <c r="S77" s="374">
        <f>ROW(Initiatives!$A$178)</f>
        <v>178</v>
      </c>
      <c r="T77" s="374">
        <f>ROW(Initiatives!$A$179)</f>
        <v>179</v>
      </c>
      <c r="U77" s="374">
        <f>ROW(Initiatives!$A$180)</f>
        <v>180</v>
      </c>
      <c r="V77" s="374">
        <f>ROW(Initiatives!$A$181)</f>
        <v>181</v>
      </c>
      <c r="W77" s="374">
        <f>ROW(Initiatives!$A$182)</f>
        <v>182</v>
      </c>
      <c r="X77" s="374"/>
      <c r="Y77" s="392" t="str">
        <f ca="1">OFFSET(Initiatives!$D$1,E77-1,$BS$3)</f>
        <v>Governance</v>
      </c>
      <c r="Z77" s="375">
        <v>1</v>
      </c>
      <c r="AA77" s="392" t="str">
        <f ca="1">OFFSET(Initiatives!$D$1,F77-1,$BS$3)</f>
        <v>Architecture</v>
      </c>
      <c r="AB77" s="375">
        <v>2</v>
      </c>
      <c r="AC77" s="392" t="str">
        <f ca="1">OFFSET(Initiatives!$D$1,G77-1,$BS$3)</f>
        <v>Robust security</v>
      </c>
      <c r="AD77" s="375">
        <v>9</v>
      </c>
      <c r="AE77" s="392" t="str">
        <f ca="1">OFFSET(Initiatives!$D$1,H77-1,$BS$3)</f>
        <v>Metadata definitions</v>
      </c>
      <c r="AF77" s="375"/>
      <c r="AG77" s="392" t="str">
        <f ca="1">OFFSET(Initiatives!$D$1,I77-1,$BS$3)</f>
        <v>Metadata management</v>
      </c>
      <c r="AH77" s="375"/>
      <c r="AI77" s="392" t="str">
        <f ca="1">OFFSET(Initiatives!$D$1,J77-1,$BS$3)</f>
        <v>High data quality</v>
      </c>
      <c r="AJ77" s="375"/>
      <c r="AK77" s="392" t="str">
        <f ca="1">OFFSET(Initiatives!$D$1,K77-1,$BS$3)</f>
        <v>Data Management</v>
      </c>
      <c r="AL77" s="375"/>
      <c r="AM77" s="392" t="str">
        <f ca="1">OFFSET(Initiatives!$D$1,L77-1,$BS$3)</f>
        <v>Automated DW synchronization</v>
      </c>
      <c r="AN77" s="375"/>
      <c r="AO77" s="392" t="str">
        <f ca="1">OFFSET(Initiatives!$D$1,M77-1,$BS$3)</f>
        <v>DW refresh rate</v>
      </c>
      <c r="AP77" s="375"/>
      <c r="AQ77" s="392" t="str">
        <f ca="1">OFFSET(Initiatives!$D$1,N77-1,$BS$3)</f>
        <v>Data Integration/ETL</v>
      </c>
      <c r="AR77" s="375"/>
      <c r="AS77" s="392" t="str">
        <f ca="1">OFFSET(Initiatives!$D$1,O77-1,$BS$3)</f>
        <v>Standardized data marts</v>
      </c>
      <c r="AT77" s="375"/>
      <c r="AU77" s="392" t="str">
        <f ca="1">OFFSET(Initiatives!$D$1,P77-1,$BS$3)</f>
        <v>A single, central DW</v>
      </c>
      <c r="AV77" s="375"/>
      <c r="AW77" s="392" t="str">
        <f ca="1">OFFSET(Initiatives!$D$1,Q77-1,$BS$3)</f>
        <v>High performance/reliability infrastructure</v>
      </c>
      <c r="AX77" s="375"/>
      <c r="AY77" s="392" t="str">
        <f ca="1">OFFSET(Initiatives!$D$1,R77-1,$BS$3)</f>
        <v>Development</v>
      </c>
      <c r="AZ77" s="375"/>
      <c r="BA77" s="392" t="str">
        <f ca="1">OFFSET(Initiatives!$D$1,S77-1,$BS$3)</f>
        <v>Architecture Standards &amp; Adherence</v>
      </c>
      <c r="BB77" s="375"/>
      <c r="BC77" s="392" t="str">
        <f ca="1">OFFSET(Initiatives!$D$1,T77-1,$BS$3)</f>
        <v>Data Management</v>
      </c>
      <c r="BD77" s="375"/>
      <c r="BE77" s="392" t="str">
        <f ca="1">OFFSET(Initiatives!$D$1,U77-1,$BS$3)</f>
        <v>Data Integration/ETL</v>
      </c>
      <c r="BF77" s="375"/>
      <c r="BG77" s="392" t="str">
        <f ca="1">OFFSET(Initiatives!$D$1,V77-1,$BS$3)</f>
        <v>Data Warehouse / Data Marts</v>
      </c>
      <c r="BH77" s="375"/>
      <c r="BI77" s="392" t="str">
        <f ca="1">OFFSET(Initiatives!$D$1,W77-1,$BS$3)</f>
        <v>Development</v>
      </c>
      <c r="BJ77" s="375"/>
      <c r="BK77" s="392" t="e">
        <f ca="1">OFFSET(Initiatives!$D$1,X77-1,$BS$3)</f>
        <v>#REF!</v>
      </c>
      <c r="BL77" s="375"/>
      <c r="BN77" s="101">
        <f t="shared" si="1309"/>
        <v>12.0001</v>
      </c>
      <c r="BP77" s="231" t="str">
        <f t="shared" ca="1" si="1310"/>
        <v>Robust security (75%); Architecture (17%); Governance (8%)</v>
      </c>
      <c r="BQ77" s="338">
        <v>0.01</v>
      </c>
      <c r="BR77" s="40">
        <f t="shared" ca="1" si="1311"/>
        <v>3</v>
      </c>
      <c r="BS77" s="274">
        <v>0.05</v>
      </c>
      <c r="BT77" s="40">
        <f t="shared" ca="1" si="1312"/>
        <v>3</v>
      </c>
      <c r="BU77" s="376">
        <v>7</v>
      </c>
      <c r="BV77" s="40">
        <f t="shared" ca="1" si="1313"/>
        <v>3</v>
      </c>
      <c r="BY77" s="377">
        <f ca="1">IF(ISERROR(OFFSET(Initiatives!$D$1,E77-1,$BY$3)),,OFFSET(Initiatives!$D$1,E77-1,$BY$3))</f>
        <v>0.14000000000000001</v>
      </c>
      <c r="BZ77" s="377">
        <f ca="1">IF(ISERROR(OFFSET(Initiatives!$D$1,F77-1,$BY$3)),,OFFSET(Initiatives!$D$1,F77-1,$BY$3))</f>
        <v>0.14000000000000001</v>
      </c>
      <c r="CA77" s="377">
        <f ca="1">IF(ISERROR(OFFSET(Initiatives!$D$1,G77-1,$BY$3)),,OFFSET(Initiatives!$D$1,G77-1,$BY$3))</f>
        <v>0.14000000000000001</v>
      </c>
      <c r="CB77" s="377">
        <f ca="1">IF(ISERROR(OFFSET(Initiatives!$D$1,H77-1,$BY$3)),,OFFSET(Initiatives!$D$1,H77-1,$BY$3))</f>
        <v>9.9999999999999978E-2</v>
      </c>
      <c r="CC77" s="377">
        <f ca="1">IF(ISERROR(OFFSET(Initiatives!$D$1,I77-1,$BY$3)),,OFFSET(Initiatives!$D$1,I77-1,$BY$3))</f>
        <v>9.9999999999999978E-2</v>
      </c>
      <c r="CD77" s="377">
        <f ca="1">IF(ISERROR(OFFSET(Initiatives!$D$1,J77-1,$BY$3)),,OFFSET(Initiatives!$D$1,J77-1,$BY$3))</f>
        <v>9.9999999999999978E-2</v>
      </c>
      <c r="CE77" s="377">
        <f ca="1">IF(ISERROR(OFFSET(Initiatives!$D$1,K77-1,$BY$3)),,OFFSET(Initiatives!$D$1,K77-1,$BY$3))</f>
        <v>9.9999999999999978E-2</v>
      </c>
      <c r="CF77" s="377">
        <f ca="1">IF(ISERROR(OFFSET(Initiatives!$D$1,L77-1,$BY$3)),,OFFSET(Initiatives!$D$1,L77-1,$BY$3))</f>
        <v>9.9999999999999978E-2</v>
      </c>
      <c r="CG77" s="377">
        <f ca="1">IF(ISERROR(OFFSET(Initiatives!$D$1,M77-1,$BY$3)),,OFFSET(Initiatives!$D$1,M77-1,$BY$3))</f>
        <v>9.9999999999999978E-2</v>
      </c>
      <c r="CH77" s="377">
        <f ca="1">IF(ISERROR(OFFSET(Initiatives!$D$1,N77-1,$BY$3)),,OFFSET(Initiatives!$D$1,N77-1,$BY$3))</f>
        <v>9.9999999999999978E-2</v>
      </c>
      <c r="CI77" s="377">
        <f ca="1">IF(ISERROR(OFFSET(Initiatives!$D$1,O77-1,$BY$3)),,OFFSET(Initiatives!$D$1,O77-1,$BY$3))</f>
        <v>3.0000000000000027E-2</v>
      </c>
      <c r="CJ77" s="377">
        <f ca="1">IF(ISERROR(OFFSET(Initiatives!$D$1,P77-1,$BY$3)),,OFFSET(Initiatives!$D$1,P77-1,$BY$3))</f>
        <v>3.0000000000000027E-2</v>
      </c>
      <c r="CK77" s="377">
        <f ca="1">IF(ISERROR(OFFSET(Initiatives!$D$1,Q77-1,$BY$3)),,OFFSET(Initiatives!$D$1,Q77-1,$BY$3))</f>
        <v>3.0000000000000027E-2</v>
      </c>
      <c r="CL77" s="377">
        <f ca="1">IF(ISERROR(OFFSET(Initiatives!$D$1,R77-1,$BY$3)),,OFFSET(Initiatives!$D$1,R77-1,$BY$3))</f>
        <v>1.5000000000000124E-2</v>
      </c>
      <c r="CM77" s="377">
        <f ca="1">IF(ISERROR(OFFSET(Initiatives!$D$1,S77-1,$BY$3)),,OFFSET(Initiatives!$D$1,S77-1,$BY$3))</f>
        <v>0.14000000000000012</v>
      </c>
      <c r="CN77" s="377">
        <f ca="1">IF(ISERROR(OFFSET(Initiatives!$D$1,T77-1,$BY$3)),,OFFSET(Initiatives!$D$1,T77-1,$BY$3))</f>
        <v>9.9999999999999978E-2</v>
      </c>
      <c r="CO77" s="377">
        <f ca="1">IF(ISERROR(OFFSET(Initiatives!$D$1,U77-1,$BY$3)),,OFFSET(Initiatives!$D$1,U77-1,$BY$3))</f>
        <v>9.9999999999999978E-2</v>
      </c>
      <c r="CP77" s="377">
        <f ca="1">IF(ISERROR(OFFSET(Initiatives!$D$1,V77-1,$BY$3)),,OFFSET(Initiatives!$D$1,V77-1,$BY$3))</f>
        <v>3.0000000000000027E-2</v>
      </c>
      <c r="CQ77" s="377">
        <f ca="1">IF(ISERROR(OFFSET(Initiatives!$D$1,W77-1,$BY$3)),,OFFSET(Initiatives!$D$1,W77-1,$BY$3))</f>
        <v>1.5000000000000124E-2</v>
      </c>
      <c r="CR77" s="377">
        <f ca="1">IF(ISERROR(OFFSET(Initiatives!$D$1,X77-1,$BY$3)),,OFFSET(Initiatives!$D$1,X77-1,$BY$3))</f>
        <v>0</v>
      </c>
      <c r="CT77" s="41">
        <f t="shared" ca="1" si="1314"/>
        <v>1.1666569445254625E-2</v>
      </c>
      <c r="CU77" s="41">
        <f t="shared" ca="1" si="1315"/>
        <v>2.3333138890509249E-2</v>
      </c>
      <c r="CV77" s="41">
        <f t="shared" ca="1" si="1316"/>
        <v>0.10499912500729162</v>
      </c>
      <c r="CW77" s="41">
        <f t="shared" ca="1" si="1317"/>
        <v>0</v>
      </c>
      <c r="CX77" s="41">
        <f t="shared" ca="1" si="1318"/>
        <v>0</v>
      </c>
      <c r="CY77" s="41">
        <f t="shared" ca="1" si="1319"/>
        <v>0</v>
      </c>
      <c r="CZ77" s="41">
        <f t="shared" ca="1" si="1320"/>
        <v>0</v>
      </c>
      <c r="DA77" s="41">
        <f t="shared" ca="1" si="1321"/>
        <v>0</v>
      </c>
      <c r="DB77" s="41">
        <f t="shared" ca="1" si="1322"/>
        <v>0</v>
      </c>
      <c r="DC77" s="41">
        <f t="shared" ca="1" si="1323"/>
        <v>0</v>
      </c>
      <c r="DD77" s="41">
        <f t="shared" ca="1" si="1324"/>
        <v>0</v>
      </c>
      <c r="DE77" s="41">
        <f t="shared" ca="1" si="1325"/>
        <v>0</v>
      </c>
      <c r="DF77" s="41">
        <f t="shared" ca="1" si="1326"/>
        <v>0</v>
      </c>
      <c r="DG77" s="41">
        <f t="shared" ca="1" si="1327"/>
        <v>0</v>
      </c>
      <c r="DH77" s="41">
        <f t="shared" ca="1" si="1328"/>
        <v>0</v>
      </c>
      <c r="DI77" s="41">
        <f t="shared" ca="1" si="1329"/>
        <v>0</v>
      </c>
      <c r="DJ77" s="41">
        <f t="shared" ca="1" si="1330"/>
        <v>0</v>
      </c>
      <c r="DK77" s="41">
        <f t="shared" ca="1" si="1331"/>
        <v>0</v>
      </c>
      <c r="DL77" s="41">
        <f t="shared" ca="1" si="1332"/>
        <v>0</v>
      </c>
      <c r="DM77" s="41">
        <f t="shared" ca="1" si="1333"/>
        <v>0</v>
      </c>
      <c r="DN77" s="41">
        <f t="shared" ca="1" si="1334"/>
        <v>0.13999883334305549</v>
      </c>
      <c r="DP77" s="41">
        <f t="shared" ca="1" si="1335"/>
        <v>8.3323333333333346E-2</v>
      </c>
      <c r="DQ77" s="41">
        <f t="shared" ca="1" si="1336"/>
        <v>0.16664666666666669</v>
      </c>
      <c r="DR77" s="41">
        <f t="shared" ca="1" si="1337"/>
        <v>0.74997000000000003</v>
      </c>
      <c r="DS77" s="41">
        <f t="shared" ca="1" si="1338"/>
        <v>-4.0000000000000003E-5</v>
      </c>
      <c r="DT77" s="41">
        <f t="shared" ca="1" si="1339"/>
        <v>-5.0000000000000002E-5</v>
      </c>
      <c r="DU77" s="41">
        <f t="shared" ca="1" si="1340"/>
        <v>-6.0000000000000002E-5</v>
      </c>
      <c r="DV77" s="41">
        <f t="shared" ca="1" si="1341"/>
        <v>-6.9999999999999994E-5</v>
      </c>
      <c r="DW77" s="41">
        <f t="shared" ca="1" si="1342"/>
        <v>-8.0000000000000007E-5</v>
      </c>
      <c r="DX77" s="41">
        <f t="shared" ca="1" si="1343"/>
        <v>-9.0000000000000006E-5</v>
      </c>
      <c r="DY77" s="41">
        <f t="shared" ca="1" si="1344"/>
        <v>-1E-4</v>
      </c>
      <c r="DZ77" s="41">
        <f t="shared" ca="1" si="1345"/>
        <v>-1.1E-4</v>
      </c>
      <c r="EA77" s="41">
        <f t="shared" ca="1" si="1346"/>
        <v>-1.2E-4</v>
      </c>
      <c r="EB77" s="41">
        <f t="shared" ca="1" si="1347"/>
        <v>-1.2999999999999999E-4</v>
      </c>
      <c r="EC77" s="41">
        <f t="shared" ca="1" si="1348"/>
        <v>-1.3999999999999999E-4</v>
      </c>
      <c r="ED77" s="41">
        <f t="shared" ca="1" si="1349"/>
        <v>-1.4999999999999999E-4</v>
      </c>
      <c r="EE77" s="41">
        <f t="shared" ca="1" si="1350"/>
        <v>-1.6000000000000001E-4</v>
      </c>
      <c r="EF77" s="41">
        <f t="shared" ca="1" si="1351"/>
        <v>-1.7000000000000001E-4</v>
      </c>
      <c r="EG77" s="41">
        <f t="shared" ca="1" si="1352"/>
        <v>-1.8000000000000001E-4</v>
      </c>
      <c r="EH77" s="41">
        <f t="shared" ca="1" si="1353"/>
        <v>-1.9000000000000001E-4</v>
      </c>
      <c r="EI77" s="41">
        <f t="shared" ca="1" si="1354"/>
        <v>-2.0000000000000001E-4</v>
      </c>
      <c r="EJ77" s="41">
        <f t="shared" ca="1" si="1355"/>
        <v>0.99790000000000001</v>
      </c>
      <c r="EL77" s="378">
        <f t="shared" ca="1" si="1356"/>
        <v>3</v>
      </c>
      <c r="EM77" s="378">
        <f t="shared" ca="1" si="1357"/>
        <v>2</v>
      </c>
      <c r="EN77" s="378">
        <f t="shared" ca="1" si="1358"/>
        <v>1</v>
      </c>
      <c r="EO77" s="378">
        <f t="shared" ca="1" si="1359"/>
        <v>4</v>
      </c>
      <c r="EP77" s="378">
        <f t="shared" ca="1" si="1360"/>
        <v>5</v>
      </c>
      <c r="EQ77" s="378">
        <f t="shared" ca="1" si="1361"/>
        <v>6</v>
      </c>
      <c r="ER77" s="378">
        <f t="shared" ca="1" si="1362"/>
        <v>7</v>
      </c>
      <c r="ES77" s="378">
        <f t="shared" ca="1" si="1363"/>
        <v>8</v>
      </c>
      <c r="ET77" s="378">
        <f t="shared" ca="1" si="1364"/>
        <v>9</v>
      </c>
      <c r="EU77" s="378">
        <f t="shared" ca="1" si="1365"/>
        <v>10</v>
      </c>
      <c r="EV77" s="378">
        <f t="shared" ca="1" si="1366"/>
        <v>11</v>
      </c>
      <c r="EW77" s="378">
        <f t="shared" ca="1" si="1367"/>
        <v>12</v>
      </c>
      <c r="EX77" s="378">
        <f t="shared" ca="1" si="1368"/>
        <v>13</v>
      </c>
      <c r="EY77" s="378">
        <f t="shared" ca="1" si="1369"/>
        <v>14</v>
      </c>
      <c r="EZ77" s="378">
        <f t="shared" ca="1" si="1370"/>
        <v>15</v>
      </c>
      <c r="FA77" s="378">
        <f t="shared" ca="1" si="1371"/>
        <v>16</v>
      </c>
      <c r="FB77" s="378">
        <f t="shared" ca="1" si="1372"/>
        <v>17</v>
      </c>
      <c r="FC77" s="378">
        <f t="shared" ca="1" si="1373"/>
        <v>18</v>
      </c>
      <c r="FD77" s="378">
        <f t="shared" ca="1" si="1374"/>
        <v>19</v>
      </c>
      <c r="FE77" s="378">
        <f t="shared" ca="1" si="1375"/>
        <v>20</v>
      </c>
      <c r="FG77" s="378">
        <f t="shared" ca="1" si="1376"/>
        <v>3</v>
      </c>
      <c r="FH77" s="378">
        <f t="shared" ca="1" si="1376"/>
        <v>2</v>
      </c>
      <c r="FI77" s="378">
        <f t="shared" ca="1" si="1376"/>
        <v>1</v>
      </c>
      <c r="FJ77" s="378">
        <f t="shared" ca="1" si="1376"/>
        <v>4</v>
      </c>
      <c r="FK77" s="378">
        <f t="shared" ca="1" si="1376"/>
        <v>5</v>
      </c>
      <c r="FL77" s="378">
        <f t="shared" ca="1" si="1376"/>
        <v>6</v>
      </c>
      <c r="FM77" s="378">
        <f t="shared" ca="1" si="1376"/>
        <v>7</v>
      </c>
      <c r="FN77" s="378">
        <f t="shared" ca="1" si="1376"/>
        <v>8</v>
      </c>
      <c r="FO77" s="378">
        <f t="shared" ca="1" si="1376"/>
        <v>9</v>
      </c>
      <c r="FP77" s="378">
        <f t="shared" ca="1" si="1376"/>
        <v>10</v>
      </c>
      <c r="FQ77" s="378">
        <f t="shared" ca="1" si="1376"/>
        <v>11</v>
      </c>
      <c r="FR77" s="378">
        <f t="shared" ca="1" si="1376"/>
        <v>12</v>
      </c>
      <c r="FS77" s="378">
        <f t="shared" ca="1" si="1376"/>
        <v>13</v>
      </c>
      <c r="FT77" s="378">
        <f t="shared" ca="1" si="1376"/>
        <v>14</v>
      </c>
      <c r="FU77" s="378">
        <f t="shared" ca="1" si="1376"/>
        <v>15</v>
      </c>
      <c r="FV77" s="378">
        <f t="shared" ca="1" si="1376"/>
        <v>16</v>
      </c>
      <c r="FW77" s="378">
        <f t="shared" ca="1" si="1377"/>
        <v>17</v>
      </c>
      <c r="FX77" s="378">
        <f t="shared" ca="1" si="1377"/>
        <v>18</v>
      </c>
      <c r="FY77" s="378">
        <f t="shared" ca="1" si="1377"/>
        <v>19</v>
      </c>
      <c r="FZ77" s="378">
        <f t="shared" ca="1" si="1377"/>
        <v>20</v>
      </c>
      <c r="GB77" s="275" t="str">
        <f t="shared" ca="1" si="1378"/>
        <v>Robust security (75%)</v>
      </c>
      <c r="GC77" s="231" t="str">
        <f t="shared" ca="1" si="1379"/>
        <v>; Architecture (17%)</v>
      </c>
      <c r="GD77" s="231" t="str">
        <f t="shared" ca="1" si="1380"/>
        <v>; Governance (8%)</v>
      </c>
      <c r="GE77" s="231" t="str">
        <f t="shared" ca="1" si="1381"/>
        <v/>
      </c>
      <c r="GF77" s="231" t="str">
        <f t="shared" ca="1" si="1382"/>
        <v/>
      </c>
      <c r="GG77" s="231" t="str">
        <f t="shared" ca="1" si="1383"/>
        <v/>
      </c>
      <c r="GH77" s="231" t="str">
        <f t="shared" ca="1" si="1384"/>
        <v/>
      </c>
      <c r="GI77" s="231" t="str">
        <f t="shared" ca="1" si="1385"/>
        <v/>
      </c>
      <c r="GJ77" s="231" t="str">
        <f t="shared" ca="1" si="1386"/>
        <v/>
      </c>
      <c r="GK77" s="231" t="str">
        <f t="shared" ca="1" si="1387"/>
        <v/>
      </c>
      <c r="GL77" s="231" t="str">
        <f t="shared" ca="1" si="1388"/>
        <v/>
      </c>
      <c r="GM77" s="231" t="str">
        <f t="shared" ca="1" si="1389"/>
        <v/>
      </c>
      <c r="GN77" s="231" t="str">
        <f t="shared" ca="1" si="1390"/>
        <v/>
      </c>
      <c r="GO77" s="231" t="str">
        <f t="shared" ca="1" si="1391"/>
        <v/>
      </c>
      <c r="GP77" s="231" t="str">
        <f t="shared" ca="1" si="1392"/>
        <v/>
      </c>
      <c r="GQ77" s="231" t="str">
        <f t="shared" ca="1" si="1393"/>
        <v/>
      </c>
      <c r="GR77" s="231" t="str">
        <f t="shared" ca="1" si="1394"/>
        <v/>
      </c>
      <c r="GS77" s="231" t="str">
        <f t="shared" ca="1" si="1395"/>
        <v/>
      </c>
      <c r="GT77" s="231" t="str">
        <f t="shared" ca="1" si="1396"/>
        <v/>
      </c>
      <c r="GU77" s="231" t="str">
        <f t="shared" ca="1" si="1397"/>
        <v/>
      </c>
    </row>
    <row r="78" spans="2:203" hidden="1"/>
    <row r="79" spans="2:203" ht="15" hidden="1">
      <c r="B79" s="6" t="str">
        <f>Productivity!A26</f>
        <v>User Application Development</v>
      </c>
    </row>
    <row r="80" spans="2:203" s="386" customFormat="1" ht="25.5" hidden="1" customHeight="1">
      <c r="B80" s="373"/>
      <c r="C80" s="81" t="str">
        <f>Productivity!B27</f>
        <v>BI-dependent application development</v>
      </c>
      <c r="D80" s="404">
        <f t="shared" ref="D80:D81" ca="1" si="1398">DN80</f>
        <v>0.18313811707169508</v>
      </c>
      <c r="E80" s="374">
        <f>ROW(Initiatives!$A$123)</f>
        <v>123</v>
      </c>
      <c r="F80" s="374">
        <f>ROW(Initiatives!$A$124)</f>
        <v>124</v>
      </c>
      <c r="G80" s="374">
        <f>ROW(Initiatives!$A$125)</f>
        <v>125</v>
      </c>
      <c r="H80" s="374">
        <f>ROW(Initiatives!$A$170)</f>
        <v>170</v>
      </c>
      <c r="I80" s="374">
        <f>ROW(Initiatives!$A$176)</f>
        <v>176</v>
      </c>
      <c r="J80" s="374">
        <f>ROW(Initiatives!$A$178)</f>
        <v>178</v>
      </c>
      <c r="K80" s="374">
        <f>ROW(Initiatives!$A$179)</f>
        <v>179</v>
      </c>
      <c r="L80" s="374">
        <f>ROW(Initiatives!$A$181)</f>
        <v>181</v>
      </c>
      <c r="M80" s="374">
        <f>ROW(Initiatives!$A$189)</f>
        <v>189</v>
      </c>
      <c r="N80" s="374"/>
      <c r="O80" s="374"/>
      <c r="P80" s="374"/>
      <c r="Q80" s="374"/>
      <c r="R80" s="374"/>
      <c r="S80" s="374"/>
      <c r="T80" s="374"/>
      <c r="U80" s="374"/>
      <c r="V80" s="374"/>
      <c r="W80" s="374"/>
      <c r="X80" s="374"/>
      <c r="Y80" s="392" t="str">
        <f ca="1">OFFSET(Initiatives!$D$1,E80-1,$BS$3)</f>
        <v>Robust development tools</v>
      </c>
      <c r="Z80" s="375">
        <v>5</v>
      </c>
      <c r="AA80" s="392" t="str">
        <f ca="1">OFFSET(Initiatives!$D$1,F80-1,$BS$3)</f>
        <v>Extensible / supports web services</v>
      </c>
      <c r="AB80" s="375">
        <v>4</v>
      </c>
      <c r="AC80" s="392" t="str">
        <f ca="1">OFFSET(Initiatives!$D$1,G80-1,$BS$3)</f>
        <v>User app development</v>
      </c>
      <c r="AD80" s="375">
        <v>9</v>
      </c>
      <c r="AE80" s="392" t="str">
        <f ca="1">OFFSET(Initiatives!$D$1,H80-1,$BS$3)</f>
        <v>BI Applications</v>
      </c>
      <c r="AF80" s="375">
        <v>2</v>
      </c>
      <c r="AG80" s="392" t="str">
        <f ca="1">OFFSET(Initiatives!$D$1,I80-1,$BS$3)</f>
        <v>Source System Inclusion / Integration</v>
      </c>
      <c r="AH80" s="375">
        <v>3</v>
      </c>
      <c r="AI80" s="392" t="str">
        <f ca="1">OFFSET(Initiatives!$D$1,J80-1,$BS$3)</f>
        <v>Architecture Standards &amp; Adherence</v>
      </c>
      <c r="AJ80" s="375"/>
      <c r="AK80" s="392" t="str">
        <f ca="1">OFFSET(Initiatives!$D$1,K80-1,$BS$3)</f>
        <v>Data Management</v>
      </c>
      <c r="AL80" s="375"/>
      <c r="AM80" s="392" t="str">
        <f ca="1">OFFSET(Initiatives!$D$1,L80-1,$BS$3)</f>
        <v>Data Warehouse / Data Marts</v>
      </c>
      <c r="AN80" s="375"/>
      <c r="AO80" s="392" t="str">
        <f ca="1">OFFSET(Initiatives!$D$1,M80-1,$BS$3)</f>
        <v>Enhance BI Platform</v>
      </c>
      <c r="AP80" s="375">
        <v>4</v>
      </c>
      <c r="AQ80" s="392" t="e">
        <f ca="1">OFFSET(Initiatives!$D$1,N80-1,$BS$3)</f>
        <v>#REF!</v>
      </c>
      <c r="AR80" s="375"/>
      <c r="AS80" s="392" t="e">
        <f ca="1">OFFSET(Initiatives!$D$1,O80-1,$BS$3)</f>
        <v>#REF!</v>
      </c>
      <c r="AT80" s="375"/>
      <c r="AU80" s="392" t="e">
        <f ca="1">OFFSET(Initiatives!$D$1,P80-1,$BS$3)</f>
        <v>#REF!</v>
      </c>
      <c r="AV80" s="375"/>
      <c r="AW80" s="392" t="e">
        <f ca="1">OFFSET(Initiatives!$D$1,Q80-1,$BS$3)</f>
        <v>#REF!</v>
      </c>
      <c r="AX80" s="375"/>
      <c r="AY80" s="392" t="e">
        <f ca="1">OFFSET(Initiatives!$D$1,R80-1,$BS$3)</f>
        <v>#REF!</v>
      </c>
      <c r="AZ80" s="375"/>
      <c r="BA80" s="392" t="e">
        <f ca="1">OFFSET(Initiatives!$D$1,S80-1,$BS$3)</f>
        <v>#REF!</v>
      </c>
      <c r="BB80" s="375"/>
      <c r="BC80" s="392" t="e">
        <f ca="1">OFFSET(Initiatives!$D$1,T80-1,$BS$3)</f>
        <v>#REF!</v>
      </c>
      <c r="BD80" s="375"/>
      <c r="BE80" s="392" t="e">
        <f ca="1">OFFSET(Initiatives!$D$1,U80-1,$BS$3)</f>
        <v>#REF!</v>
      </c>
      <c r="BF80" s="375"/>
      <c r="BG80" s="392" t="e">
        <f ca="1">OFFSET(Initiatives!$D$1,V80-1,$BS$3)</f>
        <v>#REF!</v>
      </c>
      <c r="BH80" s="375"/>
      <c r="BI80" s="392" t="e">
        <f ca="1">OFFSET(Initiatives!$D$1,W80-1,$BS$3)</f>
        <v>#REF!</v>
      </c>
      <c r="BJ80" s="375"/>
      <c r="BK80" s="392" t="e">
        <f ca="1">OFFSET(Initiatives!$D$1,X80-1,$BS$3)</f>
        <v>#REF!</v>
      </c>
      <c r="BL80" s="375"/>
      <c r="BN80" s="101">
        <f t="shared" ref="BN80:BN81" si="1399">SUM(Z80,AB80,AD80,AF80,AH80,AJ80,AL80,AN80,AP80,AR80,AT80,AV80,AX80,AZ80,BB80,BD80,BF80,BH80,BJ80,BL80)+0.0001</f>
        <v>27.0001</v>
      </c>
      <c r="BP80" s="231" t="str">
        <f t="shared" ref="BP80:BP81" ca="1" si="1400">CONCATENATE(GB80,GC80,GD80,GE80,GF80,GG80,GH80,GI80,GJ80,GK80,GL80,GM80,GN80,GO80,GP80,GQ80,GR80,GS80,GT80,GU80)</f>
        <v>Enhance BI Platform (49%); Source System Inclusion / Integration (28%); BI Applications (18%)</v>
      </c>
      <c r="BQ80" s="338">
        <v>0.01</v>
      </c>
      <c r="BR80" s="40">
        <f t="shared" ref="BR80:BR81" ca="1" si="1401">COUNTIF(CT80:DM80,"&gt;"&amp;BQ80)</f>
        <v>3</v>
      </c>
      <c r="BS80" s="274">
        <v>0.05</v>
      </c>
      <c r="BT80" s="40">
        <f t="shared" ref="BT80:BT81" ca="1" si="1402">COUNTIF(DP80:EI80,"&gt;"&amp;BS80)</f>
        <v>3</v>
      </c>
      <c r="BU80" s="376">
        <v>7</v>
      </c>
      <c r="BV80" s="40">
        <f t="shared" ref="BV80:BV81" ca="1" si="1403">MIN(BR80,BT80,BU80)</f>
        <v>3</v>
      </c>
      <c r="BY80" s="377">
        <f ca="1">IF(ISERROR(OFFSET(Initiatives!$D$1,E80-1,$BY$3)),,OFFSET(Initiatives!$D$1,E80-1,$BY$3))</f>
        <v>1.5000000000000013E-2</v>
      </c>
      <c r="BZ80" s="377">
        <f ca="1">IF(ISERROR(OFFSET(Initiatives!$D$1,F80-1,$BY$3)),,OFFSET(Initiatives!$D$1,F80-1,$BY$3))</f>
        <v>1.5000000000000013E-2</v>
      </c>
      <c r="CA80" s="377">
        <f ca="1">IF(ISERROR(OFFSET(Initiatives!$D$1,G80-1,$BY$3)),,OFFSET(Initiatives!$D$1,G80-1,$BY$3))</f>
        <v>1.5000000000000013E-2</v>
      </c>
      <c r="CB80" s="377">
        <f ca="1">IF(ISERROR(OFFSET(Initiatives!$D$1,H80-1,$BY$3)),,OFFSET(Initiatives!$D$1,H80-1,$BY$3))</f>
        <v>0.45555555555555544</v>
      </c>
      <c r="CC80" s="377">
        <f ca="1">IF(ISERROR(OFFSET(Initiatives!$D$1,I80-1,$BY$3)),,OFFSET(Initiatives!$D$1,I80-1,$BY$3))</f>
        <v>0.45454545454545436</v>
      </c>
      <c r="CD80" s="377">
        <f ca="1">IF(ISERROR(OFFSET(Initiatives!$D$1,J80-1,$BY$3)),,OFFSET(Initiatives!$D$1,J80-1,$BY$3))</f>
        <v>0.14000000000000012</v>
      </c>
      <c r="CE80" s="377">
        <f ca="1">IF(ISERROR(OFFSET(Initiatives!$D$1,K80-1,$BY$3)),,OFFSET(Initiatives!$D$1,K80-1,$BY$3))</f>
        <v>9.9999999999999978E-2</v>
      </c>
      <c r="CF80" s="377">
        <f ca="1">IF(ISERROR(OFFSET(Initiatives!$D$1,L80-1,$BY$3)),,OFFSET(Initiatives!$D$1,L80-1,$BY$3))</f>
        <v>3.0000000000000027E-2</v>
      </c>
      <c r="CG80" s="377">
        <f ca="1">IF(ISERROR(OFFSET(Initiatives!$D$1,M80-1,$BY$3)),,OFFSET(Initiatives!$D$1,M80-1,$BY$3))</f>
        <v>0.6</v>
      </c>
      <c r="CH80" s="377">
        <f ca="1">IF(ISERROR(OFFSET(Initiatives!$D$1,N80-1,$BY$3)),,OFFSET(Initiatives!$D$1,N80-1,$BY$3))</f>
        <v>0</v>
      </c>
      <c r="CI80" s="377">
        <f ca="1">IF(ISERROR(OFFSET(Initiatives!$D$1,O80-1,$BY$3)),,OFFSET(Initiatives!$D$1,O80-1,$BY$3))</f>
        <v>0</v>
      </c>
      <c r="CJ80" s="377">
        <f ca="1">IF(ISERROR(OFFSET(Initiatives!$D$1,P80-1,$BY$3)),,OFFSET(Initiatives!$D$1,P80-1,$BY$3))</f>
        <v>0</v>
      </c>
      <c r="CK80" s="377">
        <f ca="1">IF(ISERROR(OFFSET(Initiatives!$D$1,Q80-1,$BY$3)),,OFFSET(Initiatives!$D$1,Q80-1,$BY$3))</f>
        <v>0</v>
      </c>
      <c r="CL80" s="377">
        <f ca="1">IF(ISERROR(OFFSET(Initiatives!$D$1,R80-1,$BY$3)),,OFFSET(Initiatives!$D$1,R80-1,$BY$3))</f>
        <v>0</v>
      </c>
      <c r="CM80" s="377">
        <f ca="1">IF(ISERROR(OFFSET(Initiatives!$D$1,S80-1,$BY$3)),,OFFSET(Initiatives!$D$1,S80-1,$BY$3))</f>
        <v>0</v>
      </c>
      <c r="CN80" s="377">
        <f ca="1">IF(ISERROR(OFFSET(Initiatives!$D$1,T80-1,$BY$3)),,OFFSET(Initiatives!$D$1,T80-1,$BY$3))</f>
        <v>0</v>
      </c>
      <c r="CO80" s="377">
        <f ca="1">IF(ISERROR(OFFSET(Initiatives!$D$1,U80-1,$BY$3)),,OFFSET(Initiatives!$D$1,U80-1,$BY$3))</f>
        <v>0</v>
      </c>
      <c r="CP80" s="377">
        <f ca="1">IF(ISERROR(OFFSET(Initiatives!$D$1,V80-1,$BY$3)),,OFFSET(Initiatives!$D$1,V80-1,$BY$3))</f>
        <v>0</v>
      </c>
      <c r="CQ80" s="377">
        <f ca="1">IF(ISERROR(OFFSET(Initiatives!$D$1,W80-1,$BY$3)),,OFFSET(Initiatives!$D$1,W80-1,$BY$3))</f>
        <v>0</v>
      </c>
      <c r="CR80" s="377">
        <f ca="1">IF(ISERROR(OFFSET(Initiatives!$D$1,X80-1,$BY$3)),,OFFSET(Initiatives!$D$1,X80-1,$BY$3))</f>
        <v>0</v>
      </c>
      <c r="CT80" s="41">
        <f t="shared" ref="CT80:CT81" ca="1" si="1404">BY80*Z80/$BN80</f>
        <v>2.7777674897500404E-3</v>
      </c>
      <c r="CU80" s="41">
        <f t="shared" ref="CU80:CU81" ca="1" si="1405">BZ80*AB80/$BN80</f>
        <v>2.2222139918000325E-3</v>
      </c>
      <c r="CV80" s="41">
        <f t="shared" ref="CV80:CV81" ca="1" si="1406">CA80*AD80/$BN80</f>
        <v>4.999981481550073E-3</v>
      </c>
      <c r="CW80" s="41">
        <f t="shared" ref="CW80:CW81" ca="1" si="1407">CB80*AF80/$BN80</f>
        <v>3.3744730986593044E-2</v>
      </c>
      <c r="CX80" s="41">
        <f t="shared" ref="CX80:CX81" ca="1" si="1408">CC80*AH80/$BN80</f>
        <v>5.0504863450000673E-2</v>
      </c>
      <c r="CY80" s="41">
        <f t="shared" ref="CY80:CY81" ca="1" si="1409">CD80*AJ80/$BN80</f>
        <v>0</v>
      </c>
      <c r="CZ80" s="41">
        <f t="shared" ref="CZ80:CZ81" ca="1" si="1410">CE80*AL80/$BN80</f>
        <v>0</v>
      </c>
      <c r="DA80" s="41">
        <f t="shared" ref="DA80:DA81" ca="1" si="1411">CF80*AN80/$BN80</f>
        <v>0</v>
      </c>
      <c r="DB80" s="41">
        <f t="shared" ref="DB80:DB81" ca="1" si="1412">CG80*AP80/$BN80</f>
        <v>8.8888559672001211E-2</v>
      </c>
      <c r="DC80" s="41">
        <f t="shared" ref="DC80:DC81" ca="1" si="1413">CH80*AR80/$BN80</f>
        <v>0</v>
      </c>
      <c r="DD80" s="41">
        <f t="shared" ref="DD80:DD81" ca="1" si="1414">CI80*AT80/$BN80</f>
        <v>0</v>
      </c>
      <c r="DE80" s="41">
        <f t="shared" ref="DE80:DE81" ca="1" si="1415">CJ80*AV80/$BN80</f>
        <v>0</v>
      </c>
      <c r="DF80" s="41">
        <f t="shared" ref="DF80:DF81" ca="1" si="1416">CK80*AX80/$BN80</f>
        <v>0</v>
      </c>
      <c r="DG80" s="41">
        <f t="shared" ref="DG80:DG81" ca="1" si="1417">CL80*AZ80/$BN80</f>
        <v>0</v>
      </c>
      <c r="DH80" s="41">
        <f t="shared" ref="DH80:DH81" ca="1" si="1418">CM80*BB80/$BN80</f>
        <v>0</v>
      </c>
      <c r="DI80" s="41">
        <f t="shared" ref="DI80:DI81" ca="1" si="1419">CN80*BD80/$BN80</f>
        <v>0</v>
      </c>
      <c r="DJ80" s="41">
        <f t="shared" ref="DJ80:DJ81" ca="1" si="1420">CO80*BF80/$BN80</f>
        <v>0</v>
      </c>
      <c r="DK80" s="41">
        <f t="shared" ref="DK80:DK81" ca="1" si="1421">CP80*BH80/$BN80</f>
        <v>0</v>
      </c>
      <c r="DL80" s="41">
        <f t="shared" ref="DL80:DL81" ca="1" si="1422">CQ80*BJ80/$BN80</f>
        <v>0</v>
      </c>
      <c r="DM80" s="41">
        <f t="shared" ref="DM80:DM81" ca="1" si="1423">CR80*BL80/$BN80</f>
        <v>0</v>
      </c>
      <c r="DN80" s="41">
        <f t="shared" ref="DN80:DN81" ca="1" si="1424">SUM(CT80:DM80)</f>
        <v>0.18313811707169508</v>
      </c>
      <c r="DP80" s="41">
        <f t="shared" ref="DP80:DP81" ca="1" si="1425">CT80/$DN80-DP$5/100000</f>
        <v>1.5157609748125769E-2</v>
      </c>
      <c r="DQ80" s="41">
        <f t="shared" ref="DQ80:DQ81" ca="1" si="1426">CU80/$DN80-DQ$5/100000</f>
        <v>1.2114087798500615E-2</v>
      </c>
      <c r="DR80" s="41">
        <f t="shared" ref="DR80:DR81" ca="1" si="1427">CV80/$DN80-DR$5/100000</f>
        <v>2.7271697546626384E-2</v>
      </c>
      <c r="DS80" s="41">
        <f t="shared" ref="DS80:DS81" ca="1" si="1428">CW80/$DN80-DS$5/100000</f>
        <v>0.18421837027352761</v>
      </c>
      <c r="DT80" s="41">
        <f t="shared" ref="DT80:DT81" ca="1" si="1429">CX80/$DN80-DT$5/100000</f>
        <v>0.27572472269319542</v>
      </c>
      <c r="DU80" s="41">
        <f t="shared" ref="DU80:DU81" ca="1" si="1430">CY80/$DN80-DU$5/100000</f>
        <v>-6.0000000000000002E-5</v>
      </c>
      <c r="DV80" s="41">
        <f t="shared" ref="DV80:DV81" ca="1" si="1431">CZ80/$DN80-DV$5/100000</f>
        <v>-6.9999999999999994E-5</v>
      </c>
      <c r="DW80" s="41">
        <f t="shared" ref="DW80:DW81" ca="1" si="1432">DA80/$DN80-DW$5/100000</f>
        <v>-8.0000000000000007E-5</v>
      </c>
      <c r="DX80" s="41">
        <f t="shared" ref="DX80:DX81" ca="1" si="1433">DB80/$DN80-DX$5/100000</f>
        <v>0.48527351194002416</v>
      </c>
      <c r="DY80" s="41">
        <f t="shared" ref="DY80:DY81" ca="1" si="1434">DC80/$DN80-DY$5/100000</f>
        <v>-1E-4</v>
      </c>
      <c r="DZ80" s="41">
        <f t="shared" ref="DZ80:DZ81" ca="1" si="1435">DD80/$DN80-DZ$5/100000</f>
        <v>-1.1E-4</v>
      </c>
      <c r="EA80" s="41">
        <f t="shared" ref="EA80:EA81" ca="1" si="1436">DE80/$DN80-EA$5/100000</f>
        <v>-1.2E-4</v>
      </c>
      <c r="EB80" s="41">
        <f t="shared" ref="EB80:EB81" ca="1" si="1437">DF80/$DN80-EB$5/100000</f>
        <v>-1.2999999999999999E-4</v>
      </c>
      <c r="EC80" s="41">
        <f t="shared" ref="EC80:EC81" ca="1" si="1438">DG80/$DN80-EC$5/100000</f>
        <v>-1.3999999999999999E-4</v>
      </c>
      <c r="ED80" s="41">
        <f t="shared" ref="ED80:ED81" ca="1" si="1439">DH80/$DN80-ED$5/100000</f>
        <v>-1.4999999999999999E-4</v>
      </c>
      <c r="EE80" s="41">
        <f t="shared" ref="EE80:EE81" ca="1" si="1440">DI80/$DN80-EE$5/100000</f>
        <v>-1.6000000000000001E-4</v>
      </c>
      <c r="EF80" s="41">
        <f t="shared" ref="EF80:EF81" ca="1" si="1441">DJ80/$DN80-EF$5/100000</f>
        <v>-1.7000000000000001E-4</v>
      </c>
      <c r="EG80" s="41">
        <f t="shared" ref="EG80:EG81" ca="1" si="1442">DK80/$DN80-EG$5/100000</f>
        <v>-1.8000000000000001E-4</v>
      </c>
      <c r="EH80" s="41">
        <f t="shared" ref="EH80:EH81" ca="1" si="1443">DL80/$DN80-EH$5/100000</f>
        <v>-1.9000000000000001E-4</v>
      </c>
      <c r="EI80" s="41">
        <f t="shared" ref="EI80:EI81" ca="1" si="1444">DM80/$DN80-EI$5/100000</f>
        <v>-2.0000000000000001E-4</v>
      </c>
      <c r="EJ80" s="41">
        <f t="shared" ref="EJ80:EJ81" ca="1" si="1445">SUM(DP80:EI80)</f>
        <v>0.9978999999999999</v>
      </c>
      <c r="EL80" s="378">
        <f t="shared" ref="EL80:EL81" ca="1" si="1446">RANK(DP80,$DP80:$EI80)</f>
        <v>5</v>
      </c>
      <c r="EM80" s="378">
        <f t="shared" ref="EM80:EM81" ca="1" si="1447">RANK(DQ80,$DP80:$EI80)</f>
        <v>6</v>
      </c>
      <c r="EN80" s="378">
        <f t="shared" ref="EN80:EN81" ca="1" si="1448">RANK(DR80,$DP80:$EI80)</f>
        <v>4</v>
      </c>
      <c r="EO80" s="378">
        <f t="shared" ref="EO80:EO81" ca="1" si="1449">RANK(DS80,$DP80:$EI80)</f>
        <v>3</v>
      </c>
      <c r="EP80" s="378">
        <f t="shared" ref="EP80:EP81" ca="1" si="1450">RANK(DT80,$DP80:$EI80)</f>
        <v>2</v>
      </c>
      <c r="EQ80" s="378">
        <f t="shared" ref="EQ80:EQ81" ca="1" si="1451">RANK(DU80,$DP80:$EI80)</f>
        <v>7</v>
      </c>
      <c r="ER80" s="378">
        <f t="shared" ref="ER80:ER81" ca="1" si="1452">RANK(DV80,$DP80:$EI80)</f>
        <v>8</v>
      </c>
      <c r="ES80" s="378">
        <f t="shared" ref="ES80:ES81" ca="1" si="1453">RANK(DW80,$DP80:$EI80)</f>
        <v>9</v>
      </c>
      <c r="ET80" s="378">
        <f t="shared" ref="ET80:ET81" ca="1" si="1454">RANK(DX80,$DP80:$EI80)</f>
        <v>1</v>
      </c>
      <c r="EU80" s="378">
        <f t="shared" ref="EU80:EU81" ca="1" si="1455">RANK(DY80,$DP80:$EI80)</f>
        <v>10</v>
      </c>
      <c r="EV80" s="378">
        <f t="shared" ref="EV80:EV81" ca="1" si="1456">RANK(DZ80,$DP80:$EI80)</f>
        <v>11</v>
      </c>
      <c r="EW80" s="378">
        <f t="shared" ref="EW80:EW81" ca="1" si="1457">RANK(EA80,$DP80:$EI80)</f>
        <v>12</v>
      </c>
      <c r="EX80" s="378">
        <f t="shared" ref="EX80:EX81" ca="1" si="1458">RANK(EB80,$DP80:$EI80)</f>
        <v>13</v>
      </c>
      <c r="EY80" s="378">
        <f t="shared" ref="EY80:EY81" ca="1" si="1459">RANK(EC80,$DP80:$EI80)</f>
        <v>14</v>
      </c>
      <c r="EZ80" s="378">
        <f t="shared" ref="EZ80:EZ81" ca="1" si="1460">RANK(ED80,$DP80:$EI80)</f>
        <v>15</v>
      </c>
      <c r="FA80" s="378">
        <f t="shared" ref="FA80:FA81" ca="1" si="1461">RANK(EE80,$DP80:$EI80)</f>
        <v>16</v>
      </c>
      <c r="FB80" s="378">
        <f t="shared" ref="FB80:FB81" ca="1" si="1462">RANK(EF80,$DP80:$EI80)</f>
        <v>17</v>
      </c>
      <c r="FC80" s="378">
        <f t="shared" ref="FC80:FC81" ca="1" si="1463">RANK(EG80,$DP80:$EI80)</f>
        <v>18</v>
      </c>
      <c r="FD80" s="378">
        <f t="shared" ref="FD80:FD81" ca="1" si="1464">RANK(EH80,$DP80:$EI80)</f>
        <v>19</v>
      </c>
      <c r="FE80" s="378">
        <f t="shared" ref="FE80:FE81" ca="1" si="1465">RANK(EI80,$DP80:$EI80)</f>
        <v>20</v>
      </c>
      <c r="FG80" s="378">
        <f t="shared" ref="FG80:FV81" ca="1" si="1466">MATCH(FG$5,$EL80:$FE80,0)</f>
        <v>9</v>
      </c>
      <c r="FH80" s="378">
        <f t="shared" ca="1" si="1466"/>
        <v>5</v>
      </c>
      <c r="FI80" s="378">
        <f t="shared" ca="1" si="1466"/>
        <v>4</v>
      </c>
      <c r="FJ80" s="378">
        <f t="shared" ca="1" si="1466"/>
        <v>3</v>
      </c>
      <c r="FK80" s="378">
        <f t="shared" ca="1" si="1466"/>
        <v>1</v>
      </c>
      <c r="FL80" s="378">
        <f t="shared" ca="1" si="1466"/>
        <v>2</v>
      </c>
      <c r="FM80" s="378">
        <f t="shared" ca="1" si="1466"/>
        <v>6</v>
      </c>
      <c r="FN80" s="378">
        <f t="shared" ca="1" si="1466"/>
        <v>7</v>
      </c>
      <c r="FO80" s="378">
        <f t="shared" ca="1" si="1466"/>
        <v>8</v>
      </c>
      <c r="FP80" s="378">
        <f t="shared" ca="1" si="1466"/>
        <v>10</v>
      </c>
      <c r="FQ80" s="378">
        <f t="shared" ca="1" si="1466"/>
        <v>11</v>
      </c>
      <c r="FR80" s="378">
        <f t="shared" ca="1" si="1466"/>
        <v>12</v>
      </c>
      <c r="FS80" s="378">
        <f t="shared" ca="1" si="1466"/>
        <v>13</v>
      </c>
      <c r="FT80" s="378">
        <f t="shared" ca="1" si="1466"/>
        <v>14</v>
      </c>
      <c r="FU80" s="378">
        <f t="shared" ca="1" si="1466"/>
        <v>15</v>
      </c>
      <c r="FV80" s="378">
        <f t="shared" ca="1" si="1466"/>
        <v>16</v>
      </c>
      <c r="FW80" s="378">
        <f t="shared" ref="FW80:FZ81" ca="1" si="1467">MATCH(FW$5,$EL80:$FE80,0)</f>
        <v>17</v>
      </c>
      <c r="FX80" s="378">
        <f t="shared" ca="1" si="1467"/>
        <v>18</v>
      </c>
      <c r="FY80" s="378">
        <f t="shared" ca="1" si="1467"/>
        <v>19</v>
      </c>
      <c r="FZ80" s="378">
        <f t="shared" ca="1" si="1467"/>
        <v>20</v>
      </c>
      <c r="GB80" s="275" t="str">
        <f t="shared" ref="GB80:GB81" ca="1" si="1468">IF(GB$5&lt;=$BV80,INDEX($Y80:$BL80,1,FG80*2-1)&amp;" ("&amp;TEXT(INDEX($DP80:$EI80,1,FG80),"0%")&amp;")","")</f>
        <v>Enhance BI Platform (49%)</v>
      </c>
      <c r="GC80" s="231" t="str">
        <f t="shared" ref="GC80:GC81" ca="1" si="1469">IF(GC$5&lt;=$BV80,"; "&amp;INDEX($Y80:$BL80,1,FH80*2-1)&amp;" ("&amp;TEXT(INDEX($DP80:$EI80,1,FH80),"0%")&amp;")","")</f>
        <v>; Source System Inclusion / Integration (28%)</v>
      </c>
      <c r="GD80" s="231" t="str">
        <f t="shared" ref="GD80:GD81" ca="1" si="1470">IF(GD$5&lt;=$BV80,"; "&amp;INDEX($Y80:$BL80,1,FI80*2-1)&amp;" ("&amp;TEXT(INDEX($DP80:$EI80,1,FI80),"0%")&amp;")","")</f>
        <v>; BI Applications (18%)</v>
      </c>
      <c r="GE80" s="231" t="str">
        <f t="shared" ref="GE80:GE81" ca="1" si="1471">IF(GE$5&lt;=$BV80,"; "&amp;INDEX($Y80:$BL80,1,FJ80*2-1)&amp;" ("&amp;TEXT(INDEX($DP80:$EI80,1,FJ80),"0%")&amp;")","")</f>
        <v/>
      </c>
      <c r="GF80" s="231" t="str">
        <f t="shared" ref="GF80:GF81" ca="1" si="1472">IF(GF$5&lt;=$BV80,"; "&amp;INDEX($Y80:$BL80,1,FK80*2-1)&amp;" ("&amp;TEXT(INDEX($DP80:$EI80,1,FK80),"0%")&amp;")","")</f>
        <v/>
      </c>
      <c r="GG80" s="231" t="str">
        <f t="shared" ref="GG80:GG81" ca="1" si="1473">IF(GG$5&lt;=$BV80,"; "&amp;INDEX($Y80:$BL80,1,FL80*2-1)&amp;" ("&amp;TEXT(INDEX($DP80:$EI80,1,FL80),"0%")&amp;")","")</f>
        <v/>
      </c>
      <c r="GH80" s="231" t="str">
        <f t="shared" ref="GH80:GH81" ca="1" si="1474">IF(GH$5&lt;=$BV80,"; "&amp;INDEX($Y80:$BL80,1,FM80*2-1)&amp;" ("&amp;TEXT(INDEX($DP80:$EI80,1,FM80),"0%")&amp;")","")</f>
        <v/>
      </c>
      <c r="GI80" s="231" t="str">
        <f t="shared" ref="GI80:GI81" ca="1" si="1475">IF(GI$5&lt;=$BV80,"; "&amp;INDEX($Y80:$BL80,1,FN80*2-1)&amp;" ("&amp;TEXT(INDEX($DP80:$EI80,1,FN80),"0%")&amp;")","")</f>
        <v/>
      </c>
      <c r="GJ80" s="231" t="str">
        <f t="shared" ref="GJ80:GJ81" ca="1" si="1476">IF(GJ$5&lt;=$BV80,"; "&amp;INDEX($Y80:$BL80,1,FO80*2-1)&amp;" ("&amp;TEXT(INDEX($DP80:$EI80,1,FO80),"0%")&amp;")","")</f>
        <v/>
      </c>
      <c r="GK80" s="231" t="str">
        <f t="shared" ref="GK80:GK81" ca="1" si="1477">IF(GK$5&lt;=$BV80,"; "&amp;INDEX($Y80:$BL80,1,FP80*2-1)&amp;" ("&amp;TEXT(INDEX($DP80:$EI80,1,FP80),"0%")&amp;")","")</f>
        <v/>
      </c>
      <c r="GL80" s="231" t="str">
        <f t="shared" ref="GL80:GL81" ca="1" si="1478">IF(GL$5&lt;=$BV80,"; "&amp;INDEX($Y80:$BL80,1,FQ80*2-1)&amp;" ("&amp;TEXT(INDEX($DP80:$EI80,1,FQ80),"0%")&amp;")","")</f>
        <v/>
      </c>
      <c r="GM80" s="231" t="str">
        <f t="shared" ref="GM80:GM81" ca="1" si="1479">IF(GM$5&lt;=$BV80,"; "&amp;INDEX($Y80:$BL80,1,FR80*2-1)&amp;" ("&amp;TEXT(INDEX($DP80:$EI80,1,FR80),"0%")&amp;")","")</f>
        <v/>
      </c>
      <c r="GN80" s="231" t="str">
        <f t="shared" ref="GN80:GN81" ca="1" si="1480">IF(GN$5&lt;=$BV80,"; "&amp;INDEX($Y80:$BL80,1,FS80*2-1)&amp;" ("&amp;TEXT(INDEX($DP80:$EI80,1,FS80),"0%")&amp;")","")</f>
        <v/>
      </c>
      <c r="GO80" s="231" t="str">
        <f t="shared" ref="GO80:GO81" ca="1" si="1481">IF(GO$5&lt;=$BV80,"; "&amp;INDEX($Y80:$BL80,1,FT80*2-1)&amp;" ("&amp;TEXT(INDEX($DP80:$EI80,1,FT80),"0%")&amp;")","")</f>
        <v/>
      </c>
      <c r="GP80" s="231" t="str">
        <f t="shared" ref="GP80:GP81" ca="1" si="1482">IF(GP$5&lt;=$BV80,"; "&amp;INDEX($Y80:$BL80,1,FU80*2-1)&amp;" ("&amp;TEXT(INDEX($DP80:$EI80,1,FU80),"0%")&amp;")","")</f>
        <v/>
      </c>
      <c r="GQ80" s="231" t="str">
        <f t="shared" ref="GQ80:GQ81" ca="1" si="1483">IF(GQ$5&lt;=$BV80,"; "&amp;INDEX($Y80:$BL80,1,FV80*2-1)&amp;" ("&amp;TEXT(INDEX($DP80:$EI80,1,FV80),"0%")&amp;")","")</f>
        <v/>
      </c>
      <c r="GR80" s="231" t="str">
        <f t="shared" ref="GR80:GR81" ca="1" si="1484">IF(GR$5&lt;=$BV80,"; "&amp;INDEX($Y80:$BL80,1,FW80*2-1)&amp;" ("&amp;TEXT(INDEX($DP80:$EI80,1,FW80),"0%")&amp;")","")</f>
        <v/>
      </c>
      <c r="GS80" s="231" t="str">
        <f t="shared" ref="GS80:GS81" ca="1" si="1485">IF(GS$5&lt;=$BV80,"; "&amp;INDEX($Y80:$BL80,1,FX80*2-1)&amp;" ("&amp;TEXT(INDEX($DP80:$EI80,1,FX80),"0%")&amp;")","")</f>
        <v/>
      </c>
      <c r="GT80" s="231" t="str">
        <f t="shared" ref="GT80:GT81" ca="1" si="1486">IF(GT$5&lt;=$BV80,"; "&amp;INDEX($Y80:$BL80,1,FY80*2-1)&amp;" ("&amp;TEXT(INDEX($DP80:$EI80,1,FY80),"0%")&amp;")","")</f>
        <v/>
      </c>
      <c r="GU80" s="231" t="str">
        <f t="shared" ref="GU80:GU81" ca="1" si="1487">IF(GU$5&lt;=$BV80,"; "&amp;INDEX($Y80:$BL80,1,FZ80*2-1)&amp;" ("&amp;TEXT(INDEX($DP80:$EI80,1,FZ80),"0%")&amp;")","")</f>
        <v/>
      </c>
    </row>
    <row r="81" spans="1:203" s="386" customFormat="1" ht="25.5" hidden="1" customHeight="1">
      <c r="B81" s="373"/>
      <c r="C81" s="81" t="str">
        <f>Productivity!B28</f>
        <v>New application capabilities</v>
      </c>
      <c r="D81" s="404">
        <f t="shared" ca="1" si="1398"/>
        <v>0.18313811707169508</v>
      </c>
      <c r="E81" s="374">
        <f>ROW(Initiatives!$A$123)</f>
        <v>123</v>
      </c>
      <c r="F81" s="374">
        <f>ROW(Initiatives!$A$124)</f>
        <v>124</v>
      </c>
      <c r="G81" s="374">
        <f>ROW(Initiatives!$A$125)</f>
        <v>125</v>
      </c>
      <c r="H81" s="374">
        <f>ROW(Initiatives!$A$170)</f>
        <v>170</v>
      </c>
      <c r="I81" s="374">
        <f>ROW(Initiatives!$A$176)</f>
        <v>176</v>
      </c>
      <c r="J81" s="374">
        <f>ROW(Initiatives!$A$178)</f>
        <v>178</v>
      </c>
      <c r="K81" s="374">
        <f>ROW(Initiatives!$A$179)</f>
        <v>179</v>
      </c>
      <c r="L81" s="374">
        <f>ROW(Initiatives!$A$181)</f>
        <v>181</v>
      </c>
      <c r="M81" s="374">
        <f>ROW(Initiatives!$A$189)</f>
        <v>189</v>
      </c>
      <c r="N81" s="374"/>
      <c r="O81" s="374"/>
      <c r="P81" s="374"/>
      <c r="Q81" s="374"/>
      <c r="R81" s="374"/>
      <c r="S81" s="374"/>
      <c r="T81" s="374"/>
      <c r="U81" s="374"/>
      <c r="V81" s="374"/>
      <c r="W81" s="374"/>
      <c r="X81" s="374"/>
      <c r="Y81" s="392" t="str">
        <f ca="1">OFFSET(Initiatives!$D$1,E81-1,$BS$3)</f>
        <v>Robust development tools</v>
      </c>
      <c r="Z81" s="375">
        <v>5</v>
      </c>
      <c r="AA81" s="392" t="str">
        <f ca="1">OFFSET(Initiatives!$D$1,F81-1,$BS$3)</f>
        <v>Extensible / supports web services</v>
      </c>
      <c r="AB81" s="375">
        <v>4</v>
      </c>
      <c r="AC81" s="392" t="str">
        <f ca="1">OFFSET(Initiatives!$D$1,G81-1,$BS$3)</f>
        <v>User app development</v>
      </c>
      <c r="AD81" s="375">
        <v>9</v>
      </c>
      <c r="AE81" s="392" t="str">
        <f ca="1">OFFSET(Initiatives!$D$1,H81-1,$BS$3)</f>
        <v>BI Applications</v>
      </c>
      <c r="AF81" s="375">
        <v>2</v>
      </c>
      <c r="AG81" s="392" t="str">
        <f ca="1">OFFSET(Initiatives!$D$1,I81-1,$BS$3)</f>
        <v>Source System Inclusion / Integration</v>
      </c>
      <c r="AH81" s="375">
        <v>3</v>
      </c>
      <c r="AI81" s="392" t="str">
        <f ca="1">OFFSET(Initiatives!$D$1,J81-1,$BS$3)</f>
        <v>Architecture Standards &amp; Adherence</v>
      </c>
      <c r="AJ81" s="375"/>
      <c r="AK81" s="392" t="str">
        <f ca="1">OFFSET(Initiatives!$D$1,K81-1,$BS$3)</f>
        <v>Data Management</v>
      </c>
      <c r="AL81" s="375"/>
      <c r="AM81" s="392" t="str">
        <f ca="1">OFFSET(Initiatives!$D$1,L81-1,$BS$3)</f>
        <v>Data Warehouse / Data Marts</v>
      </c>
      <c r="AN81" s="375"/>
      <c r="AO81" s="392" t="str">
        <f ca="1">OFFSET(Initiatives!$D$1,M81-1,$BS$3)</f>
        <v>Enhance BI Platform</v>
      </c>
      <c r="AP81" s="375">
        <v>4</v>
      </c>
      <c r="AQ81" s="392" t="e">
        <f ca="1">OFFSET(Initiatives!$D$1,N81-1,$BS$3)</f>
        <v>#REF!</v>
      </c>
      <c r="AR81" s="375"/>
      <c r="AS81" s="392" t="e">
        <f ca="1">OFFSET(Initiatives!$D$1,O81-1,$BS$3)</f>
        <v>#REF!</v>
      </c>
      <c r="AT81" s="375"/>
      <c r="AU81" s="392" t="e">
        <f ca="1">OFFSET(Initiatives!$D$1,P81-1,$BS$3)</f>
        <v>#REF!</v>
      </c>
      <c r="AV81" s="375"/>
      <c r="AW81" s="392" t="e">
        <f ca="1">OFFSET(Initiatives!$D$1,Q81-1,$BS$3)</f>
        <v>#REF!</v>
      </c>
      <c r="AX81" s="375"/>
      <c r="AY81" s="392" t="e">
        <f ca="1">OFFSET(Initiatives!$D$1,R81-1,$BS$3)</f>
        <v>#REF!</v>
      </c>
      <c r="AZ81" s="375"/>
      <c r="BA81" s="392" t="e">
        <f ca="1">OFFSET(Initiatives!$D$1,S81-1,$BS$3)</f>
        <v>#REF!</v>
      </c>
      <c r="BB81" s="375"/>
      <c r="BC81" s="392" t="e">
        <f ca="1">OFFSET(Initiatives!$D$1,T81-1,$BS$3)</f>
        <v>#REF!</v>
      </c>
      <c r="BD81" s="375"/>
      <c r="BE81" s="392" t="e">
        <f ca="1">OFFSET(Initiatives!$D$1,U81-1,$BS$3)</f>
        <v>#REF!</v>
      </c>
      <c r="BF81" s="375"/>
      <c r="BG81" s="392" t="e">
        <f ca="1">OFFSET(Initiatives!$D$1,V81-1,$BS$3)</f>
        <v>#REF!</v>
      </c>
      <c r="BH81" s="375"/>
      <c r="BI81" s="392" t="e">
        <f ca="1">OFFSET(Initiatives!$D$1,W81-1,$BS$3)</f>
        <v>#REF!</v>
      </c>
      <c r="BJ81" s="375"/>
      <c r="BK81" s="392" t="e">
        <f ca="1">OFFSET(Initiatives!$D$1,X81-1,$BS$3)</f>
        <v>#REF!</v>
      </c>
      <c r="BL81" s="375"/>
      <c r="BN81" s="101">
        <f t="shared" si="1399"/>
        <v>27.0001</v>
      </c>
      <c r="BP81" s="231" t="str">
        <f t="shared" ca="1" si="1400"/>
        <v>Enhance BI Platform (49%); Source System Inclusion / Integration (28%); BI Applications (18%)</v>
      </c>
      <c r="BQ81" s="338">
        <v>0.01</v>
      </c>
      <c r="BR81" s="40">
        <f t="shared" ca="1" si="1401"/>
        <v>3</v>
      </c>
      <c r="BS81" s="274">
        <v>0.05</v>
      </c>
      <c r="BT81" s="40">
        <f t="shared" ca="1" si="1402"/>
        <v>3</v>
      </c>
      <c r="BU81" s="376">
        <v>7</v>
      </c>
      <c r="BV81" s="40">
        <f t="shared" ca="1" si="1403"/>
        <v>3</v>
      </c>
      <c r="BY81" s="377">
        <f ca="1">IF(ISERROR(OFFSET(Initiatives!$D$1,E81-1,$BY$3)),,OFFSET(Initiatives!$D$1,E81-1,$BY$3))</f>
        <v>1.5000000000000013E-2</v>
      </c>
      <c r="BZ81" s="377">
        <f ca="1">IF(ISERROR(OFFSET(Initiatives!$D$1,F81-1,$BY$3)),,OFFSET(Initiatives!$D$1,F81-1,$BY$3))</f>
        <v>1.5000000000000013E-2</v>
      </c>
      <c r="CA81" s="377">
        <f ca="1">IF(ISERROR(OFFSET(Initiatives!$D$1,G81-1,$BY$3)),,OFFSET(Initiatives!$D$1,G81-1,$BY$3))</f>
        <v>1.5000000000000013E-2</v>
      </c>
      <c r="CB81" s="377">
        <f ca="1">IF(ISERROR(OFFSET(Initiatives!$D$1,H81-1,$BY$3)),,OFFSET(Initiatives!$D$1,H81-1,$BY$3))</f>
        <v>0.45555555555555544</v>
      </c>
      <c r="CC81" s="377">
        <f ca="1">IF(ISERROR(OFFSET(Initiatives!$D$1,I81-1,$BY$3)),,OFFSET(Initiatives!$D$1,I81-1,$BY$3))</f>
        <v>0.45454545454545436</v>
      </c>
      <c r="CD81" s="377">
        <f ca="1">IF(ISERROR(OFFSET(Initiatives!$D$1,J81-1,$BY$3)),,OFFSET(Initiatives!$D$1,J81-1,$BY$3))</f>
        <v>0.14000000000000012</v>
      </c>
      <c r="CE81" s="377">
        <f ca="1">IF(ISERROR(OFFSET(Initiatives!$D$1,K81-1,$BY$3)),,OFFSET(Initiatives!$D$1,K81-1,$BY$3))</f>
        <v>9.9999999999999978E-2</v>
      </c>
      <c r="CF81" s="377">
        <f ca="1">IF(ISERROR(OFFSET(Initiatives!$D$1,L81-1,$BY$3)),,OFFSET(Initiatives!$D$1,L81-1,$BY$3))</f>
        <v>3.0000000000000027E-2</v>
      </c>
      <c r="CG81" s="377">
        <f ca="1">IF(ISERROR(OFFSET(Initiatives!$D$1,M81-1,$BY$3)),,OFFSET(Initiatives!$D$1,M81-1,$BY$3))</f>
        <v>0.6</v>
      </c>
      <c r="CH81" s="377">
        <f ca="1">IF(ISERROR(OFFSET(Initiatives!$D$1,N81-1,$BY$3)),,OFFSET(Initiatives!$D$1,N81-1,$BY$3))</f>
        <v>0</v>
      </c>
      <c r="CI81" s="377">
        <f ca="1">IF(ISERROR(OFFSET(Initiatives!$D$1,O81-1,$BY$3)),,OFFSET(Initiatives!$D$1,O81-1,$BY$3))</f>
        <v>0</v>
      </c>
      <c r="CJ81" s="377">
        <f ca="1">IF(ISERROR(OFFSET(Initiatives!$D$1,P81-1,$BY$3)),,OFFSET(Initiatives!$D$1,P81-1,$BY$3))</f>
        <v>0</v>
      </c>
      <c r="CK81" s="377">
        <f ca="1">IF(ISERROR(OFFSET(Initiatives!$D$1,Q81-1,$BY$3)),,OFFSET(Initiatives!$D$1,Q81-1,$BY$3))</f>
        <v>0</v>
      </c>
      <c r="CL81" s="377">
        <f ca="1">IF(ISERROR(OFFSET(Initiatives!$D$1,R81-1,$BY$3)),,OFFSET(Initiatives!$D$1,R81-1,$BY$3))</f>
        <v>0</v>
      </c>
      <c r="CM81" s="377">
        <f ca="1">IF(ISERROR(OFFSET(Initiatives!$D$1,S81-1,$BY$3)),,OFFSET(Initiatives!$D$1,S81-1,$BY$3))</f>
        <v>0</v>
      </c>
      <c r="CN81" s="377">
        <f ca="1">IF(ISERROR(OFFSET(Initiatives!$D$1,T81-1,$BY$3)),,OFFSET(Initiatives!$D$1,T81-1,$BY$3))</f>
        <v>0</v>
      </c>
      <c r="CO81" s="377">
        <f ca="1">IF(ISERROR(OFFSET(Initiatives!$D$1,U81-1,$BY$3)),,OFFSET(Initiatives!$D$1,U81-1,$BY$3))</f>
        <v>0</v>
      </c>
      <c r="CP81" s="377">
        <f ca="1">IF(ISERROR(OFFSET(Initiatives!$D$1,V81-1,$BY$3)),,OFFSET(Initiatives!$D$1,V81-1,$BY$3))</f>
        <v>0</v>
      </c>
      <c r="CQ81" s="377">
        <f ca="1">IF(ISERROR(OFFSET(Initiatives!$D$1,W81-1,$BY$3)),,OFFSET(Initiatives!$D$1,W81-1,$BY$3))</f>
        <v>0</v>
      </c>
      <c r="CR81" s="377">
        <f ca="1">IF(ISERROR(OFFSET(Initiatives!$D$1,X81-1,$BY$3)),,OFFSET(Initiatives!$D$1,X81-1,$BY$3))</f>
        <v>0</v>
      </c>
      <c r="CT81" s="41">
        <f t="shared" ca="1" si="1404"/>
        <v>2.7777674897500404E-3</v>
      </c>
      <c r="CU81" s="41">
        <f t="shared" ca="1" si="1405"/>
        <v>2.2222139918000325E-3</v>
      </c>
      <c r="CV81" s="41">
        <f t="shared" ca="1" si="1406"/>
        <v>4.999981481550073E-3</v>
      </c>
      <c r="CW81" s="41">
        <f t="shared" ca="1" si="1407"/>
        <v>3.3744730986593044E-2</v>
      </c>
      <c r="CX81" s="41">
        <f t="shared" ca="1" si="1408"/>
        <v>5.0504863450000673E-2</v>
      </c>
      <c r="CY81" s="41">
        <f t="shared" ca="1" si="1409"/>
        <v>0</v>
      </c>
      <c r="CZ81" s="41">
        <f t="shared" ca="1" si="1410"/>
        <v>0</v>
      </c>
      <c r="DA81" s="41">
        <f t="shared" ca="1" si="1411"/>
        <v>0</v>
      </c>
      <c r="DB81" s="41">
        <f t="shared" ca="1" si="1412"/>
        <v>8.8888559672001211E-2</v>
      </c>
      <c r="DC81" s="41">
        <f t="shared" ca="1" si="1413"/>
        <v>0</v>
      </c>
      <c r="DD81" s="41">
        <f t="shared" ca="1" si="1414"/>
        <v>0</v>
      </c>
      <c r="DE81" s="41">
        <f t="shared" ca="1" si="1415"/>
        <v>0</v>
      </c>
      <c r="DF81" s="41">
        <f t="shared" ca="1" si="1416"/>
        <v>0</v>
      </c>
      <c r="DG81" s="41">
        <f t="shared" ca="1" si="1417"/>
        <v>0</v>
      </c>
      <c r="DH81" s="41">
        <f t="shared" ca="1" si="1418"/>
        <v>0</v>
      </c>
      <c r="DI81" s="41">
        <f t="shared" ca="1" si="1419"/>
        <v>0</v>
      </c>
      <c r="DJ81" s="41">
        <f t="shared" ca="1" si="1420"/>
        <v>0</v>
      </c>
      <c r="DK81" s="41">
        <f t="shared" ca="1" si="1421"/>
        <v>0</v>
      </c>
      <c r="DL81" s="41">
        <f t="shared" ca="1" si="1422"/>
        <v>0</v>
      </c>
      <c r="DM81" s="41">
        <f t="shared" ca="1" si="1423"/>
        <v>0</v>
      </c>
      <c r="DN81" s="41">
        <f t="shared" ca="1" si="1424"/>
        <v>0.18313811707169508</v>
      </c>
      <c r="DP81" s="41">
        <f t="shared" ca="1" si="1425"/>
        <v>1.5157609748125769E-2</v>
      </c>
      <c r="DQ81" s="41">
        <f t="shared" ca="1" si="1426"/>
        <v>1.2114087798500615E-2</v>
      </c>
      <c r="DR81" s="41">
        <f t="shared" ca="1" si="1427"/>
        <v>2.7271697546626384E-2</v>
      </c>
      <c r="DS81" s="41">
        <f t="shared" ca="1" si="1428"/>
        <v>0.18421837027352761</v>
      </c>
      <c r="DT81" s="41">
        <f t="shared" ca="1" si="1429"/>
        <v>0.27572472269319542</v>
      </c>
      <c r="DU81" s="41">
        <f t="shared" ca="1" si="1430"/>
        <v>-6.0000000000000002E-5</v>
      </c>
      <c r="DV81" s="41">
        <f t="shared" ca="1" si="1431"/>
        <v>-6.9999999999999994E-5</v>
      </c>
      <c r="DW81" s="41">
        <f t="shared" ca="1" si="1432"/>
        <v>-8.0000000000000007E-5</v>
      </c>
      <c r="DX81" s="41">
        <f t="shared" ca="1" si="1433"/>
        <v>0.48527351194002416</v>
      </c>
      <c r="DY81" s="41">
        <f t="shared" ca="1" si="1434"/>
        <v>-1E-4</v>
      </c>
      <c r="DZ81" s="41">
        <f t="shared" ca="1" si="1435"/>
        <v>-1.1E-4</v>
      </c>
      <c r="EA81" s="41">
        <f t="shared" ca="1" si="1436"/>
        <v>-1.2E-4</v>
      </c>
      <c r="EB81" s="41">
        <f t="shared" ca="1" si="1437"/>
        <v>-1.2999999999999999E-4</v>
      </c>
      <c r="EC81" s="41">
        <f t="shared" ca="1" si="1438"/>
        <v>-1.3999999999999999E-4</v>
      </c>
      <c r="ED81" s="41">
        <f t="shared" ca="1" si="1439"/>
        <v>-1.4999999999999999E-4</v>
      </c>
      <c r="EE81" s="41">
        <f t="shared" ca="1" si="1440"/>
        <v>-1.6000000000000001E-4</v>
      </c>
      <c r="EF81" s="41">
        <f t="shared" ca="1" si="1441"/>
        <v>-1.7000000000000001E-4</v>
      </c>
      <c r="EG81" s="41">
        <f t="shared" ca="1" si="1442"/>
        <v>-1.8000000000000001E-4</v>
      </c>
      <c r="EH81" s="41">
        <f t="shared" ca="1" si="1443"/>
        <v>-1.9000000000000001E-4</v>
      </c>
      <c r="EI81" s="41">
        <f t="shared" ca="1" si="1444"/>
        <v>-2.0000000000000001E-4</v>
      </c>
      <c r="EJ81" s="41">
        <f t="shared" ca="1" si="1445"/>
        <v>0.9978999999999999</v>
      </c>
      <c r="EL81" s="378">
        <f t="shared" ca="1" si="1446"/>
        <v>5</v>
      </c>
      <c r="EM81" s="378">
        <f t="shared" ca="1" si="1447"/>
        <v>6</v>
      </c>
      <c r="EN81" s="378">
        <f t="shared" ca="1" si="1448"/>
        <v>4</v>
      </c>
      <c r="EO81" s="378">
        <f t="shared" ca="1" si="1449"/>
        <v>3</v>
      </c>
      <c r="EP81" s="378">
        <f t="shared" ca="1" si="1450"/>
        <v>2</v>
      </c>
      <c r="EQ81" s="378">
        <f t="shared" ca="1" si="1451"/>
        <v>7</v>
      </c>
      <c r="ER81" s="378">
        <f t="shared" ca="1" si="1452"/>
        <v>8</v>
      </c>
      <c r="ES81" s="378">
        <f t="shared" ca="1" si="1453"/>
        <v>9</v>
      </c>
      <c r="ET81" s="378">
        <f t="shared" ca="1" si="1454"/>
        <v>1</v>
      </c>
      <c r="EU81" s="378">
        <f t="shared" ca="1" si="1455"/>
        <v>10</v>
      </c>
      <c r="EV81" s="378">
        <f t="shared" ca="1" si="1456"/>
        <v>11</v>
      </c>
      <c r="EW81" s="378">
        <f t="shared" ca="1" si="1457"/>
        <v>12</v>
      </c>
      <c r="EX81" s="378">
        <f t="shared" ca="1" si="1458"/>
        <v>13</v>
      </c>
      <c r="EY81" s="378">
        <f t="shared" ca="1" si="1459"/>
        <v>14</v>
      </c>
      <c r="EZ81" s="378">
        <f t="shared" ca="1" si="1460"/>
        <v>15</v>
      </c>
      <c r="FA81" s="378">
        <f t="shared" ca="1" si="1461"/>
        <v>16</v>
      </c>
      <c r="FB81" s="378">
        <f t="shared" ca="1" si="1462"/>
        <v>17</v>
      </c>
      <c r="FC81" s="378">
        <f t="shared" ca="1" si="1463"/>
        <v>18</v>
      </c>
      <c r="FD81" s="378">
        <f t="shared" ca="1" si="1464"/>
        <v>19</v>
      </c>
      <c r="FE81" s="378">
        <f t="shared" ca="1" si="1465"/>
        <v>20</v>
      </c>
      <c r="FG81" s="378">
        <f t="shared" ca="1" si="1466"/>
        <v>9</v>
      </c>
      <c r="FH81" s="378">
        <f t="shared" ca="1" si="1466"/>
        <v>5</v>
      </c>
      <c r="FI81" s="378">
        <f t="shared" ca="1" si="1466"/>
        <v>4</v>
      </c>
      <c r="FJ81" s="378">
        <f t="shared" ca="1" si="1466"/>
        <v>3</v>
      </c>
      <c r="FK81" s="378">
        <f t="shared" ca="1" si="1466"/>
        <v>1</v>
      </c>
      <c r="FL81" s="378">
        <f t="shared" ca="1" si="1466"/>
        <v>2</v>
      </c>
      <c r="FM81" s="378">
        <f t="shared" ca="1" si="1466"/>
        <v>6</v>
      </c>
      <c r="FN81" s="378">
        <f t="shared" ca="1" si="1466"/>
        <v>7</v>
      </c>
      <c r="FO81" s="378">
        <f t="shared" ca="1" si="1466"/>
        <v>8</v>
      </c>
      <c r="FP81" s="378">
        <f t="shared" ca="1" si="1466"/>
        <v>10</v>
      </c>
      <c r="FQ81" s="378">
        <f t="shared" ca="1" si="1466"/>
        <v>11</v>
      </c>
      <c r="FR81" s="378">
        <f t="shared" ca="1" si="1466"/>
        <v>12</v>
      </c>
      <c r="FS81" s="378">
        <f t="shared" ca="1" si="1466"/>
        <v>13</v>
      </c>
      <c r="FT81" s="378">
        <f t="shared" ca="1" si="1466"/>
        <v>14</v>
      </c>
      <c r="FU81" s="378">
        <f t="shared" ca="1" si="1466"/>
        <v>15</v>
      </c>
      <c r="FV81" s="378">
        <f t="shared" ca="1" si="1466"/>
        <v>16</v>
      </c>
      <c r="FW81" s="378">
        <f t="shared" ca="1" si="1467"/>
        <v>17</v>
      </c>
      <c r="FX81" s="378">
        <f t="shared" ca="1" si="1467"/>
        <v>18</v>
      </c>
      <c r="FY81" s="378">
        <f t="shared" ca="1" si="1467"/>
        <v>19</v>
      </c>
      <c r="FZ81" s="378">
        <f t="shared" ca="1" si="1467"/>
        <v>20</v>
      </c>
      <c r="GB81" s="275" t="str">
        <f t="shared" ca="1" si="1468"/>
        <v>Enhance BI Platform (49%)</v>
      </c>
      <c r="GC81" s="231" t="str">
        <f t="shared" ca="1" si="1469"/>
        <v>; Source System Inclusion / Integration (28%)</v>
      </c>
      <c r="GD81" s="231" t="str">
        <f t="shared" ca="1" si="1470"/>
        <v>; BI Applications (18%)</v>
      </c>
      <c r="GE81" s="231" t="str">
        <f t="shared" ca="1" si="1471"/>
        <v/>
      </c>
      <c r="GF81" s="231" t="str">
        <f t="shared" ca="1" si="1472"/>
        <v/>
      </c>
      <c r="GG81" s="231" t="str">
        <f t="shared" ca="1" si="1473"/>
        <v/>
      </c>
      <c r="GH81" s="231" t="str">
        <f t="shared" ca="1" si="1474"/>
        <v/>
      </c>
      <c r="GI81" s="231" t="str">
        <f t="shared" ca="1" si="1475"/>
        <v/>
      </c>
      <c r="GJ81" s="231" t="str">
        <f t="shared" ca="1" si="1476"/>
        <v/>
      </c>
      <c r="GK81" s="231" t="str">
        <f t="shared" ca="1" si="1477"/>
        <v/>
      </c>
      <c r="GL81" s="231" t="str">
        <f t="shared" ca="1" si="1478"/>
        <v/>
      </c>
      <c r="GM81" s="231" t="str">
        <f t="shared" ca="1" si="1479"/>
        <v/>
      </c>
      <c r="GN81" s="231" t="str">
        <f t="shared" ca="1" si="1480"/>
        <v/>
      </c>
      <c r="GO81" s="231" t="str">
        <f t="shared" ca="1" si="1481"/>
        <v/>
      </c>
      <c r="GP81" s="231" t="str">
        <f t="shared" ca="1" si="1482"/>
        <v/>
      </c>
      <c r="GQ81" s="231" t="str">
        <f t="shared" ca="1" si="1483"/>
        <v/>
      </c>
      <c r="GR81" s="231" t="str">
        <f t="shared" ca="1" si="1484"/>
        <v/>
      </c>
      <c r="GS81" s="231" t="str">
        <f t="shared" ca="1" si="1485"/>
        <v/>
      </c>
      <c r="GT81" s="231" t="str">
        <f t="shared" ca="1" si="1486"/>
        <v/>
      </c>
      <c r="GU81" s="231" t="str">
        <f t="shared" ca="1" si="1487"/>
        <v/>
      </c>
    </row>
    <row r="82" spans="1:203" hidden="1"/>
    <row r="83" spans="1:203" ht="21" hidden="1">
      <c r="A83" s="1" t="s">
        <v>99</v>
      </c>
    </row>
    <row r="84" spans="1:203" s="386" customFormat="1" ht="20.25" hidden="1" customHeight="1">
      <c r="B84" s="373"/>
      <c r="C84" s="81" t="str">
        <f>Revenue!B5</f>
        <v>Improved Sales Effectiveness</v>
      </c>
      <c r="D84" s="404">
        <f t="shared" ref="D84:D89" ca="1" si="1488">DN84</f>
        <v>0.32161751610706618</v>
      </c>
      <c r="E84" s="374">
        <f>ROW(Initiatives!$A$166)</f>
        <v>166</v>
      </c>
      <c r="F84" s="374">
        <f>ROW(Initiatives!$A$172)</f>
        <v>172</v>
      </c>
      <c r="G84" s="374">
        <f>ROW(Initiatives!$A$183)</f>
        <v>183</v>
      </c>
      <c r="H84" s="374">
        <f>ROW(Initiatives!$A$189)</f>
        <v>189</v>
      </c>
      <c r="I84" s="374"/>
      <c r="J84" s="374"/>
      <c r="K84" s="374"/>
      <c r="L84" s="374"/>
      <c r="M84" s="374"/>
      <c r="N84" s="374"/>
      <c r="O84" s="374"/>
      <c r="P84" s="374"/>
      <c r="Q84" s="374"/>
      <c r="R84" s="374"/>
      <c r="S84" s="374"/>
      <c r="T84" s="374"/>
      <c r="U84" s="374"/>
      <c r="V84" s="374"/>
      <c r="W84" s="374"/>
      <c r="X84" s="374"/>
      <c r="Y84" s="392" t="str">
        <f ca="1">OFFSET(Initiatives!$D$1,E84-1,$BS$3)</f>
        <v>Marketing / Sales Apps</v>
      </c>
      <c r="Z84" s="375">
        <v>9</v>
      </c>
      <c r="AA84" s="392" t="str">
        <f ca="1">OFFSET(Initiatives!$D$1,F84-1,$BS$3)</f>
        <v>Marketing / Sales Data Integration</v>
      </c>
      <c r="AB84" s="375">
        <v>8</v>
      </c>
      <c r="AC84" s="392" t="str">
        <f ca="1">OFFSET(Initiatives!$D$1,G84-1,$BS$3)</f>
        <v>Enhance DW Platform</v>
      </c>
      <c r="AD84" s="375">
        <v>2</v>
      </c>
      <c r="AE84" s="392" t="str">
        <f ca="1">OFFSET(Initiatives!$D$1,H84-1,$BS$3)</f>
        <v>Enhance BI Platform</v>
      </c>
      <c r="AF84" s="375">
        <v>2</v>
      </c>
      <c r="AG84" s="392" t="e">
        <f ca="1">OFFSET(Initiatives!$D$1,I84-1,$BS$3)</f>
        <v>#REF!</v>
      </c>
      <c r="AH84" s="375"/>
      <c r="AI84" s="392" t="e">
        <f ca="1">OFFSET(Initiatives!$D$1,J84-1,$BS$3)</f>
        <v>#REF!</v>
      </c>
      <c r="AJ84" s="375"/>
      <c r="AK84" s="392" t="e">
        <f ca="1">OFFSET(Initiatives!$D$1,K84-1,$BS$3)</f>
        <v>#REF!</v>
      </c>
      <c r="AL84" s="375"/>
      <c r="AM84" s="392" t="e">
        <f ca="1">OFFSET(Initiatives!$D$1,L84-1,$BS$3)</f>
        <v>#REF!</v>
      </c>
      <c r="AN84" s="375"/>
      <c r="AO84" s="392" t="e">
        <f ca="1">OFFSET(Initiatives!$D$1,M84-1,$BS$3)</f>
        <v>#REF!</v>
      </c>
      <c r="AP84" s="375"/>
      <c r="AQ84" s="392" t="e">
        <f ca="1">OFFSET(Initiatives!$D$1,N84-1,$BS$3)</f>
        <v>#REF!</v>
      </c>
      <c r="AR84" s="375"/>
      <c r="AS84" s="392" t="e">
        <f ca="1">OFFSET(Initiatives!$D$1,O84-1,$BS$3)</f>
        <v>#REF!</v>
      </c>
      <c r="AT84" s="375"/>
      <c r="AU84" s="392" t="e">
        <f ca="1">OFFSET(Initiatives!$D$1,P84-1,$BS$3)</f>
        <v>#REF!</v>
      </c>
      <c r="AV84" s="375"/>
      <c r="AW84" s="392" t="e">
        <f ca="1">OFFSET(Initiatives!$D$1,Q84-1,$BS$3)</f>
        <v>#REF!</v>
      </c>
      <c r="AX84" s="375"/>
      <c r="AY84" s="392" t="e">
        <f ca="1">OFFSET(Initiatives!$D$1,R84-1,$BS$3)</f>
        <v>#REF!</v>
      </c>
      <c r="AZ84" s="375"/>
      <c r="BA84" s="392" t="e">
        <f ca="1">OFFSET(Initiatives!$D$1,S84-1,$BS$3)</f>
        <v>#REF!</v>
      </c>
      <c r="BB84" s="375"/>
      <c r="BC84" s="392" t="e">
        <f ca="1">OFFSET(Initiatives!$D$1,T84-1,$BS$3)</f>
        <v>#REF!</v>
      </c>
      <c r="BD84" s="375"/>
      <c r="BE84" s="392" t="e">
        <f ca="1">OFFSET(Initiatives!$D$1,U84-1,$BS$3)</f>
        <v>#REF!</v>
      </c>
      <c r="BF84" s="375"/>
      <c r="BG84" s="392" t="e">
        <f ca="1">OFFSET(Initiatives!$D$1,V84-1,$BS$3)</f>
        <v>#REF!</v>
      </c>
      <c r="BH84" s="375"/>
      <c r="BI84" s="392" t="e">
        <f ca="1">OFFSET(Initiatives!$D$1,W84-1,$BS$3)</f>
        <v>#REF!</v>
      </c>
      <c r="BJ84" s="375"/>
      <c r="BK84" s="392" t="e">
        <f ca="1">OFFSET(Initiatives!$D$1,X84-1,$BS$3)</f>
        <v>#REF!</v>
      </c>
      <c r="BL84" s="375"/>
      <c r="BN84" s="101">
        <f t="shared" ref="BN84:BN89" si="1489">SUM(Z84,AB84,AD84,AF84,AH84,AJ84,AL84,AN84,AP84,AR84,AT84,AV84,AX84,AZ84,BB84,BD84,BF84,BH84,BJ84,BL84)+0.0001</f>
        <v>21.0001</v>
      </c>
      <c r="BP84" s="231" t="str">
        <f t="shared" ref="BP84:BP89" ca="1" si="1490">CONCATENATE(GB84,GC84,GD84,GE84,GF84,GG84,GH84,GI84,GJ84,GK84,GL84,GM84,GN84,GO84,GP84,GQ84,GR84,GS84,GT84,GU84)</f>
        <v>Marketing / Sales Data Integration (43%); Marketing / Sales Apps (37%); Enhance BI Platform (18%)</v>
      </c>
      <c r="BQ84" s="338">
        <v>0.01</v>
      </c>
      <c r="BR84" s="40">
        <f t="shared" ref="BR84:BR89" ca="1" si="1491">COUNTIF(CT84:DM84,"&gt;"&amp;BQ84)</f>
        <v>3</v>
      </c>
      <c r="BS84" s="274">
        <v>0.05</v>
      </c>
      <c r="BT84" s="40">
        <f t="shared" ref="BT84:BT89" ca="1" si="1492">COUNTIF(DP84:EI84,"&gt;"&amp;BS84)</f>
        <v>3</v>
      </c>
      <c r="BU84" s="376">
        <v>7</v>
      </c>
      <c r="BV84" s="40">
        <f t="shared" ref="BV84:BV89" ca="1" si="1493">MIN(BR84,BT84,BU84)</f>
        <v>3</v>
      </c>
      <c r="BY84" s="377">
        <f ca="1">IF(ISERROR(OFFSET(Initiatives!$D$1,E84-1,$BY$3)),,OFFSET(Initiatives!$D$1,E84-1,$BY$3))</f>
        <v>0.27999999999999992</v>
      </c>
      <c r="BZ84" s="377">
        <f ca="1">IF(ISERROR(OFFSET(Initiatives!$D$1,F84-1,$BY$3)),,OFFSET(Initiatives!$D$1,F84-1,$BY$3))</f>
        <v>0.3600000000000001</v>
      </c>
      <c r="CA84" s="377">
        <f ca="1">IF(ISERROR(OFFSET(Initiatives!$D$1,G84-1,$BY$3)),,OFFSET(Initiatives!$D$1,G84-1,$BY$3))</f>
        <v>7.7000000000000179E-2</v>
      </c>
      <c r="CB84" s="377">
        <f ca="1">IF(ISERROR(OFFSET(Initiatives!$D$1,H84-1,$BY$3)),,OFFSET(Initiatives!$D$1,H84-1,$BY$3))</f>
        <v>0.6</v>
      </c>
      <c r="CC84" s="377">
        <f ca="1">IF(ISERROR(OFFSET(Initiatives!$D$1,I84-1,$BY$3)),,OFFSET(Initiatives!$D$1,I84-1,$BY$3))</f>
        <v>0</v>
      </c>
      <c r="CD84" s="377">
        <f ca="1">IF(ISERROR(OFFSET(Initiatives!$D$1,J84-1,$BY$3)),,OFFSET(Initiatives!$D$1,J84-1,$BY$3))</f>
        <v>0</v>
      </c>
      <c r="CE84" s="377">
        <f ca="1">IF(ISERROR(OFFSET(Initiatives!$D$1,K84-1,$BY$3)),,OFFSET(Initiatives!$D$1,K84-1,$BY$3))</f>
        <v>0</v>
      </c>
      <c r="CF84" s="377">
        <f ca="1">IF(ISERROR(OFFSET(Initiatives!$D$1,L84-1,$BY$3)),,OFFSET(Initiatives!$D$1,L84-1,$BY$3))</f>
        <v>0</v>
      </c>
      <c r="CG84" s="377">
        <f ca="1">IF(ISERROR(OFFSET(Initiatives!$D$1,M84-1,$BY$3)),,OFFSET(Initiatives!$D$1,M84-1,$BY$3))</f>
        <v>0</v>
      </c>
      <c r="CH84" s="377">
        <f ca="1">IF(ISERROR(OFFSET(Initiatives!$D$1,N84-1,$BY$3)),,OFFSET(Initiatives!$D$1,N84-1,$BY$3))</f>
        <v>0</v>
      </c>
      <c r="CI84" s="377">
        <f ca="1">IF(ISERROR(OFFSET(Initiatives!$D$1,O84-1,$BY$3)),,OFFSET(Initiatives!$D$1,O84-1,$BY$3))</f>
        <v>0</v>
      </c>
      <c r="CJ84" s="377">
        <f ca="1">IF(ISERROR(OFFSET(Initiatives!$D$1,P84-1,$BY$3)),,OFFSET(Initiatives!$D$1,P84-1,$BY$3))</f>
        <v>0</v>
      </c>
      <c r="CK84" s="377">
        <f ca="1">IF(ISERROR(OFFSET(Initiatives!$D$1,Q84-1,$BY$3)),,OFFSET(Initiatives!$D$1,Q84-1,$BY$3))</f>
        <v>0</v>
      </c>
      <c r="CL84" s="377">
        <f ca="1">IF(ISERROR(OFFSET(Initiatives!$D$1,R84-1,$BY$3)),,OFFSET(Initiatives!$D$1,R84-1,$BY$3))</f>
        <v>0</v>
      </c>
      <c r="CM84" s="377">
        <f ca="1">IF(ISERROR(OFFSET(Initiatives!$D$1,S84-1,$BY$3)),,OFFSET(Initiatives!$D$1,S84-1,$BY$3))</f>
        <v>0</v>
      </c>
      <c r="CN84" s="377">
        <f ca="1">IF(ISERROR(OFFSET(Initiatives!$D$1,T84-1,$BY$3)),,OFFSET(Initiatives!$D$1,T84-1,$BY$3))</f>
        <v>0</v>
      </c>
      <c r="CO84" s="377">
        <f ca="1">IF(ISERROR(OFFSET(Initiatives!$D$1,U84-1,$BY$3)),,OFFSET(Initiatives!$D$1,U84-1,$BY$3))</f>
        <v>0</v>
      </c>
      <c r="CP84" s="377">
        <f ca="1">IF(ISERROR(OFFSET(Initiatives!$D$1,V84-1,$BY$3)),,OFFSET(Initiatives!$D$1,V84-1,$BY$3))</f>
        <v>0</v>
      </c>
      <c r="CQ84" s="377">
        <f ca="1">IF(ISERROR(OFFSET(Initiatives!$D$1,W84-1,$BY$3)),,OFFSET(Initiatives!$D$1,W84-1,$BY$3))</f>
        <v>0</v>
      </c>
      <c r="CR84" s="377">
        <f ca="1">IF(ISERROR(OFFSET(Initiatives!$D$1,X84-1,$BY$3)),,OFFSET(Initiatives!$D$1,X84-1,$BY$3))</f>
        <v>0</v>
      </c>
      <c r="CT84" s="41">
        <f t="shared" ref="CT84:CT89" ca="1" si="1494">BY84*Z84/$BN84</f>
        <v>0.11999942857414961</v>
      </c>
      <c r="CU84" s="41">
        <f t="shared" ref="CU84:CU89" ca="1" si="1495">BZ84*AB84/$BN84</f>
        <v>0.13714220408474248</v>
      </c>
      <c r="CV84" s="41">
        <f t="shared" ref="CV84:CV89" ca="1" si="1496">CA84*AD84/$BN84</f>
        <v>7.3332984128647175E-3</v>
      </c>
      <c r="CW84" s="41">
        <f t="shared" ref="CW84:CW89" ca="1" si="1497">CB84*AF84/$BN84</f>
        <v>5.7142585035309355E-2</v>
      </c>
      <c r="CX84" s="41">
        <f t="shared" ref="CX84:CX89" ca="1" si="1498">CC84*AH84/$BN84</f>
        <v>0</v>
      </c>
      <c r="CY84" s="41">
        <f t="shared" ref="CY84:CY89" ca="1" si="1499">CD84*AJ84/$BN84</f>
        <v>0</v>
      </c>
      <c r="CZ84" s="41">
        <f t="shared" ref="CZ84:CZ89" ca="1" si="1500">CE84*AL84/$BN84</f>
        <v>0</v>
      </c>
      <c r="DA84" s="41">
        <f t="shared" ref="DA84:DA89" ca="1" si="1501">CF84*AN84/$BN84</f>
        <v>0</v>
      </c>
      <c r="DB84" s="41">
        <f t="shared" ref="DB84:DB89" ca="1" si="1502">CG84*AP84/$BN84</f>
        <v>0</v>
      </c>
      <c r="DC84" s="41">
        <f t="shared" ref="DC84:DC89" ca="1" si="1503">CH84*AR84/$BN84</f>
        <v>0</v>
      </c>
      <c r="DD84" s="41">
        <f t="shared" ref="DD84:DD89" ca="1" si="1504">CI84*AT84/$BN84</f>
        <v>0</v>
      </c>
      <c r="DE84" s="41">
        <f t="shared" ref="DE84:DE89" ca="1" si="1505">CJ84*AV84/$BN84</f>
        <v>0</v>
      </c>
      <c r="DF84" s="41">
        <f t="shared" ref="DF84:DF89" ca="1" si="1506">CK84*AX84/$BN84</f>
        <v>0</v>
      </c>
      <c r="DG84" s="41">
        <f t="shared" ref="DG84:DG89" ca="1" si="1507">CL84*AZ84/$BN84</f>
        <v>0</v>
      </c>
      <c r="DH84" s="41">
        <f t="shared" ref="DH84:DH89" ca="1" si="1508">CM84*BB84/$BN84</f>
        <v>0</v>
      </c>
      <c r="DI84" s="41">
        <f t="shared" ref="DI84:DI89" ca="1" si="1509">CN84*BD84/$BN84</f>
        <v>0</v>
      </c>
      <c r="DJ84" s="41">
        <f t="shared" ref="DJ84:DJ89" ca="1" si="1510">CO84*BF84/$BN84</f>
        <v>0</v>
      </c>
      <c r="DK84" s="41">
        <f t="shared" ref="DK84:DK89" ca="1" si="1511">CP84*BH84/$BN84</f>
        <v>0</v>
      </c>
      <c r="DL84" s="41">
        <f t="shared" ref="DL84:DL89" ca="1" si="1512">CQ84*BJ84/$BN84</f>
        <v>0</v>
      </c>
      <c r="DM84" s="41">
        <f t="shared" ref="DM84:DM89" ca="1" si="1513">CR84*BL84/$BN84</f>
        <v>0</v>
      </c>
      <c r="DN84" s="41">
        <f t="shared" ref="DN84:DN89" ca="1" si="1514">SUM(CT84:DM84)</f>
        <v>0.32161751610706618</v>
      </c>
      <c r="DP84" s="41">
        <f t="shared" ref="DP84:DP89" ca="1" si="1515">CT84/$DN84-DP$5/100000</f>
        <v>0.37310222978975405</v>
      </c>
      <c r="DQ84" s="41">
        <f t="shared" ref="DQ84:DQ89" ca="1" si="1516">CU84/$DN84-DQ$5/100000</f>
        <v>0.4263939769025763</v>
      </c>
      <c r="DR84" s="41">
        <f t="shared" ref="DR84:DR89" ca="1" si="1517">CV84/$DN84-DR$5/100000</f>
        <v>2.2771302931596144E-2</v>
      </c>
      <c r="DS84" s="41">
        <f t="shared" ref="DS84:DS89" ca="1" si="1518">CW84/$DN84-DS$5/100000</f>
        <v>0.1776324903760734</v>
      </c>
      <c r="DT84" s="41">
        <f t="shared" ref="DT84:DT89" ca="1" si="1519">CX84/$DN84-DT$5/100000</f>
        <v>-5.0000000000000002E-5</v>
      </c>
      <c r="DU84" s="41">
        <f t="shared" ref="DU84:DU89" ca="1" si="1520">CY84/$DN84-DU$5/100000</f>
        <v>-6.0000000000000002E-5</v>
      </c>
      <c r="DV84" s="41">
        <f t="shared" ref="DV84:DV89" ca="1" si="1521">CZ84/$DN84-DV$5/100000</f>
        <v>-6.9999999999999994E-5</v>
      </c>
      <c r="DW84" s="41">
        <f t="shared" ref="DW84:DW89" ca="1" si="1522">DA84/$DN84-DW$5/100000</f>
        <v>-8.0000000000000007E-5</v>
      </c>
      <c r="DX84" s="41">
        <f t="shared" ref="DX84:DX89" ca="1" si="1523">DB84/$DN84-DX$5/100000</f>
        <v>-9.0000000000000006E-5</v>
      </c>
      <c r="DY84" s="41">
        <f t="shared" ref="DY84:DY89" ca="1" si="1524">DC84/$DN84-DY$5/100000</f>
        <v>-1E-4</v>
      </c>
      <c r="DZ84" s="41">
        <f t="shared" ref="DZ84:DZ89" ca="1" si="1525">DD84/$DN84-DZ$5/100000</f>
        <v>-1.1E-4</v>
      </c>
      <c r="EA84" s="41">
        <f t="shared" ref="EA84:EA89" ca="1" si="1526">DE84/$DN84-EA$5/100000</f>
        <v>-1.2E-4</v>
      </c>
      <c r="EB84" s="41">
        <f t="shared" ref="EB84:EB89" ca="1" si="1527">DF84/$DN84-EB$5/100000</f>
        <v>-1.2999999999999999E-4</v>
      </c>
      <c r="EC84" s="41">
        <f t="shared" ref="EC84:EC89" ca="1" si="1528">DG84/$DN84-EC$5/100000</f>
        <v>-1.3999999999999999E-4</v>
      </c>
      <c r="ED84" s="41">
        <f t="shared" ref="ED84:ED89" ca="1" si="1529">DH84/$DN84-ED$5/100000</f>
        <v>-1.4999999999999999E-4</v>
      </c>
      <c r="EE84" s="41">
        <f t="shared" ref="EE84:EE89" ca="1" si="1530">DI84/$DN84-EE$5/100000</f>
        <v>-1.6000000000000001E-4</v>
      </c>
      <c r="EF84" s="41">
        <f t="shared" ref="EF84:EF89" ca="1" si="1531">DJ84/$DN84-EF$5/100000</f>
        <v>-1.7000000000000001E-4</v>
      </c>
      <c r="EG84" s="41">
        <f t="shared" ref="EG84:EG89" ca="1" si="1532">DK84/$DN84-EG$5/100000</f>
        <v>-1.8000000000000001E-4</v>
      </c>
      <c r="EH84" s="41">
        <f t="shared" ref="EH84:EH89" ca="1" si="1533">DL84/$DN84-EH$5/100000</f>
        <v>-1.9000000000000001E-4</v>
      </c>
      <c r="EI84" s="41">
        <f t="shared" ref="EI84:EI89" ca="1" si="1534">DM84/$DN84-EI$5/100000</f>
        <v>-2.0000000000000001E-4</v>
      </c>
      <c r="EJ84" s="41">
        <f t="shared" ref="EJ84:EJ89" ca="1" si="1535">SUM(DP84:EI84)</f>
        <v>0.9978999999999999</v>
      </c>
      <c r="EL84" s="378">
        <f t="shared" ref="EL84:EL89" ca="1" si="1536">RANK(DP84,$DP84:$EI84)</f>
        <v>2</v>
      </c>
      <c r="EM84" s="378">
        <f t="shared" ref="EM84:EM89" ca="1" si="1537">RANK(DQ84,$DP84:$EI84)</f>
        <v>1</v>
      </c>
      <c r="EN84" s="378">
        <f t="shared" ref="EN84:EN89" ca="1" si="1538">RANK(DR84,$DP84:$EI84)</f>
        <v>4</v>
      </c>
      <c r="EO84" s="378">
        <f t="shared" ref="EO84:EO89" ca="1" si="1539">RANK(DS84,$DP84:$EI84)</f>
        <v>3</v>
      </c>
      <c r="EP84" s="378">
        <f t="shared" ref="EP84:EP89" ca="1" si="1540">RANK(DT84,$DP84:$EI84)</f>
        <v>5</v>
      </c>
      <c r="EQ84" s="378">
        <f t="shared" ref="EQ84:EQ89" ca="1" si="1541">RANK(DU84,$DP84:$EI84)</f>
        <v>6</v>
      </c>
      <c r="ER84" s="378">
        <f t="shared" ref="ER84:ER89" ca="1" si="1542">RANK(DV84,$DP84:$EI84)</f>
        <v>7</v>
      </c>
      <c r="ES84" s="378">
        <f t="shared" ref="ES84:ES89" ca="1" si="1543">RANK(DW84,$DP84:$EI84)</f>
        <v>8</v>
      </c>
      <c r="ET84" s="378">
        <f t="shared" ref="ET84:ET89" ca="1" si="1544">RANK(DX84,$DP84:$EI84)</f>
        <v>9</v>
      </c>
      <c r="EU84" s="378">
        <f t="shared" ref="EU84:EU89" ca="1" si="1545">RANK(DY84,$DP84:$EI84)</f>
        <v>10</v>
      </c>
      <c r="EV84" s="378">
        <f t="shared" ref="EV84:EV89" ca="1" si="1546">RANK(DZ84,$DP84:$EI84)</f>
        <v>11</v>
      </c>
      <c r="EW84" s="378">
        <f t="shared" ref="EW84:EW89" ca="1" si="1547">RANK(EA84,$DP84:$EI84)</f>
        <v>12</v>
      </c>
      <c r="EX84" s="378">
        <f t="shared" ref="EX84:EX89" ca="1" si="1548">RANK(EB84,$DP84:$EI84)</f>
        <v>13</v>
      </c>
      <c r="EY84" s="378">
        <f t="shared" ref="EY84:EY89" ca="1" si="1549">RANK(EC84,$DP84:$EI84)</f>
        <v>14</v>
      </c>
      <c r="EZ84" s="378">
        <f t="shared" ref="EZ84:EZ89" ca="1" si="1550">RANK(ED84,$DP84:$EI84)</f>
        <v>15</v>
      </c>
      <c r="FA84" s="378">
        <f t="shared" ref="FA84:FA89" ca="1" si="1551">RANK(EE84,$DP84:$EI84)</f>
        <v>16</v>
      </c>
      <c r="FB84" s="378">
        <f t="shared" ref="FB84:FB89" ca="1" si="1552">RANK(EF84,$DP84:$EI84)</f>
        <v>17</v>
      </c>
      <c r="FC84" s="378">
        <f t="shared" ref="FC84:FC89" ca="1" si="1553">RANK(EG84,$DP84:$EI84)</f>
        <v>18</v>
      </c>
      <c r="FD84" s="378">
        <f t="shared" ref="FD84:FD89" ca="1" si="1554">RANK(EH84,$DP84:$EI84)</f>
        <v>19</v>
      </c>
      <c r="FE84" s="378">
        <f t="shared" ref="FE84:FE89" ca="1" si="1555">RANK(EI84,$DP84:$EI84)</f>
        <v>20</v>
      </c>
      <c r="FG84" s="378">
        <f t="shared" ref="FG84:FV89" ca="1" si="1556">MATCH(FG$5,$EL84:$FE84,0)</f>
        <v>2</v>
      </c>
      <c r="FH84" s="378">
        <f t="shared" ca="1" si="1556"/>
        <v>1</v>
      </c>
      <c r="FI84" s="378">
        <f t="shared" ca="1" si="1556"/>
        <v>4</v>
      </c>
      <c r="FJ84" s="378">
        <f t="shared" ca="1" si="1556"/>
        <v>3</v>
      </c>
      <c r="FK84" s="378">
        <f t="shared" ca="1" si="1556"/>
        <v>5</v>
      </c>
      <c r="FL84" s="378">
        <f t="shared" ca="1" si="1556"/>
        <v>6</v>
      </c>
      <c r="FM84" s="378">
        <f t="shared" ca="1" si="1556"/>
        <v>7</v>
      </c>
      <c r="FN84" s="378">
        <f t="shared" ca="1" si="1556"/>
        <v>8</v>
      </c>
      <c r="FO84" s="378">
        <f t="shared" ca="1" si="1556"/>
        <v>9</v>
      </c>
      <c r="FP84" s="378">
        <f t="shared" ca="1" si="1556"/>
        <v>10</v>
      </c>
      <c r="FQ84" s="378">
        <f t="shared" ca="1" si="1556"/>
        <v>11</v>
      </c>
      <c r="FR84" s="378">
        <f t="shared" ca="1" si="1556"/>
        <v>12</v>
      </c>
      <c r="FS84" s="378">
        <f t="shared" ca="1" si="1556"/>
        <v>13</v>
      </c>
      <c r="FT84" s="378">
        <f t="shared" ca="1" si="1556"/>
        <v>14</v>
      </c>
      <c r="FU84" s="378">
        <f t="shared" ca="1" si="1556"/>
        <v>15</v>
      </c>
      <c r="FV84" s="378">
        <f t="shared" ca="1" si="1556"/>
        <v>16</v>
      </c>
      <c r="FW84" s="378">
        <f t="shared" ref="FW84:FZ89" ca="1" si="1557">MATCH(FW$5,$EL84:$FE84,0)</f>
        <v>17</v>
      </c>
      <c r="FX84" s="378">
        <f t="shared" ca="1" si="1557"/>
        <v>18</v>
      </c>
      <c r="FY84" s="378">
        <f t="shared" ca="1" si="1557"/>
        <v>19</v>
      </c>
      <c r="FZ84" s="378">
        <f t="shared" ca="1" si="1557"/>
        <v>20</v>
      </c>
      <c r="GB84" s="275" t="str">
        <f t="shared" ref="GB84:GB89" ca="1" si="1558">IF(GB$5&lt;=$BV84,INDEX($Y84:$BL84,1,FG84*2-1)&amp;" ("&amp;TEXT(INDEX($DP84:$EI84,1,FG84),"0%")&amp;")","")</f>
        <v>Marketing / Sales Data Integration (43%)</v>
      </c>
      <c r="GC84" s="231" t="str">
        <f t="shared" ref="GC84:GC89" ca="1" si="1559">IF(GC$5&lt;=$BV84,"; "&amp;INDEX($Y84:$BL84,1,FH84*2-1)&amp;" ("&amp;TEXT(INDEX($DP84:$EI84,1,FH84),"0%")&amp;")","")</f>
        <v>; Marketing / Sales Apps (37%)</v>
      </c>
      <c r="GD84" s="231" t="str">
        <f t="shared" ref="GD84:GD89" ca="1" si="1560">IF(GD$5&lt;=$BV84,"; "&amp;INDEX($Y84:$BL84,1,FI84*2-1)&amp;" ("&amp;TEXT(INDEX($DP84:$EI84,1,FI84),"0%")&amp;")","")</f>
        <v>; Enhance BI Platform (18%)</v>
      </c>
      <c r="GE84" s="231" t="str">
        <f t="shared" ref="GE84:GE89" ca="1" si="1561">IF(GE$5&lt;=$BV84,"; "&amp;INDEX($Y84:$BL84,1,FJ84*2-1)&amp;" ("&amp;TEXT(INDEX($DP84:$EI84,1,FJ84),"0%")&amp;")","")</f>
        <v/>
      </c>
      <c r="GF84" s="231" t="str">
        <f t="shared" ref="GF84:GF89" ca="1" si="1562">IF(GF$5&lt;=$BV84,"; "&amp;INDEX($Y84:$BL84,1,FK84*2-1)&amp;" ("&amp;TEXT(INDEX($DP84:$EI84,1,FK84),"0%")&amp;")","")</f>
        <v/>
      </c>
      <c r="GG84" s="231" t="str">
        <f t="shared" ref="GG84:GG89" ca="1" si="1563">IF(GG$5&lt;=$BV84,"; "&amp;INDEX($Y84:$BL84,1,FL84*2-1)&amp;" ("&amp;TEXT(INDEX($DP84:$EI84,1,FL84),"0%")&amp;")","")</f>
        <v/>
      </c>
      <c r="GH84" s="231" t="str">
        <f t="shared" ref="GH84:GH89" ca="1" si="1564">IF(GH$5&lt;=$BV84,"; "&amp;INDEX($Y84:$BL84,1,FM84*2-1)&amp;" ("&amp;TEXT(INDEX($DP84:$EI84,1,FM84),"0%")&amp;")","")</f>
        <v/>
      </c>
      <c r="GI84" s="231" t="str">
        <f t="shared" ref="GI84:GI89" ca="1" si="1565">IF(GI$5&lt;=$BV84,"; "&amp;INDEX($Y84:$BL84,1,FN84*2-1)&amp;" ("&amp;TEXT(INDEX($DP84:$EI84,1,FN84),"0%")&amp;")","")</f>
        <v/>
      </c>
      <c r="GJ84" s="231" t="str">
        <f t="shared" ref="GJ84:GJ89" ca="1" si="1566">IF(GJ$5&lt;=$BV84,"; "&amp;INDEX($Y84:$BL84,1,FO84*2-1)&amp;" ("&amp;TEXT(INDEX($DP84:$EI84,1,FO84),"0%")&amp;")","")</f>
        <v/>
      </c>
      <c r="GK84" s="231" t="str">
        <f t="shared" ref="GK84:GK89" ca="1" si="1567">IF(GK$5&lt;=$BV84,"; "&amp;INDEX($Y84:$BL84,1,FP84*2-1)&amp;" ("&amp;TEXT(INDEX($DP84:$EI84,1,FP84),"0%")&amp;")","")</f>
        <v/>
      </c>
      <c r="GL84" s="231" t="str">
        <f t="shared" ref="GL84:GL89" ca="1" si="1568">IF(GL$5&lt;=$BV84,"; "&amp;INDEX($Y84:$BL84,1,FQ84*2-1)&amp;" ("&amp;TEXT(INDEX($DP84:$EI84,1,FQ84),"0%")&amp;")","")</f>
        <v/>
      </c>
      <c r="GM84" s="231" t="str">
        <f t="shared" ref="GM84:GM89" ca="1" si="1569">IF(GM$5&lt;=$BV84,"; "&amp;INDEX($Y84:$BL84,1,FR84*2-1)&amp;" ("&amp;TEXT(INDEX($DP84:$EI84,1,FR84),"0%")&amp;")","")</f>
        <v/>
      </c>
      <c r="GN84" s="231" t="str">
        <f t="shared" ref="GN84:GN89" ca="1" si="1570">IF(GN$5&lt;=$BV84,"; "&amp;INDEX($Y84:$BL84,1,FS84*2-1)&amp;" ("&amp;TEXT(INDEX($DP84:$EI84,1,FS84),"0%")&amp;")","")</f>
        <v/>
      </c>
      <c r="GO84" s="231" t="str">
        <f t="shared" ref="GO84:GO89" ca="1" si="1571">IF(GO$5&lt;=$BV84,"; "&amp;INDEX($Y84:$BL84,1,FT84*2-1)&amp;" ("&amp;TEXT(INDEX($DP84:$EI84,1,FT84),"0%")&amp;")","")</f>
        <v/>
      </c>
      <c r="GP84" s="231" t="str">
        <f t="shared" ref="GP84:GP89" ca="1" si="1572">IF(GP$5&lt;=$BV84,"; "&amp;INDEX($Y84:$BL84,1,FU84*2-1)&amp;" ("&amp;TEXT(INDEX($DP84:$EI84,1,FU84),"0%")&amp;")","")</f>
        <v/>
      </c>
      <c r="GQ84" s="231" t="str">
        <f t="shared" ref="GQ84:GQ89" ca="1" si="1573">IF(GQ$5&lt;=$BV84,"; "&amp;INDEX($Y84:$BL84,1,FV84*2-1)&amp;" ("&amp;TEXT(INDEX($DP84:$EI84,1,FV84),"0%")&amp;")","")</f>
        <v/>
      </c>
      <c r="GR84" s="231" t="str">
        <f t="shared" ref="GR84:GR89" ca="1" si="1574">IF(GR$5&lt;=$BV84,"; "&amp;INDEX($Y84:$BL84,1,FW84*2-1)&amp;" ("&amp;TEXT(INDEX($DP84:$EI84,1,FW84),"0%")&amp;")","")</f>
        <v/>
      </c>
      <c r="GS84" s="231" t="str">
        <f t="shared" ref="GS84:GS89" ca="1" si="1575">IF(GS$5&lt;=$BV84,"; "&amp;INDEX($Y84:$BL84,1,FX84*2-1)&amp;" ("&amp;TEXT(INDEX($DP84:$EI84,1,FX84),"0%")&amp;")","")</f>
        <v/>
      </c>
      <c r="GT84" s="231" t="str">
        <f t="shared" ref="GT84:GT89" ca="1" si="1576">IF(GT$5&lt;=$BV84,"; "&amp;INDEX($Y84:$BL84,1,FY84*2-1)&amp;" ("&amp;TEXT(INDEX($DP84:$EI84,1,FY84),"0%")&amp;")","")</f>
        <v/>
      </c>
      <c r="GU84" s="231" t="str">
        <f t="shared" ref="GU84:GU89" ca="1" si="1577">IF(GU$5&lt;=$BV84,"; "&amp;INDEX($Y84:$BL84,1,FZ84*2-1)&amp;" ("&amp;TEXT(INDEX($DP84:$EI84,1,FZ84),"0%")&amp;")","")</f>
        <v/>
      </c>
    </row>
    <row r="85" spans="1:203" s="386" customFormat="1" ht="22.5" hidden="1" customHeight="1">
      <c r="B85" s="373"/>
      <c r="C85" s="81" t="str">
        <f>Revenue!B6</f>
        <v>Improved Marketing Effectiveness</v>
      </c>
      <c r="D85" s="404">
        <f t="shared" ca="1" si="1488"/>
        <v>0.32161751610706618</v>
      </c>
      <c r="E85" s="374">
        <f>ROW(Initiatives!$A$166)</f>
        <v>166</v>
      </c>
      <c r="F85" s="374">
        <f>ROW(Initiatives!$A$172)</f>
        <v>172</v>
      </c>
      <c r="G85" s="374">
        <f>ROW(Initiatives!$A$183)</f>
        <v>183</v>
      </c>
      <c r="H85" s="374">
        <f>ROW(Initiatives!$A$189)</f>
        <v>189</v>
      </c>
      <c r="I85" s="374"/>
      <c r="J85" s="374"/>
      <c r="K85" s="374"/>
      <c r="L85" s="374"/>
      <c r="M85" s="374"/>
      <c r="N85" s="374"/>
      <c r="O85" s="374"/>
      <c r="P85" s="374"/>
      <c r="Q85" s="374"/>
      <c r="R85" s="374"/>
      <c r="S85" s="374"/>
      <c r="T85" s="374"/>
      <c r="U85" s="374"/>
      <c r="V85" s="374"/>
      <c r="W85" s="374"/>
      <c r="X85" s="374"/>
      <c r="Y85" s="392" t="str">
        <f ca="1">OFFSET(Initiatives!$D$1,E85-1,$BS$3)</f>
        <v>Marketing / Sales Apps</v>
      </c>
      <c r="Z85" s="375">
        <v>9</v>
      </c>
      <c r="AA85" s="392" t="str">
        <f ca="1">OFFSET(Initiatives!$D$1,F85-1,$BS$3)</f>
        <v>Marketing / Sales Data Integration</v>
      </c>
      <c r="AB85" s="375">
        <v>8</v>
      </c>
      <c r="AC85" s="392" t="str">
        <f ca="1">OFFSET(Initiatives!$D$1,G85-1,$BS$3)</f>
        <v>Enhance DW Platform</v>
      </c>
      <c r="AD85" s="375">
        <v>2</v>
      </c>
      <c r="AE85" s="392" t="str">
        <f ca="1">OFFSET(Initiatives!$D$1,H85-1,$BS$3)</f>
        <v>Enhance BI Platform</v>
      </c>
      <c r="AF85" s="375">
        <v>2</v>
      </c>
      <c r="AG85" s="392" t="e">
        <f ca="1">OFFSET(Initiatives!$D$1,I85-1,$BS$3)</f>
        <v>#REF!</v>
      </c>
      <c r="AH85" s="375"/>
      <c r="AI85" s="392" t="e">
        <f ca="1">OFFSET(Initiatives!$D$1,J85-1,$BS$3)</f>
        <v>#REF!</v>
      </c>
      <c r="AJ85" s="375"/>
      <c r="AK85" s="392" t="e">
        <f ca="1">OFFSET(Initiatives!$D$1,K85-1,$BS$3)</f>
        <v>#REF!</v>
      </c>
      <c r="AL85" s="375"/>
      <c r="AM85" s="392" t="e">
        <f ca="1">OFFSET(Initiatives!$D$1,L85-1,$BS$3)</f>
        <v>#REF!</v>
      </c>
      <c r="AN85" s="375"/>
      <c r="AO85" s="392" t="e">
        <f ca="1">OFFSET(Initiatives!$D$1,M85-1,$BS$3)</f>
        <v>#REF!</v>
      </c>
      <c r="AP85" s="375"/>
      <c r="AQ85" s="392" t="e">
        <f ca="1">OFFSET(Initiatives!$D$1,N85-1,$BS$3)</f>
        <v>#REF!</v>
      </c>
      <c r="AR85" s="375"/>
      <c r="AS85" s="392" t="e">
        <f ca="1">OFFSET(Initiatives!$D$1,O85-1,$BS$3)</f>
        <v>#REF!</v>
      </c>
      <c r="AT85" s="375"/>
      <c r="AU85" s="392" t="e">
        <f ca="1">OFFSET(Initiatives!$D$1,P85-1,$BS$3)</f>
        <v>#REF!</v>
      </c>
      <c r="AV85" s="375"/>
      <c r="AW85" s="392" t="e">
        <f ca="1">OFFSET(Initiatives!$D$1,Q85-1,$BS$3)</f>
        <v>#REF!</v>
      </c>
      <c r="AX85" s="375"/>
      <c r="AY85" s="392" t="e">
        <f ca="1">OFFSET(Initiatives!$D$1,R85-1,$BS$3)</f>
        <v>#REF!</v>
      </c>
      <c r="AZ85" s="375"/>
      <c r="BA85" s="392" t="e">
        <f ca="1">OFFSET(Initiatives!$D$1,S85-1,$BS$3)</f>
        <v>#REF!</v>
      </c>
      <c r="BB85" s="375"/>
      <c r="BC85" s="392" t="e">
        <f ca="1">OFFSET(Initiatives!$D$1,T85-1,$BS$3)</f>
        <v>#REF!</v>
      </c>
      <c r="BD85" s="375"/>
      <c r="BE85" s="392" t="e">
        <f ca="1">OFFSET(Initiatives!$D$1,U85-1,$BS$3)</f>
        <v>#REF!</v>
      </c>
      <c r="BF85" s="375"/>
      <c r="BG85" s="392" t="e">
        <f ca="1">OFFSET(Initiatives!$D$1,V85-1,$BS$3)</f>
        <v>#REF!</v>
      </c>
      <c r="BH85" s="375"/>
      <c r="BI85" s="392" t="e">
        <f ca="1">OFFSET(Initiatives!$D$1,W85-1,$BS$3)</f>
        <v>#REF!</v>
      </c>
      <c r="BJ85" s="375"/>
      <c r="BK85" s="392" t="e">
        <f ca="1">OFFSET(Initiatives!$D$1,X85-1,$BS$3)</f>
        <v>#REF!</v>
      </c>
      <c r="BL85" s="375"/>
      <c r="BN85" s="101">
        <f t="shared" si="1489"/>
        <v>21.0001</v>
      </c>
      <c r="BP85" s="231" t="str">
        <f t="shared" ca="1" si="1490"/>
        <v>Marketing / Sales Data Integration (43%); Marketing / Sales Apps (37%); Enhance BI Platform (18%)</v>
      </c>
      <c r="BQ85" s="338">
        <v>0.01</v>
      </c>
      <c r="BR85" s="40">
        <f t="shared" ca="1" si="1491"/>
        <v>3</v>
      </c>
      <c r="BS85" s="274">
        <v>0.05</v>
      </c>
      <c r="BT85" s="40">
        <f t="shared" ca="1" si="1492"/>
        <v>3</v>
      </c>
      <c r="BU85" s="376">
        <v>7</v>
      </c>
      <c r="BV85" s="40">
        <f t="shared" ca="1" si="1493"/>
        <v>3</v>
      </c>
      <c r="BY85" s="377">
        <f ca="1">IF(ISERROR(OFFSET(Initiatives!$D$1,E85-1,$BY$3)),,OFFSET(Initiatives!$D$1,E85-1,$BY$3))</f>
        <v>0.27999999999999992</v>
      </c>
      <c r="BZ85" s="377">
        <f ca="1">IF(ISERROR(OFFSET(Initiatives!$D$1,F85-1,$BY$3)),,OFFSET(Initiatives!$D$1,F85-1,$BY$3))</f>
        <v>0.3600000000000001</v>
      </c>
      <c r="CA85" s="377">
        <f ca="1">IF(ISERROR(OFFSET(Initiatives!$D$1,G85-1,$BY$3)),,OFFSET(Initiatives!$D$1,G85-1,$BY$3))</f>
        <v>7.7000000000000179E-2</v>
      </c>
      <c r="CB85" s="377">
        <f ca="1">IF(ISERROR(OFFSET(Initiatives!$D$1,H85-1,$BY$3)),,OFFSET(Initiatives!$D$1,H85-1,$BY$3))</f>
        <v>0.6</v>
      </c>
      <c r="CC85" s="377">
        <f ca="1">IF(ISERROR(OFFSET(Initiatives!$D$1,I85-1,$BY$3)),,OFFSET(Initiatives!$D$1,I85-1,$BY$3))</f>
        <v>0</v>
      </c>
      <c r="CD85" s="377">
        <f ca="1">IF(ISERROR(OFFSET(Initiatives!$D$1,J85-1,$BY$3)),,OFFSET(Initiatives!$D$1,J85-1,$BY$3))</f>
        <v>0</v>
      </c>
      <c r="CE85" s="377">
        <f ca="1">IF(ISERROR(OFFSET(Initiatives!$D$1,K85-1,$BY$3)),,OFFSET(Initiatives!$D$1,K85-1,$BY$3))</f>
        <v>0</v>
      </c>
      <c r="CF85" s="377">
        <f ca="1">IF(ISERROR(OFFSET(Initiatives!$D$1,L85-1,$BY$3)),,OFFSET(Initiatives!$D$1,L85-1,$BY$3))</f>
        <v>0</v>
      </c>
      <c r="CG85" s="377">
        <f ca="1">IF(ISERROR(OFFSET(Initiatives!$D$1,M85-1,$BY$3)),,OFFSET(Initiatives!$D$1,M85-1,$BY$3))</f>
        <v>0</v>
      </c>
      <c r="CH85" s="377">
        <f ca="1">IF(ISERROR(OFFSET(Initiatives!$D$1,N85-1,$BY$3)),,OFFSET(Initiatives!$D$1,N85-1,$BY$3))</f>
        <v>0</v>
      </c>
      <c r="CI85" s="377">
        <f ca="1">IF(ISERROR(OFFSET(Initiatives!$D$1,O85-1,$BY$3)),,OFFSET(Initiatives!$D$1,O85-1,$BY$3))</f>
        <v>0</v>
      </c>
      <c r="CJ85" s="377">
        <f ca="1">IF(ISERROR(OFFSET(Initiatives!$D$1,P85-1,$BY$3)),,OFFSET(Initiatives!$D$1,P85-1,$BY$3))</f>
        <v>0</v>
      </c>
      <c r="CK85" s="377">
        <f ca="1">IF(ISERROR(OFFSET(Initiatives!$D$1,Q85-1,$BY$3)),,OFFSET(Initiatives!$D$1,Q85-1,$BY$3))</f>
        <v>0</v>
      </c>
      <c r="CL85" s="377">
        <f ca="1">IF(ISERROR(OFFSET(Initiatives!$D$1,R85-1,$BY$3)),,OFFSET(Initiatives!$D$1,R85-1,$BY$3))</f>
        <v>0</v>
      </c>
      <c r="CM85" s="377">
        <f ca="1">IF(ISERROR(OFFSET(Initiatives!$D$1,S85-1,$BY$3)),,OFFSET(Initiatives!$D$1,S85-1,$BY$3))</f>
        <v>0</v>
      </c>
      <c r="CN85" s="377">
        <f ca="1">IF(ISERROR(OFFSET(Initiatives!$D$1,T85-1,$BY$3)),,OFFSET(Initiatives!$D$1,T85-1,$BY$3))</f>
        <v>0</v>
      </c>
      <c r="CO85" s="377">
        <f ca="1">IF(ISERROR(OFFSET(Initiatives!$D$1,U85-1,$BY$3)),,OFFSET(Initiatives!$D$1,U85-1,$BY$3))</f>
        <v>0</v>
      </c>
      <c r="CP85" s="377">
        <f ca="1">IF(ISERROR(OFFSET(Initiatives!$D$1,V85-1,$BY$3)),,OFFSET(Initiatives!$D$1,V85-1,$BY$3))</f>
        <v>0</v>
      </c>
      <c r="CQ85" s="377">
        <f ca="1">IF(ISERROR(OFFSET(Initiatives!$D$1,W85-1,$BY$3)),,OFFSET(Initiatives!$D$1,W85-1,$BY$3))</f>
        <v>0</v>
      </c>
      <c r="CR85" s="377">
        <f ca="1">IF(ISERROR(OFFSET(Initiatives!$D$1,X85-1,$BY$3)),,OFFSET(Initiatives!$D$1,X85-1,$BY$3))</f>
        <v>0</v>
      </c>
      <c r="CT85" s="41">
        <f t="shared" ca="1" si="1494"/>
        <v>0.11999942857414961</v>
      </c>
      <c r="CU85" s="41">
        <f t="shared" ca="1" si="1495"/>
        <v>0.13714220408474248</v>
      </c>
      <c r="CV85" s="41">
        <f t="shared" ca="1" si="1496"/>
        <v>7.3332984128647175E-3</v>
      </c>
      <c r="CW85" s="41">
        <f t="shared" ca="1" si="1497"/>
        <v>5.7142585035309355E-2</v>
      </c>
      <c r="CX85" s="41">
        <f t="shared" ca="1" si="1498"/>
        <v>0</v>
      </c>
      <c r="CY85" s="41">
        <f t="shared" ca="1" si="1499"/>
        <v>0</v>
      </c>
      <c r="CZ85" s="41">
        <f t="shared" ca="1" si="1500"/>
        <v>0</v>
      </c>
      <c r="DA85" s="41">
        <f t="shared" ca="1" si="1501"/>
        <v>0</v>
      </c>
      <c r="DB85" s="41">
        <f t="shared" ca="1" si="1502"/>
        <v>0</v>
      </c>
      <c r="DC85" s="41">
        <f t="shared" ca="1" si="1503"/>
        <v>0</v>
      </c>
      <c r="DD85" s="41">
        <f t="shared" ca="1" si="1504"/>
        <v>0</v>
      </c>
      <c r="DE85" s="41">
        <f t="shared" ca="1" si="1505"/>
        <v>0</v>
      </c>
      <c r="DF85" s="41">
        <f t="shared" ca="1" si="1506"/>
        <v>0</v>
      </c>
      <c r="DG85" s="41">
        <f t="shared" ca="1" si="1507"/>
        <v>0</v>
      </c>
      <c r="DH85" s="41">
        <f t="shared" ca="1" si="1508"/>
        <v>0</v>
      </c>
      <c r="DI85" s="41">
        <f t="shared" ca="1" si="1509"/>
        <v>0</v>
      </c>
      <c r="DJ85" s="41">
        <f t="shared" ca="1" si="1510"/>
        <v>0</v>
      </c>
      <c r="DK85" s="41">
        <f t="shared" ca="1" si="1511"/>
        <v>0</v>
      </c>
      <c r="DL85" s="41">
        <f t="shared" ca="1" si="1512"/>
        <v>0</v>
      </c>
      <c r="DM85" s="41">
        <f t="shared" ca="1" si="1513"/>
        <v>0</v>
      </c>
      <c r="DN85" s="41">
        <f t="shared" ca="1" si="1514"/>
        <v>0.32161751610706618</v>
      </c>
      <c r="DP85" s="41">
        <f t="shared" ca="1" si="1515"/>
        <v>0.37310222978975405</v>
      </c>
      <c r="DQ85" s="41">
        <f t="shared" ca="1" si="1516"/>
        <v>0.4263939769025763</v>
      </c>
      <c r="DR85" s="41">
        <f t="shared" ca="1" si="1517"/>
        <v>2.2771302931596144E-2</v>
      </c>
      <c r="DS85" s="41">
        <f t="shared" ca="1" si="1518"/>
        <v>0.1776324903760734</v>
      </c>
      <c r="DT85" s="41">
        <f t="shared" ca="1" si="1519"/>
        <v>-5.0000000000000002E-5</v>
      </c>
      <c r="DU85" s="41">
        <f t="shared" ca="1" si="1520"/>
        <v>-6.0000000000000002E-5</v>
      </c>
      <c r="DV85" s="41">
        <f t="shared" ca="1" si="1521"/>
        <v>-6.9999999999999994E-5</v>
      </c>
      <c r="DW85" s="41">
        <f t="shared" ca="1" si="1522"/>
        <v>-8.0000000000000007E-5</v>
      </c>
      <c r="DX85" s="41">
        <f t="shared" ca="1" si="1523"/>
        <v>-9.0000000000000006E-5</v>
      </c>
      <c r="DY85" s="41">
        <f t="shared" ca="1" si="1524"/>
        <v>-1E-4</v>
      </c>
      <c r="DZ85" s="41">
        <f t="shared" ca="1" si="1525"/>
        <v>-1.1E-4</v>
      </c>
      <c r="EA85" s="41">
        <f t="shared" ca="1" si="1526"/>
        <v>-1.2E-4</v>
      </c>
      <c r="EB85" s="41">
        <f t="shared" ca="1" si="1527"/>
        <v>-1.2999999999999999E-4</v>
      </c>
      <c r="EC85" s="41">
        <f t="shared" ca="1" si="1528"/>
        <v>-1.3999999999999999E-4</v>
      </c>
      <c r="ED85" s="41">
        <f t="shared" ca="1" si="1529"/>
        <v>-1.4999999999999999E-4</v>
      </c>
      <c r="EE85" s="41">
        <f t="shared" ca="1" si="1530"/>
        <v>-1.6000000000000001E-4</v>
      </c>
      <c r="EF85" s="41">
        <f t="shared" ca="1" si="1531"/>
        <v>-1.7000000000000001E-4</v>
      </c>
      <c r="EG85" s="41">
        <f t="shared" ca="1" si="1532"/>
        <v>-1.8000000000000001E-4</v>
      </c>
      <c r="EH85" s="41">
        <f t="shared" ca="1" si="1533"/>
        <v>-1.9000000000000001E-4</v>
      </c>
      <c r="EI85" s="41">
        <f t="shared" ca="1" si="1534"/>
        <v>-2.0000000000000001E-4</v>
      </c>
      <c r="EJ85" s="41">
        <f t="shared" ca="1" si="1535"/>
        <v>0.9978999999999999</v>
      </c>
      <c r="EL85" s="378">
        <f t="shared" ca="1" si="1536"/>
        <v>2</v>
      </c>
      <c r="EM85" s="378">
        <f t="shared" ca="1" si="1537"/>
        <v>1</v>
      </c>
      <c r="EN85" s="378">
        <f t="shared" ca="1" si="1538"/>
        <v>4</v>
      </c>
      <c r="EO85" s="378">
        <f t="shared" ca="1" si="1539"/>
        <v>3</v>
      </c>
      <c r="EP85" s="378">
        <f t="shared" ca="1" si="1540"/>
        <v>5</v>
      </c>
      <c r="EQ85" s="378">
        <f t="shared" ca="1" si="1541"/>
        <v>6</v>
      </c>
      <c r="ER85" s="378">
        <f t="shared" ca="1" si="1542"/>
        <v>7</v>
      </c>
      <c r="ES85" s="378">
        <f t="shared" ca="1" si="1543"/>
        <v>8</v>
      </c>
      <c r="ET85" s="378">
        <f t="shared" ca="1" si="1544"/>
        <v>9</v>
      </c>
      <c r="EU85" s="378">
        <f t="shared" ca="1" si="1545"/>
        <v>10</v>
      </c>
      <c r="EV85" s="378">
        <f t="shared" ca="1" si="1546"/>
        <v>11</v>
      </c>
      <c r="EW85" s="378">
        <f t="shared" ca="1" si="1547"/>
        <v>12</v>
      </c>
      <c r="EX85" s="378">
        <f t="shared" ca="1" si="1548"/>
        <v>13</v>
      </c>
      <c r="EY85" s="378">
        <f t="shared" ca="1" si="1549"/>
        <v>14</v>
      </c>
      <c r="EZ85" s="378">
        <f t="shared" ca="1" si="1550"/>
        <v>15</v>
      </c>
      <c r="FA85" s="378">
        <f t="shared" ca="1" si="1551"/>
        <v>16</v>
      </c>
      <c r="FB85" s="378">
        <f t="shared" ca="1" si="1552"/>
        <v>17</v>
      </c>
      <c r="FC85" s="378">
        <f t="shared" ca="1" si="1553"/>
        <v>18</v>
      </c>
      <c r="FD85" s="378">
        <f t="shared" ca="1" si="1554"/>
        <v>19</v>
      </c>
      <c r="FE85" s="378">
        <f t="shared" ca="1" si="1555"/>
        <v>20</v>
      </c>
      <c r="FG85" s="378">
        <f t="shared" ca="1" si="1556"/>
        <v>2</v>
      </c>
      <c r="FH85" s="378">
        <f t="shared" ca="1" si="1556"/>
        <v>1</v>
      </c>
      <c r="FI85" s="378">
        <f t="shared" ca="1" si="1556"/>
        <v>4</v>
      </c>
      <c r="FJ85" s="378">
        <f t="shared" ca="1" si="1556"/>
        <v>3</v>
      </c>
      <c r="FK85" s="378">
        <f t="shared" ca="1" si="1556"/>
        <v>5</v>
      </c>
      <c r="FL85" s="378">
        <f t="shared" ca="1" si="1556"/>
        <v>6</v>
      </c>
      <c r="FM85" s="378">
        <f t="shared" ca="1" si="1556"/>
        <v>7</v>
      </c>
      <c r="FN85" s="378">
        <f t="shared" ca="1" si="1556"/>
        <v>8</v>
      </c>
      <c r="FO85" s="378">
        <f t="shared" ca="1" si="1556"/>
        <v>9</v>
      </c>
      <c r="FP85" s="378">
        <f t="shared" ca="1" si="1556"/>
        <v>10</v>
      </c>
      <c r="FQ85" s="378">
        <f t="shared" ca="1" si="1556"/>
        <v>11</v>
      </c>
      <c r="FR85" s="378">
        <f t="shared" ca="1" si="1556"/>
        <v>12</v>
      </c>
      <c r="FS85" s="378">
        <f t="shared" ca="1" si="1556"/>
        <v>13</v>
      </c>
      <c r="FT85" s="378">
        <f t="shared" ca="1" si="1556"/>
        <v>14</v>
      </c>
      <c r="FU85" s="378">
        <f t="shared" ca="1" si="1556"/>
        <v>15</v>
      </c>
      <c r="FV85" s="378">
        <f t="shared" ca="1" si="1556"/>
        <v>16</v>
      </c>
      <c r="FW85" s="378">
        <f t="shared" ca="1" si="1557"/>
        <v>17</v>
      </c>
      <c r="FX85" s="378">
        <f t="shared" ca="1" si="1557"/>
        <v>18</v>
      </c>
      <c r="FY85" s="378">
        <f t="shared" ca="1" si="1557"/>
        <v>19</v>
      </c>
      <c r="FZ85" s="378">
        <f t="shared" ca="1" si="1557"/>
        <v>20</v>
      </c>
      <c r="GB85" s="275" t="str">
        <f t="shared" ca="1" si="1558"/>
        <v>Marketing / Sales Data Integration (43%)</v>
      </c>
      <c r="GC85" s="231" t="str">
        <f t="shared" ca="1" si="1559"/>
        <v>; Marketing / Sales Apps (37%)</v>
      </c>
      <c r="GD85" s="231" t="str">
        <f t="shared" ca="1" si="1560"/>
        <v>; Enhance BI Platform (18%)</v>
      </c>
      <c r="GE85" s="231" t="str">
        <f t="shared" ca="1" si="1561"/>
        <v/>
      </c>
      <c r="GF85" s="231" t="str">
        <f t="shared" ca="1" si="1562"/>
        <v/>
      </c>
      <c r="GG85" s="231" t="str">
        <f t="shared" ca="1" si="1563"/>
        <v/>
      </c>
      <c r="GH85" s="231" t="str">
        <f t="shared" ca="1" si="1564"/>
        <v/>
      </c>
      <c r="GI85" s="231" t="str">
        <f t="shared" ca="1" si="1565"/>
        <v/>
      </c>
      <c r="GJ85" s="231" t="str">
        <f t="shared" ca="1" si="1566"/>
        <v/>
      </c>
      <c r="GK85" s="231" t="str">
        <f t="shared" ca="1" si="1567"/>
        <v/>
      </c>
      <c r="GL85" s="231" t="str">
        <f t="shared" ca="1" si="1568"/>
        <v/>
      </c>
      <c r="GM85" s="231" t="str">
        <f t="shared" ca="1" si="1569"/>
        <v/>
      </c>
      <c r="GN85" s="231" t="str">
        <f t="shared" ca="1" si="1570"/>
        <v/>
      </c>
      <c r="GO85" s="231" t="str">
        <f t="shared" ca="1" si="1571"/>
        <v/>
      </c>
      <c r="GP85" s="231" t="str">
        <f t="shared" ca="1" si="1572"/>
        <v/>
      </c>
      <c r="GQ85" s="231" t="str">
        <f t="shared" ca="1" si="1573"/>
        <v/>
      </c>
      <c r="GR85" s="231" t="str">
        <f t="shared" ca="1" si="1574"/>
        <v/>
      </c>
      <c r="GS85" s="231" t="str">
        <f t="shared" ca="1" si="1575"/>
        <v/>
      </c>
      <c r="GT85" s="231" t="str">
        <f t="shared" ca="1" si="1576"/>
        <v/>
      </c>
      <c r="GU85" s="231" t="str">
        <f t="shared" ca="1" si="1577"/>
        <v/>
      </c>
    </row>
    <row r="86" spans="1:203" s="386" customFormat="1" ht="16.5" hidden="1" customHeight="1">
      <c r="B86" s="373"/>
      <c r="C86" s="81" t="str">
        <f>Revenue!B7</f>
        <v>Improved Customer Service</v>
      </c>
      <c r="D86" s="404">
        <f t="shared" ca="1" si="1488"/>
        <v>0.45653976441764837</v>
      </c>
      <c r="E86" s="374">
        <f>ROW(Initiatives!$A$166)</f>
        <v>166</v>
      </c>
      <c r="F86" s="374">
        <f>ROW(Initiatives!$A$167)</f>
        <v>167</v>
      </c>
      <c r="G86" s="374">
        <f>ROW(Initiatives!$A$172)</f>
        <v>172</v>
      </c>
      <c r="H86" s="374">
        <f>ROW(Initiatives!$A$173)</f>
        <v>173</v>
      </c>
      <c r="I86" s="374">
        <f>ROW(Initiatives!$A$183)</f>
        <v>183</v>
      </c>
      <c r="J86" s="374">
        <f>ROW(Initiatives!$A$189)</f>
        <v>189</v>
      </c>
      <c r="K86" s="374"/>
      <c r="L86" s="374"/>
      <c r="M86" s="374"/>
      <c r="N86" s="374"/>
      <c r="O86" s="374"/>
      <c r="P86" s="374"/>
      <c r="Q86" s="374"/>
      <c r="R86" s="374"/>
      <c r="S86" s="374"/>
      <c r="T86" s="374"/>
      <c r="U86" s="374"/>
      <c r="V86" s="374"/>
      <c r="W86" s="374"/>
      <c r="X86" s="374"/>
      <c r="Y86" s="392" t="str">
        <f ca="1">OFFSET(Initiatives!$D$1,E86-1,$BS$3)</f>
        <v>Marketing / Sales Apps</v>
      </c>
      <c r="Z86" s="375">
        <v>2</v>
      </c>
      <c r="AA86" s="392" t="str">
        <f ca="1">OFFSET(Initiatives!$D$1,F86-1,$BS$3)</f>
        <v>Supply / Operations Apps</v>
      </c>
      <c r="AB86" s="375">
        <v>9</v>
      </c>
      <c r="AC86" s="392" t="str">
        <f ca="1">OFFSET(Initiatives!$D$1,G86-1,$BS$3)</f>
        <v>Marketing / Sales Data Integration</v>
      </c>
      <c r="AD86" s="375">
        <v>2</v>
      </c>
      <c r="AE86" s="392" t="str">
        <f ca="1">OFFSET(Initiatives!$D$1,H86-1,$BS$3)</f>
        <v>Supply Chain / Ops Data Integration</v>
      </c>
      <c r="AF86" s="375">
        <v>9</v>
      </c>
      <c r="AG86" s="392" t="str">
        <f ca="1">OFFSET(Initiatives!$D$1,I86-1,$BS$3)</f>
        <v>Enhance DW Platform</v>
      </c>
      <c r="AH86" s="375">
        <v>1</v>
      </c>
      <c r="AI86" s="392" t="str">
        <f ca="1">OFFSET(Initiatives!$D$1,J86-1,$BS$3)</f>
        <v>Enhance BI Platform</v>
      </c>
      <c r="AJ86" s="375">
        <v>1</v>
      </c>
      <c r="AK86" s="392" t="e">
        <f ca="1">OFFSET(Initiatives!$D$1,K86-1,$BS$3)</f>
        <v>#REF!</v>
      </c>
      <c r="AL86" s="375"/>
      <c r="AM86" s="392" t="e">
        <f ca="1">OFFSET(Initiatives!$D$1,L86-1,$BS$3)</f>
        <v>#REF!</v>
      </c>
      <c r="AN86" s="375"/>
      <c r="AO86" s="392" t="e">
        <f ca="1">OFFSET(Initiatives!$D$1,M86-1,$BS$3)</f>
        <v>#REF!</v>
      </c>
      <c r="AP86" s="375"/>
      <c r="AQ86" s="392" t="e">
        <f ca="1">OFFSET(Initiatives!$D$1,N86-1,$BS$3)</f>
        <v>#REF!</v>
      </c>
      <c r="AR86" s="375"/>
      <c r="AS86" s="392" t="e">
        <f ca="1">OFFSET(Initiatives!$D$1,O86-1,$BS$3)</f>
        <v>#REF!</v>
      </c>
      <c r="AT86" s="375"/>
      <c r="AU86" s="392" t="e">
        <f ca="1">OFFSET(Initiatives!$D$1,P86-1,$BS$3)</f>
        <v>#REF!</v>
      </c>
      <c r="AV86" s="375"/>
      <c r="AW86" s="392" t="e">
        <f ca="1">OFFSET(Initiatives!$D$1,Q86-1,$BS$3)</f>
        <v>#REF!</v>
      </c>
      <c r="AX86" s="375"/>
      <c r="AY86" s="392" t="e">
        <f ca="1">OFFSET(Initiatives!$D$1,R86-1,$BS$3)</f>
        <v>#REF!</v>
      </c>
      <c r="AZ86" s="375"/>
      <c r="BA86" s="392" t="e">
        <f ca="1">OFFSET(Initiatives!$D$1,S86-1,$BS$3)</f>
        <v>#REF!</v>
      </c>
      <c r="BB86" s="375"/>
      <c r="BC86" s="392" t="e">
        <f ca="1">OFFSET(Initiatives!$D$1,T86-1,$BS$3)</f>
        <v>#REF!</v>
      </c>
      <c r="BD86" s="375"/>
      <c r="BE86" s="392" t="e">
        <f ca="1">OFFSET(Initiatives!$D$1,U86-1,$BS$3)</f>
        <v>#REF!</v>
      </c>
      <c r="BF86" s="375"/>
      <c r="BG86" s="392" t="e">
        <f ca="1">OFFSET(Initiatives!$D$1,V86-1,$BS$3)</f>
        <v>#REF!</v>
      </c>
      <c r="BH86" s="375"/>
      <c r="BI86" s="392" t="e">
        <f ca="1">OFFSET(Initiatives!$D$1,W86-1,$BS$3)</f>
        <v>#REF!</v>
      </c>
      <c r="BJ86" s="375"/>
      <c r="BK86" s="392" t="e">
        <f ca="1">OFFSET(Initiatives!$D$1,X86-1,$BS$3)</f>
        <v>#REF!</v>
      </c>
      <c r="BL86" s="375"/>
      <c r="BN86" s="101">
        <f t="shared" si="1489"/>
        <v>24.0001</v>
      </c>
      <c r="BP86" s="231" t="str">
        <f t="shared" ca="1" si="1490"/>
        <v>Supply Chain / Ops Data Integration (56%); Supply / Operations Apps (26%); Marketing / Sales Data Integration (7%); Enhance BI Platform (5%); Marketing / Sales Apps (5%)</v>
      </c>
      <c r="BQ86" s="338">
        <v>0.01</v>
      </c>
      <c r="BR86" s="40">
        <f t="shared" ca="1" si="1491"/>
        <v>5</v>
      </c>
      <c r="BS86" s="274">
        <v>0.05</v>
      </c>
      <c r="BT86" s="40">
        <f t="shared" ca="1" si="1492"/>
        <v>5</v>
      </c>
      <c r="BU86" s="376">
        <v>7</v>
      </c>
      <c r="BV86" s="40">
        <f t="shared" ca="1" si="1493"/>
        <v>5</v>
      </c>
      <c r="BY86" s="377">
        <f ca="1">IF(ISERROR(OFFSET(Initiatives!$D$1,E86-1,$BY$3)),,OFFSET(Initiatives!$D$1,E86-1,$BY$3))</f>
        <v>0.27999999999999992</v>
      </c>
      <c r="BZ86" s="377">
        <f ca="1">IF(ISERROR(OFFSET(Initiatives!$D$1,F86-1,$BY$3)),,OFFSET(Initiatives!$D$1,F86-1,$BY$3))</f>
        <v>0.32000000000000006</v>
      </c>
      <c r="CA86" s="377">
        <f ca="1">IF(ISERROR(OFFSET(Initiatives!$D$1,G86-1,$BY$3)),,OFFSET(Initiatives!$D$1,G86-1,$BY$3))</f>
        <v>0.3600000000000001</v>
      </c>
      <c r="CB86" s="377">
        <f ca="1">IF(ISERROR(OFFSET(Initiatives!$D$1,H86-1,$BY$3)),,OFFSET(Initiatives!$D$1,H86-1,$BY$3))</f>
        <v>0.68000000000000016</v>
      </c>
      <c r="CC86" s="377">
        <f ca="1">IF(ISERROR(OFFSET(Initiatives!$D$1,I86-1,$BY$3)),,OFFSET(Initiatives!$D$1,I86-1,$BY$3))</f>
        <v>7.7000000000000179E-2</v>
      </c>
      <c r="CD86" s="377">
        <f ca="1">IF(ISERROR(OFFSET(Initiatives!$D$1,J86-1,$BY$3)),,OFFSET(Initiatives!$D$1,J86-1,$BY$3))</f>
        <v>0.6</v>
      </c>
      <c r="CE86" s="377">
        <f ca="1">IF(ISERROR(OFFSET(Initiatives!$D$1,K86-1,$BY$3)),,OFFSET(Initiatives!$D$1,K86-1,$BY$3))</f>
        <v>0</v>
      </c>
      <c r="CF86" s="377">
        <f ca="1">IF(ISERROR(OFFSET(Initiatives!$D$1,L86-1,$BY$3)),,OFFSET(Initiatives!$D$1,L86-1,$BY$3))</f>
        <v>0</v>
      </c>
      <c r="CG86" s="377">
        <f ca="1">IF(ISERROR(OFFSET(Initiatives!$D$1,M86-1,$BY$3)),,OFFSET(Initiatives!$D$1,M86-1,$BY$3))</f>
        <v>0</v>
      </c>
      <c r="CH86" s="377">
        <f ca="1">IF(ISERROR(OFFSET(Initiatives!$D$1,N86-1,$BY$3)),,OFFSET(Initiatives!$D$1,N86-1,$BY$3))</f>
        <v>0</v>
      </c>
      <c r="CI86" s="377">
        <f ca="1">IF(ISERROR(OFFSET(Initiatives!$D$1,O86-1,$BY$3)),,OFFSET(Initiatives!$D$1,O86-1,$BY$3))</f>
        <v>0</v>
      </c>
      <c r="CJ86" s="377">
        <f ca="1">IF(ISERROR(OFFSET(Initiatives!$D$1,P86-1,$BY$3)),,OFFSET(Initiatives!$D$1,P86-1,$BY$3))</f>
        <v>0</v>
      </c>
      <c r="CK86" s="377">
        <f ca="1">IF(ISERROR(OFFSET(Initiatives!$D$1,Q86-1,$BY$3)),,OFFSET(Initiatives!$D$1,Q86-1,$BY$3))</f>
        <v>0</v>
      </c>
      <c r="CL86" s="377">
        <f ca="1">IF(ISERROR(OFFSET(Initiatives!$D$1,R86-1,$BY$3)),,OFFSET(Initiatives!$D$1,R86-1,$BY$3))</f>
        <v>0</v>
      </c>
      <c r="CM86" s="377">
        <f ca="1">IF(ISERROR(OFFSET(Initiatives!$D$1,S86-1,$BY$3)),,OFFSET(Initiatives!$D$1,S86-1,$BY$3))</f>
        <v>0</v>
      </c>
      <c r="CN86" s="377">
        <f ca="1">IF(ISERROR(OFFSET(Initiatives!$D$1,T86-1,$BY$3)),,OFFSET(Initiatives!$D$1,T86-1,$BY$3))</f>
        <v>0</v>
      </c>
      <c r="CO86" s="377">
        <f ca="1">IF(ISERROR(OFFSET(Initiatives!$D$1,U86-1,$BY$3)),,OFFSET(Initiatives!$D$1,U86-1,$BY$3))</f>
        <v>0</v>
      </c>
      <c r="CP86" s="377">
        <f ca="1">IF(ISERROR(OFFSET(Initiatives!$D$1,V86-1,$BY$3)),,OFFSET(Initiatives!$D$1,V86-1,$BY$3))</f>
        <v>0</v>
      </c>
      <c r="CQ86" s="377">
        <f ca="1">IF(ISERROR(OFFSET(Initiatives!$D$1,W86-1,$BY$3)),,OFFSET(Initiatives!$D$1,W86-1,$BY$3))</f>
        <v>0</v>
      </c>
      <c r="CR86" s="377">
        <f ca="1">IF(ISERROR(OFFSET(Initiatives!$D$1,X86-1,$BY$3)),,OFFSET(Initiatives!$D$1,X86-1,$BY$3))</f>
        <v>0</v>
      </c>
      <c r="CT86" s="41">
        <f t="shared" ca="1" si="1494"/>
        <v>2.3333236111516196E-2</v>
      </c>
      <c r="CU86" s="41">
        <f t="shared" ca="1" si="1495"/>
        <v>0.11999950000208336</v>
      </c>
      <c r="CV86" s="41">
        <f t="shared" ca="1" si="1496"/>
        <v>2.9999875000520839E-2</v>
      </c>
      <c r="CW86" s="41">
        <f t="shared" ca="1" si="1497"/>
        <v>0.25499893750442709</v>
      </c>
      <c r="CX86" s="41">
        <f t="shared" ca="1" si="1498"/>
        <v>3.2083199653334853E-3</v>
      </c>
      <c r="CY86" s="41">
        <f t="shared" ca="1" si="1499"/>
        <v>2.4999895833767358E-2</v>
      </c>
      <c r="CZ86" s="41">
        <f t="shared" ca="1" si="1500"/>
        <v>0</v>
      </c>
      <c r="DA86" s="41">
        <f t="shared" ca="1" si="1501"/>
        <v>0</v>
      </c>
      <c r="DB86" s="41">
        <f t="shared" ca="1" si="1502"/>
        <v>0</v>
      </c>
      <c r="DC86" s="41">
        <f t="shared" ca="1" si="1503"/>
        <v>0</v>
      </c>
      <c r="DD86" s="41">
        <f t="shared" ca="1" si="1504"/>
        <v>0</v>
      </c>
      <c r="DE86" s="41">
        <f t="shared" ca="1" si="1505"/>
        <v>0</v>
      </c>
      <c r="DF86" s="41">
        <f t="shared" ca="1" si="1506"/>
        <v>0</v>
      </c>
      <c r="DG86" s="41">
        <f t="shared" ca="1" si="1507"/>
        <v>0</v>
      </c>
      <c r="DH86" s="41">
        <f t="shared" ca="1" si="1508"/>
        <v>0</v>
      </c>
      <c r="DI86" s="41">
        <f t="shared" ca="1" si="1509"/>
        <v>0</v>
      </c>
      <c r="DJ86" s="41">
        <f t="shared" ca="1" si="1510"/>
        <v>0</v>
      </c>
      <c r="DK86" s="41">
        <f t="shared" ca="1" si="1511"/>
        <v>0</v>
      </c>
      <c r="DL86" s="41">
        <f t="shared" ca="1" si="1512"/>
        <v>0</v>
      </c>
      <c r="DM86" s="41">
        <f t="shared" ca="1" si="1513"/>
        <v>0</v>
      </c>
      <c r="DN86" s="41">
        <f t="shared" ca="1" si="1514"/>
        <v>0.45653976441764837</v>
      </c>
      <c r="DP86" s="41">
        <f t="shared" ca="1" si="1515"/>
        <v>5.1098880167929149E-2</v>
      </c>
      <c r="DQ86" s="41">
        <f t="shared" ca="1" si="1516"/>
        <v>0.2628256694350643</v>
      </c>
      <c r="DR86" s="41">
        <f t="shared" ca="1" si="1517"/>
        <v>6.5681417358766078E-2</v>
      </c>
      <c r="DS86" s="41">
        <f t="shared" ca="1" si="1518"/>
        <v>0.55850704754951164</v>
      </c>
      <c r="DT86" s="41">
        <f t="shared" ca="1" si="1519"/>
        <v>6.9774710230902769E-3</v>
      </c>
      <c r="DU86" s="41">
        <f t="shared" ca="1" si="1520"/>
        <v>5.4699514465638394E-2</v>
      </c>
      <c r="DV86" s="41">
        <f t="shared" ca="1" si="1521"/>
        <v>-6.9999999999999994E-5</v>
      </c>
      <c r="DW86" s="41">
        <f t="shared" ca="1" si="1522"/>
        <v>-8.0000000000000007E-5</v>
      </c>
      <c r="DX86" s="41">
        <f t="shared" ca="1" si="1523"/>
        <v>-9.0000000000000006E-5</v>
      </c>
      <c r="DY86" s="41">
        <f t="shared" ca="1" si="1524"/>
        <v>-1E-4</v>
      </c>
      <c r="DZ86" s="41">
        <f t="shared" ca="1" si="1525"/>
        <v>-1.1E-4</v>
      </c>
      <c r="EA86" s="41">
        <f t="shared" ca="1" si="1526"/>
        <v>-1.2E-4</v>
      </c>
      <c r="EB86" s="41">
        <f t="shared" ca="1" si="1527"/>
        <v>-1.2999999999999999E-4</v>
      </c>
      <c r="EC86" s="41">
        <f t="shared" ca="1" si="1528"/>
        <v>-1.3999999999999999E-4</v>
      </c>
      <c r="ED86" s="41">
        <f t="shared" ca="1" si="1529"/>
        <v>-1.4999999999999999E-4</v>
      </c>
      <c r="EE86" s="41">
        <f t="shared" ca="1" si="1530"/>
        <v>-1.6000000000000001E-4</v>
      </c>
      <c r="EF86" s="41">
        <f t="shared" ca="1" si="1531"/>
        <v>-1.7000000000000001E-4</v>
      </c>
      <c r="EG86" s="41">
        <f t="shared" ca="1" si="1532"/>
        <v>-1.8000000000000001E-4</v>
      </c>
      <c r="EH86" s="41">
        <f t="shared" ca="1" si="1533"/>
        <v>-1.9000000000000001E-4</v>
      </c>
      <c r="EI86" s="41">
        <f t="shared" ca="1" si="1534"/>
        <v>-2.0000000000000001E-4</v>
      </c>
      <c r="EJ86" s="41">
        <f t="shared" ca="1" si="1535"/>
        <v>0.99789999999999979</v>
      </c>
      <c r="EL86" s="378">
        <f t="shared" ca="1" si="1536"/>
        <v>5</v>
      </c>
      <c r="EM86" s="378">
        <f t="shared" ca="1" si="1537"/>
        <v>2</v>
      </c>
      <c r="EN86" s="378">
        <f t="shared" ca="1" si="1538"/>
        <v>3</v>
      </c>
      <c r="EO86" s="378">
        <f t="shared" ca="1" si="1539"/>
        <v>1</v>
      </c>
      <c r="EP86" s="378">
        <f t="shared" ca="1" si="1540"/>
        <v>6</v>
      </c>
      <c r="EQ86" s="378">
        <f t="shared" ca="1" si="1541"/>
        <v>4</v>
      </c>
      <c r="ER86" s="378">
        <f t="shared" ca="1" si="1542"/>
        <v>7</v>
      </c>
      <c r="ES86" s="378">
        <f t="shared" ca="1" si="1543"/>
        <v>8</v>
      </c>
      <c r="ET86" s="378">
        <f t="shared" ca="1" si="1544"/>
        <v>9</v>
      </c>
      <c r="EU86" s="378">
        <f t="shared" ca="1" si="1545"/>
        <v>10</v>
      </c>
      <c r="EV86" s="378">
        <f t="shared" ca="1" si="1546"/>
        <v>11</v>
      </c>
      <c r="EW86" s="378">
        <f t="shared" ca="1" si="1547"/>
        <v>12</v>
      </c>
      <c r="EX86" s="378">
        <f t="shared" ca="1" si="1548"/>
        <v>13</v>
      </c>
      <c r="EY86" s="378">
        <f t="shared" ca="1" si="1549"/>
        <v>14</v>
      </c>
      <c r="EZ86" s="378">
        <f t="shared" ca="1" si="1550"/>
        <v>15</v>
      </c>
      <c r="FA86" s="378">
        <f t="shared" ca="1" si="1551"/>
        <v>16</v>
      </c>
      <c r="FB86" s="378">
        <f t="shared" ca="1" si="1552"/>
        <v>17</v>
      </c>
      <c r="FC86" s="378">
        <f t="shared" ca="1" si="1553"/>
        <v>18</v>
      </c>
      <c r="FD86" s="378">
        <f t="shared" ca="1" si="1554"/>
        <v>19</v>
      </c>
      <c r="FE86" s="378">
        <f t="shared" ca="1" si="1555"/>
        <v>20</v>
      </c>
      <c r="FG86" s="378">
        <f t="shared" ca="1" si="1556"/>
        <v>4</v>
      </c>
      <c r="FH86" s="378">
        <f t="shared" ca="1" si="1556"/>
        <v>2</v>
      </c>
      <c r="FI86" s="378">
        <f t="shared" ca="1" si="1556"/>
        <v>3</v>
      </c>
      <c r="FJ86" s="378">
        <f t="shared" ca="1" si="1556"/>
        <v>6</v>
      </c>
      <c r="FK86" s="378">
        <f t="shared" ca="1" si="1556"/>
        <v>1</v>
      </c>
      <c r="FL86" s="378">
        <f t="shared" ca="1" si="1556"/>
        <v>5</v>
      </c>
      <c r="FM86" s="378">
        <f t="shared" ca="1" si="1556"/>
        <v>7</v>
      </c>
      <c r="FN86" s="378">
        <f t="shared" ca="1" si="1556"/>
        <v>8</v>
      </c>
      <c r="FO86" s="378">
        <f t="shared" ca="1" si="1556"/>
        <v>9</v>
      </c>
      <c r="FP86" s="378">
        <f t="shared" ca="1" si="1556"/>
        <v>10</v>
      </c>
      <c r="FQ86" s="378">
        <f t="shared" ca="1" si="1556"/>
        <v>11</v>
      </c>
      <c r="FR86" s="378">
        <f t="shared" ca="1" si="1556"/>
        <v>12</v>
      </c>
      <c r="FS86" s="378">
        <f t="shared" ca="1" si="1556"/>
        <v>13</v>
      </c>
      <c r="FT86" s="378">
        <f t="shared" ca="1" si="1556"/>
        <v>14</v>
      </c>
      <c r="FU86" s="378">
        <f t="shared" ca="1" si="1556"/>
        <v>15</v>
      </c>
      <c r="FV86" s="378">
        <f t="shared" ca="1" si="1556"/>
        <v>16</v>
      </c>
      <c r="FW86" s="378">
        <f t="shared" ca="1" si="1557"/>
        <v>17</v>
      </c>
      <c r="FX86" s="378">
        <f t="shared" ca="1" si="1557"/>
        <v>18</v>
      </c>
      <c r="FY86" s="378">
        <f t="shared" ca="1" si="1557"/>
        <v>19</v>
      </c>
      <c r="FZ86" s="378">
        <f t="shared" ca="1" si="1557"/>
        <v>20</v>
      </c>
      <c r="GB86" s="275" t="str">
        <f t="shared" ca="1" si="1558"/>
        <v>Supply Chain / Ops Data Integration (56%)</v>
      </c>
      <c r="GC86" s="231" t="str">
        <f t="shared" ca="1" si="1559"/>
        <v>; Supply / Operations Apps (26%)</v>
      </c>
      <c r="GD86" s="231" t="str">
        <f t="shared" ca="1" si="1560"/>
        <v>; Marketing / Sales Data Integration (7%)</v>
      </c>
      <c r="GE86" s="231" t="str">
        <f t="shared" ca="1" si="1561"/>
        <v>; Enhance BI Platform (5%)</v>
      </c>
      <c r="GF86" s="231" t="str">
        <f t="shared" ca="1" si="1562"/>
        <v>; Marketing / Sales Apps (5%)</v>
      </c>
      <c r="GG86" s="231" t="str">
        <f t="shared" ca="1" si="1563"/>
        <v/>
      </c>
      <c r="GH86" s="231" t="str">
        <f t="shared" ca="1" si="1564"/>
        <v/>
      </c>
      <c r="GI86" s="231" t="str">
        <f t="shared" ca="1" si="1565"/>
        <v/>
      </c>
      <c r="GJ86" s="231" t="str">
        <f t="shared" ca="1" si="1566"/>
        <v/>
      </c>
      <c r="GK86" s="231" t="str">
        <f t="shared" ca="1" si="1567"/>
        <v/>
      </c>
      <c r="GL86" s="231" t="str">
        <f t="shared" ca="1" si="1568"/>
        <v/>
      </c>
      <c r="GM86" s="231" t="str">
        <f t="shared" ca="1" si="1569"/>
        <v/>
      </c>
      <c r="GN86" s="231" t="str">
        <f t="shared" ca="1" si="1570"/>
        <v/>
      </c>
      <c r="GO86" s="231" t="str">
        <f t="shared" ca="1" si="1571"/>
        <v/>
      </c>
      <c r="GP86" s="231" t="str">
        <f t="shared" ca="1" si="1572"/>
        <v/>
      </c>
      <c r="GQ86" s="231" t="str">
        <f t="shared" ca="1" si="1573"/>
        <v/>
      </c>
      <c r="GR86" s="231" t="str">
        <f t="shared" ca="1" si="1574"/>
        <v/>
      </c>
      <c r="GS86" s="231" t="str">
        <f t="shared" ca="1" si="1575"/>
        <v/>
      </c>
      <c r="GT86" s="231" t="str">
        <f t="shared" ca="1" si="1576"/>
        <v/>
      </c>
      <c r="GU86" s="231" t="str">
        <f t="shared" ca="1" si="1577"/>
        <v/>
      </c>
    </row>
    <row r="87" spans="1:203" s="386" customFormat="1" ht="16.5" hidden="1" customHeight="1">
      <c r="B87" s="373"/>
      <c r="C87" s="81" t="str">
        <f>Revenue!B8</f>
        <v>New/Expanded Channels or Geographies</v>
      </c>
      <c r="D87" s="404">
        <f t="shared" ca="1" si="1488"/>
        <v>0.34427586513408259</v>
      </c>
      <c r="E87" s="374">
        <f>ROW(Initiatives!$A$166)</f>
        <v>166</v>
      </c>
      <c r="F87" s="374">
        <f>ROW(Initiatives!$A$172)</f>
        <v>172</v>
      </c>
      <c r="G87" s="374">
        <f>ROW(Initiatives!$A$183)</f>
        <v>183</v>
      </c>
      <c r="H87" s="374">
        <f>ROW(Initiatives!$A$189)</f>
        <v>189</v>
      </c>
      <c r="I87" s="374"/>
      <c r="J87" s="374"/>
      <c r="K87" s="374"/>
      <c r="L87" s="374"/>
      <c r="M87" s="374"/>
      <c r="N87" s="374"/>
      <c r="O87" s="374"/>
      <c r="P87" s="374"/>
      <c r="Q87" s="374"/>
      <c r="R87" s="374"/>
      <c r="S87" s="374"/>
      <c r="T87" s="374"/>
      <c r="U87" s="374"/>
      <c r="V87" s="374"/>
      <c r="W87" s="374"/>
      <c r="X87" s="374"/>
      <c r="Y87" s="392" t="str">
        <f ca="1">OFFSET(Initiatives!$D$1,E87-1,$BS$3)</f>
        <v>Marketing / Sales Apps</v>
      </c>
      <c r="Z87" s="375">
        <v>6</v>
      </c>
      <c r="AA87" s="392" t="str">
        <f ca="1">OFFSET(Initiatives!$D$1,F87-1,$BS$3)</f>
        <v>Marketing / Sales Data Integration</v>
      </c>
      <c r="AB87" s="375">
        <v>9</v>
      </c>
      <c r="AC87" s="392" t="str">
        <f ca="1">OFFSET(Initiatives!$D$1,G87-1,$BS$3)</f>
        <v>Enhance DW Platform</v>
      </c>
      <c r="AD87" s="375">
        <v>1</v>
      </c>
      <c r="AE87" s="392" t="str">
        <f ca="1">OFFSET(Initiatives!$D$1,H87-1,$BS$3)</f>
        <v>Enhance BI Platform</v>
      </c>
      <c r="AF87" s="375">
        <v>2</v>
      </c>
      <c r="AG87" s="392" t="e">
        <f ca="1">OFFSET(Initiatives!$D$1,I87-1,$BS$3)</f>
        <v>#REF!</v>
      </c>
      <c r="AH87" s="375"/>
      <c r="AI87" s="392" t="e">
        <f ca="1">OFFSET(Initiatives!$D$1,J87-1,$BS$3)</f>
        <v>#REF!</v>
      </c>
      <c r="AJ87" s="375"/>
      <c r="AK87" s="392" t="e">
        <f ca="1">OFFSET(Initiatives!$D$1,K87-1,$BS$3)</f>
        <v>#REF!</v>
      </c>
      <c r="AL87" s="375"/>
      <c r="AM87" s="392" t="e">
        <f ca="1">OFFSET(Initiatives!$D$1,L87-1,$BS$3)</f>
        <v>#REF!</v>
      </c>
      <c r="AN87" s="375"/>
      <c r="AO87" s="392" t="e">
        <f ca="1">OFFSET(Initiatives!$D$1,M87-1,$BS$3)</f>
        <v>#REF!</v>
      </c>
      <c r="AP87" s="375"/>
      <c r="AQ87" s="392" t="e">
        <f ca="1">OFFSET(Initiatives!$D$1,N87-1,$BS$3)</f>
        <v>#REF!</v>
      </c>
      <c r="AR87" s="375"/>
      <c r="AS87" s="392" t="e">
        <f ca="1">OFFSET(Initiatives!$D$1,O87-1,$BS$3)</f>
        <v>#REF!</v>
      </c>
      <c r="AT87" s="375"/>
      <c r="AU87" s="392" t="e">
        <f ca="1">OFFSET(Initiatives!$D$1,P87-1,$BS$3)</f>
        <v>#REF!</v>
      </c>
      <c r="AV87" s="375"/>
      <c r="AW87" s="392" t="e">
        <f ca="1">OFFSET(Initiatives!$D$1,Q87-1,$BS$3)</f>
        <v>#REF!</v>
      </c>
      <c r="AX87" s="375"/>
      <c r="AY87" s="392" t="e">
        <f ca="1">OFFSET(Initiatives!$D$1,R87-1,$BS$3)</f>
        <v>#REF!</v>
      </c>
      <c r="AZ87" s="375"/>
      <c r="BA87" s="392" t="e">
        <f ca="1">OFFSET(Initiatives!$D$1,S87-1,$BS$3)</f>
        <v>#REF!</v>
      </c>
      <c r="BB87" s="375"/>
      <c r="BC87" s="392" t="e">
        <f ca="1">OFFSET(Initiatives!$D$1,T87-1,$BS$3)</f>
        <v>#REF!</v>
      </c>
      <c r="BD87" s="375"/>
      <c r="BE87" s="392" t="e">
        <f ca="1">OFFSET(Initiatives!$D$1,U87-1,$BS$3)</f>
        <v>#REF!</v>
      </c>
      <c r="BF87" s="375"/>
      <c r="BG87" s="392" t="e">
        <f ca="1">OFFSET(Initiatives!$D$1,V87-1,$BS$3)</f>
        <v>#REF!</v>
      </c>
      <c r="BH87" s="375"/>
      <c r="BI87" s="392" t="e">
        <f ca="1">OFFSET(Initiatives!$D$1,W87-1,$BS$3)</f>
        <v>#REF!</v>
      </c>
      <c r="BJ87" s="375"/>
      <c r="BK87" s="392" t="e">
        <f ca="1">OFFSET(Initiatives!$D$1,X87-1,$BS$3)</f>
        <v>#REF!</v>
      </c>
      <c r="BL87" s="375"/>
      <c r="BN87" s="101">
        <f t="shared" si="1489"/>
        <v>18.0001</v>
      </c>
      <c r="BP87" s="231" t="str">
        <f t="shared" ca="1" si="1490"/>
        <v>Marketing / Sales Data Integration (52%); Marketing / Sales Apps (27%); Enhance BI Platform (19%)</v>
      </c>
      <c r="BQ87" s="338">
        <v>0.01</v>
      </c>
      <c r="BR87" s="40">
        <f t="shared" ca="1" si="1491"/>
        <v>3</v>
      </c>
      <c r="BS87" s="274">
        <v>0.05</v>
      </c>
      <c r="BT87" s="40">
        <f t="shared" ca="1" si="1492"/>
        <v>3</v>
      </c>
      <c r="BU87" s="376">
        <v>7</v>
      </c>
      <c r="BV87" s="40">
        <f t="shared" ca="1" si="1493"/>
        <v>3</v>
      </c>
      <c r="BY87" s="377">
        <f ca="1">IF(ISERROR(OFFSET(Initiatives!$D$1,E87-1,$BY$3)),,OFFSET(Initiatives!$D$1,E87-1,$BY$3))</f>
        <v>0.27999999999999992</v>
      </c>
      <c r="BZ87" s="377">
        <f ca="1">IF(ISERROR(OFFSET(Initiatives!$D$1,F87-1,$BY$3)),,OFFSET(Initiatives!$D$1,F87-1,$BY$3))</f>
        <v>0.3600000000000001</v>
      </c>
      <c r="CA87" s="377">
        <f ca="1">IF(ISERROR(OFFSET(Initiatives!$D$1,G87-1,$BY$3)),,OFFSET(Initiatives!$D$1,G87-1,$BY$3))</f>
        <v>7.7000000000000179E-2</v>
      </c>
      <c r="CB87" s="377">
        <f ca="1">IF(ISERROR(OFFSET(Initiatives!$D$1,H87-1,$BY$3)),,OFFSET(Initiatives!$D$1,H87-1,$BY$3))</f>
        <v>0.6</v>
      </c>
      <c r="CC87" s="377">
        <f ca="1">IF(ISERROR(OFFSET(Initiatives!$D$1,I87-1,$BY$3)),,OFFSET(Initiatives!$D$1,I87-1,$BY$3))</f>
        <v>0</v>
      </c>
      <c r="CD87" s="377">
        <f ca="1">IF(ISERROR(OFFSET(Initiatives!$D$1,J87-1,$BY$3)),,OFFSET(Initiatives!$D$1,J87-1,$BY$3))</f>
        <v>0</v>
      </c>
      <c r="CE87" s="377">
        <f ca="1">IF(ISERROR(OFFSET(Initiatives!$D$1,K87-1,$BY$3)),,OFFSET(Initiatives!$D$1,K87-1,$BY$3))</f>
        <v>0</v>
      </c>
      <c r="CF87" s="377">
        <f ca="1">IF(ISERROR(OFFSET(Initiatives!$D$1,L87-1,$BY$3)),,OFFSET(Initiatives!$D$1,L87-1,$BY$3))</f>
        <v>0</v>
      </c>
      <c r="CG87" s="377">
        <f ca="1">IF(ISERROR(OFFSET(Initiatives!$D$1,M87-1,$BY$3)),,OFFSET(Initiatives!$D$1,M87-1,$BY$3))</f>
        <v>0</v>
      </c>
      <c r="CH87" s="377">
        <f ca="1">IF(ISERROR(OFFSET(Initiatives!$D$1,N87-1,$BY$3)),,OFFSET(Initiatives!$D$1,N87-1,$BY$3))</f>
        <v>0</v>
      </c>
      <c r="CI87" s="377">
        <f ca="1">IF(ISERROR(OFFSET(Initiatives!$D$1,O87-1,$BY$3)),,OFFSET(Initiatives!$D$1,O87-1,$BY$3))</f>
        <v>0</v>
      </c>
      <c r="CJ87" s="377">
        <f ca="1">IF(ISERROR(OFFSET(Initiatives!$D$1,P87-1,$BY$3)),,OFFSET(Initiatives!$D$1,P87-1,$BY$3))</f>
        <v>0</v>
      </c>
      <c r="CK87" s="377">
        <f ca="1">IF(ISERROR(OFFSET(Initiatives!$D$1,Q87-1,$BY$3)),,OFFSET(Initiatives!$D$1,Q87-1,$BY$3))</f>
        <v>0</v>
      </c>
      <c r="CL87" s="377">
        <f ca="1">IF(ISERROR(OFFSET(Initiatives!$D$1,R87-1,$BY$3)),,OFFSET(Initiatives!$D$1,R87-1,$BY$3))</f>
        <v>0</v>
      </c>
      <c r="CM87" s="377">
        <f ca="1">IF(ISERROR(OFFSET(Initiatives!$D$1,S87-1,$BY$3)),,OFFSET(Initiatives!$D$1,S87-1,$BY$3))</f>
        <v>0</v>
      </c>
      <c r="CN87" s="377">
        <f ca="1">IF(ISERROR(OFFSET(Initiatives!$D$1,T87-1,$BY$3)),,OFFSET(Initiatives!$D$1,T87-1,$BY$3))</f>
        <v>0</v>
      </c>
      <c r="CO87" s="377">
        <f ca="1">IF(ISERROR(OFFSET(Initiatives!$D$1,U87-1,$BY$3)),,OFFSET(Initiatives!$D$1,U87-1,$BY$3))</f>
        <v>0</v>
      </c>
      <c r="CP87" s="377">
        <f ca="1">IF(ISERROR(OFFSET(Initiatives!$D$1,V87-1,$BY$3)),,OFFSET(Initiatives!$D$1,V87-1,$BY$3))</f>
        <v>0</v>
      </c>
      <c r="CQ87" s="377">
        <f ca="1">IF(ISERROR(OFFSET(Initiatives!$D$1,W87-1,$BY$3)),,OFFSET(Initiatives!$D$1,W87-1,$BY$3))</f>
        <v>0</v>
      </c>
      <c r="CR87" s="377">
        <f ca="1">IF(ISERROR(OFFSET(Initiatives!$D$1,X87-1,$BY$3)),,OFFSET(Initiatives!$D$1,X87-1,$BY$3))</f>
        <v>0</v>
      </c>
      <c r="CT87" s="41">
        <f t="shared" ca="1" si="1494"/>
        <v>9.3332814817695425E-2</v>
      </c>
      <c r="CU87" s="41">
        <f t="shared" ca="1" si="1495"/>
        <v>0.17999900000555558</v>
      </c>
      <c r="CV87" s="41">
        <f t="shared" ca="1" si="1496"/>
        <v>4.2777540124777184E-3</v>
      </c>
      <c r="CW87" s="41">
        <f t="shared" ca="1" si="1497"/>
        <v>6.6666296298353897E-2</v>
      </c>
      <c r="CX87" s="41">
        <f t="shared" ca="1" si="1498"/>
        <v>0</v>
      </c>
      <c r="CY87" s="41">
        <f t="shared" ca="1" si="1499"/>
        <v>0</v>
      </c>
      <c r="CZ87" s="41">
        <f t="shared" ca="1" si="1500"/>
        <v>0</v>
      </c>
      <c r="DA87" s="41">
        <f t="shared" ca="1" si="1501"/>
        <v>0</v>
      </c>
      <c r="DB87" s="41">
        <f t="shared" ca="1" si="1502"/>
        <v>0</v>
      </c>
      <c r="DC87" s="41">
        <f t="shared" ca="1" si="1503"/>
        <v>0</v>
      </c>
      <c r="DD87" s="41">
        <f t="shared" ca="1" si="1504"/>
        <v>0</v>
      </c>
      <c r="DE87" s="41">
        <f t="shared" ca="1" si="1505"/>
        <v>0</v>
      </c>
      <c r="DF87" s="41">
        <f t="shared" ca="1" si="1506"/>
        <v>0</v>
      </c>
      <c r="DG87" s="41">
        <f t="shared" ca="1" si="1507"/>
        <v>0</v>
      </c>
      <c r="DH87" s="41">
        <f t="shared" ca="1" si="1508"/>
        <v>0</v>
      </c>
      <c r="DI87" s="41">
        <f t="shared" ca="1" si="1509"/>
        <v>0</v>
      </c>
      <c r="DJ87" s="41">
        <f t="shared" ca="1" si="1510"/>
        <v>0</v>
      </c>
      <c r="DK87" s="41">
        <f t="shared" ca="1" si="1511"/>
        <v>0</v>
      </c>
      <c r="DL87" s="41">
        <f t="shared" ca="1" si="1512"/>
        <v>0</v>
      </c>
      <c r="DM87" s="41">
        <f t="shared" ca="1" si="1513"/>
        <v>0</v>
      </c>
      <c r="DN87" s="41">
        <f t="shared" ca="1" si="1514"/>
        <v>0.34427586513408259</v>
      </c>
      <c r="DP87" s="41">
        <f t="shared" ca="1" si="1515"/>
        <v>0.27108891883169267</v>
      </c>
      <c r="DQ87" s="41">
        <f t="shared" ca="1" si="1516"/>
        <v>0.52281362917540752</v>
      </c>
      <c r="DR87" s="41">
        <f t="shared" ca="1" si="1517"/>
        <v>1.239536711311928E-2</v>
      </c>
      <c r="DS87" s="41">
        <f t="shared" ca="1" si="1518"/>
        <v>0.19360208487978053</v>
      </c>
      <c r="DT87" s="41">
        <f t="shared" ca="1" si="1519"/>
        <v>-5.0000000000000002E-5</v>
      </c>
      <c r="DU87" s="41">
        <f t="shared" ca="1" si="1520"/>
        <v>-6.0000000000000002E-5</v>
      </c>
      <c r="DV87" s="41">
        <f t="shared" ca="1" si="1521"/>
        <v>-6.9999999999999994E-5</v>
      </c>
      <c r="DW87" s="41">
        <f t="shared" ca="1" si="1522"/>
        <v>-8.0000000000000007E-5</v>
      </c>
      <c r="DX87" s="41">
        <f t="shared" ca="1" si="1523"/>
        <v>-9.0000000000000006E-5</v>
      </c>
      <c r="DY87" s="41">
        <f t="shared" ca="1" si="1524"/>
        <v>-1E-4</v>
      </c>
      <c r="DZ87" s="41">
        <f t="shared" ca="1" si="1525"/>
        <v>-1.1E-4</v>
      </c>
      <c r="EA87" s="41">
        <f t="shared" ca="1" si="1526"/>
        <v>-1.2E-4</v>
      </c>
      <c r="EB87" s="41">
        <f t="shared" ca="1" si="1527"/>
        <v>-1.2999999999999999E-4</v>
      </c>
      <c r="EC87" s="41">
        <f t="shared" ca="1" si="1528"/>
        <v>-1.3999999999999999E-4</v>
      </c>
      <c r="ED87" s="41">
        <f t="shared" ca="1" si="1529"/>
        <v>-1.4999999999999999E-4</v>
      </c>
      <c r="EE87" s="41">
        <f t="shared" ca="1" si="1530"/>
        <v>-1.6000000000000001E-4</v>
      </c>
      <c r="EF87" s="41">
        <f t="shared" ca="1" si="1531"/>
        <v>-1.7000000000000001E-4</v>
      </c>
      <c r="EG87" s="41">
        <f t="shared" ca="1" si="1532"/>
        <v>-1.8000000000000001E-4</v>
      </c>
      <c r="EH87" s="41">
        <f t="shared" ca="1" si="1533"/>
        <v>-1.9000000000000001E-4</v>
      </c>
      <c r="EI87" s="41">
        <f t="shared" ca="1" si="1534"/>
        <v>-2.0000000000000001E-4</v>
      </c>
      <c r="EJ87" s="41">
        <f t="shared" ca="1" si="1535"/>
        <v>0.99790000000000001</v>
      </c>
      <c r="EL87" s="378">
        <f t="shared" ca="1" si="1536"/>
        <v>2</v>
      </c>
      <c r="EM87" s="378">
        <f t="shared" ca="1" si="1537"/>
        <v>1</v>
      </c>
      <c r="EN87" s="378">
        <f t="shared" ca="1" si="1538"/>
        <v>4</v>
      </c>
      <c r="EO87" s="378">
        <f t="shared" ca="1" si="1539"/>
        <v>3</v>
      </c>
      <c r="EP87" s="378">
        <f t="shared" ca="1" si="1540"/>
        <v>5</v>
      </c>
      <c r="EQ87" s="378">
        <f t="shared" ca="1" si="1541"/>
        <v>6</v>
      </c>
      <c r="ER87" s="378">
        <f t="shared" ca="1" si="1542"/>
        <v>7</v>
      </c>
      <c r="ES87" s="378">
        <f t="shared" ca="1" si="1543"/>
        <v>8</v>
      </c>
      <c r="ET87" s="378">
        <f t="shared" ca="1" si="1544"/>
        <v>9</v>
      </c>
      <c r="EU87" s="378">
        <f t="shared" ca="1" si="1545"/>
        <v>10</v>
      </c>
      <c r="EV87" s="378">
        <f t="shared" ca="1" si="1546"/>
        <v>11</v>
      </c>
      <c r="EW87" s="378">
        <f t="shared" ca="1" si="1547"/>
        <v>12</v>
      </c>
      <c r="EX87" s="378">
        <f t="shared" ca="1" si="1548"/>
        <v>13</v>
      </c>
      <c r="EY87" s="378">
        <f t="shared" ca="1" si="1549"/>
        <v>14</v>
      </c>
      <c r="EZ87" s="378">
        <f t="shared" ca="1" si="1550"/>
        <v>15</v>
      </c>
      <c r="FA87" s="378">
        <f t="shared" ca="1" si="1551"/>
        <v>16</v>
      </c>
      <c r="FB87" s="378">
        <f t="shared" ca="1" si="1552"/>
        <v>17</v>
      </c>
      <c r="FC87" s="378">
        <f t="shared" ca="1" si="1553"/>
        <v>18</v>
      </c>
      <c r="FD87" s="378">
        <f t="shared" ca="1" si="1554"/>
        <v>19</v>
      </c>
      <c r="FE87" s="378">
        <f t="shared" ca="1" si="1555"/>
        <v>20</v>
      </c>
      <c r="FG87" s="378">
        <f t="shared" ca="1" si="1556"/>
        <v>2</v>
      </c>
      <c r="FH87" s="378">
        <f t="shared" ca="1" si="1556"/>
        <v>1</v>
      </c>
      <c r="FI87" s="378">
        <f t="shared" ca="1" si="1556"/>
        <v>4</v>
      </c>
      <c r="FJ87" s="378">
        <f t="shared" ca="1" si="1556"/>
        <v>3</v>
      </c>
      <c r="FK87" s="378">
        <f t="shared" ca="1" si="1556"/>
        <v>5</v>
      </c>
      <c r="FL87" s="378">
        <f t="shared" ca="1" si="1556"/>
        <v>6</v>
      </c>
      <c r="FM87" s="378">
        <f t="shared" ca="1" si="1556"/>
        <v>7</v>
      </c>
      <c r="FN87" s="378">
        <f t="shared" ca="1" si="1556"/>
        <v>8</v>
      </c>
      <c r="FO87" s="378">
        <f t="shared" ca="1" si="1556"/>
        <v>9</v>
      </c>
      <c r="FP87" s="378">
        <f t="shared" ca="1" si="1556"/>
        <v>10</v>
      </c>
      <c r="FQ87" s="378">
        <f t="shared" ca="1" si="1556"/>
        <v>11</v>
      </c>
      <c r="FR87" s="378">
        <f t="shared" ca="1" si="1556"/>
        <v>12</v>
      </c>
      <c r="FS87" s="378">
        <f t="shared" ca="1" si="1556"/>
        <v>13</v>
      </c>
      <c r="FT87" s="378">
        <f t="shared" ca="1" si="1556"/>
        <v>14</v>
      </c>
      <c r="FU87" s="378">
        <f t="shared" ca="1" si="1556"/>
        <v>15</v>
      </c>
      <c r="FV87" s="378">
        <f t="shared" ca="1" si="1556"/>
        <v>16</v>
      </c>
      <c r="FW87" s="378">
        <f t="shared" ca="1" si="1557"/>
        <v>17</v>
      </c>
      <c r="FX87" s="378">
        <f t="shared" ca="1" si="1557"/>
        <v>18</v>
      </c>
      <c r="FY87" s="378">
        <f t="shared" ca="1" si="1557"/>
        <v>19</v>
      </c>
      <c r="FZ87" s="378">
        <f t="shared" ca="1" si="1557"/>
        <v>20</v>
      </c>
      <c r="GB87" s="275" t="str">
        <f t="shared" ca="1" si="1558"/>
        <v>Marketing / Sales Data Integration (52%)</v>
      </c>
      <c r="GC87" s="231" t="str">
        <f t="shared" ca="1" si="1559"/>
        <v>; Marketing / Sales Apps (27%)</v>
      </c>
      <c r="GD87" s="231" t="str">
        <f t="shared" ca="1" si="1560"/>
        <v>; Enhance BI Platform (19%)</v>
      </c>
      <c r="GE87" s="231" t="str">
        <f t="shared" ca="1" si="1561"/>
        <v/>
      </c>
      <c r="GF87" s="231" t="str">
        <f t="shared" ca="1" si="1562"/>
        <v/>
      </c>
      <c r="GG87" s="231" t="str">
        <f t="shared" ca="1" si="1563"/>
        <v/>
      </c>
      <c r="GH87" s="231" t="str">
        <f t="shared" ca="1" si="1564"/>
        <v/>
      </c>
      <c r="GI87" s="231" t="str">
        <f t="shared" ca="1" si="1565"/>
        <v/>
      </c>
      <c r="GJ87" s="231" t="str">
        <f t="shared" ca="1" si="1566"/>
        <v/>
      </c>
      <c r="GK87" s="231" t="str">
        <f t="shared" ca="1" si="1567"/>
        <v/>
      </c>
      <c r="GL87" s="231" t="str">
        <f t="shared" ca="1" si="1568"/>
        <v/>
      </c>
      <c r="GM87" s="231" t="str">
        <f t="shared" ca="1" si="1569"/>
        <v/>
      </c>
      <c r="GN87" s="231" t="str">
        <f t="shared" ca="1" si="1570"/>
        <v/>
      </c>
      <c r="GO87" s="231" t="str">
        <f t="shared" ca="1" si="1571"/>
        <v/>
      </c>
      <c r="GP87" s="231" t="str">
        <f t="shared" ca="1" si="1572"/>
        <v/>
      </c>
      <c r="GQ87" s="231" t="str">
        <f t="shared" ca="1" si="1573"/>
        <v/>
      </c>
      <c r="GR87" s="231" t="str">
        <f t="shared" ca="1" si="1574"/>
        <v/>
      </c>
      <c r="GS87" s="231" t="str">
        <f t="shared" ca="1" si="1575"/>
        <v/>
      </c>
      <c r="GT87" s="231" t="str">
        <f t="shared" ca="1" si="1576"/>
        <v/>
      </c>
      <c r="GU87" s="231" t="str">
        <f t="shared" ca="1" si="1577"/>
        <v/>
      </c>
    </row>
    <row r="88" spans="1:203" s="386" customFormat="1" ht="16.5" hidden="1" customHeight="1">
      <c r="B88" s="373"/>
      <c r="C88" s="81" t="str">
        <f>Revenue!B9</f>
        <v>New/Enhanced Products/Services</v>
      </c>
      <c r="D88" s="404">
        <f t="shared" ca="1" si="1488"/>
        <v>0.33784831075844624</v>
      </c>
      <c r="E88" s="374">
        <f>ROW(Initiatives!$A$166)</f>
        <v>166</v>
      </c>
      <c r="F88" s="374">
        <f>ROW(Initiatives!$A$172)</f>
        <v>172</v>
      </c>
      <c r="G88" s="374">
        <f>ROW(Initiatives!$A$183)</f>
        <v>183</v>
      </c>
      <c r="H88" s="374">
        <f>ROW(Initiatives!$A$189)</f>
        <v>189</v>
      </c>
      <c r="I88" s="374"/>
      <c r="J88" s="374"/>
      <c r="K88" s="374"/>
      <c r="L88" s="374"/>
      <c r="M88" s="374"/>
      <c r="N88" s="374"/>
      <c r="O88" s="374"/>
      <c r="P88" s="374"/>
      <c r="Q88" s="374"/>
      <c r="R88" s="374"/>
      <c r="S88" s="374"/>
      <c r="T88" s="374"/>
      <c r="U88" s="374"/>
      <c r="V88" s="374"/>
      <c r="W88" s="374"/>
      <c r="X88" s="374"/>
      <c r="Y88" s="392" t="str">
        <f ca="1">OFFSET(Initiatives!$D$1,E88-1,$BS$3)</f>
        <v>Marketing / Sales Apps</v>
      </c>
      <c r="Z88" s="375">
        <v>8</v>
      </c>
      <c r="AA88" s="392" t="str">
        <f ca="1">OFFSET(Initiatives!$D$1,F88-1,$BS$3)</f>
        <v>Marketing / Sales Data Integration</v>
      </c>
      <c r="AB88" s="375">
        <v>9</v>
      </c>
      <c r="AC88" s="392" t="str">
        <f ca="1">OFFSET(Initiatives!$D$1,G88-1,$BS$3)</f>
        <v>Enhance DW Platform</v>
      </c>
      <c r="AD88" s="375">
        <v>1</v>
      </c>
      <c r="AE88" s="392" t="str">
        <f ca="1">OFFSET(Initiatives!$D$1,H88-1,$BS$3)</f>
        <v>Enhance BI Platform</v>
      </c>
      <c r="AF88" s="375">
        <v>2</v>
      </c>
      <c r="AG88" s="392" t="e">
        <f ca="1">OFFSET(Initiatives!$D$1,I88-1,$BS$3)</f>
        <v>#REF!</v>
      </c>
      <c r="AH88" s="375"/>
      <c r="AI88" s="392" t="e">
        <f ca="1">OFFSET(Initiatives!$D$1,J88-1,$BS$3)</f>
        <v>#REF!</v>
      </c>
      <c r="AJ88" s="375"/>
      <c r="AK88" s="392" t="e">
        <f ca="1">OFFSET(Initiatives!$D$1,K88-1,$BS$3)</f>
        <v>#REF!</v>
      </c>
      <c r="AL88" s="375"/>
      <c r="AM88" s="392" t="e">
        <f ca="1">OFFSET(Initiatives!$D$1,L88-1,$BS$3)</f>
        <v>#REF!</v>
      </c>
      <c r="AN88" s="375"/>
      <c r="AO88" s="392" t="e">
        <f ca="1">OFFSET(Initiatives!$D$1,M88-1,$BS$3)</f>
        <v>#REF!</v>
      </c>
      <c r="AP88" s="375"/>
      <c r="AQ88" s="392" t="e">
        <f ca="1">OFFSET(Initiatives!$D$1,N88-1,$BS$3)</f>
        <v>#REF!</v>
      </c>
      <c r="AR88" s="375"/>
      <c r="AS88" s="392" t="e">
        <f ca="1">OFFSET(Initiatives!$D$1,O88-1,$BS$3)</f>
        <v>#REF!</v>
      </c>
      <c r="AT88" s="375"/>
      <c r="AU88" s="392" t="e">
        <f ca="1">OFFSET(Initiatives!$D$1,P88-1,$BS$3)</f>
        <v>#REF!</v>
      </c>
      <c r="AV88" s="375"/>
      <c r="AW88" s="392" t="e">
        <f ca="1">OFFSET(Initiatives!$D$1,Q88-1,$BS$3)</f>
        <v>#REF!</v>
      </c>
      <c r="AX88" s="375"/>
      <c r="AY88" s="392" t="e">
        <f ca="1">OFFSET(Initiatives!$D$1,R88-1,$BS$3)</f>
        <v>#REF!</v>
      </c>
      <c r="AZ88" s="375"/>
      <c r="BA88" s="392" t="e">
        <f ca="1">OFFSET(Initiatives!$D$1,S88-1,$BS$3)</f>
        <v>#REF!</v>
      </c>
      <c r="BB88" s="375"/>
      <c r="BC88" s="392" t="e">
        <f ca="1">OFFSET(Initiatives!$D$1,T88-1,$BS$3)</f>
        <v>#REF!</v>
      </c>
      <c r="BD88" s="375"/>
      <c r="BE88" s="392" t="e">
        <f ca="1">OFFSET(Initiatives!$D$1,U88-1,$BS$3)</f>
        <v>#REF!</v>
      </c>
      <c r="BF88" s="375"/>
      <c r="BG88" s="392" t="e">
        <f ca="1">OFFSET(Initiatives!$D$1,V88-1,$BS$3)</f>
        <v>#REF!</v>
      </c>
      <c r="BH88" s="375"/>
      <c r="BI88" s="392" t="e">
        <f ca="1">OFFSET(Initiatives!$D$1,W88-1,$BS$3)</f>
        <v>#REF!</v>
      </c>
      <c r="BJ88" s="375"/>
      <c r="BK88" s="392" t="e">
        <f ca="1">OFFSET(Initiatives!$D$1,X88-1,$BS$3)</f>
        <v>#REF!</v>
      </c>
      <c r="BL88" s="375"/>
      <c r="BN88" s="101">
        <f t="shared" si="1489"/>
        <v>20.0001</v>
      </c>
      <c r="BP88" s="231" t="str">
        <f t="shared" ca="1" si="1490"/>
        <v>Marketing / Sales Data Integration (48%); Marketing / Sales Apps (33%); Enhance BI Platform (18%)</v>
      </c>
      <c r="BQ88" s="338">
        <v>0.01</v>
      </c>
      <c r="BR88" s="40">
        <f t="shared" ca="1" si="1491"/>
        <v>3</v>
      </c>
      <c r="BS88" s="274">
        <v>0.05</v>
      </c>
      <c r="BT88" s="40">
        <f t="shared" ca="1" si="1492"/>
        <v>3</v>
      </c>
      <c r="BU88" s="376">
        <v>7</v>
      </c>
      <c r="BV88" s="40">
        <f t="shared" ca="1" si="1493"/>
        <v>3</v>
      </c>
      <c r="BY88" s="377">
        <f ca="1">IF(ISERROR(OFFSET(Initiatives!$D$1,E88-1,$BY$3)),,OFFSET(Initiatives!$D$1,E88-1,$BY$3))</f>
        <v>0.27999999999999992</v>
      </c>
      <c r="BZ88" s="377">
        <f ca="1">IF(ISERROR(OFFSET(Initiatives!$D$1,F88-1,$BY$3)),,OFFSET(Initiatives!$D$1,F88-1,$BY$3))</f>
        <v>0.3600000000000001</v>
      </c>
      <c r="CA88" s="377">
        <f ca="1">IF(ISERROR(OFFSET(Initiatives!$D$1,G88-1,$BY$3)),,OFFSET(Initiatives!$D$1,G88-1,$BY$3))</f>
        <v>7.7000000000000179E-2</v>
      </c>
      <c r="CB88" s="377">
        <f ca="1">IF(ISERROR(OFFSET(Initiatives!$D$1,H88-1,$BY$3)),,OFFSET(Initiatives!$D$1,H88-1,$BY$3))</f>
        <v>0.6</v>
      </c>
      <c r="CC88" s="377">
        <f ca="1">IF(ISERROR(OFFSET(Initiatives!$D$1,I88-1,$BY$3)),,OFFSET(Initiatives!$D$1,I88-1,$BY$3))</f>
        <v>0</v>
      </c>
      <c r="CD88" s="377">
        <f ca="1">IF(ISERROR(OFFSET(Initiatives!$D$1,J88-1,$BY$3)),,OFFSET(Initiatives!$D$1,J88-1,$BY$3))</f>
        <v>0</v>
      </c>
      <c r="CE88" s="377">
        <f ca="1">IF(ISERROR(OFFSET(Initiatives!$D$1,K88-1,$BY$3)),,OFFSET(Initiatives!$D$1,K88-1,$BY$3))</f>
        <v>0</v>
      </c>
      <c r="CF88" s="377">
        <f ca="1">IF(ISERROR(OFFSET(Initiatives!$D$1,L88-1,$BY$3)),,OFFSET(Initiatives!$D$1,L88-1,$BY$3))</f>
        <v>0</v>
      </c>
      <c r="CG88" s="377">
        <f ca="1">IF(ISERROR(OFFSET(Initiatives!$D$1,M88-1,$BY$3)),,OFFSET(Initiatives!$D$1,M88-1,$BY$3))</f>
        <v>0</v>
      </c>
      <c r="CH88" s="377">
        <f ca="1">IF(ISERROR(OFFSET(Initiatives!$D$1,N88-1,$BY$3)),,OFFSET(Initiatives!$D$1,N88-1,$BY$3))</f>
        <v>0</v>
      </c>
      <c r="CI88" s="377">
        <f ca="1">IF(ISERROR(OFFSET(Initiatives!$D$1,O88-1,$BY$3)),,OFFSET(Initiatives!$D$1,O88-1,$BY$3))</f>
        <v>0</v>
      </c>
      <c r="CJ88" s="377">
        <f ca="1">IF(ISERROR(OFFSET(Initiatives!$D$1,P88-1,$BY$3)),,OFFSET(Initiatives!$D$1,P88-1,$BY$3))</f>
        <v>0</v>
      </c>
      <c r="CK88" s="377">
        <f ca="1">IF(ISERROR(OFFSET(Initiatives!$D$1,Q88-1,$BY$3)),,OFFSET(Initiatives!$D$1,Q88-1,$BY$3))</f>
        <v>0</v>
      </c>
      <c r="CL88" s="377">
        <f ca="1">IF(ISERROR(OFFSET(Initiatives!$D$1,R88-1,$BY$3)),,OFFSET(Initiatives!$D$1,R88-1,$BY$3))</f>
        <v>0</v>
      </c>
      <c r="CM88" s="377">
        <f ca="1">IF(ISERROR(OFFSET(Initiatives!$D$1,S88-1,$BY$3)),,OFFSET(Initiatives!$D$1,S88-1,$BY$3))</f>
        <v>0</v>
      </c>
      <c r="CN88" s="377">
        <f ca="1">IF(ISERROR(OFFSET(Initiatives!$D$1,T88-1,$BY$3)),,OFFSET(Initiatives!$D$1,T88-1,$BY$3))</f>
        <v>0</v>
      </c>
      <c r="CO88" s="377">
        <f ca="1">IF(ISERROR(OFFSET(Initiatives!$D$1,U88-1,$BY$3)),,OFFSET(Initiatives!$D$1,U88-1,$BY$3))</f>
        <v>0</v>
      </c>
      <c r="CP88" s="377">
        <f ca="1">IF(ISERROR(OFFSET(Initiatives!$D$1,V88-1,$BY$3)),,OFFSET(Initiatives!$D$1,V88-1,$BY$3))</f>
        <v>0</v>
      </c>
      <c r="CQ88" s="377">
        <f ca="1">IF(ISERROR(OFFSET(Initiatives!$D$1,W88-1,$BY$3)),,OFFSET(Initiatives!$D$1,W88-1,$BY$3))</f>
        <v>0</v>
      </c>
      <c r="CR88" s="377">
        <f ca="1">IF(ISERROR(OFFSET(Initiatives!$D$1,X88-1,$BY$3)),,OFFSET(Initiatives!$D$1,X88-1,$BY$3))</f>
        <v>0</v>
      </c>
      <c r="CT88" s="41">
        <f t="shared" ca="1" si="1494"/>
        <v>0.11199944000279996</v>
      </c>
      <c r="CU88" s="41">
        <f t="shared" ca="1" si="1495"/>
        <v>0.16199919000405003</v>
      </c>
      <c r="CV88" s="41">
        <f t="shared" ca="1" si="1496"/>
        <v>3.8499807500962584E-3</v>
      </c>
      <c r="CW88" s="41">
        <f t="shared" ca="1" si="1497"/>
        <v>5.9999700001499991E-2</v>
      </c>
      <c r="CX88" s="41">
        <f t="shared" ca="1" si="1498"/>
        <v>0</v>
      </c>
      <c r="CY88" s="41">
        <f t="shared" ca="1" si="1499"/>
        <v>0</v>
      </c>
      <c r="CZ88" s="41">
        <f t="shared" ca="1" si="1500"/>
        <v>0</v>
      </c>
      <c r="DA88" s="41">
        <f t="shared" ca="1" si="1501"/>
        <v>0</v>
      </c>
      <c r="DB88" s="41">
        <f t="shared" ca="1" si="1502"/>
        <v>0</v>
      </c>
      <c r="DC88" s="41">
        <f t="shared" ca="1" si="1503"/>
        <v>0</v>
      </c>
      <c r="DD88" s="41">
        <f t="shared" ca="1" si="1504"/>
        <v>0</v>
      </c>
      <c r="DE88" s="41">
        <f t="shared" ca="1" si="1505"/>
        <v>0</v>
      </c>
      <c r="DF88" s="41">
        <f t="shared" ca="1" si="1506"/>
        <v>0</v>
      </c>
      <c r="DG88" s="41">
        <f t="shared" ca="1" si="1507"/>
        <v>0</v>
      </c>
      <c r="DH88" s="41">
        <f t="shared" ca="1" si="1508"/>
        <v>0</v>
      </c>
      <c r="DI88" s="41">
        <f t="shared" ca="1" si="1509"/>
        <v>0</v>
      </c>
      <c r="DJ88" s="41">
        <f t="shared" ca="1" si="1510"/>
        <v>0</v>
      </c>
      <c r="DK88" s="41">
        <f t="shared" ca="1" si="1511"/>
        <v>0</v>
      </c>
      <c r="DL88" s="41">
        <f t="shared" ca="1" si="1512"/>
        <v>0</v>
      </c>
      <c r="DM88" s="41">
        <f t="shared" ca="1" si="1513"/>
        <v>0</v>
      </c>
      <c r="DN88" s="41">
        <f t="shared" ca="1" si="1514"/>
        <v>0.33784831075844624</v>
      </c>
      <c r="DP88" s="41">
        <f t="shared" ca="1" si="1515"/>
        <v>0.33149806570963436</v>
      </c>
      <c r="DQ88" s="41">
        <f t="shared" ca="1" si="1516"/>
        <v>0.47948273790143564</v>
      </c>
      <c r="DR88" s="41">
        <f t="shared" ca="1" si="1517"/>
        <v>1.1365589758768708E-2</v>
      </c>
      <c r="DS88" s="41">
        <f t="shared" ca="1" si="1518"/>
        <v>0.17755360663016129</v>
      </c>
      <c r="DT88" s="41">
        <f t="shared" ca="1" si="1519"/>
        <v>-5.0000000000000002E-5</v>
      </c>
      <c r="DU88" s="41">
        <f t="shared" ca="1" si="1520"/>
        <v>-6.0000000000000002E-5</v>
      </c>
      <c r="DV88" s="41">
        <f t="shared" ca="1" si="1521"/>
        <v>-6.9999999999999994E-5</v>
      </c>
      <c r="DW88" s="41">
        <f t="shared" ca="1" si="1522"/>
        <v>-8.0000000000000007E-5</v>
      </c>
      <c r="DX88" s="41">
        <f t="shared" ca="1" si="1523"/>
        <v>-9.0000000000000006E-5</v>
      </c>
      <c r="DY88" s="41">
        <f t="shared" ca="1" si="1524"/>
        <v>-1E-4</v>
      </c>
      <c r="DZ88" s="41">
        <f t="shared" ca="1" si="1525"/>
        <v>-1.1E-4</v>
      </c>
      <c r="EA88" s="41">
        <f t="shared" ca="1" si="1526"/>
        <v>-1.2E-4</v>
      </c>
      <c r="EB88" s="41">
        <f t="shared" ca="1" si="1527"/>
        <v>-1.2999999999999999E-4</v>
      </c>
      <c r="EC88" s="41">
        <f t="shared" ca="1" si="1528"/>
        <v>-1.3999999999999999E-4</v>
      </c>
      <c r="ED88" s="41">
        <f t="shared" ca="1" si="1529"/>
        <v>-1.4999999999999999E-4</v>
      </c>
      <c r="EE88" s="41">
        <f t="shared" ca="1" si="1530"/>
        <v>-1.6000000000000001E-4</v>
      </c>
      <c r="EF88" s="41">
        <f t="shared" ca="1" si="1531"/>
        <v>-1.7000000000000001E-4</v>
      </c>
      <c r="EG88" s="41">
        <f t="shared" ca="1" si="1532"/>
        <v>-1.8000000000000001E-4</v>
      </c>
      <c r="EH88" s="41">
        <f t="shared" ca="1" si="1533"/>
        <v>-1.9000000000000001E-4</v>
      </c>
      <c r="EI88" s="41">
        <f t="shared" ca="1" si="1534"/>
        <v>-2.0000000000000001E-4</v>
      </c>
      <c r="EJ88" s="41">
        <f t="shared" ca="1" si="1535"/>
        <v>0.9978999999999999</v>
      </c>
      <c r="EL88" s="378">
        <f t="shared" ca="1" si="1536"/>
        <v>2</v>
      </c>
      <c r="EM88" s="378">
        <f t="shared" ca="1" si="1537"/>
        <v>1</v>
      </c>
      <c r="EN88" s="378">
        <f t="shared" ca="1" si="1538"/>
        <v>4</v>
      </c>
      <c r="EO88" s="378">
        <f t="shared" ca="1" si="1539"/>
        <v>3</v>
      </c>
      <c r="EP88" s="378">
        <f t="shared" ca="1" si="1540"/>
        <v>5</v>
      </c>
      <c r="EQ88" s="378">
        <f t="shared" ca="1" si="1541"/>
        <v>6</v>
      </c>
      <c r="ER88" s="378">
        <f t="shared" ca="1" si="1542"/>
        <v>7</v>
      </c>
      <c r="ES88" s="378">
        <f t="shared" ca="1" si="1543"/>
        <v>8</v>
      </c>
      <c r="ET88" s="378">
        <f t="shared" ca="1" si="1544"/>
        <v>9</v>
      </c>
      <c r="EU88" s="378">
        <f t="shared" ca="1" si="1545"/>
        <v>10</v>
      </c>
      <c r="EV88" s="378">
        <f t="shared" ca="1" si="1546"/>
        <v>11</v>
      </c>
      <c r="EW88" s="378">
        <f t="shared" ca="1" si="1547"/>
        <v>12</v>
      </c>
      <c r="EX88" s="378">
        <f t="shared" ca="1" si="1548"/>
        <v>13</v>
      </c>
      <c r="EY88" s="378">
        <f t="shared" ca="1" si="1549"/>
        <v>14</v>
      </c>
      <c r="EZ88" s="378">
        <f t="shared" ca="1" si="1550"/>
        <v>15</v>
      </c>
      <c r="FA88" s="378">
        <f t="shared" ca="1" si="1551"/>
        <v>16</v>
      </c>
      <c r="FB88" s="378">
        <f t="shared" ca="1" si="1552"/>
        <v>17</v>
      </c>
      <c r="FC88" s="378">
        <f t="shared" ca="1" si="1553"/>
        <v>18</v>
      </c>
      <c r="FD88" s="378">
        <f t="shared" ca="1" si="1554"/>
        <v>19</v>
      </c>
      <c r="FE88" s="378">
        <f t="shared" ca="1" si="1555"/>
        <v>20</v>
      </c>
      <c r="FG88" s="378">
        <f t="shared" ca="1" si="1556"/>
        <v>2</v>
      </c>
      <c r="FH88" s="378">
        <f t="shared" ca="1" si="1556"/>
        <v>1</v>
      </c>
      <c r="FI88" s="378">
        <f t="shared" ca="1" si="1556"/>
        <v>4</v>
      </c>
      <c r="FJ88" s="378">
        <f t="shared" ca="1" si="1556"/>
        <v>3</v>
      </c>
      <c r="FK88" s="378">
        <f t="shared" ca="1" si="1556"/>
        <v>5</v>
      </c>
      <c r="FL88" s="378">
        <f t="shared" ca="1" si="1556"/>
        <v>6</v>
      </c>
      <c r="FM88" s="378">
        <f t="shared" ca="1" si="1556"/>
        <v>7</v>
      </c>
      <c r="FN88" s="378">
        <f t="shared" ca="1" si="1556"/>
        <v>8</v>
      </c>
      <c r="FO88" s="378">
        <f t="shared" ca="1" si="1556"/>
        <v>9</v>
      </c>
      <c r="FP88" s="378">
        <f t="shared" ca="1" si="1556"/>
        <v>10</v>
      </c>
      <c r="FQ88" s="378">
        <f t="shared" ca="1" si="1556"/>
        <v>11</v>
      </c>
      <c r="FR88" s="378">
        <f t="shared" ca="1" si="1556"/>
        <v>12</v>
      </c>
      <c r="FS88" s="378">
        <f t="shared" ca="1" si="1556"/>
        <v>13</v>
      </c>
      <c r="FT88" s="378">
        <f t="shared" ca="1" si="1556"/>
        <v>14</v>
      </c>
      <c r="FU88" s="378">
        <f t="shared" ca="1" si="1556"/>
        <v>15</v>
      </c>
      <c r="FV88" s="378">
        <f t="shared" ca="1" si="1556"/>
        <v>16</v>
      </c>
      <c r="FW88" s="378">
        <f t="shared" ca="1" si="1557"/>
        <v>17</v>
      </c>
      <c r="FX88" s="378">
        <f t="shared" ca="1" si="1557"/>
        <v>18</v>
      </c>
      <c r="FY88" s="378">
        <f t="shared" ca="1" si="1557"/>
        <v>19</v>
      </c>
      <c r="FZ88" s="378">
        <f t="shared" ca="1" si="1557"/>
        <v>20</v>
      </c>
      <c r="GB88" s="275" t="str">
        <f t="shared" ca="1" si="1558"/>
        <v>Marketing / Sales Data Integration (48%)</v>
      </c>
      <c r="GC88" s="231" t="str">
        <f t="shared" ca="1" si="1559"/>
        <v>; Marketing / Sales Apps (33%)</v>
      </c>
      <c r="GD88" s="231" t="str">
        <f t="shared" ca="1" si="1560"/>
        <v>; Enhance BI Platform (18%)</v>
      </c>
      <c r="GE88" s="231" t="str">
        <f t="shared" ca="1" si="1561"/>
        <v/>
      </c>
      <c r="GF88" s="231" t="str">
        <f t="shared" ca="1" si="1562"/>
        <v/>
      </c>
      <c r="GG88" s="231" t="str">
        <f t="shared" ca="1" si="1563"/>
        <v/>
      </c>
      <c r="GH88" s="231" t="str">
        <f t="shared" ca="1" si="1564"/>
        <v/>
      </c>
      <c r="GI88" s="231" t="str">
        <f t="shared" ca="1" si="1565"/>
        <v/>
      </c>
      <c r="GJ88" s="231" t="str">
        <f t="shared" ca="1" si="1566"/>
        <v/>
      </c>
      <c r="GK88" s="231" t="str">
        <f t="shared" ca="1" si="1567"/>
        <v/>
      </c>
      <c r="GL88" s="231" t="str">
        <f t="shared" ca="1" si="1568"/>
        <v/>
      </c>
      <c r="GM88" s="231" t="str">
        <f t="shared" ca="1" si="1569"/>
        <v/>
      </c>
      <c r="GN88" s="231" t="str">
        <f t="shared" ca="1" si="1570"/>
        <v/>
      </c>
      <c r="GO88" s="231" t="str">
        <f t="shared" ca="1" si="1571"/>
        <v/>
      </c>
      <c r="GP88" s="231" t="str">
        <f t="shared" ca="1" si="1572"/>
        <v/>
      </c>
      <c r="GQ88" s="231" t="str">
        <f t="shared" ca="1" si="1573"/>
        <v/>
      </c>
      <c r="GR88" s="231" t="str">
        <f t="shared" ca="1" si="1574"/>
        <v/>
      </c>
      <c r="GS88" s="231" t="str">
        <f t="shared" ca="1" si="1575"/>
        <v/>
      </c>
      <c r="GT88" s="231" t="str">
        <f t="shared" ca="1" si="1576"/>
        <v/>
      </c>
      <c r="GU88" s="231" t="str">
        <f t="shared" ca="1" si="1577"/>
        <v/>
      </c>
    </row>
    <row r="89" spans="1:203" s="386" customFormat="1" ht="16.5" hidden="1" customHeight="1">
      <c r="B89" s="373"/>
      <c r="C89" s="81" t="str">
        <f>Revenue!B10</f>
        <v>Improved Product Availability (fill rate, up-time)</v>
      </c>
      <c r="D89" s="404">
        <f t="shared" ca="1" si="1488"/>
        <v>0.44843283290072666</v>
      </c>
      <c r="E89" s="374">
        <f>ROW(Initiatives!$A$166)</f>
        <v>166</v>
      </c>
      <c r="F89" s="374">
        <f>ROW(Initiatives!$A$167)</f>
        <v>167</v>
      </c>
      <c r="G89" s="374">
        <f>ROW(Initiatives!$A$172)</f>
        <v>172</v>
      </c>
      <c r="H89" s="374">
        <f>ROW(Initiatives!$A$173)</f>
        <v>173</v>
      </c>
      <c r="I89" s="374">
        <f>ROW(Initiatives!$A$183)</f>
        <v>183</v>
      </c>
      <c r="J89" s="374">
        <f>ROW(Initiatives!$A$189)</f>
        <v>189</v>
      </c>
      <c r="K89" s="374"/>
      <c r="L89" s="374"/>
      <c r="M89" s="374"/>
      <c r="N89" s="374"/>
      <c r="O89" s="374"/>
      <c r="P89" s="374"/>
      <c r="Q89" s="374"/>
      <c r="R89" s="374"/>
      <c r="S89" s="374"/>
      <c r="T89" s="374"/>
      <c r="U89" s="374"/>
      <c r="V89" s="374"/>
      <c r="W89" s="374"/>
      <c r="X89" s="374"/>
      <c r="Y89" s="392" t="str">
        <f ca="1">OFFSET(Initiatives!$D$1,E89-1,$BS$3)</f>
        <v>Marketing / Sales Apps</v>
      </c>
      <c r="Z89" s="375">
        <v>1</v>
      </c>
      <c r="AA89" s="392" t="str">
        <f ca="1">OFFSET(Initiatives!$D$1,F89-1,$BS$3)</f>
        <v>Supply / Operations Apps</v>
      </c>
      <c r="AB89" s="375">
        <v>9</v>
      </c>
      <c r="AC89" s="392" t="str">
        <f ca="1">OFFSET(Initiatives!$D$1,G89-1,$BS$3)</f>
        <v>Marketing / Sales Data Integration</v>
      </c>
      <c r="AD89" s="375">
        <v>1</v>
      </c>
      <c r="AE89" s="392" t="str">
        <f ca="1">OFFSET(Initiatives!$D$1,H89-1,$BS$3)</f>
        <v>Supply Chain / Ops Data Integration</v>
      </c>
      <c r="AF89" s="375">
        <v>8</v>
      </c>
      <c r="AG89" s="392" t="str">
        <f ca="1">OFFSET(Initiatives!$D$1,I89-1,$BS$3)</f>
        <v>Enhance DW Platform</v>
      </c>
      <c r="AH89" s="375">
        <v>2</v>
      </c>
      <c r="AI89" s="392" t="str">
        <f ca="1">OFFSET(Initiatives!$D$1,J89-1,$BS$3)</f>
        <v>Enhance BI Platform</v>
      </c>
      <c r="AJ89" s="375">
        <v>2</v>
      </c>
      <c r="AK89" s="392" t="e">
        <f ca="1">OFFSET(Initiatives!$D$1,K89-1,$BS$3)</f>
        <v>#REF!</v>
      </c>
      <c r="AL89" s="375"/>
      <c r="AM89" s="392" t="e">
        <f ca="1">OFFSET(Initiatives!$D$1,L89-1,$BS$3)</f>
        <v>#REF!</v>
      </c>
      <c r="AN89" s="375"/>
      <c r="AO89" s="392" t="e">
        <f ca="1">OFFSET(Initiatives!$D$1,M89-1,$BS$3)</f>
        <v>#REF!</v>
      </c>
      <c r="AP89" s="375"/>
      <c r="AQ89" s="392" t="e">
        <f ca="1">OFFSET(Initiatives!$D$1,N89-1,$BS$3)</f>
        <v>#REF!</v>
      </c>
      <c r="AR89" s="375"/>
      <c r="AS89" s="392" t="e">
        <f ca="1">OFFSET(Initiatives!$D$1,O89-1,$BS$3)</f>
        <v>#REF!</v>
      </c>
      <c r="AT89" s="375"/>
      <c r="AU89" s="392" t="e">
        <f ca="1">OFFSET(Initiatives!$D$1,P89-1,$BS$3)</f>
        <v>#REF!</v>
      </c>
      <c r="AV89" s="375"/>
      <c r="AW89" s="392" t="e">
        <f ca="1">OFFSET(Initiatives!$D$1,Q89-1,$BS$3)</f>
        <v>#REF!</v>
      </c>
      <c r="AX89" s="375"/>
      <c r="AY89" s="392" t="e">
        <f ca="1">OFFSET(Initiatives!$D$1,R89-1,$BS$3)</f>
        <v>#REF!</v>
      </c>
      <c r="AZ89" s="375"/>
      <c r="BA89" s="392" t="e">
        <f ca="1">OFFSET(Initiatives!$D$1,S89-1,$BS$3)</f>
        <v>#REF!</v>
      </c>
      <c r="BB89" s="375"/>
      <c r="BC89" s="392" t="e">
        <f ca="1">OFFSET(Initiatives!$D$1,T89-1,$BS$3)</f>
        <v>#REF!</v>
      </c>
      <c r="BD89" s="375"/>
      <c r="BE89" s="392" t="e">
        <f ca="1">OFFSET(Initiatives!$D$1,U89-1,$BS$3)</f>
        <v>#REF!</v>
      </c>
      <c r="BF89" s="375"/>
      <c r="BG89" s="392" t="e">
        <f ca="1">OFFSET(Initiatives!$D$1,V89-1,$BS$3)</f>
        <v>#REF!</v>
      </c>
      <c r="BH89" s="375"/>
      <c r="BI89" s="392" t="e">
        <f ca="1">OFFSET(Initiatives!$D$1,W89-1,$BS$3)</f>
        <v>#REF!</v>
      </c>
      <c r="BJ89" s="375"/>
      <c r="BK89" s="392" t="e">
        <f ca="1">OFFSET(Initiatives!$D$1,X89-1,$BS$3)</f>
        <v>#REF!</v>
      </c>
      <c r="BL89" s="375"/>
      <c r="BN89" s="101">
        <f t="shared" si="1489"/>
        <v>23.0001</v>
      </c>
      <c r="BP89" s="231" t="str">
        <f t="shared" ca="1" si="1490"/>
        <v>Supply Chain / Ops Data Integration (53%); Supply / Operations Apps (28%); Enhance BI Platform (12%)</v>
      </c>
      <c r="BQ89" s="338">
        <v>0.01</v>
      </c>
      <c r="BR89" s="40">
        <f t="shared" ca="1" si="1491"/>
        <v>5</v>
      </c>
      <c r="BS89" s="274">
        <v>0.05</v>
      </c>
      <c r="BT89" s="40">
        <f t="shared" ca="1" si="1492"/>
        <v>3</v>
      </c>
      <c r="BU89" s="376">
        <v>7</v>
      </c>
      <c r="BV89" s="40">
        <f t="shared" ca="1" si="1493"/>
        <v>3</v>
      </c>
      <c r="BY89" s="377">
        <f ca="1">IF(ISERROR(OFFSET(Initiatives!$D$1,E89-1,$BY$3)),,OFFSET(Initiatives!$D$1,E89-1,$BY$3))</f>
        <v>0.27999999999999992</v>
      </c>
      <c r="BZ89" s="377">
        <f ca="1">IF(ISERROR(OFFSET(Initiatives!$D$1,F89-1,$BY$3)),,OFFSET(Initiatives!$D$1,F89-1,$BY$3))</f>
        <v>0.32000000000000006</v>
      </c>
      <c r="CA89" s="377">
        <f ca="1">IF(ISERROR(OFFSET(Initiatives!$D$1,G89-1,$BY$3)),,OFFSET(Initiatives!$D$1,G89-1,$BY$3))</f>
        <v>0.3600000000000001</v>
      </c>
      <c r="CB89" s="377">
        <f ca="1">IF(ISERROR(OFFSET(Initiatives!$D$1,H89-1,$BY$3)),,OFFSET(Initiatives!$D$1,H89-1,$BY$3))</f>
        <v>0.68000000000000016</v>
      </c>
      <c r="CC89" s="377">
        <f ca="1">IF(ISERROR(OFFSET(Initiatives!$D$1,I89-1,$BY$3)),,OFFSET(Initiatives!$D$1,I89-1,$BY$3))</f>
        <v>7.7000000000000179E-2</v>
      </c>
      <c r="CD89" s="377">
        <f ca="1">IF(ISERROR(OFFSET(Initiatives!$D$1,J89-1,$BY$3)),,OFFSET(Initiatives!$D$1,J89-1,$BY$3))</f>
        <v>0.6</v>
      </c>
      <c r="CE89" s="377">
        <f ca="1">IF(ISERROR(OFFSET(Initiatives!$D$1,K89-1,$BY$3)),,OFFSET(Initiatives!$D$1,K89-1,$BY$3))</f>
        <v>0</v>
      </c>
      <c r="CF89" s="377">
        <f ca="1">IF(ISERROR(OFFSET(Initiatives!$D$1,L89-1,$BY$3)),,OFFSET(Initiatives!$D$1,L89-1,$BY$3))</f>
        <v>0</v>
      </c>
      <c r="CG89" s="377">
        <f ca="1">IF(ISERROR(OFFSET(Initiatives!$D$1,M89-1,$BY$3)),,OFFSET(Initiatives!$D$1,M89-1,$BY$3))</f>
        <v>0</v>
      </c>
      <c r="CH89" s="377">
        <f ca="1">IF(ISERROR(OFFSET(Initiatives!$D$1,N89-1,$BY$3)),,OFFSET(Initiatives!$D$1,N89-1,$BY$3))</f>
        <v>0</v>
      </c>
      <c r="CI89" s="377">
        <f ca="1">IF(ISERROR(OFFSET(Initiatives!$D$1,O89-1,$BY$3)),,OFFSET(Initiatives!$D$1,O89-1,$BY$3))</f>
        <v>0</v>
      </c>
      <c r="CJ89" s="377">
        <f ca="1">IF(ISERROR(OFFSET(Initiatives!$D$1,P89-1,$BY$3)),,OFFSET(Initiatives!$D$1,P89-1,$BY$3))</f>
        <v>0</v>
      </c>
      <c r="CK89" s="377">
        <f ca="1">IF(ISERROR(OFFSET(Initiatives!$D$1,Q89-1,$BY$3)),,OFFSET(Initiatives!$D$1,Q89-1,$BY$3))</f>
        <v>0</v>
      </c>
      <c r="CL89" s="377">
        <f ca="1">IF(ISERROR(OFFSET(Initiatives!$D$1,R89-1,$BY$3)),,OFFSET(Initiatives!$D$1,R89-1,$BY$3))</f>
        <v>0</v>
      </c>
      <c r="CM89" s="377">
        <f ca="1">IF(ISERROR(OFFSET(Initiatives!$D$1,S89-1,$BY$3)),,OFFSET(Initiatives!$D$1,S89-1,$BY$3))</f>
        <v>0</v>
      </c>
      <c r="CN89" s="377">
        <f ca="1">IF(ISERROR(OFFSET(Initiatives!$D$1,T89-1,$BY$3)),,OFFSET(Initiatives!$D$1,T89-1,$BY$3))</f>
        <v>0</v>
      </c>
      <c r="CO89" s="377">
        <f ca="1">IF(ISERROR(OFFSET(Initiatives!$D$1,U89-1,$BY$3)),,OFFSET(Initiatives!$D$1,U89-1,$BY$3))</f>
        <v>0</v>
      </c>
      <c r="CP89" s="377">
        <f ca="1">IF(ISERROR(OFFSET(Initiatives!$D$1,V89-1,$BY$3)),,OFFSET(Initiatives!$D$1,V89-1,$BY$3))</f>
        <v>0</v>
      </c>
      <c r="CQ89" s="377">
        <f ca="1">IF(ISERROR(OFFSET(Initiatives!$D$1,W89-1,$BY$3)),,OFFSET(Initiatives!$D$1,W89-1,$BY$3))</f>
        <v>0</v>
      </c>
      <c r="CR89" s="377">
        <f ca="1">IF(ISERROR(OFFSET(Initiatives!$D$1,X89-1,$BY$3)),,OFFSET(Initiatives!$D$1,X89-1,$BY$3))</f>
        <v>0</v>
      </c>
      <c r="CT89" s="41">
        <f t="shared" ca="1" si="1494"/>
        <v>1.2173860113651677E-2</v>
      </c>
      <c r="CU89" s="41">
        <f t="shared" ca="1" si="1495"/>
        <v>0.12521684688327445</v>
      </c>
      <c r="CV89" s="41">
        <f t="shared" ca="1" si="1496"/>
        <v>1.5652105860409306E-2</v>
      </c>
      <c r="CW89" s="41">
        <f t="shared" ca="1" si="1497"/>
        <v>0.23652071077951842</v>
      </c>
      <c r="CX89" s="41">
        <f t="shared" ca="1" si="1498"/>
        <v>6.6956230625084398E-3</v>
      </c>
      <c r="CY89" s="41">
        <f t="shared" ca="1" si="1499"/>
        <v>5.2173686201364339E-2</v>
      </c>
      <c r="CZ89" s="41">
        <f t="shared" ca="1" si="1500"/>
        <v>0</v>
      </c>
      <c r="DA89" s="41">
        <f t="shared" ca="1" si="1501"/>
        <v>0</v>
      </c>
      <c r="DB89" s="41">
        <f t="shared" ca="1" si="1502"/>
        <v>0</v>
      </c>
      <c r="DC89" s="41">
        <f t="shared" ca="1" si="1503"/>
        <v>0</v>
      </c>
      <c r="DD89" s="41">
        <f t="shared" ca="1" si="1504"/>
        <v>0</v>
      </c>
      <c r="DE89" s="41">
        <f t="shared" ca="1" si="1505"/>
        <v>0</v>
      </c>
      <c r="DF89" s="41">
        <f t="shared" ca="1" si="1506"/>
        <v>0</v>
      </c>
      <c r="DG89" s="41">
        <f t="shared" ca="1" si="1507"/>
        <v>0</v>
      </c>
      <c r="DH89" s="41">
        <f t="shared" ca="1" si="1508"/>
        <v>0</v>
      </c>
      <c r="DI89" s="41">
        <f t="shared" ca="1" si="1509"/>
        <v>0</v>
      </c>
      <c r="DJ89" s="41">
        <f t="shared" ca="1" si="1510"/>
        <v>0</v>
      </c>
      <c r="DK89" s="41">
        <f t="shared" ca="1" si="1511"/>
        <v>0</v>
      </c>
      <c r="DL89" s="41">
        <f t="shared" ca="1" si="1512"/>
        <v>0</v>
      </c>
      <c r="DM89" s="41">
        <f t="shared" ca="1" si="1513"/>
        <v>0</v>
      </c>
      <c r="DN89" s="41">
        <f t="shared" ca="1" si="1514"/>
        <v>0.44843283290072666</v>
      </c>
      <c r="DP89" s="41">
        <f t="shared" ca="1" si="1515"/>
        <v>2.7137566414582107E-2</v>
      </c>
      <c r="DQ89" s="41">
        <f t="shared" ca="1" si="1516"/>
        <v>0.2792121116928446</v>
      </c>
      <c r="DR89" s="41">
        <f t="shared" ca="1" si="1517"/>
        <v>3.4874013961605575E-2</v>
      </c>
      <c r="DS89" s="41">
        <f t="shared" ca="1" si="1518"/>
        <v>0.5273984331975955</v>
      </c>
      <c r="DT89" s="41">
        <f t="shared" ca="1" si="1519"/>
        <v>1.4881161528020197E-2</v>
      </c>
      <c r="DU89" s="41">
        <f t="shared" ca="1" si="1520"/>
        <v>0.1162867132053519</v>
      </c>
      <c r="DV89" s="41">
        <f t="shared" ca="1" si="1521"/>
        <v>-6.9999999999999994E-5</v>
      </c>
      <c r="DW89" s="41">
        <f t="shared" ca="1" si="1522"/>
        <v>-8.0000000000000007E-5</v>
      </c>
      <c r="DX89" s="41">
        <f t="shared" ca="1" si="1523"/>
        <v>-9.0000000000000006E-5</v>
      </c>
      <c r="DY89" s="41">
        <f t="shared" ca="1" si="1524"/>
        <v>-1E-4</v>
      </c>
      <c r="DZ89" s="41">
        <f t="shared" ca="1" si="1525"/>
        <v>-1.1E-4</v>
      </c>
      <c r="EA89" s="41">
        <f t="shared" ca="1" si="1526"/>
        <v>-1.2E-4</v>
      </c>
      <c r="EB89" s="41">
        <f t="shared" ca="1" si="1527"/>
        <v>-1.2999999999999999E-4</v>
      </c>
      <c r="EC89" s="41">
        <f t="shared" ca="1" si="1528"/>
        <v>-1.3999999999999999E-4</v>
      </c>
      <c r="ED89" s="41">
        <f t="shared" ca="1" si="1529"/>
        <v>-1.4999999999999999E-4</v>
      </c>
      <c r="EE89" s="41">
        <f t="shared" ca="1" si="1530"/>
        <v>-1.6000000000000001E-4</v>
      </c>
      <c r="EF89" s="41">
        <f t="shared" ca="1" si="1531"/>
        <v>-1.7000000000000001E-4</v>
      </c>
      <c r="EG89" s="41">
        <f t="shared" ca="1" si="1532"/>
        <v>-1.8000000000000001E-4</v>
      </c>
      <c r="EH89" s="41">
        <f t="shared" ca="1" si="1533"/>
        <v>-1.9000000000000001E-4</v>
      </c>
      <c r="EI89" s="41">
        <f t="shared" ca="1" si="1534"/>
        <v>-2.0000000000000001E-4</v>
      </c>
      <c r="EJ89" s="41">
        <f t="shared" ca="1" si="1535"/>
        <v>0.99789999999999979</v>
      </c>
      <c r="EL89" s="378">
        <f t="shared" ca="1" si="1536"/>
        <v>5</v>
      </c>
      <c r="EM89" s="378">
        <f t="shared" ca="1" si="1537"/>
        <v>2</v>
      </c>
      <c r="EN89" s="378">
        <f t="shared" ca="1" si="1538"/>
        <v>4</v>
      </c>
      <c r="EO89" s="378">
        <f t="shared" ca="1" si="1539"/>
        <v>1</v>
      </c>
      <c r="EP89" s="378">
        <f t="shared" ca="1" si="1540"/>
        <v>6</v>
      </c>
      <c r="EQ89" s="378">
        <f t="shared" ca="1" si="1541"/>
        <v>3</v>
      </c>
      <c r="ER89" s="378">
        <f t="shared" ca="1" si="1542"/>
        <v>7</v>
      </c>
      <c r="ES89" s="378">
        <f t="shared" ca="1" si="1543"/>
        <v>8</v>
      </c>
      <c r="ET89" s="378">
        <f t="shared" ca="1" si="1544"/>
        <v>9</v>
      </c>
      <c r="EU89" s="378">
        <f t="shared" ca="1" si="1545"/>
        <v>10</v>
      </c>
      <c r="EV89" s="378">
        <f t="shared" ca="1" si="1546"/>
        <v>11</v>
      </c>
      <c r="EW89" s="378">
        <f t="shared" ca="1" si="1547"/>
        <v>12</v>
      </c>
      <c r="EX89" s="378">
        <f t="shared" ca="1" si="1548"/>
        <v>13</v>
      </c>
      <c r="EY89" s="378">
        <f t="shared" ca="1" si="1549"/>
        <v>14</v>
      </c>
      <c r="EZ89" s="378">
        <f t="shared" ca="1" si="1550"/>
        <v>15</v>
      </c>
      <c r="FA89" s="378">
        <f t="shared" ca="1" si="1551"/>
        <v>16</v>
      </c>
      <c r="FB89" s="378">
        <f t="shared" ca="1" si="1552"/>
        <v>17</v>
      </c>
      <c r="FC89" s="378">
        <f t="shared" ca="1" si="1553"/>
        <v>18</v>
      </c>
      <c r="FD89" s="378">
        <f t="shared" ca="1" si="1554"/>
        <v>19</v>
      </c>
      <c r="FE89" s="378">
        <f t="shared" ca="1" si="1555"/>
        <v>20</v>
      </c>
      <c r="FG89" s="378">
        <f t="shared" ca="1" si="1556"/>
        <v>4</v>
      </c>
      <c r="FH89" s="378">
        <f t="shared" ca="1" si="1556"/>
        <v>2</v>
      </c>
      <c r="FI89" s="378">
        <f t="shared" ca="1" si="1556"/>
        <v>6</v>
      </c>
      <c r="FJ89" s="378">
        <f t="shared" ca="1" si="1556"/>
        <v>3</v>
      </c>
      <c r="FK89" s="378">
        <f t="shared" ca="1" si="1556"/>
        <v>1</v>
      </c>
      <c r="FL89" s="378">
        <f t="shared" ca="1" si="1556"/>
        <v>5</v>
      </c>
      <c r="FM89" s="378">
        <f t="shared" ca="1" si="1556"/>
        <v>7</v>
      </c>
      <c r="FN89" s="378">
        <f t="shared" ca="1" si="1556"/>
        <v>8</v>
      </c>
      <c r="FO89" s="378">
        <f t="shared" ca="1" si="1556"/>
        <v>9</v>
      </c>
      <c r="FP89" s="378">
        <f t="shared" ca="1" si="1556"/>
        <v>10</v>
      </c>
      <c r="FQ89" s="378">
        <f t="shared" ca="1" si="1556"/>
        <v>11</v>
      </c>
      <c r="FR89" s="378">
        <f t="shared" ca="1" si="1556"/>
        <v>12</v>
      </c>
      <c r="FS89" s="378">
        <f t="shared" ca="1" si="1556"/>
        <v>13</v>
      </c>
      <c r="FT89" s="378">
        <f t="shared" ca="1" si="1556"/>
        <v>14</v>
      </c>
      <c r="FU89" s="378">
        <f t="shared" ca="1" si="1556"/>
        <v>15</v>
      </c>
      <c r="FV89" s="378">
        <f t="shared" ca="1" si="1556"/>
        <v>16</v>
      </c>
      <c r="FW89" s="378">
        <f t="shared" ca="1" si="1557"/>
        <v>17</v>
      </c>
      <c r="FX89" s="378">
        <f t="shared" ca="1" si="1557"/>
        <v>18</v>
      </c>
      <c r="FY89" s="378">
        <f t="shared" ca="1" si="1557"/>
        <v>19</v>
      </c>
      <c r="FZ89" s="378">
        <f t="shared" ca="1" si="1557"/>
        <v>20</v>
      </c>
      <c r="GB89" s="275" t="str">
        <f t="shared" ca="1" si="1558"/>
        <v>Supply Chain / Ops Data Integration (53%)</v>
      </c>
      <c r="GC89" s="231" t="str">
        <f t="shared" ca="1" si="1559"/>
        <v>; Supply / Operations Apps (28%)</v>
      </c>
      <c r="GD89" s="231" t="str">
        <f t="shared" ca="1" si="1560"/>
        <v>; Enhance BI Platform (12%)</v>
      </c>
      <c r="GE89" s="231" t="str">
        <f t="shared" ca="1" si="1561"/>
        <v/>
      </c>
      <c r="GF89" s="231" t="str">
        <f t="shared" ca="1" si="1562"/>
        <v/>
      </c>
      <c r="GG89" s="231" t="str">
        <f t="shared" ca="1" si="1563"/>
        <v/>
      </c>
      <c r="GH89" s="231" t="str">
        <f t="shared" ca="1" si="1564"/>
        <v/>
      </c>
      <c r="GI89" s="231" t="str">
        <f t="shared" ca="1" si="1565"/>
        <v/>
      </c>
      <c r="GJ89" s="231" t="str">
        <f t="shared" ca="1" si="1566"/>
        <v/>
      </c>
      <c r="GK89" s="231" t="str">
        <f t="shared" ca="1" si="1567"/>
        <v/>
      </c>
      <c r="GL89" s="231" t="str">
        <f t="shared" ca="1" si="1568"/>
        <v/>
      </c>
      <c r="GM89" s="231" t="str">
        <f t="shared" ca="1" si="1569"/>
        <v/>
      </c>
      <c r="GN89" s="231" t="str">
        <f t="shared" ca="1" si="1570"/>
        <v/>
      </c>
      <c r="GO89" s="231" t="str">
        <f t="shared" ca="1" si="1571"/>
        <v/>
      </c>
      <c r="GP89" s="231" t="str">
        <f t="shared" ca="1" si="1572"/>
        <v/>
      </c>
      <c r="GQ89" s="231" t="str">
        <f t="shared" ca="1" si="1573"/>
        <v/>
      </c>
      <c r="GR89" s="231" t="str">
        <f t="shared" ca="1" si="1574"/>
        <v/>
      </c>
      <c r="GS89" s="231" t="str">
        <f t="shared" ca="1" si="1575"/>
        <v/>
      </c>
      <c r="GT89" s="231" t="str">
        <f t="shared" ca="1" si="1576"/>
        <v/>
      </c>
      <c r="GU89" s="231" t="str">
        <f t="shared" ca="1" si="1577"/>
        <v/>
      </c>
    </row>
    <row r="90" spans="1:203" hidden="1"/>
    <row r="91" spans="1:203" s="386" customFormat="1" ht="21" hidden="1">
      <c r="A91" s="1" t="s">
        <v>301</v>
      </c>
      <c r="BP91" s="29"/>
    </row>
    <row r="92" spans="1:203" s="386" customFormat="1" ht="21" hidden="1">
      <c r="A92" s="1"/>
      <c r="B92" s="6" t="str">
        <f>KPIs!A6</f>
        <v>Business Management Effectiveness</v>
      </c>
      <c r="BP92" s="29"/>
    </row>
    <row r="93" spans="1:203" s="386" customFormat="1" ht="18.75" hidden="1" customHeight="1">
      <c r="B93" s="373"/>
      <c r="C93" s="81" t="str">
        <f>KPIs!B7</f>
        <v>Decision-Making Speed / Reaction Time to Market Event/Opportunity</v>
      </c>
      <c r="D93" s="404">
        <f t="shared" ref="D93" ca="1" si="1578">DN93</f>
        <v>0.50436088363246157</v>
      </c>
      <c r="E93" s="374">
        <f>ROW(Initiatives!$A$170)</f>
        <v>170</v>
      </c>
      <c r="F93" s="374">
        <f>ROW(Initiatives!$A$176)</f>
        <v>176</v>
      </c>
      <c r="G93" s="374">
        <f>ROW(Initiatives!$A$183)</f>
        <v>183</v>
      </c>
      <c r="H93" s="374">
        <f>ROW(Initiatives!$A$185)</f>
        <v>185</v>
      </c>
      <c r="I93" s="374">
        <f>ROW(Initiatives!$A$186)</f>
        <v>186</v>
      </c>
      <c r="J93" s="374">
        <f>ROW(Initiatives!$A$187)</f>
        <v>187</v>
      </c>
      <c r="K93" s="374">
        <f>ROW(Initiatives!$A$188)</f>
        <v>188</v>
      </c>
      <c r="L93" s="374"/>
      <c r="M93" s="374"/>
      <c r="N93" s="374"/>
      <c r="O93" s="374"/>
      <c r="P93" s="374"/>
      <c r="Q93" s="374"/>
      <c r="R93" s="374"/>
      <c r="S93" s="374"/>
      <c r="T93" s="374"/>
      <c r="U93" s="374"/>
      <c r="V93" s="374"/>
      <c r="W93" s="374"/>
      <c r="X93" s="374"/>
      <c r="Y93" s="392" t="str">
        <f ca="1">OFFSET(Initiatives!$D$1,E93-1,$BS$3)</f>
        <v>BI Applications</v>
      </c>
      <c r="Z93" s="375">
        <v>5</v>
      </c>
      <c r="AA93" s="392" t="str">
        <f ca="1">OFFSET(Initiatives!$D$1,F93-1,$BS$3)</f>
        <v>Source System Inclusion / Integration</v>
      </c>
      <c r="AB93" s="375">
        <v>4</v>
      </c>
      <c r="AC93" s="392" t="str">
        <f ca="1">OFFSET(Initiatives!$D$1,G93-1,$BS$3)</f>
        <v>Enhance DW Platform</v>
      </c>
      <c r="AD93" s="375">
        <v>4</v>
      </c>
      <c r="AE93" s="392" t="str">
        <f ca="1">OFFSET(Initiatives!$D$1,H93-1,$BS$3)</f>
        <v>Reporting</v>
      </c>
      <c r="AF93" s="375">
        <v>4</v>
      </c>
      <c r="AG93" s="392" t="str">
        <f ca="1">OFFSET(Initiatives!$D$1,I93-1,$BS$3)</f>
        <v>Scorecards / Dashboards</v>
      </c>
      <c r="AH93" s="375">
        <v>5</v>
      </c>
      <c r="AI93" s="392" t="str">
        <f ca="1">OFFSET(Initiatives!$D$1,J93-1,$BS$3)</f>
        <v>Analytical Tools</v>
      </c>
      <c r="AJ93" s="375">
        <v>5</v>
      </c>
      <c r="AK93" s="392" t="str">
        <f ca="1">OFFSET(Initiatives!$D$1,K93-1,$BS$3)</f>
        <v>Workflow and Collaboration</v>
      </c>
      <c r="AL93" s="375">
        <v>6</v>
      </c>
      <c r="AM93" s="392" t="e">
        <f ca="1">OFFSET(Initiatives!$D$1,L93-1,$BS$3)</f>
        <v>#REF!</v>
      </c>
      <c r="AN93" s="375"/>
      <c r="AO93" s="392" t="e">
        <f ca="1">OFFSET(Initiatives!$D$1,M93-1,$BS$3)</f>
        <v>#REF!</v>
      </c>
      <c r="AP93" s="375"/>
      <c r="AQ93" s="392" t="e">
        <f ca="1">OFFSET(Initiatives!$D$1,N93-1,$BS$3)</f>
        <v>#REF!</v>
      </c>
      <c r="AR93" s="375"/>
      <c r="AS93" s="392" t="e">
        <f ca="1">OFFSET(Initiatives!$D$1,O93-1,$BS$3)</f>
        <v>#REF!</v>
      </c>
      <c r="AT93" s="375"/>
      <c r="AU93" s="392" t="e">
        <f ca="1">OFFSET(Initiatives!$D$1,P93-1,$BS$3)</f>
        <v>#REF!</v>
      </c>
      <c r="AV93" s="375"/>
      <c r="AW93" s="392" t="e">
        <f ca="1">OFFSET(Initiatives!$D$1,Q93-1,$BS$3)</f>
        <v>#REF!</v>
      </c>
      <c r="AX93" s="375"/>
      <c r="AY93" s="392" t="e">
        <f ca="1">OFFSET(Initiatives!$D$1,R93-1,$BS$3)</f>
        <v>#REF!</v>
      </c>
      <c r="AZ93" s="375"/>
      <c r="BA93" s="392" t="e">
        <f ca="1">OFFSET(Initiatives!$D$1,S93-1,$BS$3)</f>
        <v>#REF!</v>
      </c>
      <c r="BB93" s="375"/>
      <c r="BC93" s="392" t="e">
        <f ca="1">OFFSET(Initiatives!$D$1,T93-1,$BS$3)</f>
        <v>#REF!</v>
      </c>
      <c r="BD93" s="375"/>
      <c r="BE93" s="392" t="e">
        <f ca="1">OFFSET(Initiatives!$D$1,U93-1,$BS$3)</f>
        <v>#REF!</v>
      </c>
      <c r="BF93" s="375"/>
      <c r="BG93" s="392" t="e">
        <f ca="1">OFFSET(Initiatives!$D$1,V93-1,$BS$3)</f>
        <v>#REF!</v>
      </c>
      <c r="BH93" s="375"/>
      <c r="BI93" s="392" t="e">
        <f ca="1">OFFSET(Initiatives!$D$1,W93-1,$BS$3)</f>
        <v>#REF!</v>
      </c>
      <c r="BJ93" s="375"/>
      <c r="BK93" s="392" t="e">
        <f ca="1">OFFSET(Initiatives!$D$1,X93-1,$BS$3)</f>
        <v>#REF!</v>
      </c>
      <c r="BL93" s="375"/>
      <c r="BN93" s="101">
        <f t="shared" ref="BN93" si="1579">SUM(Z93,AB93,AD93,AF93,AH93,AJ93,AL93,AN93,AP93,AR93,AT93,AV93,AX93,AZ93,BB93,BD93,BF93,BH93,BJ93,BL93)+0.0001</f>
        <v>33.000100000000003</v>
      </c>
      <c r="BP93" s="231" t="str">
        <f t="shared" ref="BP93" ca="1" si="1580">CONCATENATE(GB93,GC93,GD93,GE93,GF93,GG93,GH93,GI93,GJ93,GK93,GL93,GM93,GN93,GO93,GP93,GQ93,GR93,GS93,GT93,GU93)</f>
        <v>Workflow and Collaboration (26%); Scorecards / Dashboards (18%); Analytical Tools (18%); BI Applications (14%); Reporting (12%); Source System Inclusion / Integration (11%)</v>
      </c>
      <c r="BQ93" s="338">
        <v>0.01</v>
      </c>
      <c r="BR93" s="40">
        <f t="shared" ref="BR93" ca="1" si="1581">COUNTIF(CT93:DM93,"&gt;"&amp;BQ93)</f>
        <v>6</v>
      </c>
      <c r="BS93" s="274">
        <v>0.05</v>
      </c>
      <c r="BT93" s="40">
        <f t="shared" ref="BT93" ca="1" si="1582">COUNTIF(DP93:EI93,"&gt;"&amp;BS93)</f>
        <v>6</v>
      </c>
      <c r="BU93" s="376">
        <v>7</v>
      </c>
      <c r="BV93" s="40">
        <f t="shared" ref="BV93" ca="1" si="1583">MIN(BR93,BT93,BU93)</f>
        <v>6</v>
      </c>
      <c r="BY93" s="377">
        <f ca="1">IF(ISERROR(OFFSET(Initiatives!$D$1,E93-1,$BY$3)),,OFFSET(Initiatives!$D$1,E93-1,$BY$3))</f>
        <v>0.45555555555555544</v>
      </c>
      <c r="BZ93" s="377">
        <f ca="1">IF(ISERROR(OFFSET(Initiatives!$D$1,F93-1,$BY$3)),,OFFSET(Initiatives!$D$1,F93-1,$BY$3))</f>
        <v>0.45454545454545436</v>
      </c>
      <c r="CA93" s="377">
        <f ca="1">IF(ISERROR(OFFSET(Initiatives!$D$1,G93-1,$BY$3)),,OFFSET(Initiatives!$D$1,G93-1,$BY$3))</f>
        <v>7.7000000000000179E-2</v>
      </c>
      <c r="CB93" s="377">
        <f ca="1">IF(ISERROR(OFFSET(Initiatives!$D$1,H93-1,$BY$3)),,OFFSET(Initiatives!$D$1,H93-1,$BY$3))</f>
        <v>0.48</v>
      </c>
      <c r="CC93" s="377">
        <f ca="1">IF(ISERROR(OFFSET(Initiatives!$D$1,I93-1,$BY$3)),,OFFSET(Initiatives!$D$1,I93-1,$BY$3))</f>
        <v>0.6</v>
      </c>
      <c r="CD93" s="377">
        <f ca="1">IF(ISERROR(OFFSET(Initiatives!$D$1,J93-1,$BY$3)),,OFFSET(Initiatives!$D$1,J93-1,$BY$3))</f>
        <v>0.6</v>
      </c>
      <c r="CE93" s="377">
        <f ca="1">IF(ISERROR(OFFSET(Initiatives!$D$1,K93-1,$BY$3)),,OFFSET(Initiatives!$D$1,K93-1,$BY$3))</f>
        <v>0.72000000000000008</v>
      </c>
      <c r="CF93" s="377">
        <f ca="1">IF(ISERROR(OFFSET(Initiatives!$D$1,L93-1,$BY$3)),,OFFSET(Initiatives!$D$1,L93-1,$BY$3))</f>
        <v>0</v>
      </c>
      <c r="CG93" s="377">
        <f ca="1">IF(ISERROR(OFFSET(Initiatives!$D$1,M93-1,$BY$3)),,OFFSET(Initiatives!$D$1,M93-1,$BY$3))</f>
        <v>0</v>
      </c>
      <c r="CH93" s="377">
        <f ca="1">IF(ISERROR(OFFSET(Initiatives!$D$1,N93-1,$BY$3)),,OFFSET(Initiatives!$D$1,N93-1,$BY$3))</f>
        <v>0</v>
      </c>
      <c r="CI93" s="377">
        <f ca="1">IF(ISERROR(OFFSET(Initiatives!$D$1,O93-1,$BY$3)),,OFFSET(Initiatives!$D$1,O93-1,$BY$3))</f>
        <v>0</v>
      </c>
      <c r="CJ93" s="377">
        <f ca="1">IF(ISERROR(OFFSET(Initiatives!$D$1,P93-1,$BY$3)),,OFFSET(Initiatives!$D$1,P93-1,$BY$3))</f>
        <v>0</v>
      </c>
      <c r="CK93" s="377">
        <f ca="1">IF(ISERROR(OFFSET(Initiatives!$D$1,Q93-1,$BY$3)),,OFFSET(Initiatives!$D$1,Q93-1,$BY$3))</f>
        <v>0</v>
      </c>
      <c r="CL93" s="377">
        <f ca="1">IF(ISERROR(OFFSET(Initiatives!$D$1,R93-1,$BY$3)),,OFFSET(Initiatives!$D$1,R93-1,$BY$3))</f>
        <v>0</v>
      </c>
      <c r="CM93" s="377">
        <f ca="1">IF(ISERROR(OFFSET(Initiatives!$D$1,S93-1,$BY$3)),,OFFSET(Initiatives!$D$1,S93-1,$BY$3))</f>
        <v>0</v>
      </c>
      <c r="CN93" s="377">
        <f ca="1">IF(ISERROR(OFFSET(Initiatives!$D$1,T93-1,$BY$3)),,OFFSET(Initiatives!$D$1,T93-1,$BY$3))</f>
        <v>0</v>
      </c>
      <c r="CO93" s="377">
        <f ca="1">IF(ISERROR(OFFSET(Initiatives!$D$1,U93-1,$BY$3)),,OFFSET(Initiatives!$D$1,U93-1,$BY$3))</f>
        <v>0</v>
      </c>
      <c r="CP93" s="377">
        <f ca="1">IF(ISERROR(OFFSET(Initiatives!$D$1,V93-1,$BY$3)),,OFFSET(Initiatives!$D$1,V93-1,$BY$3))</f>
        <v>0</v>
      </c>
      <c r="CQ93" s="377">
        <f ca="1">IF(ISERROR(OFFSET(Initiatives!$D$1,W93-1,$BY$3)),,OFFSET(Initiatives!$D$1,W93-1,$BY$3))</f>
        <v>0</v>
      </c>
      <c r="CR93" s="377">
        <f ca="1">IF(ISERROR(OFFSET(Initiatives!$D$1,X93-1,$BY$3)),,OFFSET(Initiatives!$D$1,X93-1,$BY$3))</f>
        <v>0</v>
      </c>
      <c r="CT93" s="41">
        <f t="shared" ref="CT93" ca="1" si="1584">BY93*Z93/$BN93</f>
        <v>6.9023359861872455E-2</v>
      </c>
      <c r="CU93" s="41">
        <f t="shared" ref="CU93" ca="1" si="1585">BZ93*AB93/$BN93</f>
        <v>5.5096251774443633E-2</v>
      </c>
      <c r="CV93" s="41">
        <f t="shared" ref="CV93" ca="1" si="1586">CA93*AD93/$BN93</f>
        <v>9.3333050505907764E-3</v>
      </c>
      <c r="CW93" s="41">
        <f t="shared" ref="CW93" ca="1" si="1587">CB93*AF93/$BN93</f>
        <v>5.8181641873812494E-2</v>
      </c>
      <c r="CX93" s="41">
        <f t="shared" ref="CX93" ca="1" si="1588">CC93*AH93/$BN93</f>
        <v>9.0908815427832024E-2</v>
      </c>
      <c r="CY93" s="41">
        <f t="shared" ref="CY93" ca="1" si="1589">CD93*AJ93/$BN93</f>
        <v>9.0908815427832024E-2</v>
      </c>
      <c r="CZ93" s="41">
        <f t="shared" ref="CZ93" ca="1" si="1590">CE93*AL93/$BN93</f>
        <v>0.13090869421607812</v>
      </c>
      <c r="DA93" s="41">
        <f t="shared" ref="DA93" ca="1" si="1591">CF93*AN93/$BN93</f>
        <v>0</v>
      </c>
      <c r="DB93" s="41">
        <f t="shared" ref="DB93" ca="1" si="1592">CG93*AP93/$BN93</f>
        <v>0</v>
      </c>
      <c r="DC93" s="41">
        <f t="shared" ref="DC93" ca="1" si="1593">CH93*AR93/$BN93</f>
        <v>0</v>
      </c>
      <c r="DD93" s="41">
        <f t="shared" ref="DD93" ca="1" si="1594">CI93*AT93/$BN93</f>
        <v>0</v>
      </c>
      <c r="DE93" s="41">
        <f t="shared" ref="DE93" ca="1" si="1595">CJ93*AV93/$BN93</f>
        <v>0</v>
      </c>
      <c r="DF93" s="41">
        <f t="shared" ref="DF93" ca="1" si="1596">CK93*AX93/$BN93</f>
        <v>0</v>
      </c>
      <c r="DG93" s="41">
        <f t="shared" ref="DG93" ca="1" si="1597">CL93*AZ93/$BN93</f>
        <v>0</v>
      </c>
      <c r="DH93" s="41">
        <f t="shared" ref="DH93" ca="1" si="1598">CM93*BB93/$BN93</f>
        <v>0</v>
      </c>
      <c r="DI93" s="41">
        <f t="shared" ref="DI93" ca="1" si="1599">CN93*BD93/$BN93</f>
        <v>0</v>
      </c>
      <c r="DJ93" s="41">
        <f t="shared" ref="DJ93" ca="1" si="1600">CO93*BF93/$BN93</f>
        <v>0</v>
      </c>
      <c r="DK93" s="41">
        <f t="shared" ref="DK93" ca="1" si="1601">CP93*BH93/$BN93</f>
        <v>0</v>
      </c>
      <c r="DL93" s="41">
        <f t="shared" ref="DL93" ca="1" si="1602">CQ93*BJ93/$BN93</f>
        <v>0</v>
      </c>
      <c r="DM93" s="41">
        <f t="shared" ref="DM93" ca="1" si="1603">CR93*BL93/$BN93</f>
        <v>0</v>
      </c>
      <c r="DN93" s="41">
        <f t="shared" ref="DN93" ca="1" si="1604">SUM(CT93:DM93)</f>
        <v>0.50436088363246157</v>
      </c>
      <c r="DP93" s="41">
        <f t="shared" ref="DP93" ca="1" si="1605">CT93/$DN93-DP$5/100000</f>
        <v>0.13684311867319834</v>
      </c>
      <c r="DQ93" s="41">
        <f t="shared" ref="DQ93" ca="1" si="1606">CU93/$DN93-DQ$5/100000</f>
        <v>0.10921973996086785</v>
      </c>
      <c r="DR93" s="41">
        <f t="shared" ref="DR93" ca="1" si="1607">CV93/$DN93-DR$5/100000</f>
        <v>1.8475211949371066E-2</v>
      </c>
      <c r="DS93" s="41">
        <f t="shared" ref="DS93" ca="1" si="1608">CW93/$DN93-DS$5/100000</f>
        <v>0.11531716539867649</v>
      </c>
      <c r="DT93" s="41">
        <f t="shared" ref="DT93" ca="1" si="1609">CX93/$DN93-DT$5/100000</f>
        <v>0.18019557093543201</v>
      </c>
      <c r="DU93" s="41">
        <f t="shared" ref="DU93" ca="1" si="1610">CY93/$DN93-DU$5/100000</f>
        <v>0.180185570935432</v>
      </c>
      <c r="DV93" s="41">
        <f t="shared" ref="DV93" ca="1" si="1611">CZ93/$DN93-DV$5/100000</f>
        <v>0.25948362214702209</v>
      </c>
      <c r="DW93" s="41">
        <f t="shared" ref="DW93" ca="1" si="1612">DA93/$DN93-DW$5/100000</f>
        <v>-8.0000000000000007E-5</v>
      </c>
      <c r="DX93" s="41">
        <f t="shared" ref="DX93" ca="1" si="1613">DB93/$DN93-DX$5/100000</f>
        <v>-9.0000000000000006E-5</v>
      </c>
      <c r="DY93" s="41">
        <f t="shared" ref="DY93" ca="1" si="1614">DC93/$DN93-DY$5/100000</f>
        <v>-1E-4</v>
      </c>
      <c r="DZ93" s="41">
        <f t="shared" ref="DZ93" ca="1" si="1615">DD93/$DN93-DZ$5/100000</f>
        <v>-1.1E-4</v>
      </c>
      <c r="EA93" s="41">
        <f t="shared" ref="EA93" ca="1" si="1616">DE93/$DN93-EA$5/100000</f>
        <v>-1.2E-4</v>
      </c>
      <c r="EB93" s="41">
        <f t="shared" ref="EB93" ca="1" si="1617">DF93/$DN93-EB$5/100000</f>
        <v>-1.2999999999999999E-4</v>
      </c>
      <c r="EC93" s="41">
        <f t="shared" ref="EC93" ca="1" si="1618">DG93/$DN93-EC$5/100000</f>
        <v>-1.3999999999999999E-4</v>
      </c>
      <c r="ED93" s="41">
        <f t="shared" ref="ED93" ca="1" si="1619">DH93/$DN93-ED$5/100000</f>
        <v>-1.4999999999999999E-4</v>
      </c>
      <c r="EE93" s="41">
        <f t="shared" ref="EE93" ca="1" si="1620">DI93/$DN93-EE$5/100000</f>
        <v>-1.6000000000000001E-4</v>
      </c>
      <c r="EF93" s="41">
        <f t="shared" ref="EF93" ca="1" si="1621">DJ93/$DN93-EF$5/100000</f>
        <v>-1.7000000000000001E-4</v>
      </c>
      <c r="EG93" s="41">
        <f t="shared" ref="EG93" ca="1" si="1622">DK93/$DN93-EG$5/100000</f>
        <v>-1.8000000000000001E-4</v>
      </c>
      <c r="EH93" s="41">
        <f t="shared" ref="EH93" ca="1" si="1623">DL93/$DN93-EH$5/100000</f>
        <v>-1.9000000000000001E-4</v>
      </c>
      <c r="EI93" s="41">
        <f t="shared" ref="EI93" ca="1" si="1624">DM93/$DN93-EI$5/100000</f>
        <v>-2.0000000000000001E-4</v>
      </c>
      <c r="EJ93" s="41">
        <f t="shared" ref="EJ93" ca="1" si="1625">SUM(DP93:EI93)</f>
        <v>0.99789999999999968</v>
      </c>
      <c r="EL93" s="378">
        <f t="shared" ref="EL93" ca="1" si="1626">RANK(DP93,$DP93:$EI93)</f>
        <v>4</v>
      </c>
      <c r="EM93" s="378">
        <f t="shared" ref="EM93" ca="1" si="1627">RANK(DQ93,$DP93:$EI93)</f>
        <v>6</v>
      </c>
      <c r="EN93" s="378">
        <f t="shared" ref="EN93" ca="1" si="1628">RANK(DR93,$DP93:$EI93)</f>
        <v>7</v>
      </c>
      <c r="EO93" s="378">
        <f t="shared" ref="EO93" ca="1" si="1629">RANK(DS93,$DP93:$EI93)</f>
        <v>5</v>
      </c>
      <c r="EP93" s="378">
        <f t="shared" ref="EP93" ca="1" si="1630">RANK(DT93,$DP93:$EI93)</f>
        <v>2</v>
      </c>
      <c r="EQ93" s="378">
        <f t="shared" ref="EQ93" ca="1" si="1631">RANK(DU93,$DP93:$EI93)</f>
        <v>3</v>
      </c>
      <c r="ER93" s="378">
        <f t="shared" ref="ER93" ca="1" si="1632">RANK(DV93,$DP93:$EI93)</f>
        <v>1</v>
      </c>
      <c r="ES93" s="378">
        <f t="shared" ref="ES93" ca="1" si="1633">RANK(DW93,$DP93:$EI93)</f>
        <v>8</v>
      </c>
      <c r="ET93" s="378">
        <f t="shared" ref="ET93" ca="1" si="1634">RANK(DX93,$DP93:$EI93)</f>
        <v>9</v>
      </c>
      <c r="EU93" s="378">
        <f t="shared" ref="EU93" ca="1" si="1635">RANK(DY93,$DP93:$EI93)</f>
        <v>10</v>
      </c>
      <c r="EV93" s="378">
        <f t="shared" ref="EV93" ca="1" si="1636">RANK(DZ93,$DP93:$EI93)</f>
        <v>11</v>
      </c>
      <c r="EW93" s="378">
        <f t="shared" ref="EW93" ca="1" si="1637">RANK(EA93,$DP93:$EI93)</f>
        <v>12</v>
      </c>
      <c r="EX93" s="378">
        <f t="shared" ref="EX93" ca="1" si="1638">RANK(EB93,$DP93:$EI93)</f>
        <v>13</v>
      </c>
      <c r="EY93" s="378">
        <f t="shared" ref="EY93" ca="1" si="1639">RANK(EC93,$DP93:$EI93)</f>
        <v>14</v>
      </c>
      <c r="EZ93" s="378">
        <f t="shared" ref="EZ93" ca="1" si="1640">RANK(ED93,$DP93:$EI93)</f>
        <v>15</v>
      </c>
      <c r="FA93" s="378">
        <f t="shared" ref="FA93" ca="1" si="1641">RANK(EE93,$DP93:$EI93)</f>
        <v>16</v>
      </c>
      <c r="FB93" s="378">
        <f t="shared" ref="FB93" ca="1" si="1642">RANK(EF93,$DP93:$EI93)</f>
        <v>17</v>
      </c>
      <c r="FC93" s="378">
        <f t="shared" ref="FC93" ca="1" si="1643">RANK(EG93,$DP93:$EI93)</f>
        <v>18</v>
      </c>
      <c r="FD93" s="378">
        <f t="shared" ref="FD93" ca="1" si="1644">RANK(EH93,$DP93:$EI93)</f>
        <v>19</v>
      </c>
      <c r="FE93" s="378">
        <f t="shared" ref="FE93" ca="1" si="1645">RANK(EI93,$DP93:$EI93)</f>
        <v>20</v>
      </c>
      <c r="FG93" s="378">
        <f t="shared" ref="FG93:FZ104" ca="1" si="1646">MATCH(FG$5,$EL93:$FE93,0)</f>
        <v>7</v>
      </c>
      <c r="FH93" s="378">
        <f t="shared" ca="1" si="1646"/>
        <v>5</v>
      </c>
      <c r="FI93" s="378">
        <f t="shared" ca="1" si="1646"/>
        <v>6</v>
      </c>
      <c r="FJ93" s="378">
        <f t="shared" ca="1" si="1646"/>
        <v>1</v>
      </c>
      <c r="FK93" s="378">
        <f t="shared" ca="1" si="1646"/>
        <v>4</v>
      </c>
      <c r="FL93" s="378">
        <f t="shared" ca="1" si="1646"/>
        <v>2</v>
      </c>
      <c r="FM93" s="378">
        <f t="shared" ca="1" si="1646"/>
        <v>3</v>
      </c>
      <c r="FN93" s="378">
        <f t="shared" ca="1" si="1646"/>
        <v>8</v>
      </c>
      <c r="FO93" s="378">
        <f t="shared" ca="1" si="1646"/>
        <v>9</v>
      </c>
      <c r="FP93" s="378">
        <f t="shared" ca="1" si="1646"/>
        <v>10</v>
      </c>
      <c r="FQ93" s="378">
        <f t="shared" ca="1" si="1646"/>
        <v>11</v>
      </c>
      <c r="FR93" s="378">
        <f t="shared" ca="1" si="1646"/>
        <v>12</v>
      </c>
      <c r="FS93" s="378">
        <f t="shared" ca="1" si="1646"/>
        <v>13</v>
      </c>
      <c r="FT93" s="378">
        <f t="shared" ca="1" si="1646"/>
        <v>14</v>
      </c>
      <c r="FU93" s="378">
        <f t="shared" ca="1" si="1646"/>
        <v>15</v>
      </c>
      <c r="FV93" s="378">
        <f t="shared" ca="1" si="1646"/>
        <v>16</v>
      </c>
      <c r="FW93" s="378">
        <f t="shared" ca="1" si="1646"/>
        <v>17</v>
      </c>
      <c r="FX93" s="378">
        <f t="shared" ca="1" si="1646"/>
        <v>18</v>
      </c>
      <c r="FY93" s="378">
        <f t="shared" ca="1" si="1646"/>
        <v>19</v>
      </c>
      <c r="FZ93" s="378">
        <f t="shared" ca="1" si="1646"/>
        <v>20</v>
      </c>
      <c r="GB93" s="275" t="str">
        <f t="shared" ref="GB93" ca="1" si="1647">IF(GB$5&lt;=$BV93,INDEX($Y93:$BL93,1,FG93*2-1)&amp;" ("&amp;TEXT(INDEX($DP93:$EI93,1,FG93),"0%")&amp;")","")</f>
        <v>Workflow and Collaboration (26%)</v>
      </c>
      <c r="GC93" s="231" t="str">
        <f t="shared" ref="GC93" ca="1" si="1648">IF(GC$5&lt;=$BV93,"; "&amp;INDEX($Y93:$BL93,1,FH93*2-1)&amp;" ("&amp;TEXT(INDEX($DP93:$EI93,1,FH93),"0%")&amp;")","")</f>
        <v>; Scorecards / Dashboards (18%)</v>
      </c>
      <c r="GD93" s="231" t="str">
        <f t="shared" ref="GD93" ca="1" si="1649">IF(GD$5&lt;=$BV93,"; "&amp;INDEX($Y93:$BL93,1,FI93*2-1)&amp;" ("&amp;TEXT(INDEX($DP93:$EI93,1,FI93),"0%")&amp;")","")</f>
        <v>; Analytical Tools (18%)</v>
      </c>
      <c r="GE93" s="231" t="str">
        <f t="shared" ref="GE93" ca="1" si="1650">IF(GE$5&lt;=$BV93,"; "&amp;INDEX($Y93:$BL93,1,FJ93*2-1)&amp;" ("&amp;TEXT(INDEX($DP93:$EI93,1,FJ93),"0%")&amp;")","")</f>
        <v>; BI Applications (14%)</v>
      </c>
      <c r="GF93" s="231" t="str">
        <f t="shared" ref="GF93" ca="1" si="1651">IF(GF$5&lt;=$BV93,"; "&amp;INDEX($Y93:$BL93,1,FK93*2-1)&amp;" ("&amp;TEXT(INDEX($DP93:$EI93,1,FK93),"0%")&amp;")","")</f>
        <v>; Reporting (12%)</v>
      </c>
      <c r="GG93" s="231" t="str">
        <f t="shared" ref="GG93" ca="1" si="1652">IF(GG$5&lt;=$BV93,"; "&amp;INDEX($Y93:$BL93,1,FL93*2-1)&amp;" ("&amp;TEXT(INDEX($DP93:$EI93,1,FL93),"0%")&amp;")","")</f>
        <v>; Source System Inclusion / Integration (11%)</v>
      </c>
      <c r="GH93" s="231" t="str">
        <f t="shared" ref="GH93" ca="1" si="1653">IF(GH$5&lt;=$BV93,"; "&amp;INDEX($Y93:$BL93,1,FM93*2-1)&amp;" ("&amp;TEXT(INDEX($DP93:$EI93,1,FM93),"0%")&amp;")","")</f>
        <v/>
      </c>
      <c r="GI93" s="231" t="str">
        <f t="shared" ref="GI93" ca="1" si="1654">IF(GI$5&lt;=$BV93,"; "&amp;INDEX($Y93:$BL93,1,FN93*2-1)&amp;" ("&amp;TEXT(INDEX($DP93:$EI93,1,FN93),"0%")&amp;")","")</f>
        <v/>
      </c>
      <c r="GJ93" s="231" t="str">
        <f t="shared" ref="GJ93" ca="1" si="1655">IF(GJ$5&lt;=$BV93,"; "&amp;INDEX($Y93:$BL93,1,FO93*2-1)&amp;" ("&amp;TEXT(INDEX($DP93:$EI93,1,FO93),"0%")&amp;")","")</f>
        <v/>
      </c>
      <c r="GK93" s="231" t="str">
        <f t="shared" ref="GK93" ca="1" si="1656">IF(GK$5&lt;=$BV93,"; "&amp;INDEX($Y93:$BL93,1,FP93*2-1)&amp;" ("&amp;TEXT(INDEX($DP93:$EI93,1,FP93),"0%")&amp;")","")</f>
        <v/>
      </c>
      <c r="GL93" s="231" t="str">
        <f t="shared" ref="GL93" ca="1" si="1657">IF(GL$5&lt;=$BV93,"; "&amp;INDEX($Y93:$BL93,1,FQ93*2-1)&amp;" ("&amp;TEXT(INDEX($DP93:$EI93,1,FQ93),"0%")&amp;")","")</f>
        <v/>
      </c>
      <c r="GM93" s="231" t="str">
        <f t="shared" ref="GM93" ca="1" si="1658">IF(GM$5&lt;=$BV93,"; "&amp;INDEX($Y93:$BL93,1,FR93*2-1)&amp;" ("&amp;TEXT(INDEX($DP93:$EI93,1,FR93),"0%")&amp;")","")</f>
        <v/>
      </c>
      <c r="GN93" s="231" t="str">
        <f t="shared" ref="GN93" ca="1" si="1659">IF(GN$5&lt;=$BV93,"; "&amp;INDEX($Y93:$BL93,1,FS93*2-1)&amp;" ("&amp;TEXT(INDEX($DP93:$EI93,1,FS93),"0%")&amp;")","")</f>
        <v/>
      </c>
      <c r="GO93" s="231" t="str">
        <f t="shared" ref="GO93" ca="1" si="1660">IF(GO$5&lt;=$BV93,"; "&amp;INDEX($Y93:$BL93,1,FT93*2-1)&amp;" ("&amp;TEXT(INDEX($DP93:$EI93,1,FT93),"0%")&amp;")","")</f>
        <v/>
      </c>
      <c r="GP93" s="231" t="str">
        <f t="shared" ref="GP93" ca="1" si="1661">IF(GP$5&lt;=$BV93,"; "&amp;INDEX($Y93:$BL93,1,FU93*2-1)&amp;" ("&amp;TEXT(INDEX($DP93:$EI93,1,FU93),"0%")&amp;")","")</f>
        <v/>
      </c>
      <c r="GQ93" s="231" t="str">
        <f t="shared" ref="GQ93" ca="1" si="1662">IF(GQ$5&lt;=$BV93,"; "&amp;INDEX($Y93:$BL93,1,FV93*2-1)&amp;" ("&amp;TEXT(INDEX($DP93:$EI93,1,FV93),"0%")&amp;")","")</f>
        <v/>
      </c>
      <c r="GR93" s="231" t="str">
        <f t="shared" ref="GR93" ca="1" si="1663">IF(GR$5&lt;=$BV93,"; "&amp;INDEX($Y93:$BL93,1,FW93*2-1)&amp;" ("&amp;TEXT(INDEX($DP93:$EI93,1,FW93),"0%")&amp;")","")</f>
        <v/>
      </c>
      <c r="GS93" s="231" t="str">
        <f t="shared" ref="GS93" ca="1" si="1664">IF(GS$5&lt;=$BV93,"; "&amp;INDEX($Y93:$BL93,1,FX93*2-1)&amp;" ("&amp;TEXT(INDEX($DP93:$EI93,1,FX93),"0%")&amp;")","")</f>
        <v/>
      </c>
      <c r="GT93" s="231" t="str">
        <f t="shared" ref="GT93" ca="1" si="1665">IF(GT$5&lt;=$BV93,"; "&amp;INDEX($Y93:$BL93,1,FY93*2-1)&amp;" ("&amp;TEXT(INDEX($DP93:$EI93,1,FY93),"0%")&amp;")","")</f>
        <v/>
      </c>
      <c r="GU93" s="231" t="str">
        <f t="shared" ref="GU93" ca="1" si="1666">IF(GU$5&lt;=$BV93,"; "&amp;INDEX($Y93:$BL93,1,FZ93*2-1)&amp;" ("&amp;TEXT(INDEX($DP93:$EI93,1,FZ93),"0%")&amp;")","")</f>
        <v/>
      </c>
    </row>
    <row r="94" spans="1:203" s="386" customFormat="1" ht="15" hidden="1" customHeight="1">
      <c r="B94" s="373"/>
      <c r="C94" s="81" t="str">
        <f>KPIs!B8</f>
        <v>Business Visibility</v>
      </c>
      <c r="D94" s="404">
        <f t="shared" ref="D94:D98" ca="1" si="1667">DN94</f>
        <v>0.47703417846011137</v>
      </c>
      <c r="E94" s="374">
        <f>ROW(Initiatives!$A$170)</f>
        <v>170</v>
      </c>
      <c r="F94" s="374">
        <f>ROW(Initiatives!$A$176)</f>
        <v>176</v>
      </c>
      <c r="G94" s="374">
        <f>ROW(Initiatives!$A$183)</f>
        <v>183</v>
      </c>
      <c r="H94" s="374">
        <f>ROW(Initiatives!$A$185)</f>
        <v>185</v>
      </c>
      <c r="I94" s="374">
        <f>ROW(Initiatives!$A$186)</f>
        <v>186</v>
      </c>
      <c r="J94" s="374">
        <f>ROW(Initiatives!$A$187)</f>
        <v>187</v>
      </c>
      <c r="K94" s="374">
        <f>ROW(Initiatives!$A$188)</f>
        <v>188</v>
      </c>
      <c r="L94" s="374"/>
      <c r="M94" s="374"/>
      <c r="N94" s="374"/>
      <c r="O94" s="374"/>
      <c r="P94" s="374"/>
      <c r="Q94" s="374"/>
      <c r="R94" s="374"/>
      <c r="S94" s="374"/>
      <c r="T94" s="374"/>
      <c r="U94" s="374"/>
      <c r="V94" s="374"/>
      <c r="W94" s="374"/>
      <c r="X94" s="374"/>
      <c r="Y94" s="392" t="str">
        <f ca="1">OFFSET(Initiatives!$D$1,E94-1,$BS$3)</f>
        <v>BI Applications</v>
      </c>
      <c r="Z94" s="375">
        <v>5</v>
      </c>
      <c r="AA94" s="392" t="str">
        <f ca="1">OFFSET(Initiatives!$D$1,F94-1,$BS$3)</f>
        <v>Source System Inclusion / Integration</v>
      </c>
      <c r="AB94" s="375">
        <v>8</v>
      </c>
      <c r="AC94" s="392" t="str">
        <f ca="1">OFFSET(Initiatives!$D$1,G94-1,$BS$3)</f>
        <v>Enhance DW Platform</v>
      </c>
      <c r="AD94" s="375">
        <v>3</v>
      </c>
      <c r="AE94" s="392" t="str">
        <f ca="1">OFFSET(Initiatives!$D$1,H94-1,$BS$3)</f>
        <v>Reporting</v>
      </c>
      <c r="AF94" s="375">
        <v>6</v>
      </c>
      <c r="AG94" s="392" t="str">
        <f ca="1">OFFSET(Initiatives!$D$1,I94-1,$BS$3)</f>
        <v>Scorecards / Dashboards</v>
      </c>
      <c r="AH94" s="375">
        <v>6</v>
      </c>
      <c r="AI94" s="392" t="str">
        <f ca="1">OFFSET(Initiatives!$D$1,J94-1,$BS$3)</f>
        <v>Analytical Tools</v>
      </c>
      <c r="AJ94" s="375">
        <v>2</v>
      </c>
      <c r="AK94" s="392" t="str">
        <f ca="1">OFFSET(Initiatives!$D$1,K94-1,$BS$3)</f>
        <v>Workflow and Collaboration</v>
      </c>
      <c r="AL94" s="375">
        <v>2</v>
      </c>
      <c r="AM94" s="392" t="e">
        <f ca="1">OFFSET(Initiatives!$D$1,L94-1,$BS$3)</f>
        <v>#REF!</v>
      </c>
      <c r="AN94" s="375"/>
      <c r="AO94" s="392" t="e">
        <f ca="1">OFFSET(Initiatives!$D$1,M94-1,$BS$3)</f>
        <v>#REF!</v>
      </c>
      <c r="AP94" s="375"/>
      <c r="AQ94" s="392" t="e">
        <f ca="1">OFFSET(Initiatives!$D$1,N94-1,$BS$3)</f>
        <v>#REF!</v>
      </c>
      <c r="AR94" s="375"/>
      <c r="AS94" s="392" t="e">
        <f ca="1">OFFSET(Initiatives!$D$1,O94-1,$BS$3)</f>
        <v>#REF!</v>
      </c>
      <c r="AT94" s="375"/>
      <c r="AU94" s="392" t="e">
        <f ca="1">OFFSET(Initiatives!$D$1,P94-1,$BS$3)</f>
        <v>#REF!</v>
      </c>
      <c r="AV94" s="375"/>
      <c r="AW94" s="392" t="e">
        <f ca="1">OFFSET(Initiatives!$D$1,Q94-1,$BS$3)</f>
        <v>#REF!</v>
      </c>
      <c r="AX94" s="375"/>
      <c r="AY94" s="392" t="e">
        <f ca="1">OFFSET(Initiatives!$D$1,R94-1,$BS$3)</f>
        <v>#REF!</v>
      </c>
      <c r="AZ94" s="375"/>
      <c r="BA94" s="392" t="e">
        <f ca="1">OFFSET(Initiatives!$D$1,S94-1,$BS$3)</f>
        <v>#REF!</v>
      </c>
      <c r="BB94" s="375"/>
      <c r="BC94" s="392" t="e">
        <f ca="1">OFFSET(Initiatives!$D$1,T94-1,$BS$3)</f>
        <v>#REF!</v>
      </c>
      <c r="BD94" s="375"/>
      <c r="BE94" s="392" t="e">
        <f ca="1">OFFSET(Initiatives!$D$1,U94-1,$BS$3)</f>
        <v>#REF!</v>
      </c>
      <c r="BF94" s="375"/>
      <c r="BG94" s="392" t="e">
        <f ca="1">OFFSET(Initiatives!$D$1,V94-1,$BS$3)</f>
        <v>#REF!</v>
      </c>
      <c r="BH94" s="375"/>
      <c r="BI94" s="392" t="e">
        <f ca="1">OFFSET(Initiatives!$D$1,W94-1,$BS$3)</f>
        <v>#REF!</v>
      </c>
      <c r="BJ94" s="375"/>
      <c r="BK94" s="392" t="e">
        <f ca="1">OFFSET(Initiatives!$D$1,X94-1,$BS$3)</f>
        <v>#REF!</v>
      </c>
      <c r="BL94" s="375"/>
      <c r="BN94" s="101">
        <f t="shared" ref="BN94:BN98" si="1668">SUM(Z94,AB94,AD94,AF94,AH94,AJ94,AL94,AN94,AP94,AR94,AT94,AV94,AX94,AZ94,BB94,BD94,BF94,BH94,BJ94,BL94)+0.0001</f>
        <v>32.000100000000003</v>
      </c>
      <c r="BP94" s="231" t="str">
        <f t="shared" ref="BP94:BP98" ca="1" si="1669">CONCATENATE(GB94,GC94,GD94,GE94,GF94,GG94,GH94,GI94,GJ94,GK94,GL94,GM94,GN94,GO94,GP94,GQ94,GR94,GS94,GT94,GU94)</f>
        <v>Source System Inclusion / Integration (24%); Scorecards / Dashboards (24%); Reporting (19%); BI Applications (15%); Workflow and Collaboration (9%); Analytical Tools (8%)</v>
      </c>
      <c r="BQ94" s="338">
        <v>0.01</v>
      </c>
      <c r="BR94" s="40">
        <f t="shared" ref="BR94:BR98" ca="1" si="1670">COUNTIF(CT94:DM94,"&gt;"&amp;BQ94)</f>
        <v>6</v>
      </c>
      <c r="BS94" s="274">
        <v>0.05</v>
      </c>
      <c r="BT94" s="40">
        <f t="shared" ref="BT94:BT98" ca="1" si="1671">COUNTIF(DP94:EI94,"&gt;"&amp;BS94)</f>
        <v>6</v>
      </c>
      <c r="BU94" s="376">
        <v>7</v>
      </c>
      <c r="BV94" s="40">
        <f t="shared" ref="BV94:BV98" ca="1" si="1672">MIN(BR94,BT94,BU94)</f>
        <v>6</v>
      </c>
      <c r="BY94" s="377">
        <f ca="1">IF(ISERROR(OFFSET(Initiatives!$D$1,E94-1,$BY$3)),,OFFSET(Initiatives!$D$1,E94-1,$BY$3))</f>
        <v>0.45555555555555544</v>
      </c>
      <c r="BZ94" s="377">
        <f ca="1">IF(ISERROR(OFFSET(Initiatives!$D$1,F94-1,$BY$3)),,OFFSET(Initiatives!$D$1,F94-1,$BY$3))</f>
        <v>0.45454545454545436</v>
      </c>
      <c r="CA94" s="377">
        <f ca="1">IF(ISERROR(OFFSET(Initiatives!$D$1,G94-1,$BY$3)),,OFFSET(Initiatives!$D$1,G94-1,$BY$3))</f>
        <v>7.7000000000000179E-2</v>
      </c>
      <c r="CB94" s="377">
        <f ca="1">IF(ISERROR(OFFSET(Initiatives!$D$1,H94-1,$BY$3)),,OFFSET(Initiatives!$D$1,H94-1,$BY$3))</f>
        <v>0.48</v>
      </c>
      <c r="CC94" s="377">
        <f ca="1">IF(ISERROR(OFFSET(Initiatives!$D$1,I94-1,$BY$3)),,OFFSET(Initiatives!$D$1,I94-1,$BY$3))</f>
        <v>0.6</v>
      </c>
      <c r="CD94" s="377">
        <f ca="1">IF(ISERROR(OFFSET(Initiatives!$D$1,J94-1,$BY$3)),,OFFSET(Initiatives!$D$1,J94-1,$BY$3))</f>
        <v>0.6</v>
      </c>
      <c r="CE94" s="377">
        <f ca="1">IF(ISERROR(OFFSET(Initiatives!$D$1,K94-1,$BY$3)),,OFFSET(Initiatives!$D$1,K94-1,$BY$3))</f>
        <v>0.72000000000000008</v>
      </c>
      <c r="CF94" s="377">
        <f ca="1">IF(ISERROR(OFFSET(Initiatives!$D$1,L94-1,$BY$3)),,OFFSET(Initiatives!$D$1,L94-1,$BY$3))</f>
        <v>0</v>
      </c>
      <c r="CG94" s="377">
        <f ca="1">IF(ISERROR(OFFSET(Initiatives!$D$1,M94-1,$BY$3)),,OFFSET(Initiatives!$D$1,M94-1,$BY$3))</f>
        <v>0</v>
      </c>
      <c r="CH94" s="377">
        <f ca="1">IF(ISERROR(OFFSET(Initiatives!$D$1,N94-1,$BY$3)),,OFFSET(Initiatives!$D$1,N94-1,$BY$3))</f>
        <v>0</v>
      </c>
      <c r="CI94" s="377">
        <f ca="1">IF(ISERROR(OFFSET(Initiatives!$D$1,O94-1,$BY$3)),,OFFSET(Initiatives!$D$1,O94-1,$BY$3))</f>
        <v>0</v>
      </c>
      <c r="CJ94" s="377">
        <f ca="1">IF(ISERROR(OFFSET(Initiatives!$D$1,P94-1,$BY$3)),,OFFSET(Initiatives!$D$1,P94-1,$BY$3))</f>
        <v>0</v>
      </c>
      <c r="CK94" s="377">
        <f ca="1">IF(ISERROR(OFFSET(Initiatives!$D$1,Q94-1,$BY$3)),,OFFSET(Initiatives!$D$1,Q94-1,$BY$3))</f>
        <v>0</v>
      </c>
      <c r="CL94" s="377">
        <f ca="1">IF(ISERROR(OFFSET(Initiatives!$D$1,R94-1,$BY$3)),,OFFSET(Initiatives!$D$1,R94-1,$BY$3))</f>
        <v>0</v>
      </c>
      <c r="CM94" s="377">
        <f ca="1">IF(ISERROR(OFFSET(Initiatives!$D$1,S94-1,$BY$3)),,OFFSET(Initiatives!$D$1,S94-1,$BY$3))</f>
        <v>0</v>
      </c>
      <c r="CN94" s="377">
        <f ca="1">IF(ISERROR(OFFSET(Initiatives!$D$1,T94-1,$BY$3)),,OFFSET(Initiatives!$D$1,T94-1,$BY$3))</f>
        <v>0</v>
      </c>
      <c r="CO94" s="377">
        <f ca="1">IF(ISERROR(OFFSET(Initiatives!$D$1,U94-1,$BY$3)),,OFFSET(Initiatives!$D$1,U94-1,$BY$3))</f>
        <v>0</v>
      </c>
      <c r="CP94" s="377">
        <f ca="1">IF(ISERROR(OFFSET(Initiatives!$D$1,V94-1,$BY$3)),,OFFSET(Initiatives!$D$1,V94-1,$BY$3))</f>
        <v>0</v>
      </c>
      <c r="CQ94" s="377">
        <f ca="1">IF(ISERROR(OFFSET(Initiatives!$D$1,W94-1,$BY$3)),,OFFSET(Initiatives!$D$1,W94-1,$BY$3))</f>
        <v>0</v>
      </c>
      <c r="CR94" s="377">
        <f ca="1">IF(ISERROR(OFFSET(Initiatives!$D$1,X94-1,$BY$3)),,OFFSET(Initiatives!$D$1,X94-1,$BY$3))</f>
        <v>0</v>
      </c>
      <c r="CT94" s="41">
        <f t="shared" ref="CT94:CT98" ca="1" si="1673">BY94*Z94/$BN94</f>
        <v>7.1180333117014535E-2</v>
      </c>
      <c r="CU94" s="41">
        <f t="shared" ref="CU94:CU98" ca="1" si="1674">BZ94*AB94/$BN94</f>
        <v>0.11363600852383694</v>
      </c>
      <c r="CV94" s="41">
        <f t="shared" ref="CV94:CV98" ca="1" si="1675">CA94*AD94/$BN94</f>
        <v>7.2187274414767617E-3</v>
      </c>
      <c r="CW94" s="41">
        <f t="shared" ref="CW94:CW98" ca="1" si="1676">CB94*AF94/$BN94</f>
        <v>8.9999718750878893E-2</v>
      </c>
      <c r="CX94" s="41">
        <f t="shared" ref="CX94:CX98" ca="1" si="1677">CC94*AH94/$BN94</f>
        <v>0.11249964843859861</v>
      </c>
      <c r="CY94" s="41">
        <f t="shared" ref="CY94:CY98" ca="1" si="1678">CD94*AJ94/$BN94</f>
        <v>3.7499882812866203E-2</v>
      </c>
      <c r="CZ94" s="41">
        <f t="shared" ref="CZ94:CZ98" ca="1" si="1679">CE94*AL94/$BN94</f>
        <v>4.4999859375439454E-2</v>
      </c>
      <c r="DA94" s="41">
        <f t="shared" ref="DA94:DA98" ca="1" si="1680">CF94*AN94/$BN94</f>
        <v>0</v>
      </c>
      <c r="DB94" s="41">
        <f t="shared" ref="DB94:DB98" ca="1" si="1681">CG94*AP94/$BN94</f>
        <v>0</v>
      </c>
      <c r="DC94" s="41">
        <f t="shared" ref="DC94:DC98" ca="1" si="1682">CH94*AR94/$BN94</f>
        <v>0</v>
      </c>
      <c r="DD94" s="41">
        <f t="shared" ref="DD94:DD98" ca="1" si="1683">CI94*AT94/$BN94</f>
        <v>0</v>
      </c>
      <c r="DE94" s="41">
        <f t="shared" ref="DE94:DE98" ca="1" si="1684">CJ94*AV94/$BN94</f>
        <v>0</v>
      </c>
      <c r="DF94" s="41">
        <f t="shared" ref="DF94:DF98" ca="1" si="1685">CK94*AX94/$BN94</f>
        <v>0</v>
      </c>
      <c r="DG94" s="41">
        <f t="shared" ref="DG94:DG98" ca="1" si="1686">CL94*AZ94/$BN94</f>
        <v>0</v>
      </c>
      <c r="DH94" s="41">
        <f t="shared" ref="DH94:DH98" ca="1" si="1687">CM94*BB94/$BN94</f>
        <v>0</v>
      </c>
      <c r="DI94" s="41">
        <f t="shared" ref="DI94:DI98" ca="1" si="1688">CN94*BD94/$BN94</f>
        <v>0</v>
      </c>
      <c r="DJ94" s="41">
        <f t="shared" ref="DJ94:DJ98" ca="1" si="1689">CO94*BF94/$BN94</f>
        <v>0</v>
      </c>
      <c r="DK94" s="41">
        <f t="shared" ref="DK94:DK98" ca="1" si="1690">CP94*BH94/$BN94</f>
        <v>0</v>
      </c>
      <c r="DL94" s="41">
        <f t="shared" ref="DL94:DL98" ca="1" si="1691">CQ94*BJ94/$BN94</f>
        <v>0</v>
      </c>
      <c r="DM94" s="41">
        <f t="shared" ref="DM94:DM98" ca="1" si="1692">CR94*BL94/$BN94</f>
        <v>0</v>
      </c>
      <c r="DN94" s="41">
        <f t="shared" ref="DN94:DN98" ca="1" si="1693">SUM(CT94:DM94)</f>
        <v>0.47703417846011137</v>
      </c>
      <c r="DP94" s="41">
        <f t="shared" ref="DP94:DP98" ca="1" si="1694">CT94/$DN94-DP$5/100000</f>
        <v>0.1492043253692806</v>
      </c>
      <c r="DQ94" s="41">
        <f t="shared" ref="DQ94:DQ98" ca="1" si="1695">CU94/$DN94-DQ$5/100000</f>
        <v>0.23819355713055884</v>
      </c>
      <c r="DR94" s="41">
        <f t="shared" ref="DR94:DR98" ca="1" si="1696">CV94/$DN94-DR$5/100000</f>
        <v>1.5102516216718792E-2</v>
      </c>
      <c r="DS94" s="41">
        <f t="shared" ref="DS94:DS98" ca="1" si="1697">CW94/$DN94-DS$5/100000</f>
        <v>0.18862513724740265</v>
      </c>
      <c r="DT94" s="41">
        <f t="shared" ref="DT94:DT98" ca="1" si="1698">CX94/$DN94-DT$5/100000</f>
        <v>0.23578142155925333</v>
      </c>
      <c r="DU94" s="41">
        <f t="shared" ref="DU94:DU98" ca="1" si="1699">CY94/$DN94-DU$5/100000</f>
        <v>7.8550473853084446E-2</v>
      </c>
      <c r="DV94" s="41">
        <f t="shared" ref="DV94:DV98" ca="1" si="1700">CZ94/$DN94-DV$5/100000</f>
        <v>9.4262568623701345E-2</v>
      </c>
      <c r="DW94" s="41">
        <f t="shared" ref="DW94:DW98" ca="1" si="1701">DA94/$DN94-DW$5/100000</f>
        <v>-8.0000000000000007E-5</v>
      </c>
      <c r="DX94" s="41">
        <f t="shared" ref="DX94:DX98" ca="1" si="1702">DB94/$DN94-DX$5/100000</f>
        <v>-9.0000000000000006E-5</v>
      </c>
      <c r="DY94" s="41">
        <f t="shared" ref="DY94:DY98" ca="1" si="1703">DC94/$DN94-DY$5/100000</f>
        <v>-1E-4</v>
      </c>
      <c r="DZ94" s="41">
        <f t="shared" ref="DZ94:DZ98" ca="1" si="1704">DD94/$DN94-DZ$5/100000</f>
        <v>-1.1E-4</v>
      </c>
      <c r="EA94" s="41">
        <f t="shared" ref="EA94:EA98" ca="1" si="1705">DE94/$DN94-EA$5/100000</f>
        <v>-1.2E-4</v>
      </c>
      <c r="EB94" s="41">
        <f t="shared" ref="EB94:EB98" ca="1" si="1706">DF94/$DN94-EB$5/100000</f>
        <v>-1.2999999999999999E-4</v>
      </c>
      <c r="EC94" s="41">
        <f t="shared" ref="EC94:EC98" ca="1" si="1707">DG94/$DN94-EC$5/100000</f>
        <v>-1.3999999999999999E-4</v>
      </c>
      <c r="ED94" s="41">
        <f t="shared" ref="ED94:ED98" ca="1" si="1708">DH94/$DN94-ED$5/100000</f>
        <v>-1.4999999999999999E-4</v>
      </c>
      <c r="EE94" s="41">
        <f t="shared" ref="EE94:EE98" ca="1" si="1709">DI94/$DN94-EE$5/100000</f>
        <v>-1.6000000000000001E-4</v>
      </c>
      <c r="EF94" s="41">
        <f t="shared" ref="EF94:EF98" ca="1" si="1710">DJ94/$DN94-EF$5/100000</f>
        <v>-1.7000000000000001E-4</v>
      </c>
      <c r="EG94" s="41">
        <f t="shared" ref="EG94:EG98" ca="1" si="1711">DK94/$DN94-EG$5/100000</f>
        <v>-1.8000000000000001E-4</v>
      </c>
      <c r="EH94" s="41">
        <f t="shared" ref="EH94:EH98" ca="1" si="1712">DL94/$DN94-EH$5/100000</f>
        <v>-1.9000000000000001E-4</v>
      </c>
      <c r="EI94" s="41">
        <f t="shared" ref="EI94:EI98" ca="1" si="1713">DM94/$DN94-EI$5/100000</f>
        <v>-2.0000000000000001E-4</v>
      </c>
      <c r="EJ94" s="41">
        <f t="shared" ref="EJ94:EJ98" ca="1" si="1714">SUM(DP94:EI94)</f>
        <v>0.9978999999999999</v>
      </c>
      <c r="EL94" s="378">
        <f t="shared" ref="EL94:EL98" ca="1" si="1715">RANK(DP94,$DP94:$EI94)</f>
        <v>4</v>
      </c>
      <c r="EM94" s="378">
        <f t="shared" ref="EM94:EM98" ca="1" si="1716">RANK(DQ94,$DP94:$EI94)</f>
        <v>1</v>
      </c>
      <c r="EN94" s="378">
        <f t="shared" ref="EN94:EN98" ca="1" si="1717">RANK(DR94,$DP94:$EI94)</f>
        <v>7</v>
      </c>
      <c r="EO94" s="378">
        <f t="shared" ref="EO94:EO98" ca="1" si="1718">RANK(DS94,$DP94:$EI94)</f>
        <v>3</v>
      </c>
      <c r="EP94" s="378">
        <f t="shared" ref="EP94:EP98" ca="1" si="1719">RANK(DT94,$DP94:$EI94)</f>
        <v>2</v>
      </c>
      <c r="EQ94" s="378">
        <f t="shared" ref="EQ94:EQ98" ca="1" si="1720">RANK(DU94,$DP94:$EI94)</f>
        <v>6</v>
      </c>
      <c r="ER94" s="378">
        <f t="shared" ref="ER94:ER98" ca="1" si="1721">RANK(DV94,$DP94:$EI94)</f>
        <v>5</v>
      </c>
      <c r="ES94" s="378">
        <f t="shared" ref="ES94:ES98" ca="1" si="1722">RANK(DW94,$DP94:$EI94)</f>
        <v>8</v>
      </c>
      <c r="ET94" s="378">
        <f t="shared" ref="ET94:ET98" ca="1" si="1723">RANK(DX94,$DP94:$EI94)</f>
        <v>9</v>
      </c>
      <c r="EU94" s="378">
        <f t="shared" ref="EU94:EU98" ca="1" si="1724">RANK(DY94,$DP94:$EI94)</f>
        <v>10</v>
      </c>
      <c r="EV94" s="378">
        <f t="shared" ref="EV94:EV98" ca="1" si="1725">RANK(DZ94,$DP94:$EI94)</f>
        <v>11</v>
      </c>
      <c r="EW94" s="378">
        <f t="shared" ref="EW94:EW98" ca="1" si="1726">RANK(EA94,$DP94:$EI94)</f>
        <v>12</v>
      </c>
      <c r="EX94" s="378">
        <f t="shared" ref="EX94:EX98" ca="1" si="1727">RANK(EB94,$DP94:$EI94)</f>
        <v>13</v>
      </c>
      <c r="EY94" s="378">
        <f t="shared" ref="EY94:EY98" ca="1" si="1728">RANK(EC94,$DP94:$EI94)</f>
        <v>14</v>
      </c>
      <c r="EZ94" s="378">
        <f t="shared" ref="EZ94:EZ98" ca="1" si="1729">RANK(ED94,$DP94:$EI94)</f>
        <v>15</v>
      </c>
      <c r="FA94" s="378">
        <f t="shared" ref="FA94:FA98" ca="1" si="1730">RANK(EE94,$DP94:$EI94)</f>
        <v>16</v>
      </c>
      <c r="FB94" s="378">
        <f t="shared" ref="FB94:FB98" ca="1" si="1731">RANK(EF94,$DP94:$EI94)</f>
        <v>17</v>
      </c>
      <c r="FC94" s="378">
        <f t="shared" ref="FC94:FC98" ca="1" si="1732">RANK(EG94,$DP94:$EI94)</f>
        <v>18</v>
      </c>
      <c r="FD94" s="378">
        <f t="shared" ref="FD94:FD98" ca="1" si="1733">RANK(EH94,$DP94:$EI94)</f>
        <v>19</v>
      </c>
      <c r="FE94" s="378">
        <f t="shared" ref="FE94:FE98" ca="1" si="1734">RANK(EI94,$DP94:$EI94)</f>
        <v>20</v>
      </c>
      <c r="FG94" s="378">
        <f t="shared" ca="1" si="1646"/>
        <v>2</v>
      </c>
      <c r="FH94" s="378">
        <f t="shared" ca="1" si="1646"/>
        <v>5</v>
      </c>
      <c r="FI94" s="378">
        <f t="shared" ca="1" si="1646"/>
        <v>4</v>
      </c>
      <c r="FJ94" s="378">
        <f t="shared" ca="1" si="1646"/>
        <v>1</v>
      </c>
      <c r="FK94" s="378">
        <f t="shared" ca="1" si="1646"/>
        <v>7</v>
      </c>
      <c r="FL94" s="378">
        <f t="shared" ca="1" si="1646"/>
        <v>6</v>
      </c>
      <c r="FM94" s="378">
        <f t="shared" ca="1" si="1646"/>
        <v>3</v>
      </c>
      <c r="FN94" s="378">
        <f t="shared" ca="1" si="1646"/>
        <v>8</v>
      </c>
      <c r="FO94" s="378">
        <f t="shared" ca="1" si="1646"/>
        <v>9</v>
      </c>
      <c r="FP94" s="378">
        <f t="shared" ca="1" si="1646"/>
        <v>10</v>
      </c>
      <c r="FQ94" s="378">
        <f t="shared" ca="1" si="1646"/>
        <v>11</v>
      </c>
      <c r="FR94" s="378">
        <f t="shared" ca="1" si="1646"/>
        <v>12</v>
      </c>
      <c r="FS94" s="378">
        <f t="shared" ca="1" si="1646"/>
        <v>13</v>
      </c>
      <c r="FT94" s="378">
        <f t="shared" ca="1" si="1646"/>
        <v>14</v>
      </c>
      <c r="FU94" s="378">
        <f t="shared" ca="1" si="1646"/>
        <v>15</v>
      </c>
      <c r="FV94" s="378">
        <f t="shared" ca="1" si="1646"/>
        <v>16</v>
      </c>
      <c r="FW94" s="378">
        <f t="shared" ca="1" si="1646"/>
        <v>17</v>
      </c>
      <c r="FX94" s="378">
        <f t="shared" ca="1" si="1646"/>
        <v>18</v>
      </c>
      <c r="FY94" s="378">
        <f t="shared" ca="1" si="1646"/>
        <v>19</v>
      </c>
      <c r="FZ94" s="378">
        <f t="shared" ca="1" si="1646"/>
        <v>20</v>
      </c>
      <c r="GB94" s="275" t="str">
        <f t="shared" ref="GB94:GB98" ca="1" si="1735">IF(GB$5&lt;=$BV94,INDEX($Y94:$BL94,1,FG94*2-1)&amp;" ("&amp;TEXT(INDEX($DP94:$EI94,1,FG94),"0%")&amp;")","")</f>
        <v>Source System Inclusion / Integration (24%)</v>
      </c>
      <c r="GC94" s="231" t="str">
        <f t="shared" ref="GC94:GC98" ca="1" si="1736">IF(GC$5&lt;=$BV94,"; "&amp;INDEX($Y94:$BL94,1,FH94*2-1)&amp;" ("&amp;TEXT(INDEX($DP94:$EI94,1,FH94),"0%")&amp;")","")</f>
        <v>; Scorecards / Dashboards (24%)</v>
      </c>
      <c r="GD94" s="231" t="str">
        <f t="shared" ref="GD94:GD98" ca="1" si="1737">IF(GD$5&lt;=$BV94,"; "&amp;INDEX($Y94:$BL94,1,FI94*2-1)&amp;" ("&amp;TEXT(INDEX($DP94:$EI94,1,FI94),"0%")&amp;")","")</f>
        <v>; Reporting (19%)</v>
      </c>
      <c r="GE94" s="231" t="str">
        <f t="shared" ref="GE94:GE98" ca="1" si="1738">IF(GE$5&lt;=$BV94,"; "&amp;INDEX($Y94:$BL94,1,FJ94*2-1)&amp;" ("&amp;TEXT(INDEX($DP94:$EI94,1,FJ94),"0%")&amp;")","")</f>
        <v>; BI Applications (15%)</v>
      </c>
      <c r="GF94" s="231" t="str">
        <f t="shared" ref="GF94:GF98" ca="1" si="1739">IF(GF$5&lt;=$BV94,"; "&amp;INDEX($Y94:$BL94,1,FK94*2-1)&amp;" ("&amp;TEXT(INDEX($DP94:$EI94,1,FK94),"0%")&amp;")","")</f>
        <v>; Workflow and Collaboration (9%)</v>
      </c>
      <c r="GG94" s="231" t="str">
        <f t="shared" ref="GG94:GG98" ca="1" si="1740">IF(GG$5&lt;=$BV94,"; "&amp;INDEX($Y94:$BL94,1,FL94*2-1)&amp;" ("&amp;TEXT(INDEX($DP94:$EI94,1,FL94),"0%")&amp;")","")</f>
        <v>; Analytical Tools (8%)</v>
      </c>
      <c r="GH94" s="231" t="str">
        <f t="shared" ref="GH94:GH98" ca="1" si="1741">IF(GH$5&lt;=$BV94,"; "&amp;INDEX($Y94:$BL94,1,FM94*2-1)&amp;" ("&amp;TEXT(INDEX($DP94:$EI94,1,FM94),"0%")&amp;")","")</f>
        <v/>
      </c>
      <c r="GI94" s="231" t="str">
        <f t="shared" ref="GI94:GI98" ca="1" si="1742">IF(GI$5&lt;=$BV94,"; "&amp;INDEX($Y94:$BL94,1,FN94*2-1)&amp;" ("&amp;TEXT(INDEX($DP94:$EI94,1,FN94),"0%")&amp;")","")</f>
        <v/>
      </c>
      <c r="GJ94" s="231" t="str">
        <f t="shared" ref="GJ94:GJ98" ca="1" si="1743">IF(GJ$5&lt;=$BV94,"; "&amp;INDEX($Y94:$BL94,1,FO94*2-1)&amp;" ("&amp;TEXT(INDEX($DP94:$EI94,1,FO94),"0%")&amp;")","")</f>
        <v/>
      </c>
      <c r="GK94" s="231" t="str">
        <f t="shared" ref="GK94:GK98" ca="1" si="1744">IF(GK$5&lt;=$BV94,"; "&amp;INDEX($Y94:$BL94,1,FP94*2-1)&amp;" ("&amp;TEXT(INDEX($DP94:$EI94,1,FP94),"0%")&amp;")","")</f>
        <v/>
      </c>
      <c r="GL94" s="231" t="str">
        <f t="shared" ref="GL94:GL98" ca="1" si="1745">IF(GL$5&lt;=$BV94,"; "&amp;INDEX($Y94:$BL94,1,FQ94*2-1)&amp;" ("&amp;TEXT(INDEX($DP94:$EI94,1,FQ94),"0%")&amp;")","")</f>
        <v/>
      </c>
      <c r="GM94" s="231" t="str">
        <f t="shared" ref="GM94:GM98" ca="1" si="1746">IF(GM$5&lt;=$BV94,"; "&amp;INDEX($Y94:$BL94,1,FR94*2-1)&amp;" ("&amp;TEXT(INDEX($DP94:$EI94,1,FR94),"0%")&amp;")","")</f>
        <v/>
      </c>
      <c r="GN94" s="231" t="str">
        <f t="shared" ref="GN94:GN98" ca="1" si="1747">IF(GN$5&lt;=$BV94,"; "&amp;INDEX($Y94:$BL94,1,FS94*2-1)&amp;" ("&amp;TEXT(INDEX($DP94:$EI94,1,FS94),"0%")&amp;")","")</f>
        <v/>
      </c>
      <c r="GO94" s="231" t="str">
        <f t="shared" ref="GO94:GO98" ca="1" si="1748">IF(GO$5&lt;=$BV94,"; "&amp;INDEX($Y94:$BL94,1,FT94*2-1)&amp;" ("&amp;TEXT(INDEX($DP94:$EI94,1,FT94),"0%")&amp;")","")</f>
        <v/>
      </c>
      <c r="GP94" s="231" t="str">
        <f t="shared" ref="GP94:GP98" ca="1" si="1749">IF(GP$5&lt;=$BV94,"; "&amp;INDEX($Y94:$BL94,1,FU94*2-1)&amp;" ("&amp;TEXT(INDEX($DP94:$EI94,1,FU94),"0%")&amp;")","")</f>
        <v/>
      </c>
      <c r="GQ94" s="231" t="str">
        <f t="shared" ref="GQ94:GQ98" ca="1" si="1750">IF(GQ$5&lt;=$BV94,"; "&amp;INDEX($Y94:$BL94,1,FV94*2-1)&amp;" ("&amp;TEXT(INDEX($DP94:$EI94,1,FV94),"0%")&amp;")","")</f>
        <v/>
      </c>
      <c r="GR94" s="231" t="str">
        <f t="shared" ref="GR94:GR98" ca="1" si="1751">IF(GR$5&lt;=$BV94,"; "&amp;INDEX($Y94:$BL94,1,FW94*2-1)&amp;" ("&amp;TEXT(INDEX($DP94:$EI94,1,FW94),"0%")&amp;")","")</f>
        <v/>
      </c>
      <c r="GS94" s="231" t="str">
        <f t="shared" ref="GS94:GS98" ca="1" si="1752">IF(GS$5&lt;=$BV94,"; "&amp;INDEX($Y94:$BL94,1,FX94*2-1)&amp;" ("&amp;TEXT(INDEX($DP94:$EI94,1,FX94),"0%")&amp;")","")</f>
        <v/>
      </c>
      <c r="GT94" s="231" t="str">
        <f t="shared" ref="GT94:GT98" ca="1" si="1753">IF(GT$5&lt;=$BV94,"; "&amp;INDEX($Y94:$BL94,1,FY94*2-1)&amp;" ("&amp;TEXT(INDEX($DP94:$EI94,1,FY94),"0%")&amp;")","")</f>
        <v/>
      </c>
      <c r="GU94" s="231" t="str">
        <f t="shared" ref="GU94:GU98" ca="1" si="1754">IF(GU$5&lt;=$BV94,"; "&amp;INDEX($Y94:$BL94,1,FZ94*2-1)&amp;" ("&amp;TEXT(INDEX($DP94:$EI94,1,FZ94),"0%")&amp;")","")</f>
        <v/>
      </c>
    </row>
    <row r="95" spans="1:203" s="386" customFormat="1" ht="15" hidden="1" customHeight="1">
      <c r="B95" s="373"/>
      <c r="C95" s="81" t="str">
        <f>KPIs!B9</f>
        <v>Business Alignment</v>
      </c>
      <c r="D95" s="404">
        <f t="shared" ca="1" si="1667"/>
        <v>0.53553220334592211</v>
      </c>
      <c r="E95" s="374">
        <f>ROW(Initiatives!$A$170)</f>
        <v>170</v>
      </c>
      <c r="F95" s="374">
        <f>ROW(Initiatives!$A$176)</f>
        <v>176</v>
      </c>
      <c r="G95" s="374">
        <f>ROW(Initiatives!$A$183)</f>
        <v>183</v>
      </c>
      <c r="H95" s="374">
        <f>ROW(Initiatives!$A$185)</f>
        <v>185</v>
      </c>
      <c r="I95" s="374">
        <f>ROW(Initiatives!$A$186)</f>
        <v>186</v>
      </c>
      <c r="J95" s="374">
        <f>ROW(Initiatives!$A$187)</f>
        <v>187</v>
      </c>
      <c r="K95" s="374">
        <f>ROW(Initiatives!$A$188)</f>
        <v>188</v>
      </c>
      <c r="L95" s="374"/>
      <c r="M95" s="374"/>
      <c r="N95" s="374"/>
      <c r="O95" s="374"/>
      <c r="P95" s="374"/>
      <c r="Q95" s="374"/>
      <c r="R95" s="374"/>
      <c r="S95" s="374"/>
      <c r="T95" s="374"/>
      <c r="U95" s="374"/>
      <c r="V95" s="374"/>
      <c r="W95" s="374"/>
      <c r="X95" s="374"/>
      <c r="Y95" s="392" t="str">
        <f ca="1">OFFSET(Initiatives!$D$1,E95-1,$BS$3)</f>
        <v>BI Applications</v>
      </c>
      <c r="Z95" s="375">
        <v>1</v>
      </c>
      <c r="AA95" s="392" t="str">
        <f ca="1">OFFSET(Initiatives!$D$1,F95-1,$BS$3)</f>
        <v>Source System Inclusion / Integration</v>
      </c>
      <c r="AB95" s="375">
        <v>1</v>
      </c>
      <c r="AC95" s="392" t="str">
        <f ca="1">OFFSET(Initiatives!$D$1,G95-1,$BS$3)</f>
        <v>Enhance DW Platform</v>
      </c>
      <c r="AD95" s="375">
        <v>2</v>
      </c>
      <c r="AE95" s="392" t="str">
        <f ca="1">OFFSET(Initiatives!$D$1,H95-1,$BS$3)</f>
        <v>Reporting</v>
      </c>
      <c r="AF95" s="375">
        <v>1</v>
      </c>
      <c r="AG95" s="392" t="str">
        <f ca="1">OFFSET(Initiatives!$D$1,I95-1,$BS$3)</f>
        <v>Scorecards / Dashboards</v>
      </c>
      <c r="AH95" s="375">
        <v>9</v>
      </c>
      <c r="AI95" s="392" t="str">
        <f ca="1">OFFSET(Initiatives!$D$1,J95-1,$BS$3)</f>
        <v>Analytical Tools</v>
      </c>
      <c r="AJ95" s="375"/>
      <c r="AK95" s="392" t="str">
        <f ca="1">OFFSET(Initiatives!$D$1,K95-1,$BS$3)</f>
        <v>Workflow and Collaboration</v>
      </c>
      <c r="AL95" s="375">
        <v>3</v>
      </c>
      <c r="AM95" s="392" t="e">
        <f ca="1">OFFSET(Initiatives!$D$1,L95-1,$BS$3)</f>
        <v>#REF!</v>
      </c>
      <c r="AN95" s="375"/>
      <c r="AO95" s="392" t="e">
        <f ca="1">OFFSET(Initiatives!$D$1,M95-1,$BS$3)</f>
        <v>#REF!</v>
      </c>
      <c r="AP95" s="375"/>
      <c r="AQ95" s="392" t="e">
        <f ca="1">OFFSET(Initiatives!$D$1,N95-1,$BS$3)</f>
        <v>#REF!</v>
      </c>
      <c r="AR95" s="375"/>
      <c r="AS95" s="392" t="e">
        <f ca="1">OFFSET(Initiatives!$D$1,O95-1,$BS$3)</f>
        <v>#REF!</v>
      </c>
      <c r="AT95" s="375"/>
      <c r="AU95" s="392" t="e">
        <f ca="1">OFFSET(Initiatives!$D$1,P95-1,$BS$3)</f>
        <v>#REF!</v>
      </c>
      <c r="AV95" s="375"/>
      <c r="AW95" s="392" t="e">
        <f ca="1">OFFSET(Initiatives!$D$1,Q95-1,$BS$3)</f>
        <v>#REF!</v>
      </c>
      <c r="AX95" s="375"/>
      <c r="AY95" s="392" t="e">
        <f ca="1">OFFSET(Initiatives!$D$1,R95-1,$BS$3)</f>
        <v>#REF!</v>
      </c>
      <c r="AZ95" s="375"/>
      <c r="BA95" s="392" t="e">
        <f ca="1">OFFSET(Initiatives!$D$1,S95-1,$BS$3)</f>
        <v>#REF!</v>
      </c>
      <c r="BB95" s="375"/>
      <c r="BC95" s="392" t="e">
        <f ca="1">OFFSET(Initiatives!$D$1,T95-1,$BS$3)</f>
        <v>#REF!</v>
      </c>
      <c r="BD95" s="375"/>
      <c r="BE95" s="392" t="e">
        <f ca="1">OFFSET(Initiatives!$D$1,U95-1,$BS$3)</f>
        <v>#REF!</v>
      </c>
      <c r="BF95" s="375"/>
      <c r="BG95" s="392" t="e">
        <f ca="1">OFFSET(Initiatives!$D$1,V95-1,$BS$3)</f>
        <v>#REF!</v>
      </c>
      <c r="BH95" s="375"/>
      <c r="BI95" s="392" t="e">
        <f ca="1">OFFSET(Initiatives!$D$1,W95-1,$BS$3)</f>
        <v>#REF!</v>
      </c>
      <c r="BJ95" s="375"/>
      <c r="BK95" s="392" t="e">
        <f ca="1">OFFSET(Initiatives!$D$1,X95-1,$BS$3)</f>
        <v>#REF!</v>
      </c>
      <c r="BL95" s="375"/>
      <c r="BN95" s="101">
        <f t="shared" si="1668"/>
        <v>17.0001</v>
      </c>
      <c r="BP95" s="231" t="str">
        <f t="shared" ca="1" si="1669"/>
        <v>Scorecards / Dashboards (59%); Workflow and Collaboration (24%); Reporting (5%); BI Applications (5%)</v>
      </c>
      <c r="BQ95" s="338">
        <v>0.01</v>
      </c>
      <c r="BR95" s="40">
        <f t="shared" ca="1" si="1670"/>
        <v>5</v>
      </c>
      <c r="BS95" s="274">
        <v>0.05</v>
      </c>
      <c r="BT95" s="40">
        <f t="shared" ca="1" si="1671"/>
        <v>4</v>
      </c>
      <c r="BU95" s="376">
        <v>7</v>
      </c>
      <c r="BV95" s="40">
        <f t="shared" ca="1" si="1672"/>
        <v>4</v>
      </c>
      <c r="BY95" s="377">
        <f ca="1">IF(ISERROR(OFFSET(Initiatives!$D$1,E95-1,$BY$3)),,OFFSET(Initiatives!$D$1,E95-1,$BY$3))</f>
        <v>0.45555555555555544</v>
      </c>
      <c r="BZ95" s="377">
        <f ca="1">IF(ISERROR(OFFSET(Initiatives!$D$1,F95-1,$BY$3)),,OFFSET(Initiatives!$D$1,F95-1,$BY$3))</f>
        <v>0.45454545454545436</v>
      </c>
      <c r="CA95" s="377">
        <f ca="1">IF(ISERROR(OFFSET(Initiatives!$D$1,G95-1,$BY$3)),,OFFSET(Initiatives!$D$1,G95-1,$BY$3))</f>
        <v>7.7000000000000179E-2</v>
      </c>
      <c r="CB95" s="377">
        <f ca="1">IF(ISERROR(OFFSET(Initiatives!$D$1,H95-1,$BY$3)),,OFFSET(Initiatives!$D$1,H95-1,$BY$3))</f>
        <v>0.48</v>
      </c>
      <c r="CC95" s="377">
        <f ca="1">IF(ISERROR(OFFSET(Initiatives!$D$1,I95-1,$BY$3)),,OFFSET(Initiatives!$D$1,I95-1,$BY$3))</f>
        <v>0.6</v>
      </c>
      <c r="CD95" s="377">
        <f ca="1">IF(ISERROR(OFFSET(Initiatives!$D$1,J95-1,$BY$3)),,OFFSET(Initiatives!$D$1,J95-1,$BY$3))</f>
        <v>0.6</v>
      </c>
      <c r="CE95" s="377">
        <f ca="1">IF(ISERROR(OFFSET(Initiatives!$D$1,K95-1,$BY$3)),,OFFSET(Initiatives!$D$1,K95-1,$BY$3))</f>
        <v>0.72000000000000008</v>
      </c>
      <c r="CF95" s="377">
        <f ca="1">IF(ISERROR(OFFSET(Initiatives!$D$1,L95-1,$BY$3)),,OFFSET(Initiatives!$D$1,L95-1,$BY$3))</f>
        <v>0</v>
      </c>
      <c r="CG95" s="377">
        <f ca="1">IF(ISERROR(OFFSET(Initiatives!$D$1,M95-1,$BY$3)),,OFFSET(Initiatives!$D$1,M95-1,$BY$3))</f>
        <v>0</v>
      </c>
      <c r="CH95" s="377">
        <f ca="1">IF(ISERROR(OFFSET(Initiatives!$D$1,N95-1,$BY$3)),,OFFSET(Initiatives!$D$1,N95-1,$BY$3))</f>
        <v>0</v>
      </c>
      <c r="CI95" s="377">
        <f ca="1">IF(ISERROR(OFFSET(Initiatives!$D$1,O95-1,$BY$3)),,OFFSET(Initiatives!$D$1,O95-1,$BY$3))</f>
        <v>0</v>
      </c>
      <c r="CJ95" s="377">
        <f ca="1">IF(ISERROR(OFFSET(Initiatives!$D$1,P95-1,$BY$3)),,OFFSET(Initiatives!$D$1,P95-1,$BY$3))</f>
        <v>0</v>
      </c>
      <c r="CK95" s="377">
        <f ca="1">IF(ISERROR(OFFSET(Initiatives!$D$1,Q95-1,$BY$3)),,OFFSET(Initiatives!$D$1,Q95-1,$BY$3))</f>
        <v>0</v>
      </c>
      <c r="CL95" s="377">
        <f ca="1">IF(ISERROR(OFFSET(Initiatives!$D$1,R95-1,$BY$3)),,OFFSET(Initiatives!$D$1,R95-1,$BY$3))</f>
        <v>0</v>
      </c>
      <c r="CM95" s="377">
        <f ca="1">IF(ISERROR(OFFSET(Initiatives!$D$1,S95-1,$BY$3)),,OFFSET(Initiatives!$D$1,S95-1,$BY$3))</f>
        <v>0</v>
      </c>
      <c r="CN95" s="377">
        <f ca="1">IF(ISERROR(OFFSET(Initiatives!$D$1,T95-1,$BY$3)),,OFFSET(Initiatives!$D$1,T95-1,$BY$3))</f>
        <v>0</v>
      </c>
      <c r="CO95" s="377">
        <f ca="1">IF(ISERROR(OFFSET(Initiatives!$D$1,U95-1,$BY$3)),,OFFSET(Initiatives!$D$1,U95-1,$BY$3))</f>
        <v>0</v>
      </c>
      <c r="CP95" s="377">
        <f ca="1">IF(ISERROR(OFFSET(Initiatives!$D$1,V95-1,$BY$3)),,OFFSET(Initiatives!$D$1,V95-1,$BY$3))</f>
        <v>0</v>
      </c>
      <c r="CQ95" s="377">
        <f ca="1">IF(ISERROR(OFFSET(Initiatives!$D$1,W95-1,$BY$3)),,OFFSET(Initiatives!$D$1,W95-1,$BY$3))</f>
        <v>0</v>
      </c>
      <c r="CR95" s="377">
        <f ca="1">IF(ISERROR(OFFSET(Initiatives!$D$1,X95-1,$BY$3)),,OFFSET(Initiatives!$D$1,X95-1,$BY$3))</f>
        <v>0</v>
      </c>
      <c r="CT95" s="41">
        <f t="shared" ca="1" si="1673"/>
        <v>2.6797227990162143E-2</v>
      </c>
      <c r="CU95" s="41">
        <f t="shared" ca="1" si="1674"/>
        <v>2.6737810633199473E-2</v>
      </c>
      <c r="CV95" s="41">
        <f t="shared" ca="1" si="1675"/>
        <v>9.0587702425280071E-3</v>
      </c>
      <c r="CW95" s="41">
        <f t="shared" ca="1" si="1676"/>
        <v>2.8235128028658654E-2</v>
      </c>
      <c r="CX95" s="41">
        <f t="shared" ca="1" si="1677"/>
        <v>0.31764519032240984</v>
      </c>
      <c r="CY95" s="41">
        <f t="shared" ca="1" si="1678"/>
        <v>0</v>
      </c>
      <c r="CZ95" s="41">
        <f t="shared" ca="1" si="1679"/>
        <v>0.12705807612896397</v>
      </c>
      <c r="DA95" s="41">
        <f t="shared" ca="1" si="1680"/>
        <v>0</v>
      </c>
      <c r="DB95" s="41">
        <f t="shared" ca="1" si="1681"/>
        <v>0</v>
      </c>
      <c r="DC95" s="41">
        <f t="shared" ca="1" si="1682"/>
        <v>0</v>
      </c>
      <c r="DD95" s="41">
        <f t="shared" ca="1" si="1683"/>
        <v>0</v>
      </c>
      <c r="DE95" s="41">
        <f t="shared" ca="1" si="1684"/>
        <v>0</v>
      </c>
      <c r="DF95" s="41">
        <f t="shared" ca="1" si="1685"/>
        <v>0</v>
      </c>
      <c r="DG95" s="41">
        <f t="shared" ca="1" si="1686"/>
        <v>0</v>
      </c>
      <c r="DH95" s="41">
        <f t="shared" ca="1" si="1687"/>
        <v>0</v>
      </c>
      <c r="DI95" s="41">
        <f t="shared" ca="1" si="1688"/>
        <v>0</v>
      </c>
      <c r="DJ95" s="41">
        <f t="shared" ca="1" si="1689"/>
        <v>0</v>
      </c>
      <c r="DK95" s="41">
        <f t="shared" ca="1" si="1690"/>
        <v>0</v>
      </c>
      <c r="DL95" s="41">
        <f t="shared" ca="1" si="1691"/>
        <v>0</v>
      </c>
      <c r="DM95" s="41">
        <f t="shared" ca="1" si="1692"/>
        <v>0</v>
      </c>
      <c r="DN95" s="41">
        <f t="shared" ca="1" si="1693"/>
        <v>0.53553220334592211</v>
      </c>
      <c r="DP95" s="41">
        <f t="shared" ca="1" si="1694"/>
        <v>5.0028499688230171E-2</v>
      </c>
      <c r="DQ95" s="41">
        <f t="shared" ca="1" si="1695"/>
        <v>4.9907549578056709E-2</v>
      </c>
      <c r="DR95" s="41">
        <f t="shared" ca="1" si="1696"/>
        <v>1.688545379704566E-2</v>
      </c>
      <c r="DS95" s="41">
        <f t="shared" ca="1" si="1697"/>
        <v>5.2683492354427902E-2</v>
      </c>
      <c r="DT95" s="41">
        <f t="shared" ca="1" si="1698"/>
        <v>0.59308928898731395</v>
      </c>
      <c r="DU95" s="41">
        <f t="shared" ca="1" si="1699"/>
        <v>-6.0000000000000002E-5</v>
      </c>
      <c r="DV95" s="41">
        <f t="shared" ca="1" si="1700"/>
        <v>0.23718571559492563</v>
      </c>
      <c r="DW95" s="41">
        <f t="shared" ca="1" si="1701"/>
        <v>-8.0000000000000007E-5</v>
      </c>
      <c r="DX95" s="41">
        <f t="shared" ca="1" si="1702"/>
        <v>-9.0000000000000006E-5</v>
      </c>
      <c r="DY95" s="41">
        <f t="shared" ca="1" si="1703"/>
        <v>-1E-4</v>
      </c>
      <c r="DZ95" s="41">
        <f t="shared" ca="1" si="1704"/>
        <v>-1.1E-4</v>
      </c>
      <c r="EA95" s="41">
        <f t="shared" ca="1" si="1705"/>
        <v>-1.2E-4</v>
      </c>
      <c r="EB95" s="41">
        <f t="shared" ca="1" si="1706"/>
        <v>-1.2999999999999999E-4</v>
      </c>
      <c r="EC95" s="41">
        <f t="shared" ca="1" si="1707"/>
        <v>-1.3999999999999999E-4</v>
      </c>
      <c r="ED95" s="41">
        <f t="shared" ca="1" si="1708"/>
        <v>-1.4999999999999999E-4</v>
      </c>
      <c r="EE95" s="41">
        <f t="shared" ca="1" si="1709"/>
        <v>-1.6000000000000001E-4</v>
      </c>
      <c r="EF95" s="41">
        <f t="shared" ca="1" si="1710"/>
        <v>-1.7000000000000001E-4</v>
      </c>
      <c r="EG95" s="41">
        <f t="shared" ca="1" si="1711"/>
        <v>-1.8000000000000001E-4</v>
      </c>
      <c r="EH95" s="41">
        <f t="shared" ca="1" si="1712"/>
        <v>-1.9000000000000001E-4</v>
      </c>
      <c r="EI95" s="41">
        <f t="shared" ca="1" si="1713"/>
        <v>-2.0000000000000001E-4</v>
      </c>
      <c r="EJ95" s="41">
        <f t="shared" ca="1" si="1714"/>
        <v>0.99790000000000001</v>
      </c>
      <c r="EL95" s="378">
        <f t="shared" ca="1" si="1715"/>
        <v>4</v>
      </c>
      <c r="EM95" s="378">
        <f t="shared" ca="1" si="1716"/>
        <v>5</v>
      </c>
      <c r="EN95" s="378">
        <f t="shared" ca="1" si="1717"/>
        <v>6</v>
      </c>
      <c r="EO95" s="378">
        <f t="shared" ca="1" si="1718"/>
        <v>3</v>
      </c>
      <c r="EP95" s="378">
        <f t="shared" ca="1" si="1719"/>
        <v>1</v>
      </c>
      <c r="EQ95" s="378">
        <f t="shared" ca="1" si="1720"/>
        <v>7</v>
      </c>
      <c r="ER95" s="378">
        <f t="shared" ca="1" si="1721"/>
        <v>2</v>
      </c>
      <c r="ES95" s="378">
        <f t="shared" ca="1" si="1722"/>
        <v>8</v>
      </c>
      <c r="ET95" s="378">
        <f t="shared" ca="1" si="1723"/>
        <v>9</v>
      </c>
      <c r="EU95" s="378">
        <f t="shared" ca="1" si="1724"/>
        <v>10</v>
      </c>
      <c r="EV95" s="378">
        <f t="shared" ca="1" si="1725"/>
        <v>11</v>
      </c>
      <c r="EW95" s="378">
        <f t="shared" ca="1" si="1726"/>
        <v>12</v>
      </c>
      <c r="EX95" s="378">
        <f t="shared" ca="1" si="1727"/>
        <v>13</v>
      </c>
      <c r="EY95" s="378">
        <f t="shared" ca="1" si="1728"/>
        <v>14</v>
      </c>
      <c r="EZ95" s="378">
        <f t="shared" ca="1" si="1729"/>
        <v>15</v>
      </c>
      <c r="FA95" s="378">
        <f t="shared" ca="1" si="1730"/>
        <v>16</v>
      </c>
      <c r="FB95" s="378">
        <f t="shared" ca="1" si="1731"/>
        <v>17</v>
      </c>
      <c r="FC95" s="378">
        <f t="shared" ca="1" si="1732"/>
        <v>18</v>
      </c>
      <c r="FD95" s="378">
        <f t="shared" ca="1" si="1733"/>
        <v>19</v>
      </c>
      <c r="FE95" s="378">
        <f t="shared" ca="1" si="1734"/>
        <v>20</v>
      </c>
      <c r="FG95" s="378">
        <f t="shared" ca="1" si="1646"/>
        <v>5</v>
      </c>
      <c r="FH95" s="378">
        <f t="shared" ca="1" si="1646"/>
        <v>7</v>
      </c>
      <c r="FI95" s="378">
        <f t="shared" ca="1" si="1646"/>
        <v>4</v>
      </c>
      <c r="FJ95" s="378">
        <f t="shared" ca="1" si="1646"/>
        <v>1</v>
      </c>
      <c r="FK95" s="378">
        <f t="shared" ca="1" si="1646"/>
        <v>2</v>
      </c>
      <c r="FL95" s="378">
        <f t="shared" ca="1" si="1646"/>
        <v>3</v>
      </c>
      <c r="FM95" s="378">
        <f t="shared" ca="1" si="1646"/>
        <v>6</v>
      </c>
      <c r="FN95" s="378">
        <f t="shared" ca="1" si="1646"/>
        <v>8</v>
      </c>
      <c r="FO95" s="378">
        <f t="shared" ca="1" si="1646"/>
        <v>9</v>
      </c>
      <c r="FP95" s="378">
        <f t="shared" ca="1" si="1646"/>
        <v>10</v>
      </c>
      <c r="FQ95" s="378">
        <f t="shared" ca="1" si="1646"/>
        <v>11</v>
      </c>
      <c r="FR95" s="378">
        <f t="shared" ca="1" si="1646"/>
        <v>12</v>
      </c>
      <c r="FS95" s="378">
        <f t="shared" ca="1" si="1646"/>
        <v>13</v>
      </c>
      <c r="FT95" s="378">
        <f t="shared" ca="1" si="1646"/>
        <v>14</v>
      </c>
      <c r="FU95" s="378">
        <f t="shared" ca="1" si="1646"/>
        <v>15</v>
      </c>
      <c r="FV95" s="378">
        <f t="shared" ca="1" si="1646"/>
        <v>16</v>
      </c>
      <c r="FW95" s="378">
        <f t="shared" ca="1" si="1646"/>
        <v>17</v>
      </c>
      <c r="FX95" s="378">
        <f t="shared" ca="1" si="1646"/>
        <v>18</v>
      </c>
      <c r="FY95" s="378">
        <f t="shared" ca="1" si="1646"/>
        <v>19</v>
      </c>
      <c r="FZ95" s="378">
        <f t="shared" ca="1" si="1646"/>
        <v>20</v>
      </c>
      <c r="GB95" s="275" t="str">
        <f t="shared" ca="1" si="1735"/>
        <v>Scorecards / Dashboards (59%)</v>
      </c>
      <c r="GC95" s="231" t="str">
        <f t="shared" ca="1" si="1736"/>
        <v>; Workflow and Collaboration (24%)</v>
      </c>
      <c r="GD95" s="231" t="str">
        <f t="shared" ca="1" si="1737"/>
        <v>; Reporting (5%)</v>
      </c>
      <c r="GE95" s="231" t="str">
        <f t="shared" ca="1" si="1738"/>
        <v>; BI Applications (5%)</v>
      </c>
      <c r="GF95" s="231" t="str">
        <f t="shared" ca="1" si="1739"/>
        <v/>
      </c>
      <c r="GG95" s="231" t="str">
        <f t="shared" ca="1" si="1740"/>
        <v/>
      </c>
      <c r="GH95" s="231" t="str">
        <f t="shared" ca="1" si="1741"/>
        <v/>
      </c>
      <c r="GI95" s="231" t="str">
        <f t="shared" ca="1" si="1742"/>
        <v/>
      </c>
      <c r="GJ95" s="231" t="str">
        <f t="shared" ca="1" si="1743"/>
        <v/>
      </c>
      <c r="GK95" s="231" t="str">
        <f t="shared" ca="1" si="1744"/>
        <v/>
      </c>
      <c r="GL95" s="231" t="str">
        <f t="shared" ca="1" si="1745"/>
        <v/>
      </c>
      <c r="GM95" s="231" t="str">
        <f t="shared" ca="1" si="1746"/>
        <v/>
      </c>
      <c r="GN95" s="231" t="str">
        <f t="shared" ca="1" si="1747"/>
        <v/>
      </c>
      <c r="GO95" s="231" t="str">
        <f t="shared" ca="1" si="1748"/>
        <v/>
      </c>
      <c r="GP95" s="231" t="str">
        <f t="shared" ca="1" si="1749"/>
        <v/>
      </c>
      <c r="GQ95" s="231" t="str">
        <f t="shared" ca="1" si="1750"/>
        <v/>
      </c>
      <c r="GR95" s="231" t="str">
        <f t="shared" ca="1" si="1751"/>
        <v/>
      </c>
      <c r="GS95" s="231" t="str">
        <f t="shared" ca="1" si="1752"/>
        <v/>
      </c>
      <c r="GT95" s="231" t="str">
        <f t="shared" ca="1" si="1753"/>
        <v/>
      </c>
      <c r="GU95" s="231" t="str">
        <f t="shared" ca="1" si="1754"/>
        <v/>
      </c>
    </row>
    <row r="96" spans="1:203" s="386" customFormat="1" ht="15" hidden="1" customHeight="1">
      <c r="B96" s="373"/>
      <c r="C96" s="81" t="str">
        <f>KPIs!B10</f>
        <v>Decision-Making Effectiveness</v>
      </c>
      <c r="D96" s="404">
        <f t="shared" ca="1" si="1667"/>
        <v>0.52126292911147254</v>
      </c>
      <c r="E96" s="374">
        <f>ROW(Initiatives!$A$170)</f>
        <v>170</v>
      </c>
      <c r="F96" s="374">
        <f>ROW(Initiatives!$A$176)</f>
        <v>176</v>
      </c>
      <c r="G96" s="374">
        <f>ROW(Initiatives!$A$183)</f>
        <v>183</v>
      </c>
      <c r="H96" s="374">
        <f>ROW(Initiatives!$A$185)</f>
        <v>185</v>
      </c>
      <c r="I96" s="374">
        <f>ROW(Initiatives!$A$186)</f>
        <v>186</v>
      </c>
      <c r="J96" s="374">
        <f>ROW(Initiatives!$A$187)</f>
        <v>187</v>
      </c>
      <c r="K96" s="374">
        <f>ROW(Initiatives!$A$188)</f>
        <v>188</v>
      </c>
      <c r="L96" s="374"/>
      <c r="M96" s="374"/>
      <c r="N96" s="374"/>
      <c r="O96" s="374"/>
      <c r="P96" s="374"/>
      <c r="Q96" s="374"/>
      <c r="R96" s="374"/>
      <c r="S96" s="374"/>
      <c r="T96" s="374"/>
      <c r="U96" s="374"/>
      <c r="V96" s="374"/>
      <c r="W96" s="374"/>
      <c r="X96" s="374"/>
      <c r="Y96" s="392" t="str">
        <f ca="1">OFFSET(Initiatives!$D$1,E96-1,$BS$3)</f>
        <v>BI Applications</v>
      </c>
      <c r="Z96" s="375">
        <v>5</v>
      </c>
      <c r="AA96" s="392" t="str">
        <f ca="1">OFFSET(Initiatives!$D$1,F96-1,$BS$3)</f>
        <v>Source System Inclusion / Integration</v>
      </c>
      <c r="AB96" s="375">
        <v>3</v>
      </c>
      <c r="AC96" s="392" t="str">
        <f ca="1">OFFSET(Initiatives!$D$1,G96-1,$BS$3)</f>
        <v>Enhance DW Platform</v>
      </c>
      <c r="AD96" s="375">
        <v>2</v>
      </c>
      <c r="AE96" s="392" t="str">
        <f ca="1">OFFSET(Initiatives!$D$1,H96-1,$BS$3)</f>
        <v>Reporting</v>
      </c>
      <c r="AF96" s="375">
        <v>3</v>
      </c>
      <c r="AG96" s="392" t="str">
        <f ca="1">OFFSET(Initiatives!$D$1,I96-1,$BS$3)</f>
        <v>Scorecards / Dashboards</v>
      </c>
      <c r="AH96" s="375">
        <v>6</v>
      </c>
      <c r="AI96" s="392" t="str">
        <f ca="1">OFFSET(Initiatives!$D$1,J96-1,$BS$3)</f>
        <v>Analytical Tools</v>
      </c>
      <c r="AJ96" s="375">
        <v>6</v>
      </c>
      <c r="AK96" s="392" t="str">
        <f ca="1">OFFSET(Initiatives!$D$1,K96-1,$BS$3)</f>
        <v>Workflow and Collaboration</v>
      </c>
      <c r="AL96" s="375">
        <v>3</v>
      </c>
      <c r="AM96" s="392" t="e">
        <f ca="1">OFFSET(Initiatives!$D$1,L96-1,$BS$3)</f>
        <v>#REF!</v>
      </c>
      <c r="AN96" s="375"/>
      <c r="AO96" s="392" t="e">
        <f ca="1">OFFSET(Initiatives!$D$1,M96-1,$BS$3)</f>
        <v>#REF!</v>
      </c>
      <c r="AP96" s="375"/>
      <c r="AQ96" s="392" t="e">
        <f ca="1">OFFSET(Initiatives!$D$1,N96-1,$BS$3)</f>
        <v>#REF!</v>
      </c>
      <c r="AR96" s="375"/>
      <c r="AS96" s="392" t="e">
        <f ca="1">OFFSET(Initiatives!$D$1,O96-1,$BS$3)</f>
        <v>#REF!</v>
      </c>
      <c r="AT96" s="375"/>
      <c r="AU96" s="392" t="e">
        <f ca="1">OFFSET(Initiatives!$D$1,P96-1,$BS$3)</f>
        <v>#REF!</v>
      </c>
      <c r="AV96" s="375"/>
      <c r="AW96" s="392" t="e">
        <f ca="1">OFFSET(Initiatives!$D$1,Q96-1,$BS$3)</f>
        <v>#REF!</v>
      </c>
      <c r="AX96" s="375"/>
      <c r="AY96" s="392" t="e">
        <f ca="1">OFFSET(Initiatives!$D$1,R96-1,$BS$3)</f>
        <v>#REF!</v>
      </c>
      <c r="AZ96" s="375"/>
      <c r="BA96" s="392" t="e">
        <f ca="1">OFFSET(Initiatives!$D$1,S96-1,$BS$3)</f>
        <v>#REF!</v>
      </c>
      <c r="BB96" s="375"/>
      <c r="BC96" s="392" t="e">
        <f ca="1">OFFSET(Initiatives!$D$1,T96-1,$BS$3)</f>
        <v>#REF!</v>
      </c>
      <c r="BD96" s="375"/>
      <c r="BE96" s="392" t="e">
        <f ca="1">OFFSET(Initiatives!$D$1,U96-1,$BS$3)</f>
        <v>#REF!</v>
      </c>
      <c r="BF96" s="375"/>
      <c r="BG96" s="392" t="e">
        <f ca="1">OFFSET(Initiatives!$D$1,V96-1,$BS$3)</f>
        <v>#REF!</v>
      </c>
      <c r="BH96" s="375"/>
      <c r="BI96" s="392" t="e">
        <f ca="1">OFFSET(Initiatives!$D$1,W96-1,$BS$3)</f>
        <v>#REF!</v>
      </c>
      <c r="BJ96" s="375"/>
      <c r="BK96" s="392" t="e">
        <f ca="1">OFFSET(Initiatives!$D$1,X96-1,$BS$3)</f>
        <v>#REF!</v>
      </c>
      <c r="BL96" s="375"/>
      <c r="BN96" s="101">
        <f t="shared" si="1668"/>
        <v>28.0001</v>
      </c>
      <c r="BP96" s="231" t="str">
        <f t="shared" ca="1" si="1669"/>
        <v>Scorecards / Dashboards (25%); Analytical Tools (25%); BI Applications (16%); Workflow and Collaboration (15%); Reporting (10%); Source System Inclusion / Integration (9%)</v>
      </c>
      <c r="BQ96" s="338">
        <v>0.01</v>
      </c>
      <c r="BR96" s="40">
        <f t="shared" ca="1" si="1670"/>
        <v>6</v>
      </c>
      <c r="BS96" s="274">
        <v>0.05</v>
      </c>
      <c r="BT96" s="40">
        <f t="shared" ca="1" si="1671"/>
        <v>6</v>
      </c>
      <c r="BU96" s="376">
        <v>7</v>
      </c>
      <c r="BV96" s="40">
        <f t="shared" ca="1" si="1672"/>
        <v>6</v>
      </c>
      <c r="BY96" s="377">
        <f ca="1">IF(ISERROR(OFFSET(Initiatives!$D$1,E96-1,$BY$3)),,OFFSET(Initiatives!$D$1,E96-1,$BY$3))</f>
        <v>0.45555555555555544</v>
      </c>
      <c r="BZ96" s="377">
        <f ca="1">IF(ISERROR(OFFSET(Initiatives!$D$1,F96-1,$BY$3)),,OFFSET(Initiatives!$D$1,F96-1,$BY$3))</f>
        <v>0.45454545454545436</v>
      </c>
      <c r="CA96" s="377">
        <f ca="1">IF(ISERROR(OFFSET(Initiatives!$D$1,G96-1,$BY$3)),,OFFSET(Initiatives!$D$1,G96-1,$BY$3))</f>
        <v>7.7000000000000179E-2</v>
      </c>
      <c r="CB96" s="377">
        <f ca="1">IF(ISERROR(OFFSET(Initiatives!$D$1,H96-1,$BY$3)),,OFFSET(Initiatives!$D$1,H96-1,$BY$3))</f>
        <v>0.48</v>
      </c>
      <c r="CC96" s="377">
        <f ca="1">IF(ISERROR(OFFSET(Initiatives!$D$1,I96-1,$BY$3)),,OFFSET(Initiatives!$D$1,I96-1,$BY$3))</f>
        <v>0.6</v>
      </c>
      <c r="CD96" s="377">
        <f ca="1">IF(ISERROR(OFFSET(Initiatives!$D$1,J96-1,$BY$3)),,OFFSET(Initiatives!$D$1,J96-1,$BY$3))</f>
        <v>0.6</v>
      </c>
      <c r="CE96" s="377">
        <f ca="1">IF(ISERROR(OFFSET(Initiatives!$D$1,K96-1,$BY$3)),,OFFSET(Initiatives!$D$1,K96-1,$BY$3))</f>
        <v>0.72000000000000008</v>
      </c>
      <c r="CF96" s="377">
        <f ca="1">IF(ISERROR(OFFSET(Initiatives!$D$1,L96-1,$BY$3)),,OFFSET(Initiatives!$D$1,L96-1,$BY$3))</f>
        <v>0</v>
      </c>
      <c r="CG96" s="377">
        <f ca="1">IF(ISERROR(OFFSET(Initiatives!$D$1,M96-1,$BY$3)),,OFFSET(Initiatives!$D$1,M96-1,$BY$3))</f>
        <v>0</v>
      </c>
      <c r="CH96" s="377">
        <f ca="1">IF(ISERROR(OFFSET(Initiatives!$D$1,N96-1,$BY$3)),,OFFSET(Initiatives!$D$1,N96-1,$BY$3))</f>
        <v>0</v>
      </c>
      <c r="CI96" s="377">
        <f ca="1">IF(ISERROR(OFFSET(Initiatives!$D$1,O96-1,$BY$3)),,OFFSET(Initiatives!$D$1,O96-1,$BY$3))</f>
        <v>0</v>
      </c>
      <c r="CJ96" s="377">
        <f ca="1">IF(ISERROR(OFFSET(Initiatives!$D$1,P96-1,$BY$3)),,OFFSET(Initiatives!$D$1,P96-1,$BY$3))</f>
        <v>0</v>
      </c>
      <c r="CK96" s="377">
        <f ca="1">IF(ISERROR(OFFSET(Initiatives!$D$1,Q96-1,$BY$3)),,OFFSET(Initiatives!$D$1,Q96-1,$BY$3))</f>
        <v>0</v>
      </c>
      <c r="CL96" s="377">
        <f ca="1">IF(ISERROR(OFFSET(Initiatives!$D$1,R96-1,$BY$3)),,OFFSET(Initiatives!$D$1,R96-1,$BY$3))</f>
        <v>0</v>
      </c>
      <c r="CM96" s="377">
        <f ca="1">IF(ISERROR(OFFSET(Initiatives!$D$1,S96-1,$BY$3)),,OFFSET(Initiatives!$D$1,S96-1,$BY$3))</f>
        <v>0</v>
      </c>
      <c r="CN96" s="377">
        <f ca="1">IF(ISERROR(OFFSET(Initiatives!$D$1,T96-1,$BY$3)),,OFFSET(Initiatives!$D$1,T96-1,$BY$3))</f>
        <v>0</v>
      </c>
      <c r="CO96" s="377">
        <f ca="1">IF(ISERROR(OFFSET(Initiatives!$D$1,U96-1,$BY$3)),,OFFSET(Initiatives!$D$1,U96-1,$BY$3))</f>
        <v>0</v>
      </c>
      <c r="CP96" s="377">
        <f ca="1">IF(ISERROR(OFFSET(Initiatives!$D$1,V96-1,$BY$3)),,OFFSET(Initiatives!$D$1,V96-1,$BY$3))</f>
        <v>0</v>
      </c>
      <c r="CQ96" s="377">
        <f ca="1">IF(ISERROR(OFFSET(Initiatives!$D$1,W96-1,$BY$3)),,OFFSET(Initiatives!$D$1,W96-1,$BY$3))</f>
        <v>0</v>
      </c>
      <c r="CR96" s="377">
        <f ca="1">IF(ISERROR(OFFSET(Initiatives!$D$1,X96-1,$BY$3)),,OFFSET(Initiatives!$D$1,X96-1,$BY$3))</f>
        <v>0</v>
      </c>
      <c r="CT96" s="41">
        <f t="shared" ca="1" si="1673"/>
        <v>8.1348915817364129E-2</v>
      </c>
      <c r="CU96" s="41">
        <f t="shared" ca="1" si="1674"/>
        <v>4.8701124768710226E-2</v>
      </c>
      <c r="CV96" s="41">
        <f t="shared" ca="1" si="1675"/>
        <v>5.4999803572130228E-3</v>
      </c>
      <c r="CW96" s="41">
        <f t="shared" ca="1" si="1676"/>
        <v>5.1428387755758011E-2</v>
      </c>
      <c r="CX96" s="41">
        <f t="shared" ca="1" si="1677"/>
        <v>0.12857096938939502</v>
      </c>
      <c r="CY96" s="41">
        <f t="shared" ca="1" si="1678"/>
        <v>0.12857096938939502</v>
      </c>
      <c r="CZ96" s="41">
        <f t="shared" ca="1" si="1679"/>
        <v>7.7142581633637033E-2</v>
      </c>
      <c r="DA96" s="41">
        <f t="shared" ca="1" si="1680"/>
        <v>0</v>
      </c>
      <c r="DB96" s="41">
        <f t="shared" ca="1" si="1681"/>
        <v>0</v>
      </c>
      <c r="DC96" s="41">
        <f t="shared" ca="1" si="1682"/>
        <v>0</v>
      </c>
      <c r="DD96" s="41">
        <f t="shared" ca="1" si="1683"/>
        <v>0</v>
      </c>
      <c r="DE96" s="41">
        <f t="shared" ca="1" si="1684"/>
        <v>0</v>
      </c>
      <c r="DF96" s="41">
        <f t="shared" ca="1" si="1685"/>
        <v>0</v>
      </c>
      <c r="DG96" s="41">
        <f t="shared" ca="1" si="1686"/>
        <v>0</v>
      </c>
      <c r="DH96" s="41">
        <f t="shared" ca="1" si="1687"/>
        <v>0</v>
      </c>
      <c r="DI96" s="41">
        <f t="shared" ca="1" si="1688"/>
        <v>0</v>
      </c>
      <c r="DJ96" s="41">
        <f t="shared" ca="1" si="1689"/>
        <v>0</v>
      </c>
      <c r="DK96" s="41">
        <f t="shared" ca="1" si="1690"/>
        <v>0</v>
      </c>
      <c r="DL96" s="41">
        <f t="shared" ca="1" si="1691"/>
        <v>0</v>
      </c>
      <c r="DM96" s="41">
        <f t="shared" ca="1" si="1692"/>
        <v>0</v>
      </c>
      <c r="DN96" s="41">
        <f t="shared" ca="1" si="1693"/>
        <v>0.52126292911147254</v>
      </c>
      <c r="DP96" s="41">
        <f t="shared" ca="1" si="1694"/>
        <v>0.15605119536647039</v>
      </c>
      <c r="DQ96" s="41">
        <f t="shared" ca="1" si="1695"/>
        <v>9.3409097004317071E-2</v>
      </c>
      <c r="DR96" s="41">
        <f t="shared" ca="1" si="1696"/>
        <v>1.0521259355020903E-2</v>
      </c>
      <c r="DS96" s="41">
        <f t="shared" ca="1" si="1697"/>
        <v>9.8621126436558862E-2</v>
      </c>
      <c r="DT96" s="41">
        <f t="shared" ca="1" si="1698"/>
        <v>0.24660281609139714</v>
      </c>
      <c r="DU96" s="41">
        <f t="shared" ca="1" si="1699"/>
        <v>0.24659281609139713</v>
      </c>
      <c r="DV96" s="41">
        <f t="shared" ca="1" si="1700"/>
        <v>0.14792168965483835</v>
      </c>
      <c r="DW96" s="41">
        <f t="shared" ca="1" si="1701"/>
        <v>-8.0000000000000007E-5</v>
      </c>
      <c r="DX96" s="41">
        <f t="shared" ca="1" si="1702"/>
        <v>-9.0000000000000006E-5</v>
      </c>
      <c r="DY96" s="41">
        <f t="shared" ca="1" si="1703"/>
        <v>-1E-4</v>
      </c>
      <c r="DZ96" s="41">
        <f t="shared" ca="1" si="1704"/>
        <v>-1.1E-4</v>
      </c>
      <c r="EA96" s="41">
        <f t="shared" ca="1" si="1705"/>
        <v>-1.2E-4</v>
      </c>
      <c r="EB96" s="41">
        <f t="shared" ca="1" si="1706"/>
        <v>-1.2999999999999999E-4</v>
      </c>
      <c r="EC96" s="41">
        <f t="shared" ca="1" si="1707"/>
        <v>-1.3999999999999999E-4</v>
      </c>
      <c r="ED96" s="41">
        <f t="shared" ca="1" si="1708"/>
        <v>-1.4999999999999999E-4</v>
      </c>
      <c r="EE96" s="41">
        <f t="shared" ca="1" si="1709"/>
        <v>-1.6000000000000001E-4</v>
      </c>
      <c r="EF96" s="41">
        <f t="shared" ca="1" si="1710"/>
        <v>-1.7000000000000001E-4</v>
      </c>
      <c r="EG96" s="41">
        <f t="shared" ca="1" si="1711"/>
        <v>-1.8000000000000001E-4</v>
      </c>
      <c r="EH96" s="41">
        <f t="shared" ca="1" si="1712"/>
        <v>-1.9000000000000001E-4</v>
      </c>
      <c r="EI96" s="41">
        <f t="shared" ca="1" si="1713"/>
        <v>-2.0000000000000001E-4</v>
      </c>
      <c r="EJ96" s="41">
        <f t="shared" ca="1" si="1714"/>
        <v>0.99789999999999979</v>
      </c>
      <c r="EL96" s="378">
        <f t="shared" ca="1" si="1715"/>
        <v>3</v>
      </c>
      <c r="EM96" s="378">
        <f t="shared" ca="1" si="1716"/>
        <v>6</v>
      </c>
      <c r="EN96" s="378">
        <f t="shared" ca="1" si="1717"/>
        <v>7</v>
      </c>
      <c r="EO96" s="378">
        <f t="shared" ca="1" si="1718"/>
        <v>5</v>
      </c>
      <c r="EP96" s="378">
        <f t="shared" ca="1" si="1719"/>
        <v>1</v>
      </c>
      <c r="EQ96" s="378">
        <f t="shared" ca="1" si="1720"/>
        <v>2</v>
      </c>
      <c r="ER96" s="378">
        <f t="shared" ca="1" si="1721"/>
        <v>4</v>
      </c>
      <c r="ES96" s="378">
        <f t="shared" ca="1" si="1722"/>
        <v>8</v>
      </c>
      <c r="ET96" s="378">
        <f t="shared" ca="1" si="1723"/>
        <v>9</v>
      </c>
      <c r="EU96" s="378">
        <f t="shared" ca="1" si="1724"/>
        <v>10</v>
      </c>
      <c r="EV96" s="378">
        <f t="shared" ca="1" si="1725"/>
        <v>11</v>
      </c>
      <c r="EW96" s="378">
        <f t="shared" ca="1" si="1726"/>
        <v>12</v>
      </c>
      <c r="EX96" s="378">
        <f t="shared" ca="1" si="1727"/>
        <v>13</v>
      </c>
      <c r="EY96" s="378">
        <f t="shared" ca="1" si="1728"/>
        <v>14</v>
      </c>
      <c r="EZ96" s="378">
        <f t="shared" ca="1" si="1729"/>
        <v>15</v>
      </c>
      <c r="FA96" s="378">
        <f t="shared" ca="1" si="1730"/>
        <v>16</v>
      </c>
      <c r="FB96" s="378">
        <f t="shared" ca="1" si="1731"/>
        <v>17</v>
      </c>
      <c r="FC96" s="378">
        <f t="shared" ca="1" si="1732"/>
        <v>18</v>
      </c>
      <c r="FD96" s="378">
        <f t="shared" ca="1" si="1733"/>
        <v>19</v>
      </c>
      <c r="FE96" s="378">
        <f t="shared" ca="1" si="1734"/>
        <v>20</v>
      </c>
      <c r="FG96" s="378">
        <f t="shared" ca="1" si="1646"/>
        <v>5</v>
      </c>
      <c r="FH96" s="378">
        <f t="shared" ca="1" si="1646"/>
        <v>6</v>
      </c>
      <c r="FI96" s="378">
        <f t="shared" ca="1" si="1646"/>
        <v>1</v>
      </c>
      <c r="FJ96" s="378">
        <f t="shared" ca="1" si="1646"/>
        <v>7</v>
      </c>
      <c r="FK96" s="378">
        <f t="shared" ca="1" si="1646"/>
        <v>4</v>
      </c>
      <c r="FL96" s="378">
        <f t="shared" ca="1" si="1646"/>
        <v>2</v>
      </c>
      <c r="FM96" s="378">
        <f t="shared" ca="1" si="1646"/>
        <v>3</v>
      </c>
      <c r="FN96" s="378">
        <f t="shared" ca="1" si="1646"/>
        <v>8</v>
      </c>
      <c r="FO96" s="378">
        <f t="shared" ca="1" si="1646"/>
        <v>9</v>
      </c>
      <c r="FP96" s="378">
        <f t="shared" ca="1" si="1646"/>
        <v>10</v>
      </c>
      <c r="FQ96" s="378">
        <f t="shared" ca="1" si="1646"/>
        <v>11</v>
      </c>
      <c r="FR96" s="378">
        <f t="shared" ca="1" si="1646"/>
        <v>12</v>
      </c>
      <c r="FS96" s="378">
        <f t="shared" ca="1" si="1646"/>
        <v>13</v>
      </c>
      <c r="FT96" s="378">
        <f t="shared" ca="1" si="1646"/>
        <v>14</v>
      </c>
      <c r="FU96" s="378">
        <f t="shared" ca="1" si="1646"/>
        <v>15</v>
      </c>
      <c r="FV96" s="378">
        <f t="shared" ca="1" si="1646"/>
        <v>16</v>
      </c>
      <c r="FW96" s="378">
        <f t="shared" ca="1" si="1646"/>
        <v>17</v>
      </c>
      <c r="FX96" s="378">
        <f t="shared" ca="1" si="1646"/>
        <v>18</v>
      </c>
      <c r="FY96" s="378">
        <f t="shared" ca="1" si="1646"/>
        <v>19</v>
      </c>
      <c r="FZ96" s="378">
        <f t="shared" ca="1" si="1646"/>
        <v>20</v>
      </c>
      <c r="GB96" s="275" t="str">
        <f t="shared" ca="1" si="1735"/>
        <v>Scorecards / Dashboards (25%)</v>
      </c>
      <c r="GC96" s="231" t="str">
        <f t="shared" ca="1" si="1736"/>
        <v>; Analytical Tools (25%)</v>
      </c>
      <c r="GD96" s="231" t="str">
        <f t="shared" ca="1" si="1737"/>
        <v>; BI Applications (16%)</v>
      </c>
      <c r="GE96" s="231" t="str">
        <f t="shared" ca="1" si="1738"/>
        <v>; Workflow and Collaboration (15%)</v>
      </c>
      <c r="GF96" s="231" t="str">
        <f t="shared" ca="1" si="1739"/>
        <v>; Reporting (10%)</v>
      </c>
      <c r="GG96" s="231" t="str">
        <f t="shared" ca="1" si="1740"/>
        <v>; Source System Inclusion / Integration (9%)</v>
      </c>
      <c r="GH96" s="231" t="str">
        <f t="shared" ca="1" si="1741"/>
        <v/>
      </c>
      <c r="GI96" s="231" t="str">
        <f t="shared" ca="1" si="1742"/>
        <v/>
      </c>
      <c r="GJ96" s="231" t="str">
        <f t="shared" ca="1" si="1743"/>
        <v/>
      </c>
      <c r="GK96" s="231" t="str">
        <f t="shared" ca="1" si="1744"/>
        <v/>
      </c>
      <c r="GL96" s="231" t="str">
        <f t="shared" ca="1" si="1745"/>
        <v/>
      </c>
      <c r="GM96" s="231" t="str">
        <f t="shared" ca="1" si="1746"/>
        <v/>
      </c>
      <c r="GN96" s="231" t="str">
        <f t="shared" ca="1" si="1747"/>
        <v/>
      </c>
      <c r="GO96" s="231" t="str">
        <f t="shared" ca="1" si="1748"/>
        <v/>
      </c>
      <c r="GP96" s="231" t="str">
        <f t="shared" ca="1" si="1749"/>
        <v/>
      </c>
      <c r="GQ96" s="231" t="str">
        <f t="shared" ca="1" si="1750"/>
        <v/>
      </c>
      <c r="GR96" s="231" t="str">
        <f t="shared" ca="1" si="1751"/>
        <v/>
      </c>
      <c r="GS96" s="231" t="str">
        <f t="shared" ca="1" si="1752"/>
        <v/>
      </c>
      <c r="GT96" s="231" t="str">
        <f t="shared" ca="1" si="1753"/>
        <v/>
      </c>
      <c r="GU96" s="231" t="str">
        <f t="shared" ca="1" si="1754"/>
        <v/>
      </c>
    </row>
    <row r="97" spans="2:203" s="386" customFormat="1" ht="15" hidden="1" customHeight="1">
      <c r="B97" s="373"/>
      <c r="C97" s="81" t="str">
        <f>KPIs!B11</f>
        <v>Information Availability</v>
      </c>
      <c r="D97" s="404">
        <f t="shared" ca="1" si="1667"/>
        <v>0.44283861425279414</v>
      </c>
      <c r="E97" s="374">
        <f>ROW(Initiatives!$A$170)</f>
        <v>170</v>
      </c>
      <c r="F97" s="374">
        <f>ROW(Initiatives!$A$176)</f>
        <v>176</v>
      </c>
      <c r="G97" s="374">
        <f>ROW(Initiatives!$A$183)</f>
        <v>183</v>
      </c>
      <c r="H97" s="374">
        <f>ROW(Initiatives!$A$185)</f>
        <v>185</v>
      </c>
      <c r="I97" s="374">
        <f>ROW(Initiatives!$A$186)</f>
        <v>186</v>
      </c>
      <c r="J97" s="374">
        <f>ROW(Initiatives!$A$187)</f>
        <v>187</v>
      </c>
      <c r="K97" s="374">
        <f>ROW(Initiatives!$A$188)</f>
        <v>188</v>
      </c>
      <c r="L97" s="374"/>
      <c r="M97" s="374"/>
      <c r="N97" s="374"/>
      <c r="O97" s="374"/>
      <c r="P97" s="374"/>
      <c r="Q97" s="374"/>
      <c r="R97" s="374"/>
      <c r="S97" s="374"/>
      <c r="T97" s="374"/>
      <c r="U97" s="374"/>
      <c r="V97" s="374"/>
      <c r="W97" s="374"/>
      <c r="X97" s="374"/>
      <c r="Y97" s="392" t="str">
        <f ca="1">OFFSET(Initiatives!$D$1,E97-1,$BS$3)</f>
        <v>BI Applications</v>
      </c>
      <c r="Z97" s="375">
        <v>5</v>
      </c>
      <c r="AA97" s="392" t="str">
        <f ca="1">OFFSET(Initiatives!$D$1,F97-1,$BS$3)</f>
        <v>Source System Inclusion / Integration</v>
      </c>
      <c r="AB97" s="375">
        <v>9</v>
      </c>
      <c r="AC97" s="392" t="str">
        <f ca="1">OFFSET(Initiatives!$D$1,G97-1,$BS$3)</f>
        <v>Enhance DW Platform</v>
      </c>
      <c r="AD97" s="375">
        <v>4</v>
      </c>
      <c r="AE97" s="392" t="str">
        <f ca="1">OFFSET(Initiatives!$D$1,H97-1,$BS$3)</f>
        <v>Reporting</v>
      </c>
      <c r="AF97" s="375">
        <v>3</v>
      </c>
      <c r="AG97" s="392" t="str">
        <f ca="1">OFFSET(Initiatives!$D$1,I97-1,$BS$3)</f>
        <v>Scorecards / Dashboards</v>
      </c>
      <c r="AH97" s="375">
        <v>3</v>
      </c>
      <c r="AI97" s="392" t="str">
        <f ca="1">OFFSET(Initiatives!$D$1,J97-1,$BS$3)</f>
        <v>Analytical Tools</v>
      </c>
      <c r="AJ97" s="375">
        <v>1</v>
      </c>
      <c r="AK97" s="392" t="str">
        <f ca="1">OFFSET(Initiatives!$D$1,K97-1,$BS$3)</f>
        <v>Workflow and Collaboration</v>
      </c>
      <c r="AL97" s="375">
        <v>2</v>
      </c>
      <c r="AM97" s="392" t="e">
        <f ca="1">OFFSET(Initiatives!$D$1,L97-1,$BS$3)</f>
        <v>#REF!</v>
      </c>
      <c r="AN97" s="375"/>
      <c r="AO97" s="392" t="e">
        <f ca="1">OFFSET(Initiatives!$D$1,M97-1,$BS$3)</f>
        <v>#REF!</v>
      </c>
      <c r="AP97" s="375"/>
      <c r="AQ97" s="392" t="e">
        <f ca="1">OFFSET(Initiatives!$D$1,N97-1,$BS$3)</f>
        <v>#REF!</v>
      </c>
      <c r="AR97" s="375"/>
      <c r="AS97" s="392" t="e">
        <f ca="1">OFFSET(Initiatives!$D$1,O97-1,$BS$3)</f>
        <v>#REF!</v>
      </c>
      <c r="AT97" s="375"/>
      <c r="AU97" s="392" t="e">
        <f ca="1">OFFSET(Initiatives!$D$1,P97-1,$BS$3)</f>
        <v>#REF!</v>
      </c>
      <c r="AV97" s="375"/>
      <c r="AW97" s="392" t="e">
        <f ca="1">OFFSET(Initiatives!$D$1,Q97-1,$BS$3)</f>
        <v>#REF!</v>
      </c>
      <c r="AX97" s="375"/>
      <c r="AY97" s="392" t="e">
        <f ca="1">OFFSET(Initiatives!$D$1,R97-1,$BS$3)</f>
        <v>#REF!</v>
      </c>
      <c r="AZ97" s="375"/>
      <c r="BA97" s="392" t="e">
        <f ca="1">OFFSET(Initiatives!$D$1,S97-1,$BS$3)</f>
        <v>#REF!</v>
      </c>
      <c r="BB97" s="375"/>
      <c r="BC97" s="392" t="e">
        <f ca="1">OFFSET(Initiatives!$D$1,T97-1,$BS$3)</f>
        <v>#REF!</v>
      </c>
      <c r="BD97" s="375"/>
      <c r="BE97" s="392" t="e">
        <f ca="1">OFFSET(Initiatives!$D$1,U97-1,$BS$3)</f>
        <v>#REF!</v>
      </c>
      <c r="BF97" s="375"/>
      <c r="BG97" s="392" t="e">
        <f ca="1">OFFSET(Initiatives!$D$1,V97-1,$BS$3)</f>
        <v>#REF!</v>
      </c>
      <c r="BH97" s="375"/>
      <c r="BI97" s="392" t="e">
        <f ca="1">OFFSET(Initiatives!$D$1,W97-1,$BS$3)</f>
        <v>#REF!</v>
      </c>
      <c r="BJ97" s="375"/>
      <c r="BK97" s="392" t="e">
        <f ca="1">OFFSET(Initiatives!$D$1,X97-1,$BS$3)</f>
        <v>#REF!</v>
      </c>
      <c r="BL97" s="375"/>
      <c r="BN97" s="101">
        <f t="shared" si="1668"/>
        <v>27.0001</v>
      </c>
      <c r="BP97" s="231" t="str">
        <f t="shared" ca="1" si="1669"/>
        <v>Source System Inclusion / Integration (34%); BI Applications (19%); Scorecards / Dashboards (15%); Reporting (12%); Workflow and Collaboration (12%); Analytical Tools (5%)</v>
      </c>
      <c r="BQ97" s="338">
        <v>0.01</v>
      </c>
      <c r="BR97" s="40">
        <f t="shared" ca="1" si="1670"/>
        <v>7</v>
      </c>
      <c r="BS97" s="274">
        <v>0.05</v>
      </c>
      <c r="BT97" s="40">
        <f t="shared" ca="1" si="1671"/>
        <v>6</v>
      </c>
      <c r="BU97" s="376">
        <v>7</v>
      </c>
      <c r="BV97" s="40">
        <f t="shared" ca="1" si="1672"/>
        <v>6</v>
      </c>
      <c r="BY97" s="377">
        <f ca="1">IF(ISERROR(OFFSET(Initiatives!$D$1,E97-1,$BY$3)),,OFFSET(Initiatives!$D$1,E97-1,$BY$3))</f>
        <v>0.45555555555555544</v>
      </c>
      <c r="BZ97" s="377">
        <f ca="1">IF(ISERROR(OFFSET(Initiatives!$D$1,F97-1,$BY$3)),,OFFSET(Initiatives!$D$1,F97-1,$BY$3))</f>
        <v>0.45454545454545436</v>
      </c>
      <c r="CA97" s="377">
        <f ca="1">IF(ISERROR(OFFSET(Initiatives!$D$1,G97-1,$BY$3)),,OFFSET(Initiatives!$D$1,G97-1,$BY$3))</f>
        <v>7.7000000000000179E-2</v>
      </c>
      <c r="CB97" s="377">
        <f ca="1">IF(ISERROR(OFFSET(Initiatives!$D$1,H97-1,$BY$3)),,OFFSET(Initiatives!$D$1,H97-1,$BY$3))</f>
        <v>0.48</v>
      </c>
      <c r="CC97" s="377">
        <f ca="1">IF(ISERROR(OFFSET(Initiatives!$D$1,I97-1,$BY$3)),,OFFSET(Initiatives!$D$1,I97-1,$BY$3))</f>
        <v>0.6</v>
      </c>
      <c r="CD97" s="377">
        <f ca="1">IF(ISERROR(OFFSET(Initiatives!$D$1,J97-1,$BY$3)),,OFFSET(Initiatives!$D$1,J97-1,$BY$3))</f>
        <v>0.6</v>
      </c>
      <c r="CE97" s="377">
        <f ca="1">IF(ISERROR(OFFSET(Initiatives!$D$1,K97-1,$BY$3)),,OFFSET(Initiatives!$D$1,K97-1,$BY$3))</f>
        <v>0.72000000000000008</v>
      </c>
      <c r="CF97" s="377">
        <f ca="1">IF(ISERROR(OFFSET(Initiatives!$D$1,L97-1,$BY$3)),,OFFSET(Initiatives!$D$1,L97-1,$BY$3))</f>
        <v>0</v>
      </c>
      <c r="CG97" s="377">
        <f ca="1">IF(ISERROR(OFFSET(Initiatives!$D$1,M97-1,$BY$3)),,OFFSET(Initiatives!$D$1,M97-1,$BY$3))</f>
        <v>0</v>
      </c>
      <c r="CH97" s="377">
        <f ca="1">IF(ISERROR(OFFSET(Initiatives!$D$1,N97-1,$BY$3)),,OFFSET(Initiatives!$D$1,N97-1,$BY$3))</f>
        <v>0</v>
      </c>
      <c r="CI97" s="377">
        <f ca="1">IF(ISERROR(OFFSET(Initiatives!$D$1,O97-1,$BY$3)),,OFFSET(Initiatives!$D$1,O97-1,$BY$3))</f>
        <v>0</v>
      </c>
      <c r="CJ97" s="377">
        <f ca="1">IF(ISERROR(OFFSET(Initiatives!$D$1,P97-1,$BY$3)),,OFFSET(Initiatives!$D$1,P97-1,$BY$3))</f>
        <v>0</v>
      </c>
      <c r="CK97" s="377">
        <f ca="1">IF(ISERROR(OFFSET(Initiatives!$D$1,Q97-1,$BY$3)),,OFFSET(Initiatives!$D$1,Q97-1,$BY$3))</f>
        <v>0</v>
      </c>
      <c r="CL97" s="377">
        <f ca="1">IF(ISERROR(OFFSET(Initiatives!$D$1,R97-1,$BY$3)),,OFFSET(Initiatives!$D$1,R97-1,$BY$3))</f>
        <v>0</v>
      </c>
      <c r="CM97" s="377">
        <f ca="1">IF(ISERROR(OFFSET(Initiatives!$D$1,S97-1,$BY$3)),,OFFSET(Initiatives!$D$1,S97-1,$BY$3))</f>
        <v>0</v>
      </c>
      <c r="CN97" s="377">
        <f ca="1">IF(ISERROR(OFFSET(Initiatives!$D$1,T97-1,$BY$3)),,OFFSET(Initiatives!$D$1,T97-1,$BY$3))</f>
        <v>0</v>
      </c>
      <c r="CO97" s="377">
        <f ca="1">IF(ISERROR(OFFSET(Initiatives!$D$1,U97-1,$BY$3)),,OFFSET(Initiatives!$D$1,U97-1,$BY$3))</f>
        <v>0</v>
      </c>
      <c r="CP97" s="377">
        <f ca="1">IF(ISERROR(OFFSET(Initiatives!$D$1,V97-1,$BY$3)),,OFFSET(Initiatives!$D$1,V97-1,$BY$3))</f>
        <v>0</v>
      </c>
      <c r="CQ97" s="377">
        <f ca="1">IF(ISERROR(OFFSET(Initiatives!$D$1,W97-1,$BY$3)),,OFFSET(Initiatives!$D$1,W97-1,$BY$3))</f>
        <v>0</v>
      </c>
      <c r="CR97" s="377">
        <f ca="1">IF(ISERROR(OFFSET(Initiatives!$D$1,X97-1,$BY$3)),,OFFSET(Initiatives!$D$1,X97-1,$BY$3))</f>
        <v>0</v>
      </c>
      <c r="CT97" s="41">
        <f t="shared" ca="1" si="1673"/>
        <v>8.4361827466482617E-2</v>
      </c>
      <c r="CU97" s="41">
        <f t="shared" ca="1" si="1674"/>
        <v>0.151514590350002</v>
      </c>
      <c r="CV97" s="41">
        <f t="shared" ca="1" si="1675"/>
        <v>1.140736515790685E-2</v>
      </c>
      <c r="CW97" s="41">
        <f t="shared" ca="1" si="1676"/>
        <v>5.3333135803200725E-2</v>
      </c>
      <c r="CX97" s="41">
        <f t="shared" ca="1" si="1677"/>
        <v>6.6666419754000908E-2</v>
      </c>
      <c r="CY97" s="41">
        <f t="shared" ca="1" si="1678"/>
        <v>2.2222139918000303E-2</v>
      </c>
      <c r="CZ97" s="41">
        <f t="shared" ca="1" si="1679"/>
        <v>5.3333135803200739E-2</v>
      </c>
      <c r="DA97" s="41">
        <f t="shared" ca="1" si="1680"/>
        <v>0</v>
      </c>
      <c r="DB97" s="41">
        <f t="shared" ca="1" si="1681"/>
        <v>0</v>
      </c>
      <c r="DC97" s="41">
        <f t="shared" ca="1" si="1682"/>
        <v>0</v>
      </c>
      <c r="DD97" s="41">
        <f t="shared" ca="1" si="1683"/>
        <v>0</v>
      </c>
      <c r="DE97" s="41">
        <f t="shared" ca="1" si="1684"/>
        <v>0</v>
      </c>
      <c r="DF97" s="41">
        <f t="shared" ca="1" si="1685"/>
        <v>0</v>
      </c>
      <c r="DG97" s="41">
        <f t="shared" ca="1" si="1686"/>
        <v>0</v>
      </c>
      <c r="DH97" s="41">
        <f t="shared" ca="1" si="1687"/>
        <v>0</v>
      </c>
      <c r="DI97" s="41">
        <f t="shared" ca="1" si="1688"/>
        <v>0</v>
      </c>
      <c r="DJ97" s="41">
        <f t="shared" ca="1" si="1689"/>
        <v>0</v>
      </c>
      <c r="DK97" s="41">
        <f t="shared" ca="1" si="1690"/>
        <v>0</v>
      </c>
      <c r="DL97" s="41">
        <f t="shared" ca="1" si="1691"/>
        <v>0</v>
      </c>
      <c r="DM97" s="41">
        <f t="shared" ca="1" si="1692"/>
        <v>0</v>
      </c>
      <c r="DN97" s="41">
        <f t="shared" ca="1" si="1693"/>
        <v>0.44283861425279414</v>
      </c>
      <c r="DP97" s="41">
        <f t="shared" ca="1" si="1694"/>
        <v>0.19049241950744775</v>
      </c>
      <c r="DQ97" s="41">
        <f t="shared" ca="1" si="1695"/>
        <v>0.34212403503554906</v>
      </c>
      <c r="DR97" s="41">
        <f t="shared" ca="1" si="1696"/>
        <v>2.5729644237787636E-2</v>
      </c>
      <c r="DS97" s="41">
        <f t="shared" ca="1" si="1697"/>
        <v>0.12039470033251333</v>
      </c>
      <c r="DT97" s="41">
        <f t="shared" ca="1" si="1698"/>
        <v>0.15049337541564167</v>
      </c>
      <c r="DU97" s="41">
        <f t="shared" ca="1" si="1699"/>
        <v>5.0121125138547218E-2</v>
      </c>
      <c r="DV97" s="41">
        <f t="shared" ca="1" si="1700"/>
        <v>0.12036470033251336</v>
      </c>
      <c r="DW97" s="41">
        <f t="shared" ca="1" si="1701"/>
        <v>-8.0000000000000007E-5</v>
      </c>
      <c r="DX97" s="41">
        <f t="shared" ca="1" si="1702"/>
        <v>-9.0000000000000006E-5</v>
      </c>
      <c r="DY97" s="41">
        <f t="shared" ca="1" si="1703"/>
        <v>-1E-4</v>
      </c>
      <c r="DZ97" s="41">
        <f t="shared" ca="1" si="1704"/>
        <v>-1.1E-4</v>
      </c>
      <c r="EA97" s="41">
        <f t="shared" ca="1" si="1705"/>
        <v>-1.2E-4</v>
      </c>
      <c r="EB97" s="41">
        <f t="shared" ca="1" si="1706"/>
        <v>-1.2999999999999999E-4</v>
      </c>
      <c r="EC97" s="41">
        <f t="shared" ca="1" si="1707"/>
        <v>-1.3999999999999999E-4</v>
      </c>
      <c r="ED97" s="41">
        <f t="shared" ca="1" si="1708"/>
        <v>-1.4999999999999999E-4</v>
      </c>
      <c r="EE97" s="41">
        <f t="shared" ca="1" si="1709"/>
        <v>-1.6000000000000001E-4</v>
      </c>
      <c r="EF97" s="41">
        <f t="shared" ca="1" si="1710"/>
        <v>-1.7000000000000001E-4</v>
      </c>
      <c r="EG97" s="41">
        <f t="shared" ca="1" si="1711"/>
        <v>-1.8000000000000001E-4</v>
      </c>
      <c r="EH97" s="41">
        <f t="shared" ca="1" si="1712"/>
        <v>-1.9000000000000001E-4</v>
      </c>
      <c r="EI97" s="41">
        <f t="shared" ca="1" si="1713"/>
        <v>-2.0000000000000001E-4</v>
      </c>
      <c r="EJ97" s="41">
        <f t="shared" ca="1" si="1714"/>
        <v>0.99790000000000001</v>
      </c>
      <c r="EL97" s="378">
        <f t="shared" ca="1" si="1715"/>
        <v>2</v>
      </c>
      <c r="EM97" s="378">
        <f t="shared" ca="1" si="1716"/>
        <v>1</v>
      </c>
      <c r="EN97" s="378">
        <f t="shared" ca="1" si="1717"/>
        <v>7</v>
      </c>
      <c r="EO97" s="378">
        <f t="shared" ca="1" si="1718"/>
        <v>4</v>
      </c>
      <c r="EP97" s="378">
        <f t="shared" ca="1" si="1719"/>
        <v>3</v>
      </c>
      <c r="EQ97" s="378">
        <f t="shared" ca="1" si="1720"/>
        <v>6</v>
      </c>
      <c r="ER97" s="378">
        <f t="shared" ca="1" si="1721"/>
        <v>5</v>
      </c>
      <c r="ES97" s="378">
        <f t="shared" ca="1" si="1722"/>
        <v>8</v>
      </c>
      <c r="ET97" s="378">
        <f t="shared" ca="1" si="1723"/>
        <v>9</v>
      </c>
      <c r="EU97" s="378">
        <f t="shared" ca="1" si="1724"/>
        <v>10</v>
      </c>
      <c r="EV97" s="378">
        <f t="shared" ca="1" si="1725"/>
        <v>11</v>
      </c>
      <c r="EW97" s="378">
        <f t="shared" ca="1" si="1726"/>
        <v>12</v>
      </c>
      <c r="EX97" s="378">
        <f t="shared" ca="1" si="1727"/>
        <v>13</v>
      </c>
      <c r="EY97" s="378">
        <f t="shared" ca="1" si="1728"/>
        <v>14</v>
      </c>
      <c r="EZ97" s="378">
        <f t="shared" ca="1" si="1729"/>
        <v>15</v>
      </c>
      <c r="FA97" s="378">
        <f t="shared" ca="1" si="1730"/>
        <v>16</v>
      </c>
      <c r="FB97" s="378">
        <f t="shared" ca="1" si="1731"/>
        <v>17</v>
      </c>
      <c r="FC97" s="378">
        <f t="shared" ca="1" si="1732"/>
        <v>18</v>
      </c>
      <c r="FD97" s="378">
        <f t="shared" ca="1" si="1733"/>
        <v>19</v>
      </c>
      <c r="FE97" s="378">
        <f t="shared" ca="1" si="1734"/>
        <v>20</v>
      </c>
      <c r="FG97" s="378">
        <f t="shared" ca="1" si="1646"/>
        <v>2</v>
      </c>
      <c r="FH97" s="378">
        <f t="shared" ca="1" si="1646"/>
        <v>1</v>
      </c>
      <c r="FI97" s="378">
        <f t="shared" ca="1" si="1646"/>
        <v>5</v>
      </c>
      <c r="FJ97" s="378">
        <f t="shared" ca="1" si="1646"/>
        <v>4</v>
      </c>
      <c r="FK97" s="378">
        <f t="shared" ca="1" si="1646"/>
        <v>7</v>
      </c>
      <c r="FL97" s="378">
        <f t="shared" ca="1" si="1646"/>
        <v>6</v>
      </c>
      <c r="FM97" s="378">
        <f t="shared" ca="1" si="1646"/>
        <v>3</v>
      </c>
      <c r="FN97" s="378">
        <f t="shared" ca="1" si="1646"/>
        <v>8</v>
      </c>
      <c r="FO97" s="378">
        <f t="shared" ca="1" si="1646"/>
        <v>9</v>
      </c>
      <c r="FP97" s="378">
        <f t="shared" ca="1" si="1646"/>
        <v>10</v>
      </c>
      <c r="FQ97" s="378">
        <f t="shared" ca="1" si="1646"/>
        <v>11</v>
      </c>
      <c r="FR97" s="378">
        <f t="shared" ca="1" si="1646"/>
        <v>12</v>
      </c>
      <c r="FS97" s="378">
        <f t="shared" ca="1" si="1646"/>
        <v>13</v>
      </c>
      <c r="FT97" s="378">
        <f t="shared" ca="1" si="1646"/>
        <v>14</v>
      </c>
      <c r="FU97" s="378">
        <f t="shared" ca="1" si="1646"/>
        <v>15</v>
      </c>
      <c r="FV97" s="378">
        <f t="shared" ca="1" si="1646"/>
        <v>16</v>
      </c>
      <c r="FW97" s="378">
        <f t="shared" ca="1" si="1646"/>
        <v>17</v>
      </c>
      <c r="FX97" s="378">
        <f t="shared" ca="1" si="1646"/>
        <v>18</v>
      </c>
      <c r="FY97" s="378">
        <f t="shared" ca="1" si="1646"/>
        <v>19</v>
      </c>
      <c r="FZ97" s="378">
        <f t="shared" ca="1" si="1646"/>
        <v>20</v>
      </c>
      <c r="GB97" s="275" t="str">
        <f t="shared" ca="1" si="1735"/>
        <v>Source System Inclusion / Integration (34%)</v>
      </c>
      <c r="GC97" s="231" t="str">
        <f t="shared" ca="1" si="1736"/>
        <v>; BI Applications (19%)</v>
      </c>
      <c r="GD97" s="231" t="str">
        <f t="shared" ca="1" si="1737"/>
        <v>; Scorecards / Dashboards (15%)</v>
      </c>
      <c r="GE97" s="231" t="str">
        <f t="shared" ca="1" si="1738"/>
        <v>; Reporting (12%)</v>
      </c>
      <c r="GF97" s="231" t="str">
        <f t="shared" ca="1" si="1739"/>
        <v>; Workflow and Collaboration (12%)</v>
      </c>
      <c r="GG97" s="231" t="str">
        <f t="shared" ca="1" si="1740"/>
        <v>; Analytical Tools (5%)</v>
      </c>
      <c r="GH97" s="231" t="str">
        <f t="shared" ca="1" si="1741"/>
        <v/>
      </c>
      <c r="GI97" s="231" t="str">
        <f t="shared" ca="1" si="1742"/>
        <v/>
      </c>
      <c r="GJ97" s="231" t="str">
        <f t="shared" ca="1" si="1743"/>
        <v/>
      </c>
      <c r="GK97" s="231" t="str">
        <f t="shared" ca="1" si="1744"/>
        <v/>
      </c>
      <c r="GL97" s="231" t="str">
        <f t="shared" ca="1" si="1745"/>
        <v/>
      </c>
      <c r="GM97" s="231" t="str">
        <f t="shared" ca="1" si="1746"/>
        <v/>
      </c>
      <c r="GN97" s="231" t="str">
        <f t="shared" ca="1" si="1747"/>
        <v/>
      </c>
      <c r="GO97" s="231" t="str">
        <f t="shared" ca="1" si="1748"/>
        <v/>
      </c>
      <c r="GP97" s="231" t="str">
        <f t="shared" ca="1" si="1749"/>
        <v/>
      </c>
      <c r="GQ97" s="231" t="str">
        <f t="shared" ca="1" si="1750"/>
        <v/>
      </c>
      <c r="GR97" s="231" t="str">
        <f t="shared" ca="1" si="1751"/>
        <v/>
      </c>
      <c r="GS97" s="231" t="str">
        <f t="shared" ca="1" si="1752"/>
        <v/>
      </c>
      <c r="GT97" s="231" t="str">
        <f t="shared" ca="1" si="1753"/>
        <v/>
      </c>
      <c r="GU97" s="231" t="str">
        <f t="shared" ca="1" si="1754"/>
        <v/>
      </c>
    </row>
    <row r="98" spans="2:203" s="386" customFormat="1" ht="19.5" hidden="1" customHeight="1">
      <c r="B98" s="373"/>
      <c r="C98" s="81" t="str">
        <f>KPIs!B12</f>
        <v>Information Quality</v>
      </c>
      <c r="D98" s="404">
        <f t="shared" ca="1" si="1667"/>
        <v>0.13510220348262808</v>
      </c>
      <c r="E98" s="374">
        <f>ROW(Initiatives!$A$170)</f>
        <v>170</v>
      </c>
      <c r="F98" s="374">
        <f>ROW(Initiatives!$A$176)</f>
        <v>176</v>
      </c>
      <c r="G98" s="374">
        <f>ROW(Initiatives!$A$178)</f>
        <v>178</v>
      </c>
      <c r="H98" s="374">
        <f>ROW(Initiatives!$A$179)</f>
        <v>179</v>
      </c>
      <c r="I98" s="374">
        <f>ROW(Initiatives!$A$180)</f>
        <v>180</v>
      </c>
      <c r="J98" s="374">
        <f>ROW(Initiatives!$A$181)</f>
        <v>181</v>
      </c>
      <c r="K98" s="374">
        <f>ROW(Initiatives!$A$182)</f>
        <v>182</v>
      </c>
      <c r="L98" s="374">
        <f>ROW(Initiatives!$A$185)</f>
        <v>185</v>
      </c>
      <c r="M98" s="374">
        <f>ROW(Initiatives!$A$186)</f>
        <v>186</v>
      </c>
      <c r="N98" s="374">
        <f>ROW(Initiatives!$A$187)</f>
        <v>187</v>
      </c>
      <c r="O98" s="374">
        <f>ROW(Initiatives!$A$188)</f>
        <v>188</v>
      </c>
      <c r="P98" s="374"/>
      <c r="Q98" s="374"/>
      <c r="R98" s="374"/>
      <c r="S98" s="374"/>
      <c r="T98" s="374"/>
      <c r="U98" s="374"/>
      <c r="V98" s="374"/>
      <c r="W98" s="374"/>
      <c r="X98" s="374"/>
      <c r="Y98" s="392" t="str">
        <f ca="1">OFFSET(Initiatives!$D$1,E98-1,$BS$3)</f>
        <v>BI Applications</v>
      </c>
      <c r="Z98" s="375"/>
      <c r="AA98" s="392" t="str">
        <f ca="1">OFFSET(Initiatives!$D$1,F98-1,$BS$3)</f>
        <v>Source System Inclusion / Integration</v>
      </c>
      <c r="AB98" s="375">
        <v>4</v>
      </c>
      <c r="AC98" s="392" t="str">
        <f ca="1">OFFSET(Initiatives!$D$1,G98-1,$BS$3)</f>
        <v>Architecture Standards &amp; Adherence</v>
      </c>
      <c r="AD98" s="375">
        <v>4</v>
      </c>
      <c r="AE98" s="392" t="str">
        <f ca="1">OFFSET(Initiatives!$D$1,H98-1,$BS$3)</f>
        <v>Data Management</v>
      </c>
      <c r="AF98" s="375">
        <v>9</v>
      </c>
      <c r="AG98" s="392" t="str">
        <f ca="1">OFFSET(Initiatives!$D$1,I98-1,$BS$3)</f>
        <v>Data Integration/ETL</v>
      </c>
      <c r="AH98" s="375">
        <v>7</v>
      </c>
      <c r="AI98" s="392" t="str">
        <f ca="1">OFFSET(Initiatives!$D$1,J98-1,$BS$3)</f>
        <v>Data Warehouse / Data Marts</v>
      </c>
      <c r="AJ98" s="375">
        <v>7</v>
      </c>
      <c r="AK98" s="392" t="str">
        <f ca="1">OFFSET(Initiatives!$D$1,K98-1,$BS$3)</f>
        <v>Development</v>
      </c>
      <c r="AL98" s="375"/>
      <c r="AM98" s="392" t="str">
        <f ca="1">OFFSET(Initiatives!$D$1,L98-1,$BS$3)</f>
        <v>Reporting</v>
      </c>
      <c r="AN98" s="375"/>
      <c r="AO98" s="392" t="str">
        <f ca="1">OFFSET(Initiatives!$D$1,M98-1,$BS$3)</f>
        <v>Scorecards / Dashboards</v>
      </c>
      <c r="AP98" s="375"/>
      <c r="AQ98" s="392" t="str">
        <f ca="1">OFFSET(Initiatives!$D$1,N98-1,$BS$3)</f>
        <v>Analytical Tools</v>
      </c>
      <c r="AR98" s="375"/>
      <c r="AS98" s="392" t="str">
        <f ca="1">OFFSET(Initiatives!$D$1,O98-1,$BS$3)</f>
        <v>Workflow and Collaboration</v>
      </c>
      <c r="AT98" s="375"/>
      <c r="AU98" s="392" t="e">
        <f ca="1">OFFSET(Initiatives!$D$1,P98-1,$BS$3)</f>
        <v>#REF!</v>
      </c>
      <c r="AV98" s="375"/>
      <c r="AW98" s="392" t="e">
        <f ca="1">OFFSET(Initiatives!$D$1,Q98-1,$BS$3)</f>
        <v>#REF!</v>
      </c>
      <c r="AX98" s="375"/>
      <c r="AY98" s="392" t="e">
        <f ca="1">OFFSET(Initiatives!$D$1,R98-1,$BS$3)</f>
        <v>#REF!</v>
      </c>
      <c r="AZ98" s="375"/>
      <c r="BA98" s="392" t="e">
        <f ca="1">OFFSET(Initiatives!$D$1,S98-1,$BS$3)</f>
        <v>#REF!</v>
      </c>
      <c r="BB98" s="375"/>
      <c r="BC98" s="392" t="e">
        <f ca="1">OFFSET(Initiatives!$D$1,T98-1,$BS$3)</f>
        <v>#REF!</v>
      </c>
      <c r="BD98" s="375"/>
      <c r="BE98" s="392" t="e">
        <f ca="1">OFFSET(Initiatives!$D$1,U98-1,$BS$3)</f>
        <v>#REF!</v>
      </c>
      <c r="BF98" s="375"/>
      <c r="BG98" s="392" t="e">
        <f ca="1">OFFSET(Initiatives!$D$1,V98-1,$BS$3)</f>
        <v>#REF!</v>
      </c>
      <c r="BH98" s="375"/>
      <c r="BI98" s="392" t="e">
        <f ca="1">OFFSET(Initiatives!$D$1,W98-1,$BS$3)</f>
        <v>#REF!</v>
      </c>
      <c r="BJ98" s="375"/>
      <c r="BK98" s="392" t="e">
        <f ca="1">OFFSET(Initiatives!$D$1,X98-1,$BS$3)</f>
        <v>#REF!</v>
      </c>
      <c r="BL98" s="375"/>
      <c r="BN98" s="101">
        <f t="shared" si="1668"/>
        <v>31.0001</v>
      </c>
      <c r="BP98" s="231" t="str">
        <f t="shared" ca="1" si="1669"/>
        <v>Source System Inclusion / Integration (43%); Data Management (21%); Data Integration/ETL (17%); Architecture Standards &amp; Adherence (13%)</v>
      </c>
      <c r="BQ98" s="338">
        <v>0.01</v>
      </c>
      <c r="BR98" s="40">
        <f t="shared" ca="1" si="1670"/>
        <v>4</v>
      </c>
      <c r="BS98" s="274">
        <v>0.05</v>
      </c>
      <c r="BT98" s="40">
        <f t="shared" ca="1" si="1671"/>
        <v>5</v>
      </c>
      <c r="BU98" s="376">
        <v>7</v>
      </c>
      <c r="BV98" s="40">
        <f t="shared" ca="1" si="1672"/>
        <v>4</v>
      </c>
      <c r="BY98" s="377">
        <f ca="1">IF(ISERROR(OFFSET(Initiatives!$D$1,E98-1,$BY$3)),,OFFSET(Initiatives!$D$1,E98-1,$BY$3))</f>
        <v>0.45555555555555544</v>
      </c>
      <c r="BZ98" s="377">
        <f ca="1">IF(ISERROR(OFFSET(Initiatives!$D$1,F98-1,$BY$3)),,OFFSET(Initiatives!$D$1,F98-1,$BY$3))</f>
        <v>0.45454545454545436</v>
      </c>
      <c r="CA98" s="377">
        <f ca="1">IF(ISERROR(OFFSET(Initiatives!$D$1,G98-1,$BY$3)),,OFFSET(Initiatives!$D$1,G98-1,$BY$3))</f>
        <v>0.14000000000000012</v>
      </c>
      <c r="CB98" s="377">
        <f ca="1">IF(ISERROR(OFFSET(Initiatives!$D$1,H98-1,$BY$3)),,OFFSET(Initiatives!$D$1,H98-1,$BY$3))</f>
        <v>9.9999999999999978E-2</v>
      </c>
      <c r="CC98" s="377">
        <f ca="1">IF(ISERROR(OFFSET(Initiatives!$D$1,I98-1,$BY$3)),,OFFSET(Initiatives!$D$1,I98-1,$BY$3))</f>
        <v>9.9999999999999978E-2</v>
      </c>
      <c r="CD98" s="377">
        <f ca="1">IF(ISERROR(OFFSET(Initiatives!$D$1,J98-1,$BY$3)),,OFFSET(Initiatives!$D$1,J98-1,$BY$3))</f>
        <v>3.0000000000000027E-2</v>
      </c>
      <c r="CE98" s="377">
        <f ca="1">IF(ISERROR(OFFSET(Initiatives!$D$1,K98-1,$BY$3)),,OFFSET(Initiatives!$D$1,K98-1,$BY$3))</f>
        <v>1.5000000000000124E-2</v>
      </c>
      <c r="CF98" s="377">
        <f ca="1">IF(ISERROR(OFFSET(Initiatives!$D$1,L98-1,$BY$3)),,OFFSET(Initiatives!$D$1,L98-1,$BY$3))</f>
        <v>0.48</v>
      </c>
      <c r="CG98" s="377">
        <f ca="1">IF(ISERROR(OFFSET(Initiatives!$D$1,M98-1,$BY$3)),,OFFSET(Initiatives!$D$1,M98-1,$BY$3))</f>
        <v>0.6</v>
      </c>
      <c r="CH98" s="377">
        <f ca="1">IF(ISERROR(OFFSET(Initiatives!$D$1,N98-1,$BY$3)),,OFFSET(Initiatives!$D$1,N98-1,$BY$3))</f>
        <v>0.6</v>
      </c>
      <c r="CI98" s="377">
        <f ca="1">IF(ISERROR(OFFSET(Initiatives!$D$1,O98-1,$BY$3)),,OFFSET(Initiatives!$D$1,O98-1,$BY$3))</f>
        <v>0.72000000000000008</v>
      </c>
      <c r="CJ98" s="377">
        <f ca="1">IF(ISERROR(OFFSET(Initiatives!$D$1,P98-1,$BY$3)),,OFFSET(Initiatives!$D$1,P98-1,$BY$3))</f>
        <v>0</v>
      </c>
      <c r="CK98" s="377">
        <f ca="1">IF(ISERROR(OFFSET(Initiatives!$D$1,Q98-1,$BY$3)),,OFFSET(Initiatives!$D$1,Q98-1,$BY$3))</f>
        <v>0</v>
      </c>
      <c r="CL98" s="377">
        <f ca="1">IF(ISERROR(OFFSET(Initiatives!$D$1,R98-1,$BY$3)),,OFFSET(Initiatives!$D$1,R98-1,$BY$3))</f>
        <v>0</v>
      </c>
      <c r="CM98" s="377">
        <f ca="1">IF(ISERROR(OFFSET(Initiatives!$D$1,S98-1,$BY$3)),,OFFSET(Initiatives!$D$1,S98-1,$BY$3))</f>
        <v>0</v>
      </c>
      <c r="CN98" s="377">
        <f ca="1">IF(ISERROR(OFFSET(Initiatives!$D$1,T98-1,$BY$3)),,OFFSET(Initiatives!$D$1,T98-1,$BY$3))</f>
        <v>0</v>
      </c>
      <c r="CO98" s="377">
        <f ca="1">IF(ISERROR(OFFSET(Initiatives!$D$1,U98-1,$BY$3)),,OFFSET(Initiatives!$D$1,U98-1,$BY$3))</f>
        <v>0</v>
      </c>
      <c r="CP98" s="377">
        <f ca="1">IF(ISERROR(OFFSET(Initiatives!$D$1,V98-1,$BY$3)),,OFFSET(Initiatives!$D$1,V98-1,$BY$3))</f>
        <v>0</v>
      </c>
      <c r="CQ98" s="377">
        <f ca="1">IF(ISERROR(OFFSET(Initiatives!$D$1,W98-1,$BY$3)),,OFFSET(Initiatives!$D$1,W98-1,$BY$3))</f>
        <v>0</v>
      </c>
      <c r="CR98" s="377">
        <f ca="1">IF(ISERROR(OFFSET(Initiatives!$D$1,X98-1,$BY$3)),,OFFSET(Initiatives!$D$1,X98-1,$BY$3))</f>
        <v>0</v>
      </c>
      <c r="CT98" s="41">
        <f t="shared" ca="1" si="1673"/>
        <v>0</v>
      </c>
      <c r="CU98" s="41">
        <f t="shared" ca="1" si="1674"/>
        <v>5.8650837196712831E-2</v>
      </c>
      <c r="CV98" s="41">
        <f t="shared" ca="1" si="1675"/>
        <v>1.8064457856587574E-2</v>
      </c>
      <c r="CW98" s="41">
        <f t="shared" ca="1" si="1676"/>
        <v>2.9032164412372857E-2</v>
      </c>
      <c r="CX98" s="41">
        <f t="shared" ca="1" si="1677"/>
        <v>2.2580572320734446E-2</v>
      </c>
      <c r="CY98" s="41">
        <f t="shared" ca="1" si="1678"/>
        <v>6.7741716962203408E-3</v>
      </c>
      <c r="CZ98" s="41">
        <f t="shared" ca="1" si="1679"/>
        <v>0</v>
      </c>
      <c r="DA98" s="41">
        <f t="shared" ca="1" si="1680"/>
        <v>0</v>
      </c>
      <c r="DB98" s="41">
        <f t="shared" ca="1" si="1681"/>
        <v>0</v>
      </c>
      <c r="DC98" s="41">
        <f t="shared" ca="1" si="1682"/>
        <v>0</v>
      </c>
      <c r="DD98" s="41">
        <f t="shared" ca="1" si="1683"/>
        <v>0</v>
      </c>
      <c r="DE98" s="41">
        <f t="shared" ca="1" si="1684"/>
        <v>0</v>
      </c>
      <c r="DF98" s="41">
        <f t="shared" ca="1" si="1685"/>
        <v>0</v>
      </c>
      <c r="DG98" s="41">
        <f t="shared" ca="1" si="1686"/>
        <v>0</v>
      </c>
      <c r="DH98" s="41">
        <f t="shared" ca="1" si="1687"/>
        <v>0</v>
      </c>
      <c r="DI98" s="41">
        <f t="shared" ca="1" si="1688"/>
        <v>0</v>
      </c>
      <c r="DJ98" s="41">
        <f t="shared" ca="1" si="1689"/>
        <v>0</v>
      </c>
      <c r="DK98" s="41">
        <f t="shared" ca="1" si="1690"/>
        <v>0</v>
      </c>
      <c r="DL98" s="41">
        <f t="shared" ca="1" si="1691"/>
        <v>0</v>
      </c>
      <c r="DM98" s="41">
        <f t="shared" ca="1" si="1692"/>
        <v>0</v>
      </c>
      <c r="DN98" s="41">
        <f t="shared" ca="1" si="1693"/>
        <v>0.13510220348262808</v>
      </c>
      <c r="DP98" s="41">
        <f t="shared" ca="1" si="1694"/>
        <v>-1.0000000000000001E-5</v>
      </c>
      <c r="DQ98" s="41">
        <f t="shared" ca="1" si="1695"/>
        <v>0.43410198827870605</v>
      </c>
      <c r="DR98" s="41">
        <f t="shared" ca="1" si="1696"/>
        <v>0.13367957238984163</v>
      </c>
      <c r="DS98" s="41">
        <f t="shared" ca="1" si="1697"/>
        <v>0.21485038419795954</v>
      </c>
      <c r="DT98" s="41">
        <f t="shared" ca="1" si="1698"/>
        <v>0.1670869654873019</v>
      </c>
      <c r="DU98" s="41">
        <f t="shared" ca="1" si="1699"/>
        <v>5.0081089646190617E-2</v>
      </c>
      <c r="DV98" s="41">
        <f t="shared" ca="1" si="1700"/>
        <v>-6.9999999999999994E-5</v>
      </c>
      <c r="DW98" s="41">
        <f t="shared" ca="1" si="1701"/>
        <v>-8.0000000000000007E-5</v>
      </c>
      <c r="DX98" s="41">
        <f t="shared" ca="1" si="1702"/>
        <v>-9.0000000000000006E-5</v>
      </c>
      <c r="DY98" s="41">
        <f t="shared" ca="1" si="1703"/>
        <v>-1E-4</v>
      </c>
      <c r="DZ98" s="41">
        <f t="shared" ca="1" si="1704"/>
        <v>-1.1E-4</v>
      </c>
      <c r="EA98" s="41">
        <f t="shared" ca="1" si="1705"/>
        <v>-1.2E-4</v>
      </c>
      <c r="EB98" s="41">
        <f t="shared" ca="1" si="1706"/>
        <v>-1.2999999999999999E-4</v>
      </c>
      <c r="EC98" s="41">
        <f t="shared" ca="1" si="1707"/>
        <v>-1.3999999999999999E-4</v>
      </c>
      <c r="ED98" s="41">
        <f t="shared" ca="1" si="1708"/>
        <v>-1.4999999999999999E-4</v>
      </c>
      <c r="EE98" s="41">
        <f t="shared" ca="1" si="1709"/>
        <v>-1.6000000000000001E-4</v>
      </c>
      <c r="EF98" s="41">
        <f t="shared" ca="1" si="1710"/>
        <v>-1.7000000000000001E-4</v>
      </c>
      <c r="EG98" s="41">
        <f t="shared" ca="1" si="1711"/>
        <v>-1.8000000000000001E-4</v>
      </c>
      <c r="EH98" s="41">
        <f t="shared" ca="1" si="1712"/>
        <v>-1.9000000000000001E-4</v>
      </c>
      <c r="EI98" s="41">
        <f t="shared" ca="1" si="1713"/>
        <v>-2.0000000000000001E-4</v>
      </c>
      <c r="EJ98" s="41">
        <f t="shared" ca="1" si="1714"/>
        <v>0.99789999999999957</v>
      </c>
      <c r="EL98" s="378">
        <f t="shared" ca="1" si="1715"/>
        <v>6</v>
      </c>
      <c r="EM98" s="378">
        <f t="shared" ca="1" si="1716"/>
        <v>1</v>
      </c>
      <c r="EN98" s="378">
        <f t="shared" ca="1" si="1717"/>
        <v>4</v>
      </c>
      <c r="EO98" s="378">
        <f t="shared" ca="1" si="1718"/>
        <v>2</v>
      </c>
      <c r="EP98" s="378">
        <f t="shared" ca="1" si="1719"/>
        <v>3</v>
      </c>
      <c r="EQ98" s="378">
        <f t="shared" ca="1" si="1720"/>
        <v>5</v>
      </c>
      <c r="ER98" s="378">
        <f t="shared" ca="1" si="1721"/>
        <v>7</v>
      </c>
      <c r="ES98" s="378">
        <f t="shared" ca="1" si="1722"/>
        <v>8</v>
      </c>
      <c r="ET98" s="378">
        <f t="shared" ca="1" si="1723"/>
        <v>9</v>
      </c>
      <c r="EU98" s="378">
        <f t="shared" ca="1" si="1724"/>
        <v>10</v>
      </c>
      <c r="EV98" s="378">
        <f t="shared" ca="1" si="1725"/>
        <v>11</v>
      </c>
      <c r="EW98" s="378">
        <f t="shared" ca="1" si="1726"/>
        <v>12</v>
      </c>
      <c r="EX98" s="378">
        <f t="shared" ca="1" si="1727"/>
        <v>13</v>
      </c>
      <c r="EY98" s="378">
        <f t="shared" ca="1" si="1728"/>
        <v>14</v>
      </c>
      <c r="EZ98" s="378">
        <f t="shared" ca="1" si="1729"/>
        <v>15</v>
      </c>
      <c r="FA98" s="378">
        <f t="shared" ca="1" si="1730"/>
        <v>16</v>
      </c>
      <c r="FB98" s="378">
        <f t="shared" ca="1" si="1731"/>
        <v>17</v>
      </c>
      <c r="FC98" s="378">
        <f t="shared" ca="1" si="1732"/>
        <v>18</v>
      </c>
      <c r="FD98" s="378">
        <f t="shared" ca="1" si="1733"/>
        <v>19</v>
      </c>
      <c r="FE98" s="378">
        <f t="shared" ca="1" si="1734"/>
        <v>20</v>
      </c>
      <c r="FG98" s="378">
        <f t="shared" ca="1" si="1646"/>
        <v>2</v>
      </c>
      <c r="FH98" s="378">
        <f t="shared" ca="1" si="1646"/>
        <v>4</v>
      </c>
      <c r="FI98" s="378">
        <f t="shared" ca="1" si="1646"/>
        <v>5</v>
      </c>
      <c r="FJ98" s="378">
        <f t="shared" ca="1" si="1646"/>
        <v>3</v>
      </c>
      <c r="FK98" s="378">
        <f t="shared" ca="1" si="1646"/>
        <v>6</v>
      </c>
      <c r="FL98" s="378">
        <f t="shared" ca="1" si="1646"/>
        <v>1</v>
      </c>
      <c r="FM98" s="378">
        <f t="shared" ca="1" si="1646"/>
        <v>7</v>
      </c>
      <c r="FN98" s="378">
        <f t="shared" ca="1" si="1646"/>
        <v>8</v>
      </c>
      <c r="FO98" s="378">
        <f t="shared" ca="1" si="1646"/>
        <v>9</v>
      </c>
      <c r="FP98" s="378">
        <f t="shared" ca="1" si="1646"/>
        <v>10</v>
      </c>
      <c r="FQ98" s="378">
        <f t="shared" ca="1" si="1646"/>
        <v>11</v>
      </c>
      <c r="FR98" s="378">
        <f t="shared" ca="1" si="1646"/>
        <v>12</v>
      </c>
      <c r="FS98" s="378">
        <f t="shared" ca="1" si="1646"/>
        <v>13</v>
      </c>
      <c r="FT98" s="378">
        <f t="shared" ca="1" si="1646"/>
        <v>14</v>
      </c>
      <c r="FU98" s="378">
        <f t="shared" ca="1" si="1646"/>
        <v>15</v>
      </c>
      <c r="FV98" s="378">
        <f t="shared" ca="1" si="1646"/>
        <v>16</v>
      </c>
      <c r="FW98" s="378">
        <f t="shared" ca="1" si="1646"/>
        <v>17</v>
      </c>
      <c r="FX98" s="378">
        <f t="shared" ca="1" si="1646"/>
        <v>18</v>
      </c>
      <c r="FY98" s="378">
        <f t="shared" ca="1" si="1646"/>
        <v>19</v>
      </c>
      <c r="FZ98" s="378">
        <f t="shared" ca="1" si="1646"/>
        <v>20</v>
      </c>
      <c r="GB98" s="275" t="str">
        <f t="shared" ca="1" si="1735"/>
        <v>Source System Inclusion / Integration (43%)</v>
      </c>
      <c r="GC98" s="231" t="str">
        <f t="shared" ca="1" si="1736"/>
        <v>; Data Management (21%)</v>
      </c>
      <c r="GD98" s="231" t="str">
        <f t="shared" ca="1" si="1737"/>
        <v>; Data Integration/ETL (17%)</v>
      </c>
      <c r="GE98" s="231" t="str">
        <f t="shared" ca="1" si="1738"/>
        <v>; Architecture Standards &amp; Adherence (13%)</v>
      </c>
      <c r="GF98" s="231" t="str">
        <f t="shared" ca="1" si="1739"/>
        <v/>
      </c>
      <c r="GG98" s="231" t="str">
        <f t="shared" ca="1" si="1740"/>
        <v/>
      </c>
      <c r="GH98" s="231" t="str">
        <f t="shared" ca="1" si="1741"/>
        <v/>
      </c>
      <c r="GI98" s="231" t="str">
        <f t="shared" ca="1" si="1742"/>
        <v/>
      </c>
      <c r="GJ98" s="231" t="str">
        <f t="shared" ca="1" si="1743"/>
        <v/>
      </c>
      <c r="GK98" s="231" t="str">
        <f t="shared" ca="1" si="1744"/>
        <v/>
      </c>
      <c r="GL98" s="231" t="str">
        <f t="shared" ca="1" si="1745"/>
        <v/>
      </c>
      <c r="GM98" s="231" t="str">
        <f t="shared" ca="1" si="1746"/>
        <v/>
      </c>
      <c r="GN98" s="231" t="str">
        <f t="shared" ca="1" si="1747"/>
        <v/>
      </c>
      <c r="GO98" s="231" t="str">
        <f t="shared" ca="1" si="1748"/>
        <v/>
      </c>
      <c r="GP98" s="231" t="str">
        <f t="shared" ca="1" si="1749"/>
        <v/>
      </c>
      <c r="GQ98" s="231" t="str">
        <f t="shared" ca="1" si="1750"/>
        <v/>
      </c>
      <c r="GR98" s="231" t="str">
        <f t="shared" ca="1" si="1751"/>
        <v/>
      </c>
      <c r="GS98" s="231" t="str">
        <f t="shared" ca="1" si="1752"/>
        <v/>
      </c>
      <c r="GT98" s="231" t="str">
        <f t="shared" ca="1" si="1753"/>
        <v/>
      </c>
      <c r="GU98" s="231" t="str">
        <f t="shared" ca="1" si="1754"/>
        <v/>
      </c>
    </row>
    <row r="99" spans="2:203" ht="15" hidden="1">
      <c r="B99" s="6" t="str">
        <f>KPIs!A13</f>
        <v>Sales/Marketing Performance</v>
      </c>
    </row>
    <row r="100" spans="2:203" s="386" customFormat="1" ht="13.5" hidden="1" customHeight="1">
      <c r="B100" s="373"/>
      <c r="C100" s="81" t="str">
        <f>KPIs!B14</f>
        <v>Customer Acquisition</v>
      </c>
      <c r="D100" s="404">
        <f t="shared" ref="D100:D102" ca="1" si="1755">DN100</f>
        <v>0.30856922450553925</v>
      </c>
      <c r="E100" s="374">
        <f>ROW(Initiatives!$A$166)</f>
        <v>166</v>
      </c>
      <c r="F100" s="374">
        <f>ROW(Initiatives!$A$167)</f>
        <v>167</v>
      </c>
      <c r="G100" s="374">
        <f>ROW(Initiatives!$A$168)</f>
        <v>168</v>
      </c>
      <c r="H100" s="374">
        <f>ROW(Initiatives!$A$169)</f>
        <v>169</v>
      </c>
      <c r="I100" s="374">
        <f>ROW(Initiatives!$A$172)</f>
        <v>172</v>
      </c>
      <c r="J100" s="374">
        <f>ROW(Initiatives!$A$173)</f>
        <v>173</v>
      </c>
      <c r="K100" s="374">
        <f>ROW(Initiatives!$A$174)</f>
        <v>174</v>
      </c>
      <c r="L100" s="374">
        <f>ROW(Initiatives!$A$175)</f>
        <v>175</v>
      </c>
      <c r="M100" s="374">
        <f>ROW(Initiatives!$A$183)</f>
        <v>183</v>
      </c>
      <c r="N100" s="374">
        <f>ROW(Initiatives!$A$189)</f>
        <v>189</v>
      </c>
      <c r="O100" s="374"/>
      <c r="P100" s="374"/>
      <c r="Q100" s="374"/>
      <c r="R100" s="374"/>
      <c r="S100" s="374"/>
      <c r="T100" s="374"/>
      <c r="U100" s="374"/>
      <c r="V100" s="374"/>
      <c r="W100" s="374"/>
      <c r="X100" s="374"/>
      <c r="Y100" s="392" t="str">
        <f ca="1">OFFSET(Initiatives!$D$1,E100-1,$BS$3)</f>
        <v>Marketing / Sales Apps</v>
      </c>
      <c r="Z100" s="375">
        <v>9</v>
      </c>
      <c r="AA100" s="392" t="str">
        <f ca="1">OFFSET(Initiatives!$D$1,F100-1,$BS$3)</f>
        <v>Supply / Operations Apps</v>
      </c>
      <c r="AB100" s="375"/>
      <c r="AC100" s="392" t="str">
        <f ca="1">OFFSET(Initiatives!$D$1,G100-1,$BS$3)</f>
        <v>Financial Apps</v>
      </c>
      <c r="AD100" s="375"/>
      <c r="AE100" s="392" t="str">
        <f ca="1">OFFSET(Initiatives!$D$1,H100-1,$BS$3)</f>
        <v>Other / General Mgmt Apps</v>
      </c>
      <c r="AF100" s="375"/>
      <c r="AG100" s="392" t="str">
        <f ca="1">OFFSET(Initiatives!$D$1,I100-1,$BS$3)</f>
        <v>Marketing / Sales Data Integration</v>
      </c>
      <c r="AH100" s="375">
        <v>5</v>
      </c>
      <c r="AI100" s="392" t="str">
        <f ca="1">OFFSET(Initiatives!$D$1,J100-1,$BS$3)</f>
        <v>Supply Chain / Ops Data Integration</v>
      </c>
      <c r="AJ100" s="375"/>
      <c r="AK100" s="392" t="str">
        <f ca="1">OFFSET(Initiatives!$D$1,K100-1,$BS$3)</f>
        <v>Financial Data Integration</v>
      </c>
      <c r="AL100" s="375"/>
      <c r="AM100" s="392" t="str">
        <f ca="1">OFFSET(Initiatives!$D$1,L100-1,$BS$3)</f>
        <v>Other Data Integration</v>
      </c>
      <c r="AN100" s="375"/>
      <c r="AO100" s="392" t="str">
        <f ca="1">OFFSET(Initiatives!$D$1,M100-1,$BS$3)</f>
        <v>Enhance DW Platform</v>
      </c>
      <c r="AP100" s="375"/>
      <c r="AQ100" s="392" t="str">
        <f ca="1">OFFSET(Initiatives!$D$1,N100-1,$BS$3)</f>
        <v>Enhance BI Platform</v>
      </c>
      <c r="AR100" s="375"/>
      <c r="AS100" s="392" t="e">
        <f ca="1">OFFSET(Initiatives!$D$1,O100-1,$BS$3)</f>
        <v>#REF!</v>
      </c>
      <c r="AT100" s="375"/>
      <c r="AU100" s="392" t="e">
        <f ca="1">OFFSET(Initiatives!$D$1,P100-1,$BS$3)</f>
        <v>#REF!</v>
      </c>
      <c r="AV100" s="375"/>
      <c r="AW100" s="392" t="e">
        <f ca="1">OFFSET(Initiatives!$D$1,Q100-1,$BS$3)</f>
        <v>#REF!</v>
      </c>
      <c r="AX100" s="375"/>
      <c r="AY100" s="392" t="e">
        <f ca="1">OFFSET(Initiatives!$D$1,R100-1,$BS$3)</f>
        <v>#REF!</v>
      </c>
      <c r="AZ100" s="375"/>
      <c r="BA100" s="392" t="e">
        <f ca="1">OFFSET(Initiatives!$D$1,S100-1,$BS$3)</f>
        <v>#REF!</v>
      </c>
      <c r="BB100" s="375"/>
      <c r="BC100" s="392" t="e">
        <f ca="1">OFFSET(Initiatives!$D$1,T100-1,$BS$3)</f>
        <v>#REF!</v>
      </c>
      <c r="BD100" s="375"/>
      <c r="BE100" s="392" t="e">
        <f ca="1">OFFSET(Initiatives!$D$1,U100-1,$BS$3)</f>
        <v>#REF!</v>
      </c>
      <c r="BF100" s="375"/>
      <c r="BG100" s="392" t="e">
        <f ca="1">OFFSET(Initiatives!$D$1,V100-1,$BS$3)</f>
        <v>#REF!</v>
      </c>
      <c r="BH100" s="375"/>
      <c r="BI100" s="392" t="e">
        <f ca="1">OFFSET(Initiatives!$D$1,W100-1,$BS$3)</f>
        <v>#REF!</v>
      </c>
      <c r="BJ100" s="375"/>
      <c r="BK100" s="392" t="e">
        <f ca="1">OFFSET(Initiatives!$D$1,X100-1,$BS$3)</f>
        <v>#REF!</v>
      </c>
      <c r="BL100" s="375"/>
      <c r="BN100" s="101">
        <f t="shared" ref="BN100:BN102" si="1756">SUM(Z100,AB100,AD100,AF100,AH100,AJ100,AL100,AN100,AP100,AR100,AT100,AV100,AX100,AZ100,BB100,BD100,BF100,BH100,BJ100,BL100)+0.0001</f>
        <v>14.0001</v>
      </c>
      <c r="BP100" s="231" t="str">
        <f t="shared" ref="BP100:BP102" ca="1" si="1757">CONCATENATE(GB100,GC100,GD100,GE100,GF100,GG100,GH100,GI100,GJ100,GK100,GL100,GM100,GN100,GO100,GP100,GQ100,GR100,GS100,GT100,GU100)</f>
        <v>Marketing / Sales Apps (58%); Marketing / Sales Data Integration (42%)</v>
      </c>
      <c r="BQ100" s="338">
        <v>0.01</v>
      </c>
      <c r="BR100" s="40">
        <f t="shared" ref="BR100:BR102" ca="1" si="1758">COUNTIF(CT100:DM100,"&gt;"&amp;BQ100)</f>
        <v>2</v>
      </c>
      <c r="BS100" s="274">
        <v>0.05</v>
      </c>
      <c r="BT100" s="40">
        <f t="shared" ref="BT100:BT102" ca="1" si="1759">COUNTIF(DP100:EI100,"&gt;"&amp;BS100)</f>
        <v>2</v>
      </c>
      <c r="BU100" s="376">
        <v>7</v>
      </c>
      <c r="BV100" s="40">
        <f t="shared" ref="BV100:BV102" ca="1" si="1760">MIN(BR100,BT100,BU100)</f>
        <v>2</v>
      </c>
      <c r="BY100" s="377">
        <f ca="1">IF(ISERROR(OFFSET(Initiatives!$D$1,E100-1,$BY$3)),,OFFSET(Initiatives!$D$1,E100-1,$BY$3))</f>
        <v>0.27999999999999992</v>
      </c>
      <c r="BZ100" s="377">
        <f ca="1">IF(ISERROR(OFFSET(Initiatives!$D$1,F100-1,$BY$3)),,OFFSET(Initiatives!$D$1,F100-1,$BY$3))</f>
        <v>0.32000000000000006</v>
      </c>
      <c r="CA100" s="377">
        <f ca="1">IF(ISERROR(OFFSET(Initiatives!$D$1,G100-1,$BY$3)),,OFFSET(Initiatives!$D$1,G100-1,$BY$3))</f>
        <v>0.55999999999999961</v>
      </c>
      <c r="CB100" s="377">
        <f ca="1">IF(ISERROR(OFFSET(Initiatives!$D$1,H100-1,$BY$3)),,OFFSET(Initiatives!$D$1,H100-1,$BY$3))</f>
        <v>0.68</v>
      </c>
      <c r="CC100" s="377">
        <f ca="1">IF(ISERROR(OFFSET(Initiatives!$D$1,I100-1,$BY$3)),,OFFSET(Initiatives!$D$1,I100-1,$BY$3))</f>
        <v>0.3600000000000001</v>
      </c>
      <c r="CD100" s="377">
        <f ca="1">IF(ISERROR(OFFSET(Initiatives!$D$1,J100-1,$BY$3)),,OFFSET(Initiatives!$D$1,J100-1,$BY$3))</f>
        <v>0.68000000000000016</v>
      </c>
      <c r="CE100" s="377">
        <f ca="1">IF(ISERROR(OFFSET(Initiatives!$D$1,K100-1,$BY$3)),,OFFSET(Initiatives!$D$1,K100-1,$BY$3))</f>
        <v>0.27999999999999958</v>
      </c>
      <c r="CF100" s="377">
        <f ca="1">IF(ISERROR(OFFSET(Initiatives!$D$1,L100-1,$BY$3)),,OFFSET(Initiatives!$D$1,L100-1,$BY$3))</f>
        <v>0.64000000000000012</v>
      </c>
      <c r="CG100" s="377">
        <f ca="1">IF(ISERROR(OFFSET(Initiatives!$D$1,M100-1,$BY$3)),,OFFSET(Initiatives!$D$1,M100-1,$BY$3))</f>
        <v>7.7000000000000179E-2</v>
      </c>
      <c r="CH100" s="377">
        <f ca="1">IF(ISERROR(OFFSET(Initiatives!$D$1,N100-1,$BY$3)),,OFFSET(Initiatives!$D$1,N100-1,$BY$3))</f>
        <v>0.6</v>
      </c>
      <c r="CI100" s="377">
        <f ca="1">IF(ISERROR(OFFSET(Initiatives!$D$1,O100-1,$BY$3)),,OFFSET(Initiatives!$D$1,O100-1,$BY$3))</f>
        <v>0</v>
      </c>
      <c r="CJ100" s="377">
        <f ca="1">IF(ISERROR(OFFSET(Initiatives!$D$1,P100-1,$BY$3)),,OFFSET(Initiatives!$D$1,P100-1,$BY$3))</f>
        <v>0</v>
      </c>
      <c r="CK100" s="377">
        <f ca="1">IF(ISERROR(OFFSET(Initiatives!$D$1,Q100-1,$BY$3)),,OFFSET(Initiatives!$D$1,Q100-1,$BY$3))</f>
        <v>0</v>
      </c>
      <c r="CL100" s="377">
        <f ca="1">IF(ISERROR(OFFSET(Initiatives!$D$1,R100-1,$BY$3)),,OFFSET(Initiatives!$D$1,R100-1,$BY$3))</f>
        <v>0</v>
      </c>
      <c r="CM100" s="377">
        <f ca="1">IF(ISERROR(OFFSET(Initiatives!$D$1,S100-1,$BY$3)),,OFFSET(Initiatives!$D$1,S100-1,$BY$3))</f>
        <v>0</v>
      </c>
      <c r="CN100" s="377">
        <f ca="1">IF(ISERROR(OFFSET(Initiatives!$D$1,T100-1,$BY$3)),,OFFSET(Initiatives!$D$1,T100-1,$BY$3))</f>
        <v>0</v>
      </c>
      <c r="CO100" s="377">
        <f ca="1">IF(ISERROR(OFFSET(Initiatives!$D$1,U100-1,$BY$3)),,OFFSET(Initiatives!$D$1,U100-1,$BY$3))</f>
        <v>0</v>
      </c>
      <c r="CP100" s="377">
        <f ca="1">IF(ISERROR(OFFSET(Initiatives!$D$1,V100-1,$BY$3)),,OFFSET(Initiatives!$D$1,V100-1,$BY$3))</f>
        <v>0</v>
      </c>
      <c r="CQ100" s="377">
        <f ca="1">IF(ISERROR(OFFSET(Initiatives!$D$1,W100-1,$BY$3)),,OFFSET(Initiatives!$D$1,W100-1,$BY$3))</f>
        <v>0</v>
      </c>
      <c r="CR100" s="377">
        <f ca="1">IF(ISERROR(OFFSET(Initiatives!$D$1,X100-1,$BY$3)),,OFFSET(Initiatives!$D$1,X100-1,$BY$3))</f>
        <v>0</v>
      </c>
      <c r="CT100" s="41">
        <f t="shared" ref="CT100:CT102" ca="1" si="1761">BY100*Z100/$BN100</f>
        <v>0.17999871429489783</v>
      </c>
      <c r="CU100" s="41">
        <f t="shared" ref="CU100:CU102" ca="1" si="1762">BZ100*AB100/$BN100</f>
        <v>0</v>
      </c>
      <c r="CV100" s="41">
        <f t="shared" ref="CV100:CV102" ca="1" si="1763">CA100*AD100/$BN100</f>
        <v>0</v>
      </c>
      <c r="CW100" s="41">
        <f t="shared" ref="CW100:CW102" ca="1" si="1764">CB100*AF100/$BN100</f>
        <v>0</v>
      </c>
      <c r="CX100" s="41">
        <f t="shared" ref="CX100:CX102" ca="1" si="1765">CC100*AH100/$BN100</f>
        <v>0.12857051021064139</v>
      </c>
      <c r="CY100" s="41">
        <f t="shared" ref="CY100:CY102" ca="1" si="1766">CD100*AJ100/$BN100</f>
        <v>0</v>
      </c>
      <c r="CZ100" s="41">
        <f t="shared" ref="CZ100:CZ102" ca="1" si="1767">CE100*AL100/$BN100</f>
        <v>0</v>
      </c>
      <c r="DA100" s="41">
        <f t="shared" ref="DA100:DA102" ca="1" si="1768">CF100*AN100/$BN100</f>
        <v>0</v>
      </c>
      <c r="DB100" s="41">
        <f t="shared" ref="DB100:DB102" ca="1" si="1769">CG100*AP100/$BN100</f>
        <v>0</v>
      </c>
      <c r="DC100" s="41">
        <f t="shared" ref="DC100:DC102" ca="1" si="1770">CH100*AR100/$BN100</f>
        <v>0</v>
      </c>
      <c r="DD100" s="41">
        <f t="shared" ref="DD100:DD102" ca="1" si="1771">CI100*AT100/$BN100</f>
        <v>0</v>
      </c>
      <c r="DE100" s="41">
        <f t="shared" ref="DE100:DE102" ca="1" si="1772">CJ100*AV100/$BN100</f>
        <v>0</v>
      </c>
      <c r="DF100" s="41">
        <f t="shared" ref="DF100:DF102" ca="1" si="1773">CK100*AX100/$BN100</f>
        <v>0</v>
      </c>
      <c r="DG100" s="41">
        <f t="shared" ref="DG100:DG102" ca="1" si="1774">CL100*AZ100/$BN100</f>
        <v>0</v>
      </c>
      <c r="DH100" s="41">
        <f t="shared" ref="DH100:DH102" ca="1" si="1775">CM100*BB100/$BN100</f>
        <v>0</v>
      </c>
      <c r="DI100" s="41">
        <f t="shared" ref="DI100:DI102" ca="1" si="1776">CN100*BD100/$BN100</f>
        <v>0</v>
      </c>
      <c r="DJ100" s="41">
        <f t="shared" ref="DJ100:DJ102" ca="1" si="1777">CO100*BF100/$BN100</f>
        <v>0</v>
      </c>
      <c r="DK100" s="41">
        <f t="shared" ref="DK100:DK102" ca="1" si="1778">CP100*BH100/$BN100</f>
        <v>0</v>
      </c>
      <c r="DL100" s="41">
        <f t="shared" ref="DL100:DL102" ca="1" si="1779">CQ100*BJ100/$BN100</f>
        <v>0</v>
      </c>
      <c r="DM100" s="41">
        <f t="shared" ref="DM100:DM102" ca="1" si="1780">CR100*BL100/$BN100</f>
        <v>0</v>
      </c>
      <c r="DN100" s="41">
        <f t="shared" ref="DN100:DN102" ca="1" si="1781">SUM(CT100:DM100)</f>
        <v>0.30856922450553925</v>
      </c>
      <c r="DP100" s="41">
        <f t="shared" ref="DP100:DP102" ca="1" si="1782">CT100/$DN100-DP$5/100000</f>
        <v>0.58332333333333319</v>
      </c>
      <c r="DQ100" s="41">
        <f t="shared" ref="DQ100:DQ102" ca="1" si="1783">CU100/$DN100-DQ$5/100000</f>
        <v>-2.0000000000000002E-5</v>
      </c>
      <c r="DR100" s="41">
        <f t="shared" ref="DR100:DR102" ca="1" si="1784">CV100/$DN100-DR$5/100000</f>
        <v>-3.0000000000000001E-5</v>
      </c>
      <c r="DS100" s="41">
        <f t="shared" ref="DS100:DS102" ca="1" si="1785">CW100/$DN100-DS$5/100000</f>
        <v>-4.0000000000000003E-5</v>
      </c>
      <c r="DT100" s="41">
        <f t="shared" ref="DT100:DT102" ca="1" si="1786">CX100/$DN100-DT$5/100000</f>
        <v>0.4166166666666668</v>
      </c>
      <c r="DU100" s="41">
        <f t="shared" ref="DU100:DU102" ca="1" si="1787">CY100/$DN100-DU$5/100000</f>
        <v>-6.0000000000000002E-5</v>
      </c>
      <c r="DV100" s="41">
        <f t="shared" ref="DV100:DV102" ca="1" si="1788">CZ100/$DN100-DV$5/100000</f>
        <v>-6.9999999999999994E-5</v>
      </c>
      <c r="DW100" s="41">
        <f t="shared" ref="DW100:DW102" ca="1" si="1789">DA100/$DN100-DW$5/100000</f>
        <v>-8.0000000000000007E-5</v>
      </c>
      <c r="DX100" s="41">
        <f t="shared" ref="DX100:DX102" ca="1" si="1790">DB100/$DN100-DX$5/100000</f>
        <v>-9.0000000000000006E-5</v>
      </c>
      <c r="DY100" s="41">
        <f t="shared" ref="DY100:DY102" ca="1" si="1791">DC100/$DN100-DY$5/100000</f>
        <v>-1E-4</v>
      </c>
      <c r="DZ100" s="41">
        <f t="shared" ref="DZ100:DZ102" ca="1" si="1792">DD100/$DN100-DZ$5/100000</f>
        <v>-1.1E-4</v>
      </c>
      <c r="EA100" s="41">
        <f t="shared" ref="EA100:EA102" ca="1" si="1793">DE100/$DN100-EA$5/100000</f>
        <v>-1.2E-4</v>
      </c>
      <c r="EB100" s="41">
        <f t="shared" ref="EB100:EB102" ca="1" si="1794">DF100/$DN100-EB$5/100000</f>
        <v>-1.2999999999999999E-4</v>
      </c>
      <c r="EC100" s="41">
        <f t="shared" ref="EC100:EC102" ca="1" si="1795">DG100/$DN100-EC$5/100000</f>
        <v>-1.3999999999999999E-4</v>
      </c>
      <c r="ED100" s="41">
        <f t="shared" ref="ED100:ED102" ca="1" si="1796">DH100/$DN100-ED$5/100000</f>
        <v>-1.4999999999999999E-4</v>
      </c>
      <c r="EE100" s="41">
        <f t="shared" ref="EE100:EE102" ca="1" si="1797">DI100/$DN100-EE$5/100000</f>
        <v>-1.6000000000000001E-4</v>
      </c>
      <c r="EF100" s="41">
        <f t="shared" ref="EF100:EF102" ca="1" si="1798">DJ100/$DN100-EF$5/100000</f>
        <v>-1.7000000000000001E-4</v>
      </c>
      <c r="EG100" s="41">
        <f t="shared" ref="EG100:EG102" ca="1" si="1799">DK100/$DN100-EG$5/100000</f>
        <v>-1.8000000000000001E-4</v>
      </c>
      <c r="EH100" s="41">
        <f t="shared" ref="EH100:EH102" ca="1" si="1800">DL100/$DN100-EH$5/100000</f>
        <v>-1.9000000000000001E-4</v>
      </c>
      <c r="EI100" s="41">
        <f t="shared" ref="EI100:EI102" ca="1" si="1801">DM100/$DN100-EI$5/100000</f>
        <v>-2.0000000000000001E-4</v>
      </c>
      <c r="EJ100" s="41">
        <f t="shared" ref="EJ100:EJ102" ca="1" si="1802">SUM(DP100:EI100)</f>
        <v>0.9978999999999999</v>
      </c>
      <c r="EL100" s="378">
        <f t="shared" ref="EL100:EL102" ca="1" si="1803">RANK(DP100,$DP100:$EI100)</f>
        <v>1</v>
      </c>
      <c r="EM100" s="378">
        <f t="shared" ref="EM100:EM102" ca="1" si="1804">RANK(DQ100,$DP100:$EI100)</f>
        <v>3</v>
      </c>
      <c r="EN100" s="378">
        <f t="shared" ref="EN100:EN102" ca="1" si="1805">RANK(DR100,$DP100:$EI100)</f>
        <v>4</v>
      </c>
      <c r="EO100" s="378">
        <f t="shared" ref="EO100:EO102" ca="1" si="1806">RANK(DS100,$DP100:$EI100)</f>
        <v>5</v>
      </c>
      <c r="EP100" s="378">
        <f t="shared" ref="EP100:EP102" ca="1" si="1807">RANK(DT100,$DP100:$EI100)</f>
        <v>2</v>
      </c>
      <c r="EQ100" s="378">
        <f t="shared" ref="EQ100:EQ102" ca="1" si="1808">RANK(DU100,$DP100:$EI100)</f>
        <v>6</v>
      </c>
      <c r="ER100" s="378">
        <f t="shared" ref="ER100:ER102" ca="1" si="1809">RANK(DV100,$DP100:$EI100)</f>
        <v>7</v>
      </c>
      <c r="ES100" s="378">
        <f t="shared" ref="ES100:ES102" ca="1" si="1810">RANK(DW100,$DP100:$EI100)</f>
        <v>8</v>
      </c>
      <c r="ET100" s="378">
        <f t="shared" ref="ET100:ET102" ca="1" si="1811">RANK(DX100,$DP100:$EI100)</f>
        <v>9</v>
      </c>
      <c r="EU100" s="378">
        <f t="shared" ref="EU100:EU102" ca="1" si="1812">RANK(DY100,$DP100:$EI100)</f>
        <v>10</v>
      </c>
      <c r="EV100" s="378">
        <f t="shared" ref="EV100:EV102" ca="1" si="1813">RANK(DZ100,$DP100:$EI100)</f>
        <v>11</v>
      </c>
      <c r="EW100" s="378">
        <f t="shared" ref="EW100:EW102" ca="1" si="1814">RANK(EA100,$DP100:$EI100)</f>
        <v>12</v>
      </c>
      <c r="EX100" s="378">
        <f t="shared" ref="EX100:EX102" ca="1" si="1815">RANK(EB100,$DP100:$EI100)</f>
        <v>13</v>
      </c>
      <c r="EY100" s="378">
        <f t="shared" ref="EY100:EY102" ca="1" si="1816">RANK(EC100,$DP100:$EI100)</f>
        <v>14</v>
      </c>
      <c r="EZ100" s="378">
        <f t="shared" ref="EZ100:EZ102" ca="1" si="1817">RANK(ED100,$DP100:$EI100)</f>
        <v>15</v>
      </c>
      <c r="FA100" s="378">
        <f t="shared" ref="FA100:FA102" ca="1" si="1818">RANK(EE100,$DP100:$EI100)</f>
        <v>16</v>
      </c>
      <c r="FB100" s="378">
        <f t="shared" ref="FB100:FB102" ca="1" si="1819">RANK(EF100,$DP100:$EI100)</f>
        <v>17</v>
      </c>
      <c r="FC100" s="378">
        <f t="shared" ref="FC100:FC102" ca="1" si="1820">RANK(EG100,$DP100:$EI100)</f>
        <v>18</v>
      </c>
      <c r="FD100" s="378">
        <f t="shared" ref="FD100:FD102" ca="1" si="1821">RANK(EH100,$DP100:$EI100)</f>
        <v>19</v>
      </c>
      <c r="FE100" s="378">
        <f t="shared" ref="FE100:FE102" ca="1" si="1822">RANK(EI100,$DP100:$EI100)</f>
        <v>20</v>
      </c>
      <c r="FG100" s="378">
        <f t="shared" ca="1" si="1646"/>
        <v>1</v>
      </c>
      <c r="FH100" s="378">
        <f t="shared" ca="1" si="1646"/>
        <v>5</v>
      </c>
      <c r="FI100" s="378">
        <f t="shared" ca="1" si="1646"/>
        <v>2</v>
      </c>
      <c r="FJ100" s="378">
        <f t="shared" ca="1" si="1646"/>
        <v>3</v>
      </c>
      <c r="FK100" s="378">
        <f t="shared" ca="1" si="1646"/>
        <v>4</v>
      </c>
      <c r="FL100" s="378">
        <f t="shared" ca="1" si="1646"/>
        <v>6</v>
      </c>
      <c r="FM100" s="378">
        <f t="shared" ca="1" si="1646"/>
        <v>7</v>
      </c>
      <c r="FN100" s="378">
        <f t="shared" ca="1" si="1646"/>
        <v>8</v>
      </c>
      <c r="FO100" s="378">
        <f t="shared" ca="1" si="1646"/>
        <v>9</v>
      </c>
      <c r="FP100" s="378">
        <f t="shared" ca="1" si="1646"/>
        <v>10</v>
      </c>
      <c r="FQ100" s="378">
        <f t="shared" ca="1" si="1646"/>
        <v>11</v>
      </c>
      <c r="FR100" s="378">
        <f t="shared" ca="1" si="1646"/>
        <v>12</v>
      </c>
      <c r="FS100" s="378">
        <f t="shared" ca="1" si="1646"/>
        <v>13</v>
      </c>
      <c r="FT100" s="378">
        <f t="shared" ca="1" si="1646"/>
        <v>14</v>
      </c>
      <c r="FU100" s="378">
        <f t="shared" ca="1" si="1646"/>
        <v>15</v>
      </c>
      <c r="FV100" s="378">
        <f t="shared" ca="1" si="1646"/>
        <v>16</v>
      </c>
      <c r="FW100" s="378">
        <f t="shared" ca="1" si="1646"/>
        <v>17</v>
      </c>
      <c r="FX100" s="378">
        <f t="shared" ca="1" si="1646"/>
        <v>18</v>
      </c>
      <c r="FY100" s="378">
        <f t="shared" ca="1" si="1646"/>
        <v>19</v>
      </c>
      <c r="FZ100" s="378">
        <f t="shared" ca="1" si="1646"/>
        <v>20</v>
      </c>
      <c r="GB100" s="275" t="str">
        <f t="shared" ref="GB100:GB102" ca="1" si="1823">IF(GB$5&lt;=$BV100,INDEX($Y100:$BL100,1,FG100*2-1)&amp;" ("&amp;TEXT(INDEX($DP100:$EI100,1,FG100),"0%")&amp;")","")</f>
        <v>Marketing / Sales Apps (58%)</v>
      </c>
      <c r="GC100" s="231" t="str">
        <f t="shared" ref="GC100:GC102" ca="1" si="1824">IF(GC$5&lt;=$BV100,"; "&amp;INDEX($Y100:$BL100,1,FH100*2-1)&amp;" ("&amp;TEXT(INDEX($DP100:$EI100,1,FH100),"0%")&amp;")","")</f>
        <v>; Marketing / Sales Data Integration (42%)</v>
      </c>
      <c r="GD100" s="231" t="str">
        <f t="shared" ref="GD100:GD102" ca="1" si="1825">IF(GD$5&lt;=$BV100,"; "&amp;INDEX($Y100:$BL100,1,FI100*2-1)&amp;" ("&amp;TEXT(INDEX($DP100:$EI100,1,FI100),"0%")&amp;")","")</f>
        <v/>
      </c>
      <c r="GE100" s="231" t="str">
        <f t="shared" ref="GE100:GE102" ca="1" si="1826">IF(GE$5&lt;=$BV100,"; "&amp;INDEX($Y100:$BL100,1,FJ100*2-1)&amp;" ("&amp;TEXT(INDEX($DP100:$EI100,1,FJ100),"0%")&amp;")","")</f>
        <v/>
      </c>
      <c r="GF100" s="231" t="str">
        <f t="shared" ref="GF100:GF102" ca="1" si="1827">IF(GF$5&lt;=$BV100,"; "&amp;INDEX($Y100:$BL100,1,FK100*2-1)&amp;" ("&amp;TEXT(INDEX($DP100:$EI100,1,FK100),"0%")&amp;")","")</f>
        <v/>
      </c>
      <c r="GG100" s="231" t="str">
        <f t="shared" ref="GG100:GG102" ca="1" si="1828">IF(GG$5&lt;=$BV100,"; "&amp;INDEX($Y100:$BL100,1,FL100*2-1)&amp;" ("&amp;TEXT(INDEX($DP100:$EI100,1,FL100),"0%")&amp;")","")</f>
        <v/>
      </c>
      <c r="GH100" s="231" t="str">
        <f t="shared" ref="GH100:GH102" ca="1" si="1829">IF(GH$5&lt;=$BV100,"; "&amp;INDEX($Y100:$BL100,1,FM100*2-1)&amp;" ("&amp;TEXT(INDEX($DP100:$EI100,1,FM100),"0%")&amp;")","")</f>
        <v/>
      </c>
      <c r="GI100" s="231" t="str">
        <f t="shared" ref="GI100:GI102" ca="1" si="1830">IF(GI$5&lt;=$BV100,"; "&amp;INDEX($Y100:$BL100,1,FN100*2-1)&amp;" ("&amp;TEXT(INDEX($DP100:$EI100,1,FN100),"0%")&amp;")","")</f>
        <v/>
      </c>
      <c r="GJ100" s="231" t="str">
        <f t="shared" ref="GJ100:GJ102" ca="1" si="1831">IF(GJ$5&lt;=$BV100,"; "&amp;INDEX($Y100:$BL100,1,FO100*2-1)&amp;" ("&amp;TEXT(INDEX($DP100:$EI100,1,FO100),"0%")&amp;")","")</f>
        <v/>
      </c>
      <c r="GK100" s="231" t="str">
        <f t="shared" ref="GK100:GK102" ca="1" si="1832">IF(GK$5&lt;=$BV100,"; "&amp;INDEX($Y100:$BL100,1,FP100*2-1)&amp;" ("&amp;TEXT(INDEX($DP100:$EI100,1,FP100),"0%")&amp;")","")</f>
        <v/>
      </c>
      <c r="GL100" s="231" t="str">
        <f t="shared" ref="GL100:GL102" ca="1" si="1833">IF(GL$5&lt;=$BV100,"; "&amp;INDEX($Y100:$BL100,1,FQ100*2-1)&amp;" ("&amp;TEXT(INDEX($DP100:$EI100,1,FQ100),"0%")&amp;")","")</f>
        <v/>
      </c>
      <c r="GM100" s="231" t="str">
        <f t="shared" ref="GM100:GM102" ca="1" si="1834">IF(GM$5&lt;=$BV100,"; "&amp;INDEX($Y100:$BL100,1,FR100*2-1)&amp;" ("&amp;TEXT(INDEX($DP100:$EI100,1,FR100),"0%")&amp;")","")</f>
        <v/>
      </c>
      <c r="GN100" s="231" t="str">
        <f t="shared" ref="GN100:GN102" ca="1" si="1835">IF(GN$5&lt;=$BV100,"; "&amp;INDEX($Y100:$BL100,1,FS100*2-1)&amp;" ("&amp;TEXT(INDEX($DP100:$EI100,1,FS100),"0%")&amp;")","")</f>
        <v/>
      </c>
      <c r="GO100" s="231" t="str">
        <f t="shared" ref="GO100:GO102" ca="1" si="1836">IF(GO$5&lt;=$BV100,"; "&amp;INDEX($Y100:$BL100,1,FT100*2-1)&amp;" ("&amp;TEXT(INDEX($DP100:$EI100,1,FT100),"0%")&amp;")","")</f>
        <v/>
      </c>
      <c r="GP100" s="231" t="str">
        <f t="shared" ref="GP100:GP102" ca="1" si="1837">IF(GP$5&lt;=$BV100,"; "&amp;INDEX($Y100:$BL100,1,FU100*2-1)&amp;" ("&amp;TEXT(INDEX($DP100:$EI100,1,FU100),"0%")&amp;")","")</f>
        <v/>
      </c>
      <c r="GQ100" s="231" t="str">
        <f t="shared" ref="GQ100:GQ102" ca="1" si="1838">IF(GQ$5&lt;=$BV100,"; "&amp;INDEX($Y100:$BL100,1,FV100*2-1)&amp;" ("&amp;TEXT(INDEX($DP100:$EI100,1,FV100),"0%")&amp;")","")</f>
        <v/>
      </c>
      <c r="GR100" s="231" t="str">
        <f t="shared" ref="GR100:GR102" ca="1" si="1839">IF(GR$5&lt;=$BV100,"; "&amp;INDEX($Y100:$BL100,1,FW100*2-1)&amp;" ("&amp;TEXT(INDEX($DP100:$EI100,1,FW100),"0%")&amp;")","")</f>
        <v/>
      </c>
      <c r="GS100" s="231" t="str">
        <f t="shared" ref="GS100:GS102" ca="1" si="1840">IF(GS$5&lt;=$BV100,"; "&amp;INDEX($Y100:$BL100,1,FX100*2-1)&amp;" ("&amp;TEXT(INDEX($DP100:$EI100,1,FX100),"0%")&amp;")","")</f>
        <v/>
      </c>
      <c r="GT100" s="231" t="str">
        <f t="shared" ref="GT100:GT102" ca="1" si="1841">IF(GT$5&lt;=$BV100,"; "&amp;INDEX($Y100:$BL100,1,FY100*2-1)&amp;" ("&amp;TEXT(INDEX($DP100:$EI100,1,FY100),"0%")&amp;")","")</f>
        <v/>
      </c>
      <c r="GU100" s="231" t="str">
        <f t="shared" ref="GU100:GU102" ca="1" si="1842">IF(GU$5&lt;=$BV100,"; "&amp;INDEX($Y100:$BL100,1,FZ100*2-1)&amp;" ("&amp;TEXT(INDEX($DP100:$EI100,1,FZ100),"0%")&amp;")","")</f>
        <v/>
      </c>
    </row>
    <row r="101" spans="2:203" s="386" customFormat="1" ht="17.25" hidden="1" customHeight="1">
      <c r="B101" s="373"/>
      <c r="C101" s="81" t="str">
        <f>KPIs!B15</f>
        <v>Customer Retention</v>
      </c>
      <c r="D101" s="404">
        <f t="shared" ca="1" si="1755"/>
        <v>0.36974897291951969</v>
      </c>
      <c r="E101" s="374">
        <f>ROW(Initiatives!$A$166)</f>
        <v>166</v>
      </c>
      <c r="F101" s="374">
        <f>ROW(Initiatives!$A$167)</f>
        <v>167</v>
      </c>
      <c r="G101" s="374">
        <f>ROW(Initiatives!$A$168)</f>
        <v>168</v>
      </c>
      <c r="H101" s="374">
        <f>ROW(Initiatives!$A$169)</f>
        <v>169</v>
      </c>
      <c r="I101" s="374">
        <f>ROW(Initiatives!$A$172)</f>
        <v>172</v>
      </c>
      <c r="J101" s="374">
        <f>ROW(Initiatives!$A$173)</f>
        <v>173</v>
      </c>
      <c r="K101" s="374">
        <f>ROW(Initiatives!$A$174)</f>
        <v>174</v>
      </c>
      <c r="L101" s="374">
        <f>ROW(Initiatives!$A$175)</f>
        <v>175</v>
      </c>
      <c r="M101" s="374">
        <f>ROW(Initiatives!$A$183)</f>
        <v>183</v>
      </c>
      <c r="N101" s="374">
        <f>ROW(Initiatives!$A$189)</f>
        <v>189</v>
      </c>
      <c r="O101" s="374">
        <f>ROW(Initiatives!$A$23)</f>
        <v>23</v>
      </c>
      <c r="P101" s="374"/>
      <c r="Q101" s="374"/>
      <c r="R101" s="374"/>
      <c r="S101" s="374"/>
      <c r="T101" s="374"/>
      <c r="U101" s="374"/>
      <c r="V101" s="374"/>
      <c r="W101" s="374"/>
      <c r="X101" s="374"/>
      <c r="Y101" s="392" t="str">
        <f ca="1">OFFSET(Initiatives!$D$1,E101-1,$BS$3)</f>
        <v>Marketing / Sales Apps</v>
      </c>
      <c r="Z101" s="375">
        <v>7</v>
      </c>
      <c r="AA101" s="392" t="str">
        <f ca="1">OFFSET(Initiatives!$D$1,F101-1,$BS$3)</f>
        <v>Supply / Operations Apps</v>
      </c>
      <c r="AB101" s="375">
        <v>5</v>
      </c>
      <c r="AC101" s="392" t="str">
        <f ca="1">OFFSET(Initiatives!$D$1,G101-1,$BS$3)</f>
        <v>Financial Apps</v>
      </c>
      <c r="AD101" s="375"/>
      <c r="AE101" s="392" t="str">
        <f ca="1">OFFSET(Initiatives!$D$1,H101-1,$BS$3)</f>
        <v>Other / General Mgmt Apps</v>
      </c>
      <c r="AF101" s="375"/>
      <c r="AG101" s="392" t="str">
        <f ca="1">OFFSET(Initiatives!$D$1,I101-1,$BS$3)</f>
        <v>Marketing / Sales Data Integration</v>
      </c>
      <c r="AH101" s="375">
        <v>4</v>
      </c>
      <c r="AI101" s="392" t="str">
        <f ca="1">OFFSET(Initiatives!$D$1,J101-1,$BS$3)</f>
        <v>Supply Chain / Ops Data Integration</v>
      </c>
      <c r="AJ101" s="375">
        <v>5</v>
      </c>
      <c r="AK101" s="392" t="str">
        <f ca="1">OFFSET(Initiatives!$D$1,K101-1,$BS$3)</f>
        <v>Financial Data Integration</v>
      </c>
      <c r="AL101" s="375"/>
      <c r="AM101" s="392" t="str">
        <f ca="1">OFFSET(Initiatives!$D$1,L101-1,$BS$3)</f>
        <v>Other Data Integration</v>
      </c>
      <c r="AN101" s="375"/>
      <c r="AO101" s="392" t="str">
        <f ca="1">OFFSET(Initiatives!$D$1,M101-1,$BS$3)</f>
        <v>Enhance DW Platform</v>
      </c>
      <c r="AP101" s="375">
        <v>3</v>
      </c>
      <c r="AQ101" s="392" t="str">
        <f ca="1">OFFSET(Initiatives!$D$1,N101-1,$BS$3)</f>
        <v>Enhance BI Platform</v>
      </c>
      <c r="AR101" s="375">
        <v>3</v>
      </c>
      <c r="AS101" s="392" t="str">
        <f ca="1">OFFSET(Initiatives!$D$1,O101-1,$BS$3)</f>
        <v>Customer service analysis</v>
      </c>
      <c r="AT101" s="375">
        <v>9</v>
      </c>
      <c r="AU101" s="392" t="e">
        <f ca="1">OFFSET(Initiatives!$D$1,P101-1,$BS$3)</f>
        <v>#REF!</v>
      </c>
      <c r="AV101" s="375"/>
      <c r="AW101" s="392" t="e">
        <f ca="1">OFFSET(Initiatives!$D$1,Q101-1,$BS$3)</f>
        <v>#REF!</v>
      </c>
      <c r="AX101" s="375"/>
      <c r="AY101" s="392" t="e">
        <f ca="1">OFFSET(Initiatives!$D$1,R101-1,$BS$3)</f>
        <v>#REF!</v>
      </c>
      <c r="AZ101" s="375"/>
      <c r="BA101" s="392" t="e">
        <f ca="1">OFFSET(Initiatives!$D$1,S101-1,$BS$3)</f>
        <v>#REF!</v>
      </c>
      <c r="BB101" s="375"/>
      <c r="BC101" s="392" t="e">
        <f ca="1">OFFSET(Initiatives!$D$1,T101-1,$BS$3)</f>
        <v>#REF!</v>
      </c>
      <c r="BD101" s="375"/>
      <c r="BE101" s="392" t="e">
        <f ca="1">OFFSET(Initiatives!$D$1,U101-1,$BS$3)</f>
        <v>#REF!</v>
      </c>
      <c r="BF101" s="375"/>
      <c r="BG101" s="392" t="e">
        <f ca="1">OFFSET(Initiatives!$D$1,V101-1,$BS$3)</f>
        <v>#REF!</v>
      </c>
      <c r="BH101" s="375"/>
      <c r="BI101" s="392" t="e">
        <f ca="1">OFFSET(Initiatives!$D$1,W101-1,$BS$3)</f>
        <v>#REF!</v>
      </c>
      <c r="BJ101" s="375"/>
      <c r="BK101" s="392" t="e">
        <f ca="1">OFFSET(Initiatives!$D$1,X101-1,$BS$3)</f>
        <v>#REF!</v>
      </c>
      <c r="BL101" s="375"/>
      <c r="BN101" s="101">
        <f t="shared" si="1756"/>
        <v>36.000100000000003</v>
      </c>
      <c r="BP101" s="231" t="str">
        <f t="shared" ca="1" si="1757"/>
        <v>Supply Chain / Ops Data Integration (26%); Customer service analysis (22%); Marketing / Sales Apps (15%); Enhance BI Platform (14%); Supply / Operations Apps (12%); Marketing / Sales Data Integration (11%)</v>
      </c>
      <c r="BQ101" s="338">
        <v>0.01</v>
      </c>
      <c r="BR101" s="40">
        <f t="shared" ca="1" si="1758"/>
        <v>6</v>
      </c>
      <c r="BS101" s="274">
        <v>0.05</v>
      </c>
      <c r="BT101" s="40">
        <f t="shared" ca="1" si="1759"/>
        <v>6</v>
      </c>
      <c r="BU101" s="376">
        <v>7</v>
      </c>
      <c r="BV101" s="40">
        <f t="shared" ca="1" si="1760"/>
        <v>6</v>
      </c>
      <c r="BY101" s="377">
        <f ca="1">IF(ISERROR(OFFSET(Initiatives!$D$1,E101-1,$BY$3)),,OFFSET(Initiatives!$D$1,E101-1,$BY$3))</f>
        <v>0.27999999999999992</v>
      </c>
      <c r="BZ101" s="377">
        <f ca="1">IF(ISERROR(OFFSET(Initiatives!$D$1,F101-1,$BY$3)),,OFFSET(Initiatives!$D$1,F101-1,$BY$3))</f>
        <v>0.32000000000000006</v>
      </c>
      <c r="CA101" s="377">
        <f ca="1">IF(ISERROR(OFFSET(Initiatives!$D$1,G101-1,$BY$3)),,OFFSET(Initiatives!$D$1,G101-1,$BY$3))</f>
        <v>0.55999999999999961</v>
      </c>
      <c r="CB101" s="377">
        <f ca="1">IF(ISERROR(OFFSET(Initiatives!$D$1,H101-1,$BY$3)),,OFFSET(Initiatives!$D$1,H101-1,$BY$3))</f>
        <v>0.68</v>
      </c>
      <c r="CC101" s="377">
        <f ca="1">IF(ISERROR(OFFSET(Initiatives!$D$1,I101-1,$BY$3)),,OFFSET(Initiatives!$D$1,I101-1,$BY$3))</f>
        <v>0.3600000000000001</v>
      </c>
      <c r="CD101" s="377">
        <f ca="1">IF(ISERROR(OFFSET(Initiatives!$D$1,J101-1,$BY$3)),,OFFSET(Initiatives!$D$1,J101-1,$BY$3))</f>
        <v>0.68000000000000016</v>
      </c>
      <c r="CE101" s="377">
        <f ca="1">IF(ISERROR(OFFSET(Initiatives!$D$1,K101-1,$BY$3)),,OFFSET(Initiatives!$D$1,K101-1,$BY$3))</f>
        <v>0.27999999999999958</v>
      </c>
      <c r="CF101" s="377">
        <f ca="1">IF(ISERROR(OFFSET(Initiatives!$D$1,L101-1,$BY$3)),,OFFSET(Initiatives!$D$1,L101-1,$BY$3))</f>
        <v>0.64000000000000012</v>
      </c>
      <c r="CG101" s="377">
        <f ca="1">IF(ISERROR(OFFSET(Initiatives!$D$1,M101-1,$BY$3)),,OFFSET(Initiatives!$D$1,M101-1,$BY$3))</f>
        <v>7.7000000000000179E-2</v>
      </c>
      <c r="CH101" s="377">
        <f ca="1">IF(ISERROR(OFFSET(Initiatives!$D$1,N101-1,$BY$3)),,OFFSET(Initiatives!$D$1,N101-1,$BY$3))</f>
        <v>0.6</v>
      </c>
      <c r="CI101" s="377">
        <f ca="1">IF(ISERROR(OFFSET(Initiatives!$D$1,O101-1,$BY$3)),,OFFSET(Initiatives!$D$1,O101-1,$BY$3))</f>
        <v>0.32</v>
      </c>
      <c r="CJ101" s="377">
        <f ca="1">IF(ISERROR(OFFSET(Initiatives!$D$1,P101-1,$BY$3)),,OFFSET(Initiatives!$D$1,P101-1,$BY$3))</f>
        <v>0</v>
      </c>
      <c r="CK101" s="377">
        <f ca="1">IF(ISERROR(OFFSET(Initiatives!$D$1,Q101-1,$BY$3)),,OFFSET(Initiatives!$D$1,Q101-1,$BY$3))</f>
        <v>0</v>
      </c>
      <c r="CL101" s="377">
        <f ca="1">IF(ISERROR(OFFSET(Initiatives!$D$1,R101-1,$BY$3)),,OFFSET(Initiatives!$D$1,R101-1,$BY$3))</f>
        <v>0</v>
      </c>
      <c r="CM101" s="377">
        <f ca="1">IF(ISERROR(OFFSET(Initiatives!$D$1,S101-1,$BY$3)),,OFFSET(Initiatives!$D$1,S101-1,$BY$3))</f>
        <v>0</v>
      </c>
      <c r="CN101" s="377">
        <f ca="1">IF(ISERROR(OFFSET(Initiatives!$D$1,T101-1,$BY$3)),,OFFSET(Initiatives!$D$1,T101-1,$BY$3))</f>
        <v>0</v>
      </c>
      <c r="CO101" s="377">
        <f ca="1">IF(ISERROR(OFFSET(Initiatives!$D$1,U101-1,$BY$3)),,OFFSET(Initiatives!$D$1,U101-1,$BY$3))</f>
        <v>0</v>
      </c>
      <c r="CP101" s="377">
        <f ca="1">IF(ISERROR(OFFSET(Initiatives!$D$1,V101-1,$BY$3)),,OFFSET(Initiatives!$D$1,V101-1,$BY$3))</f>
        <v>0</v>
      </c>
      <c r="CQ101" s="377">
        <f ca="1">IF(ISERROR(OFFSET(Initiatives!$D$1,W101-1,$BY$3)),,OFFSET(Initiatives!$D$1,W101-1,$BY$3))</f>
        <v>0</v>
      </c>
      <c r="CR101" s="377">
        <f ca="1">IF(ISERROR(OFFSET(Initiatives!$D$1,X101-1,$BY$3)),,OFFSET(Initiatives!$D$1,X101-1,$BY$3))</f>
        <v>0</v>
      </c>
      <c r="CT101" s="41">
        <f t="shared" ca="1" si="1761"/>
        <v>5.4444293210296618E-2</v>
      </c>
      <c r="CU101" s="41">
        <f t="shared" ca="1" si="1762"/>
        <v>4.4444320987997263E-2</v>
      </c>
      <c r="CV101" s="41">
        <f t="shared" ca="1" si="1763"/>
        <v>0</v>
      </c>
      <c r="CW101" s="41">
        <f t="shared" ca="1" si="1764"/>
        <v>0</v>
      </c>
      <c r="CX101" s="41">
        <f t="shared" ca="1" si="1765"/>
        <v>3.9999888889197539E-2</v>
      </c>
      <c r="CY101" s="41">
        <f t="shared" ca="1" si="1766"/>
        <v>9.4444182099494178E-2</v>
      </c>
      <c r="CZ101" s="41">
        <f t="shared" ca="1" si="1767"/>
        <v>0</v>
      </c>
      <c r="DA101" s="41">
        <f t="shared" ca="1" si="1768"/>
        <v>0</v>
      </c>
      <c r="DB101" s="41">
        <f t="shared" ca="1" si="1769"/>
        <v>6.416648842642118E-3</v>
      </c>
      <c r="DC101" s="41">
        <f t="shared" ca="1" si="1770"/>
        <v>4.9999861111496902E-2</v>
      </c>
      <c r="DD101" s="41">
        <f t="shared" ca="1" si="1771"/>
        <v>7.9999777778395051E-2</v>
      </c>
      <c r="DE101" s="41">
        <f t="shared" ca="1" si="1772"/>
        <v>0</v>
      </c>
      <c r="DF101" s="41">
        <f t="shared" ca="1" si="1773"/>
        <v>0</v>
      </c>
      <c r="DG101" s="41">
        <f t="shared" ca="1" si="1774"/>
        <v>0</v>
      </c>
      <c r="DH101" s="41">
        <f t="shared" ca="1" si="1775"/>
        <v>0</v>
      </c>
      <c r="DI101" s="41">
        <f t="shared" ca="1" si="1776"/>
        <v>0</v>
      </c>
      <c r="DJ101" s="41">
        <f t="shared" ca="1" si="1777"/>
        <v>0</v>
      </c>
      <c r="DK101" s="41">
        <f t="shared" ca="1" si="1778"/>
        <v>0</v>
      </c>
      <c r="DL101" s="41">
        <f t="shared" ca="1" si="1779"/>
        <v>0</v>
      </c>
      <c r="DM101" s="41">
        <f t="shared" ca="1" si="1780"/>
        <v>0</v>
      </c>
      <c r="DN101" s="41">
        <f t="shared" ca="1" si="1781"/>
        <v>0.36974897291951969</v>
      </c>
      <c r="DP101" s="41">
        <f t="shared" ca="1" si="1782"/>
        <v>0.14723663811884899</v>
      </c>
      <c r="DQ101" s="41">
        <f t="shared" ca="1" si="1783"/>
        <v>0.1201813372398768</v>
      </c>
      <c r="DR101" s="41">
        <f t="shared" ca="1" si="1784"/>
        <v>-3.0000000000000001E-5</v>
      </c>
      <c r="DS101" s="41">
        <f t="shared" ca="1" si="1785"/>
        <v>-4.0000000000000003E-5</v>
      </c>
      <c r="DT101" s="41">
        <f t="shared" ca="1" si="1786"/>
        <v>0.10813120351588913</v>
      </c>
      <c r="DU101" s="41">
        <f t="shared" ca="1" si="1787"/>
        <v>0.25536784163473819</v>
      </c>
      <c r="DV101" s="41">
        <f t="shared" ca="1" si="1788"/>
        <v>-6.9999999999999994E-5</v>
      </c>
      <c r="DW101" s="41">
        <f t="shared" ca="1" si="1789"/>
        <v>-8.0000000000000007E-5</v>
      </c>
      <c r="DX101" s="41">
        <f t="shared" ca="1" si="1790"/>
        <v>1.7264068064007251E-2</v>
      </c>
      <c r="DY101" s="41">
        <f t="shared" ca="1" si="1791"/>
        <v>0.13512650439486137</v>
      </c>
      <c r="DZ101" s="41">
        <f t="shared" ca="1" si="1792"/>
        <v>0.2162524070317782</v>
      </c>
      <c r="EA101" s="41">
        <f t="shared" ca="1" si="1793"/>
        <v>-1.2E-4</v>
      </c>
      <c r="EB101" s="41">
        <f t="shared" ca="1" si="1794"/>
        <v>-1.2999999999999999E-4</v>
      </c>
      <c r="EC101" s="41">
        <f t="shared" ca="1" si="1795"/>
        <v>-1.3999999999999999E-4</v>
      </c>
      <c r="ED101" s="41">
        <f t="shared" ca="1" si="1796"/>
        <v>-1.4999999999999999E-4</v>
      </c>
      <c r="EE101" s="41">
        <f t="shared" ca="1" si="1797"/>
        <v>-1.6000000000000001E-4</v>
      </c>
      <c r="EF101" s="41">
        <f t="shared" ca="1" si="1798"/>
        <v>-1.7000000000000001E-4</v>
      </c>
      <c r="EG101" s="41">
        <f t="shared" ca="1" si="1799"/>
        <v>-1.8000000000000001E-4</v>
      </c>
      <c r="EH101" s="41">
        <f t="shared" ca="1" si="1800"/>
        <v>-1.9000000000000001E-4</v>
      </c>
      <c r="EI101" s="41">
        <f t="shared" ca="1" si="1801"/>
        <v>-2.0000000000000001E-4</v>
      </c>
      <c r="EJ101" s="41">
        <f t="shared" ca="1" si="1802"/>
        <v>0.99790000000000001</v>
      </c>
      <c r="EL101" s="378">
        <f t="shared" ca="1" si="1803"/>
        <v>3</v>
      </c>
      <c r="EM101" s="378">
        <f t="shared" ca="1" si="1804"/>
        <v>5</v>
      </c>
      <c r="EN101" s="378">
        <f t="shared" ca="1" si="1805"/>
        <v>8</v>
      </c>
      <c r="EO101" s="378">
        <f t="shared" ca="1" si="1806"/>
        <v>9</v>
      </c>
      <c r="EP101" s="378">
        <f t="shared" ca="1" si="1807"/>
        <v>6</v>
      </c>
      <c r="EQ101" s="378">
        <f t="shared" ca="1" si="1808"/>
        <v>1</v>
      </c>
      <c r="ER101" s="378">
        <f t="shared" ca="1" si="1809"/>
        <v>10</v>
      </c>
      <c r="ES101" s="378">
        <f t="shared" ca="1" si="1810"/>
        <v>11</v>
      </c>
      <c r="ET101" s="378">
        <f t="shared" ca="1" si="1811"/>
        <v>7</v>
      </c>
      <c r="EU101" s="378">
        <f t="shared" ca="1" si="1812"/>
        <v>4</v>
      </c>
      <c r="EV101" s="378">
        <f t="shared" ca="1" si="1813"/>
        <v>2</v>
      </c>
      <c r="EW101" s="378">
        <f t="shared" ca="1" si="1814"/>
        <v>12</v>
      </c>
      <c r="EX101" s="378">
        <f t="shared" ca="1" si="1815"/>
        <v>13</v>
      </c>
      <c r="EY101" s="378">
        <f t="shared" ca="1" si="1816"/>
        <v>14</v>
      </c>
      <c r="EZ101" s="378">
        <f t="shared" ca="1" si="1817"/>
        <v>15</v>
      </c>
      <c r="FA101" s="378">
        <f t="shared" ca="1" si="1818"/>
        <v>16</v>
      </c>
      <c r="FB101" s="378">
        <f t="shared" ca="1" si="1819"/>
        <v>17</v>
      </c>
      <c r="FC101" s="378">
        <f t="shared" ca="1" si="1820"/>
        <v>18</v>
      </c>
      <c r="FD101" s="378">
        <f t="shared" ca="1" si="1821"/>
        <v>19</v>
      </c>
      <c r="FE101" s="378">
        <f t="shared" ca="1" si="1822"/>
        <v>20</v>
      </c>
      <c r="FG101" s="378">
        <f t="shared" ca="1" si="1646"/>
        <v>6</v>
      </c>
      <c r="FH101" s="378">
        <f t="shared" ca="1" si="1646"/>
        <v>11</v>
      </c>
      <c r="FI101" s="378">
        <f t="shared" ca="1" si="1646"/>
        <v>1</v>
      </c>
      <c r="FJ101" s="378">
        <f t="shared" ca="1" si="1646"/>
        <v>10</v>
      </c>
      <c r="FK101" s="378">
        <f t="shared" ca="1" si="1646"/>
        <v>2</v>
      </c>
      <c r="FL101" s="378">
        <f t="shared" ca="1" si="1646"/>
        <v>5</v>
      </c>
      <c r="FM101" s="378">
        <f t="shared" ca="1" si="1646"/>
        <v>9</v>
      </c>
      <c r="FN101" s="378">
        <f t="shared" ca="1" si="1646"/>
        <v>3</v>
      </c>
      <c r="FO101" s="378">
        <f t="shared" ca="1" si="1646"/>
        <v>4</v>
      </c>
      <c r="FP101" s="378">
        <f t="shared" ca="1" si="1646"/>
        <v>7</v>
      </c>
      <c r="FQ101" s="378">
        <f t="shared" ca="1" si="1646"/>
        <v>8</v>
      </c>
      <c r="FR101" s="378">
        <f t="shared" ca="1" si="1646"/>
        <v>12</v>
      </c>
      <c r="FS101" s="378">
        <f t="shared" ca="1" si="1646"/>
        <v>13</v>
      </c>
      <c r="FT101" s="378">
        <f t="shared" ca="1" si="1646"/>
        <v>14</v>
      </c>
      <c r="FU101" s="378">
        <f t="shared" ca="1" si="1646"/>
        <v>15</v>
      </c>
      <c r="FV101" s="378">
        <f t="shared" ca="1" si="1646"/>
        <v>16</v>
      </c>
      <c r="FW101" s="378">
        <f t="shared" ca="1" si="1646"/>
        <v>17</v>
      </c>
      <c r="FX101" s="378">
        <f t="shared" ca="1" si="1646"/>
        <v>18</v>
      </c>
      <c r="FY101" s="378">
        <f t="shared" ca="1" si="1646"/>
        <v>19</v>
      </c>
      <c r="FZ101" s="378">
        <f t="shared" ca="1" si="1646"/>
        <v>20</v>
      </c>
      <c r="GB101" s="275" t="str">
        <f t="shared" ca="1" si="1823"/>
        <v>Supply Chain / Ops Data Integration (26%)</v>
      </c>
      <c r="GC101" s="231" t="str">
        <f t="shared" ca="1" si="1824"/>
        <v>; Customer service analysis (22%)</v>
      </c>
      <c r="GD101" s="231" t="str">
        <f t="shared" ca="1" si="1825"/>
        <v>; Marketing / Sales Apps (15%)</v>
      </c>
      <c r="GE101" s="231" t="str">
        <f t="shared" ca="1" si="1826"/>
        <v>; Enhance BI Platform (14%)</v>
      </c>
      <c r="GF101" s="231" t="str">
        <f t="shared" ca="1" si="1827"/>
        <v>; Supply / Operations Apps (12%)</v>
      </c>
      <c r="GG101" s="231" t="str">
        <f t="shared" ca="1" si="1828"/>
        <v>; Marketing / Sales Data Integration (11%)</v>
      </c>
      <c r="GH101" s="231" t="str">
        <f t="shared" ca="1" si="1829"/>
        <v/>
      </c>
      <c r="GI101" s="231" t="str">
        <f t="shared" ca="1" si="1830"/>
        <v/>
      </c>
      <c r="GJ101" s="231" t="str">
        <f t="shared" ca="1" si="1831"/>
        <v/>
      </c>
      <c r="GK101" s="231" t="str">
        <f t="shared" ca="1" si="1832"/>
        <v/>
      </c>
      <c r="GL101" s="231" t="str">
        <f t="shared" ca="1" si="1833"/>
        <v/>
      </c>
      <c r="GM101" s="231" t="str">
        <f t="shared" ca="1" si="1834"/>
        <v/>
      </c>
      <c r="GN101" s="231" t="str">
        <f t="shared" ca="1" si="1835"/>
        <v/>
      </c>
      <c r="GO101" s="231" t="str">
        <f t="shared" ca="1" si="1836"/>
        <v/>
      </c>
      <c r="GP101" s="231" t="str">
        <f t="shared" ca="1" si="1837"/>
        <v/>
      </c>
      <c r="GQ101" s="231" t="str">
        <f t="shared" ca="1" si="1838"/>
        <v/>
      </c>
      <c r="GR101" s="231" t="str">
        <f t="shared" ca="1" si="1839"/>
        <v/>
      </c>
      <c r="GS101" s="231" t="str">
        <f t="shared" ca="1" si="1840"/>
        <v/>
      </c>
      <c r="GT101" s="231" t="str">
        <f t="shared" ca="1" si="1841"/>
        <v/>
      </c>
      <c r="GU101" s="231" t="str">
        <f t="shared" ca="1" si="1842"/>
        <v/>
      </c>
    </row>
    <row r="102" spans="2:203" s="386" customFormat="1" ht="15" hidden="1" customHeight="1">
      <c r="B102" s="373"/>
      <c r="C102" s="81" t="str">
        <f>KPIs!B16</f>
        <v>Customer Satisfaction</v>
      </c>
      <c r="D102" s="404">
        <f t="shared" ca="1" si="1755"/>
        <v>0.39325679594581958</v>
      </c>
      <c r="E102" s="374">
        <f>ROW(Initiatives!$A$166)</f>
        <v>166</v>
      </c>
      <c r="F102" s="374">
        <f>ROW(Initiatives!$A$167)</f>
        <v>167</v>
      </c>
      <c r="G102" s="374">
        <f>ROW(Initiatives!$A$168)</f>
        <v>168</v>
      </c>
      <c r="H102" s="374">
        <f>ROW(Initiatives!$A$169)</f>
        <v>169</v>
      </c>
      <c r="I102" s="374">
        <f>ROW(Initiatives!$A$172)</f>
        <v>172</v>
      </c>
      <c r="J102" s="374">
        <f>ROW(Initiatives!$A$173)</f>
        <v>173</v>
      </c>
      <c r="K102" s="374">
        <f>ROW(Initiatives!$A$174)</f>
        <v>174</v>
      </c>
      <c r="L102" s="374">
        <f>ROW(Initiatives!$A$175)</f>
        <v>175</v>
      </c>
      <c r="M102" s="374">
        <f>ROW(Initiatives!$A$183)</f>
        <v>183</v>
      </c>
      <c r="N102" s="374">
        <f>ROW(Initiatives!$A$189)</f>
        <v>189</v>
      </c>
      <c r="O102" s="374">
        <f>ROW(Initiatives!$A$23)</f>
        <v>23</v>
      </c>
      <c r="P102" s="374"/>
      <c r="Q102" s="374"/>
      <c r="R102" s="374"/>
      <c r="S102" s="374"/>
      <c r="T102" s="374"/>
      <c r="U102" s="374"/>
      <c r="V102" s="374"/>
      <c r="W102" s="374"/>
      <c r="X102" s="374"/>
      <c r="Y102" s="392" t="str">
        <f ca="1">OFFSET(Initiatives!$D$1,E102-1,$BS$3)</f>
        <v>Marketing / Sales Apps</v>
      </c>
      <c r="Z102" s="375">
        <v>2</v>
      </c>
      <c r="AA102" s="392" t="str">
        <f ca="1">OFFSET(Initiatives!$D$1,F102-1,$BS$3)</f>
        <v>Supply / Operations Apps</v>
      </c>
      <c r="AB102" s="375">
        <v>8</v>
      </c>
      <c r="AC102" s="392" t="str">
        <f ca="1">OFFSET(Initiatives!$D$1,G102-1,$BS$3)</f>
        <v>Financial Apps</v>
      </c>
      <c r="AD102" s="375"/>
      <c r="AE102" s="392" t="str">
        <f ca="1">OFFSET(Initiatives!$D$1,H102-1,$BS$3)</f>
        <v>Other / General Mgmt Apps</v>
      </c>
      <c r="AF102" s="375"/>
      <c r="AG102" s="392" t="str">
        <f ca="1">OFFSET(Initiatives!$D$1,I102-1,$BS$3)</f>
        <v>Marketing / Sales Data Integration</v>
      </c>
      <c r="AH102" s="375">
        <v>2</v>
      </c>
      <c r="AI102" s="392" t="str">
        <f ca="1">OFFSET(Initiatives!$D$1,J102-1,$BS$3)</f>
        <v>Supply Chain / Ops Data Integration</v>
      </c>
      <c r="AJ102" s="375">
        <v>6</v>
      </c>
      <c r="AK102" s="392" t="str">
        <f ca="1">OFFSET(Initiatives!$D$1,K102-1,$BS$3)</f>
        <v>Financial Data Integration</v>
      </c>
      <c r="AL102" s="375"/>
      <c r="AM102" s="392" t="str">
        <f ca="1">OFFSET(Initiatives!$D$1,L102-1,$BS$3)</f>
        <v>Other Data Integration</v>
      </c>
      <c r="AN102" s="375"/>
      <c r="AO102" s="392" t="str">
        <f ca="1">OFFSET(Initiatives!$D$1,M102-1,$BS$3)</f>
        <v>Enhance DW Platform</v>
      </c>
      <c r="AP102" s="375">
        <v>3</v>
      </c>
      <c r="AQ102" s="392" t="str">
        <f ca="1">OFFSET(Initiatives!$D$1,N102-1,$BS$3)</f>
        <v>Enhance BI Platform</v>
      </c>
      <c r="AR102" s="375">
        <v>3</v>
      </c>
      <c r="AS102" s="392" t="str">
        <f ca="1">OFFSET(Initiatives!$D$1,O102-1,$BS$3)</f>
        <v>Customer service analysis</v>
      </c>
      <c r="AT102" s="375">
        <v>7</v>
      </c>
      <c r="AU102" s="392" t="e">
        <f ca="1">OFFSET(Initiatives!$D$1,P102-1,$BS$3)</f>
        <v>#REF!</v>
      </c>
      <c r="AV102" s="375"/>
      <c r="AW102" s="392" t="e">
        <f ca="1">OFFSET(Initiatives!$D$1,Q102-1,$BS$3)</f>
        <v>#REF!</v>
      </c>
      <c r="AX102" s="375"/>
      <c r="AY102" s="392" t="e">
        <f ca="1">OFFSET(Initiatives!$D$1,R102-1,$BS$3)</f>
        <v>#REF!</v>
      </c>
      <c r="AZ102" s="375"/>
      <c r="BA102" s="392" t="e">
        <f ca="1">OFFSET(Initiatives!$D$1,S102-1,$BS$3)</f>
        <v>#REF!</v>
      </c>
      <c r="BB102" s="375"/>
      <c r="BC102" s="392" t="e">
        <f ca="1">OFFSET(Initiatives!$D$1,T102-1,$BS$3)</f>
        <v>#REF!</v>
      </c>
      <c r="BD102" s="375"/>
      <c r="BE102" s="392" t="e">
        <f ca="1">OFFSET(Initiatives!$D$1,U102-1,$BS$3)</f>
        <v>#REF!</v>
      </c>
      <c r="BF102" s="375"/>
      <c r="BG102" s="392" t="e">
        <f ca="1">OFFSET(Initiatives!$D$1,V102-1,$BS$3)</f>
        <v>#REF!</v>
      </c>
      <c r="BH102" s="375"/>
      <c r="BI102" s="392" t="e">
        <f ca="1">OFFSET(Initiatives!$D$1,W102-1,$BS$3)</f>
        <v>#REF!</v>
      </c>
      <c r="BJ102" s="375"/>
      <c r="BK102" s="392" t="e">
        <f ca="1">OFFSET(Initiatives!$D$1,X102-1,$BS$3)</f>
        <v>#REF!</v>
      </c>
      <c r="BL102" s="375"/>
      <c r="BN102" s="101">
        <f t="shared" si="1756"/>
        <v>31.0001</v>
      </c>
      <c r="BP102" s="231" t="str">
        <f t="shared" ca="1" si="1757"/>
        <v>Supply Chain / Ops Data Integration (33%); Supply / Operations Apps (21%); Customer service analysis (18%); Enhance BI Platform (15%); Marketing / Sales Data Integration (6%)</v>
      </c>
      <c r="BQ102" s="338">
        <v>0.01</v>
      </c>
      <c r="BR102" s="40">
        <f t="shared" ca="1" si="1758"/>
        <v>6</v>
      </c>
      <c r="BS102" s="274">
        <v>0.05</v>
      </c>
      <c r="BT102" s="40">
        <f t="shared" ca="1" si="1759"/>
        <v>5</v>
      </c>
      <c r="BU102" s="376">
        <v>7</v>
      </c>
      <c r="BV102" s="40">
        <f t="shared" ca="1" si="1760"/>
        <v>5</v>
      </c>
      <c r="BY102" s="377">
        <f ca="1">IF(ISERROR(OFFSET(Initiatives!$D$1,E102-1,$BY$3)),,OFFSET(Initiatives!$D$1,E102-1,$BY$3))</f>
        <v>0.27999999999999992</v>
      </c>
      <c r="BZ102" s="377">
        <f ca="1">IF(ISERROR(OFFSET(Initiatives!$D$1,F102-1,$BY$3)),,OFFSET(Initiatives!$D$1,F102-1,$BY$3))</f>
        <v>0.32000000000000006</v>
      </c>
      <c r="CA102" s="377">
        <f ca="1">IF(ISERROR(OFFSET(Initiatives!$D$1,G102-1,$BY$3)),,OFFSET(Initiatives!$D$1,G102-1,$BY$3))</f>
        <v>0.55999999999999961</v>
      </c>
      <c r="CB102" s="377">
        <f ca="1">IF(ISERROR(OFFSET(Initiatives!$D$1,H102-1,$BY$3)),,OFFSET(Initiatives!$D$1,H102-1,$BY$3))</f>
        <v>0.68</v>
      </c>
      <c r="CC102" s="377">
        <f ca="1">IF(ISERROR(OFFSET(Initiatives!$D$1,I102-1,$BY$3)),,OFFSET(Initiatives!$D$1,I102-1,$BY$3))</f>
        <v>0.3600000000000001</v>
      </c>
      <c r="CD102" s="377">
        <f ca="1">IF(ISERROR(OFFSET(Initiatives!$D$1,J102-1,$BY$3)),,OFFSET(Initiatives!$D$1,J102-1,$BY$3))</f>
        <v>0.68000000000000016</v>
      </c>
      <c r="CE102" s="377">
        <f ca="1">IF(ISERROR(OFFSET(Initiatives!$D$1,K102-1,$BY$3)),,OFFSET(Initiatives!$D$1,K102-1,$BY$3))</f>
        <v>0.27999999999999958</v>
      </c>
      <c r="CF102" s="377">
        <f ca="1">IF(ISERROR(OFFSET(Initiatives!$D$1,L102-1,$BY$3)),,OFFSET(Initiatives!$D$1,L102-1,$BY$3))</f>
        <v>0.64000000000000012</v>
      </c>
      <c r="CG102" s="377">
        <f ca="1">IF(ISERROR(OFFSET(Initiatives!$D$1,M102-1,$BY$3)),,OFFSET(Initiatives!$D$1,M102-1,$BY$3))</f>
        <v>7.7000000000000179E-2</v>
      </c>
      <c r="CH102" s="377">
        <f ca="1">IF(ISERROR(OFFSET(Initiatives!$D$1,N102-1,$BY$3)),,OFFSET(Initiatives!$D$1,N102-1,$BY$3))</f>
        <v>0.6</v>
      </c>
      <c r="CI102" s="377">
        <f ca="1">IF(ISERROR(OFFSET(Initiatives!$D$1,O102-1,$BY$3)),,OFFSET(Initiatives!$D$1,O102-1,$BY$3))</f>
        <v>0.32</v>
      </c>
      <c r="CJ102" s="377">
        <f ca="1">IF(ISERROR(OFFSET(Initiatives!$D$1,P102-1,$BY$3)),,OFFSET(Initiatives!$D$1,P102-1,$BY$3))</f>
        <v>0</v>
      </c>
      <c r="CK102" s="377">
        <f ca="1">IF(ISERROR(OFFSET(Initiatives!$D$1,Q102-1,$BY$3)),,OFFSET(Initiatives!$D$1,Q102-1,$BY$3))</f>
        <v>0</v>
      </c>
      <c r="CL102" s="377">
        <f ca="1">IF(ISERROR(OFFSET(Initiatives!$D$1,R102-1,$BY$3)),,OFFSET(Initiatives!$D$1,R102-1,$BY$3))</f>
        <v>0</v>
      </c>
      <c r="CM102" s="377">
        <f ca="1">IF(ISERROR(OFFSET(Initiatives!$D$1,S102-1,$BY$3)),,OFFSET(Initiatives!$D$1,S102-1,$BY$3))</f>
        <v>0</v>
      </c>
      <c r="CN102" s="377">
        <f ca="1">IF(ISERROR(OFFSET(Initiatives!$D$1,T102-1,$BY$3)),,OFFSET(Initiatives!$D$1,T102-1,$BY$3))</f>
        <v>0</v>
      </c>
      <c r="CO102" s="377">
        <f ca="1">IF(ISERROR(OFFSET(Initiatives!$D$1,U102-1,$BY$3)),,OFFSET(Initiatives!$D$1,U102-1,$BY$3))</f>
        <v>0</v>
      </c>
      <c r="CP102" s="377">
        <f ca="1">IF(ISERROR(OFFSET(Initiatives!$D$1,V102-1,$BY$3)),,OFFSET(Initiatives!$D$1,V102-1,$BY$3))</f>
        <v>0</v>
      </c>
      <c r="CQ102" s="377">
        <f ca="1">IF(ISERROR(OFFSET(Initiatives!$D$1,W102-1,$BY$3)),,OFFSET(Initiatives!$D$1,W102-1,$BY$3))</f>
        <v>0</v>
      </c>
      <c r="CR102" s="377">
        <f ca="1">IF(ISERROR(OFFSET(Initiatives!$D$1,X102-1,$BY$3)),,OFFSET(Initiatives!$D$1,X102-1,$BY$3))</f>
        <v>0</v>
      </c>
      <c r="CT102" s="41">
        <f t="shared" ca="1" si="1761"/>
        <v>1.8064457856587553E-2</v>
      </c>
      <c r="CU102" s="41">
        <f t="shared" ca="1" si="1762"/>
        <v>8.258037877297171E-2</v>
      </c>
      <c r="CV102" s="41">
        <f t="shared" ca="1" si="1763"/>
        <v>0</v>
      </c>
      <c r="CW102" s="41">
        <f t="shared" ca="1" si="1764"/>
        <v>0</v>
      </c>
      <c r="CX102" s="41">
        <f t="shared" ca="1" si="1765"/>
        <v>2.3225731529898298E-2</v>
      </c>
      <c r="CY102" s="41">
        <f t="shared" ca="1" si="1766"/>
        <v>0.13161247866942369</v>
      </c>
      <c r="CZ102" s="41">
        <f t="shared" ca="1" si="1767"/>
        <v>0</v>
      </c>
      <c r="DA102" s="41">
        <f t="shared" ca="1" si="1768"/>
        <v>0</v>
      </c>
      <c r="DB102" s="41">
        <f t="shared" ca="1" si="1769"/>
        <v>7.4515888658423859E-3</v>
      </c>
      <c r="DC102" s="41">
        <f t="shared" ca="1" si="1770"/>
        <v>5.8064328824745721E-2</v>
      </c>
      <c r="DD102" s="41">
        <f t="shared" ca="1" si="1771"/>
        <v>7.2257831426350241E-2</v>
      </c>
      <c r="DE102" s="41">
        <f t="shared" ca="1" si="1772"/>
        <v>0</v>
      </c>
      <c r="DF102" s="41">
        <f t="shared" ca="1" si="1773"/>
        <v>0</v>
      </c>
      <c r="DG102" s="41">
        <f t="shared" ca="1" si="1774"/>
        <v>0</v>
      </c>
      <c r="DH102" s="41">
        <f t="shared" ca="1" si="1775"/>
        <v>0</v>
      </c>
      <c r="DI102" s="41">
        <f t="shared" ca="1" si="1776"/>
        <v>0</v>
      </c>
      <c r="DJ102" s="41">
        <f t="shared" ca="1" si="1777"/>
        <v>0</v>
      </c>
      <c r="DK102" s="41">
        <f t="shared" ca="1" si="1778"/>
        <v>0</v>
      </c>
      <c r="DL102" s="41">
        <f t="shared" ca="1" si="1779"/>
        <v>0</v>
      </c>
      <c r="DM102" s="41">
        <f t="shared" ca="1" si="1780"/>
        <v>0</v>
      </c>
      <c r="DN102" s="41">
        <f t="shared" ca="1" si="1781"/>
        <v>0.39325679594581958</v>
      </c>
      <c r="DP102" s="41">
        <f t="shared" ca="1" si="1782"/>
        <v>4.5925526207858232E-2</v>
      </c>
      <c r="DQ102" s="41">
        <f t="shared" ca="1" si="1783"/>
        <v>0.20997097695020916</v>
      </c>
      <c r="DR102" s="41">
        <f t="shared" ca="1" si="1784"/>
        <v>-3.0000000000000001E-5</v>
      </c>
      <c r="DS102" s="41">
        <f t="shared" ca="1" si="1785"/>
        <v>-4.0000000000000003E-5</v>
      </c>
      <c r="DT102" s="41">
        <f t="shared" ca="1" si="1786"/>
        <v>5.9009962267246342E-2</v>
      </c>
      <c r="DU102" s="41">
        <f t="shared" ca="1" si="1787"/>
        <v>0.33461311951439593</v>
      </c>
      <c r="DV102" s="41">
        <f t="shared" ca="1" si="1788"/>
        <v>-6.9999999999999994E-5</v>
      </c>
      <c r="DW102" s="41">
        <f t="shared" ca="1" si="1789"/>
        <v>-8.0000000000000007E-5</v>
      </c>
      <c r="DX102" s="41">
        <f t="shared" ca="1" si="1790"/>
        <v>1.8858404560741573E-2</v>
      </c>
      <c r="DY102" s="41">
        <f t="shared" ca="1" si="1791"/>
        <v>0.14754990566811579</v>
      </c>
      <c r="DZ102" s="41">
        <f t="shared" ca="1" si="1792"/>
        <v>0.18363210483143302</v>
      </c>
      <c r="EA102" s="41">
        <f t="shared" ca="1" si="1793"/>
        <v>-1.2E-4</v>
      </c>
      <c r="EB102" s="41">
        <f t="shared" ca="1" si="1794"/>
        <v>-1.2999999999999999E-4</v>
      </c>
      <c r="EC102" s="41">
        <f t="shared" ca="1" si="1795"/>
        <v>-1.3999999999999999E-4</v>
      </c>
      <c r="ED102" s="41">
        <f t="shared" ca="1" si="1796"/>
        <v>-1.4999999999999999E-4</v>
      </c>
      <c r="EE102" s="41">
        <f t="shared" ca="1" si="1797"/>
        <v>-1.6000000000000001E-4</v>
      </c>
      <c r="EF102" s="41">
        <f t="shared" ca="1" si="1798"/>
        <v>-1.7000000000000001E-4</v>
      </c>
      <c r="EG102" s="41">
        <f t="shared" ca="1" si="1799"/>
        <v>-1.8000000000000001E-4</v>
      </c>
      <c r="EH102" s="41">
        <f t="shared" ca="1" si="1800"/>
        <v>-1.9000000000000001E-4</v>
      </c>
      <c r="EI102" s="41">
        <f t="shared" ca="1" si="1801"/>
        <v>-2.0000000000000001E-4</v>
      </c>
      <c r="EJ102" s="41">
        <f t="shared" ca="1" si="1802"/>
        <v>0.99790000000000012</v>
      </c>
      <c r="EL102" s="378">
        <f t="shared" ca="1" si="1803"/>
        <v>6</v>
      </c>
      <c r="EM102" s="378">
        <f t="shared" ca="1" si="1804"/>
        <v>2</v>
      </c>
      <c r="EN102" s="378">
        <f t="shared" ca="1" si="1805"/>
        <v>8</v>
      </c>
      <c r="EO102" s="378">
        <f t="shared" ca="1" si="1806"/>
        <v>9</v>
      </c>
      <c r="EP102" s="378">
        <f t="shared" ca="1" si="1807"/>
        <v>5</v>
      </c>
      <c r="EQ102" s="378">
        <f t="shared" ca="1" si="1808"/>
        <v>1</v>
      </c>
      <c r="ER102" s="378">
        <f t="shared" ca="1" si="1809"/>
        <v>10</v>
      </c>
      <c r="ES102" s="378">
        <f t="shared" ca="1" si="1810"/>
        <v>11</v>
      </c>
      <c r="ET102" s="378">
        <f t="shared" ca="1" si="1811"/>
        <v>7</v>
      </c>
      <c r="EU102" s="378">
        <f t="shared" ca="1" si="1812"/>
        <v>4</v>
      </c>
      <c r="EV102" s="378">
        <f t="shared" ca="1" si="1813"/>
        <v>3</v>
      </c>
      <c r="EW102" s="378">
        <f t="shared" ca="1" si="1814"/>
        <v>12</v>
      </c>
      <c r="EX102" s="378">
        <f t="shared" ca="1" si="1815"/>
        <v>13</v>
      </c>
      <c r="EY102" s="378">
        <f t="shared" ca="1" si="1816"/>
        <v>14</v>
      </c>
      <c r="EZ102" s="378">
        <f t="shared" ca="1" si="1817"/>
        <v>15</v>
      </c>
      <c r="FA102" s="378">
        <f t="shared" ca="1" si="1818"/>
        <v>16</v>
      </c>
      <c r="FB102" s="378">
        <f t="shared" ca="1" si="1819"/>
        <v>17</v>
      </c>
      <c r="FC102" s="378">
        <f t="shared" ca="1" si="1820"/>
        <v>18</v>
      </c>
      <c r="FD102" s="378">
        <f t="shared" ca="1" si="1821"/>
        <v>19</v>
      </c>
      <c r="FE102" s="378">
        <f t="shared" ca="1" si="1822"/>
        <v>20</v>
      </c>
      <c r="FG102" s="378">
        <f t="shared" ca="1" si="1646"/>
        <v>6</v>
      </c>
      <c r="FH102" s="378">
        <f t="shared" ca="1" si="1646"/>
        <v>2</v>
      </c>
      <c r="FI102" s="378">
        <f t="shared" ca="1" si="1646"/>
        <v>11</v>
      </c>
      <c r="FJ102" s="378">
        <f t="shared" ca="1" si="1646"/>
        <v>10</v>
      </c>
      <c r="FK102" s="378">
        <f t="shared" ca="1" si="1646"/>
        <v>5</v>
      </c>
      <c r="FL102" s="378">
        <f t="shared" ca="1" si="1646"/>
        <v>1</v>
      </c>
      <c r="FM102" s="378">
        <f t="shared" ca="1" si="1646"/>
        <v>9</v>
      </c>
      <c r="FN102" s="378">
        <f t="shared" ca="1" si="1646"/>
        <v>3</v>
      </c>
      <c r="FO102" s="378">
        <f t="shared" ca="1" si="1646"/>
        <v>4</v>
      </c>
      <c r="FP102" s="378">
        <f t="shared" ca="1" si="1646"/>
        <v>7</v>
      </c>
      <c r="FQ102" s="378">
        <f t="shared" ca="1" si="1646"/>
        <v>8</v>
      </c>
      <c r="FR102" s="378">
        <f t="shared" ca="1" si="1646"/>
        <v>12</v>
      </c>
      <c r="FS102" s="378">
        <f t="shared" ca="1" si="1646"/>
        <v>13</v>
      </c>
      <c r="FT102" s="378">
        <f t="shared" ca="1" si="1646"/>
        <v>14</v>
      </c>
      <c r="FU102" s="378">
        <f t="shared" ca="1" si="1646"/>
        <v>15</v>
      </c>
      <c r="FV102" s="378">
        <f t="shared" ca="1" si="1646"/>
        <v>16</v>
      </c>
      <c r="FW102" s="378">
        <f t="shared" ca="1" si="1646"/>
        <v>17</v>
      </c>
      <c r="FX102" s="378">
        <f t="shared" ca="1" si="1646"/>
        <v>18</v>
      </c>
      <c r="FY102" s="378">
        <f t="shared" ca="1" si="1646"/>
        <v>19</v>
      </c>
      <c r="FZ102" s="378">
        <f t="shared" ca="1" si="1646"/>
        <v>20</v>
      </c>
      <c r="GB102" s="275" t="str">
        <f t="shared" ca="1" si="1823"/>
        <v>Supply Chain / Ops Data Integration (33%)</v>
      </c>
      <c r="GC102" s="231" t="str">
        <f t="shared" ca="1" si="1824"/>
        <v>; Supply / Operations Apps (21%)</v>
      </c>
      <c r="GD102" s="231" t="str">
        <f t="shared" ca="1" si="1825"/>
        <v>; Customer service analysis (18%)</v>
      </c>
      <c r="GE102" s="231" t="str">
        <f t="shared" ca="1" si="1826"/>
        <v>; Enhance BI Platform (15%)</v>
      </c>
      <c r="GF102" s="231" t="str">
        <f t="shared" ca="1" si="1827"/>
        <v>; Marketing / Sales Data Integration (6%)</v>
      </c>
      <c r="GG102" s="231" t="str">
        <f t="shared" ca="1" si="1828"/>
        <v/>
      </c>
      <c r="GH102" s="231" t="str">
        <f t="shared" ca="1" si="1829"/>
        <v/>
      </c>
      <c r="GI102" s="231" t="str">
        <f t="shared" ca="1" si="1830"/>
        <v/>
      </c>
      <c r="GJ102" s="231" t="str">
        <f t="shared" ca="1" si="1831"/>
        <v/>
      </c>
      <c r="GK102" s="231" t="str">
        <f t="shared" ca="1" si="1832"/>
        <v/>
      </c>
      <c r="GL102" s="231" t="str">
        <f t="shared" ca="1" si="1833"/>
        <v/>
      </c>
      <c r="GM102" s="231" t="str">
        <f t="shared" ca="1" si="1834"/>
        <v/>
      </c>
      <c r="GN102" s="231" t="str">
        <f t="shared" ca="1" si="1835"/>
        <v/>
      </c>
      <c r="GO102" s="231" t="str">
        <f t="shared" ca="1" si="1836"/>
        <v/>
      </c>
      <c r="GP102" s="231" t="str">
        <f t="shared" ca="1" si="1837"/>
        <v/>
      </c>
      <c r="GQ102" s="231" t="str">
        <f t="shared" ca="1" si="1838"/>
        <v/>
      </c>
      <c r="GR102" s="231" t="str">
        <f t="shared" ca="1" si="1839"/>
        <v/>
      </c>
      <c r="GS102" s="231" t="str">
        <f t="shared" ca="1" si="1840"/>
        <v/>
      </c>
      <c r="GT102" s="231" t="str">
        <f t="shared" ca="1" si="1841"/>
        <v/>
      </c>
      <c r="GU102" s="231" t="str">
        <f t="shared" ca="1" si="1842"/>
        <v/>
      </c>
    </row>
    <row r="103" spans="2:203" ht="15" hidden="1">
      <c r="B103" s="6" t="str">
        <f>KPIs!A17</f>
        <v>Supply/Operations/IT Performance</v>
      </c>
    </row>
    <row r="104" spans="2:203" s="386" customFormat="1" ht="16.5" hidden="1" customHeight="1">
      <c r="B104" s="373"/>
      <c r="C104" s="81" t="str">
        <f>KPIs!B18</f>
        <v>Quality of Products/Services</v>
      </c>
      <c r="D104" s="404">
        <f t="shared" ref="D104:D110" ca="1" si="1843">DN104</f>
        <v>0.50943367514418447</v>
      </c>
      <c r="E104" s="374">
        <f>ROW(Initiatives!$A$18)</f>
        <v>18</v>
      </c>
      <c r="F104" s="374">
        <f>ROW(Initiatives!$A$19)</f>
        <v>19</v>
      </c>
      <c r="G104" s="374">
        <f>ROW(Initiatives!$A$20)</f>
        <v>20</v>
      </c>
      <c r="H104" s="374">
        <f>ROW(Initiatives!$A$21)</f>
        <v>21</v>
      </c>
      <c r="I104" s="374">
        <f>ROW(Initiatives!$A$22)</f>
        <v>22</v>
      </c>
      <c r="J104" s="374">
        <f>ROW(Initiatives!$A$23)</f>
        <v>23</v>
      </c>
      <c r="K104" s="374">
        <f>ROW(Initiatives!$A$24)</f>
        <v>24</v>
      </c>
      <c r="L104" s="374">
        <f>ROW(Initiatives!$A$25)</f>
        <v>25</v>
      </c>
      <c r="M104" s="374">
        <f>ROW(Initiatives!$A$42)</f>
        <v>42</v>
      </c>
      <c r="N104" s="374">
        <f>ROW(Initiatives!$A$45)</f>
        <v>45</v>
      </c>
      <c r="O104" s="374">
        <f>ROW(Initiatives!$A$65)</f>
        <v>65</v>
      </c>
      <c r="P104" s="374">
        <f>ROW(Initiatives!$A$66)</f>
        <v>66</v>
      </c>
      <c r="Q104" s="374">
        <f>ROW(Initiatives!$A$67)</f>
        <v>67</v>
      </c>
      <c r="R104" s="374">
        <f>ROW(Initiatives!$A$68)</f>
        <v>68</v>
      </c>
      <c r="S104" s="374">
        <f>ROW(Initiatives!$A$86)</f>
        <v>86</v>
      </c>
      <c r="T104" s="374">
        <f>ROW(Initiatives!$A$87)</f>
        <v>87</v>
      </c>
      <c r="U104" s="374">
        <f>ROW(Initiatives!$A$88)</f>
        <v>88</v>
      </c>
      <c r="V104" s="374">
        <f>ROW(Initiatives!$A$183)</f>
        <v>183</v>
      </c>
      <c r="W104" s="374">
        <f>ROW(Initiatives!$A$189)</f>
        <v>189</v>
      </c>
      <c r="X104" s="374"/>
      <c r="Y104" s="392" t="str">
        <f ca="1">OFFSET(Initiatives!$D$1,E104-1,$BS$3)</f>
        <v>Supply chain analytics/optimization</v>
      </c>
      <c r="Z104" s="375"/>
      <c r="AA104" s="392" t="str">
        <f ca="1">OFFSET(Initiatives!$D$1,F104-1,$BS$3)</f>
        <v>Production and inventory analysis</v>
      </c>
      <c r="AB104" s="375">
        <v>4</v>
      </c>
      <c r="AC104" s="392" t="str">
        <f ca="1">OFFSET(Initiatives!$D$1,G104-1,$BS$3)</f>
        <v>Demand forecasting/planning</v>
      </c>
      <c r="AD104" s="375"/>
      <c r="AE104" s="392" t="str">
        <f ca="1">OFFSET(Initiatives!$D$1,H104-1,$BS$3)</f>
        <v>Fulfillment management analysis</v>
      </c>
      <c r="AF104" s="375"/>
      <c r="AG104" s="392" t="str">
        <f ca="1">OFFSET(Initiatives!$D$1,I104-1,$BS$3)</f>
        <v>Logistics management analysis</v>
      </c>
      <c r="AH104" s="375"/>
      <c r="AI104" s="392" t="str">
        <f ca="1">OFFSET(Initiatives!$D$1,J104-1,$BS$3)</f>
        <v>Customer service analysis</v>
      </c>
      <c r="AJ104" s="375">
        <v>4</v>
      </c>
      <c r="AK104" s="392" t="str">
        <f ca="1">OFFSET(Initiatives!$D$1,K104-1,$BS$3)</f>
        <v>Business process/activity monitoring (BAM)</v>
      </c>
      <c r="AL104" s="375">
        <v>9</v>
      </c>
      <c r="AM104" s="392" t="str">
        <f ca="1">OFFSET(Initiatives!$D$1,L104-1,$BS$3)</f>
        <v>Web analytics</v>
      </c>
      <c r="AN104" s="375"/>
      <c r="AO104" s="392" t="str">
        <f ca="1">OFFSET(Initiatives!$D$1,M104-1,$BS$3)</f>
        <v>R&amp;D / prod development apps</v>
      </c>
      <c r="AP104" s="375">
        <v>6</v>
      </c>
      <c r="AQ104" s="392" t="str">
        <f ca="1">OFFSET(Initiatives!$D$1,N104-1,$BS$3)</f>
        <v>Competitive intelligence analysis</v>
      </c>
      <c r="AR104" s="375">
        <v>3</v>
      </c>
      <c r="AS104" s="392" t="str">
        <f ca="1">OFFSET(Initiatives!$D$1,O104-1,$BS$3)</f>
        <v>Manufacturing data</v>
      </c>
      <c r="AT104" s="375">
        <v>2</v>
      </c>
      <c r="AU104" s="392" t="str">
        <f ca="1">OFFSET(Initiatives!$D$1,P104-1,$BS$3)</f>
        <v>Logistics, warehousing, distribution data</v>
      </c>
      <c r="AV104" s="375">
        <v>2</v>
      </c>
      <c r="AW104" s="392" t="str">
        <f ca="1">OFFSET(Initiatives!$D$1,Q104-1,$BS$3)</f>
        <v>Purchasing data</v>
      </c>
      <c r="AX104" s="375">
        <v>2</v>
      </c>
      <c r="AY104" s="392" t="str">
        <f ca="1">OFFSET(Initiatives!$D$1,R104-1,$BS$3)</f>
        <v>Support / services data</v>
      </c>
      <c r="AZ104" s="375">
        <v>3</v>
      </c>
      <c r="BA104" s="392" t="str">
        <f ca="1">OFFSET(Initiatives!$D$1,S104-1,$BS$3)</f>
        <v>Human resources data</v>
      </c>
      <c r="BB104" s="375"/>
      <c r="BC104" s="392" t="str">
        <f ca="1">OFFSET(Initiatives!$D$1,T104-1,$BS$3)</f>
        <v>R&amp;D data</v>
      </c>
      <c r="BD104" s="375">
        <v>5</v>
      </c>
      <c r="BE104" s="392" t="str">
        <f ca="1">OFFSET(Initiatives!$D$1,U104-1,$BS$3)</f>
        <v>IT data</v>
      </c>
      <c r="BF104" s="375"/>
      <c r="BG104" s="392" t="str">
        <f ca="1">OFFSET(Initiatives!$D$1,V104-1,$BS$3)</f>
        <v>Enhance DW Platform</v>
      </c>
      <c r="BH104" s="375">
        <v>2</v>
      </c>
      <c r="BI104" s="392" t="str">
        <f ca="1">OFFSET(Initiatives!$D$1,W104-1,$BS$3)</f>
        <v>Enhance BI Platform</v>
      </c>
      <c r="BJ104" s="375">
        <v>4</v>
      </c>
      <c r="BK104" s="392" t="e">
        <f ca="1">OFFSET(Initiatives!$D$1,X104-1,$BS$3)</f>
        <v>#REF!</v>
      </c>
      <c r="BL104" s="375"/>
      <c r="BN104" s="101">
        <f t="shared" ref="BN104:BN110" si="1844">SUM(Z104,AB104,AD104,AF104,AH104,AJ104,AL104,AN104,AP104,AR104,AT104,AV104,AX104,AZ104,BB104,BD104,BF104,BH104,BJ104,BL104)+0.0001</f>
        <v>46.000100000000003</v>
      </c>
      <c r="BP104" s="231" t="str">
        <f t="shared" ref="BP104:BP110" ca="1" si="1845">CONCATENATE(GB104,GC104,GD104,GE104,GF104,GG104,GH104,GI104,GJ104,GK104,GL104,GM104,GN104,GO104,GP104,GQ104,GR104,GS104,GT104,GU104)</f>
        <v>R&amp;D / prod development apps (17%); R&amp;D data (14%); Business process/activity monitoring (BAM) (12%); Enhance BI Platform (10%); Competitive intelligence analysis (9%); Support / services data (9%); Manufacturing data (6%)</v>
      </c>
      <c r="BQ104" s="338">
        <v>0.01</v>
      </c>
      <c r="BR104" s="40">
        <f t="shared" ref="BR104:BR110" ca="1" si="1846">COUNTIF(CT104:DM104,"&gt;"&amp;BQ104)</f>
        <v>11</v>
      </c>
      <c r="BS104" s="274">
        <v>0.05</v>
      </c>
      <c r="BT104" s="40">
        <f t="shared" ref="BT104:BT110" ca="1" si="1847">COUNTIF(DP104:EI104,"&gt;"&amp;BS104)</f>
        <v>11</v>
      </c>
      <c r="BU104" s="376">
        <v>7</v>
      </c>
      <c r="BV104" s="40">
        <f t="shared" ref="BV104:BV110" ca="1" si="1848">MIN(BR104,BT104,BU104)</f>
        <v>7</v>
      </c>
      <c r="BY104" s="377">
        <f ca="1">IF(ISERROR(OFFSET(Initiatives!$D$1,E104-1,$BY$3)),,OFFSET(Initiatives!$D$1,E104-1,$BY$3))</f>
        <v>0.32</v>
      </c>
      <c r="BZ104" s="377">
        <f ca="1">IF(ISERROR(OFFSET(Initiatives!$D$1,F104-1,$BY$3)),,OFFSET(Initiatives!$D$1,F104-1,$BY$3))</f>
        <v>0.32</v>
      </c>
      <c r="CA104" s="377">
        <f ca="1">IF(ISERROR(OFFSET(Initiatives!$D$1,G104-1,$BY$3)),,OFFSET(Initiatives!$D$1,G104-1,$BY$3))</f>
        <v>0.32</v>
      </c>
      <c r="CB104" s="377">
        <f ca="1">IF(ISERROR(OFFSET(Initiatives!$D$1,H104-1,$BY$3)),,OFFSET(Initiatives!$D$1,H104-1,$BY$3))</f>
        <v>0.32</v>
      </c>
      <c r="CC104" s="377">
        <f ca="1">IF(ISERROR(OFFSET(Initiatives!$D$1,I104-1,$BY$3)),,OFFSET(Initiatives!$D$1,I104-1,$BY$3))</f>
        <v>0.32</v>
      </c>
      <c r="CD104" s="377">
        <f ca="1">IF(ISERROR(OFFSET(Initiatives!$D$1,J104-1,$BY$3)),,OFFSET(Initiatives!$D$1,J104-1,$BY$3))</f>
        <v>0.32</v>
      </c>
      <c r="CE104" s="377">
        <f ca="1">IF(ISERROR(OFFSET(Initiatives!$D$1,K104-1,$BY$3)),,OFFSET(Initiatives!$D$1,K104-1,$BY$3))</f>
        <v>0.32</v>
      </c>
      <c r="CF104" s="377">
        <f ca="1">IF(ISERROR(OFFSET(Initiatives!$D$1,L104-1,$BY$3)),,OFFSET(Initiatives!$D$1,L104-1,$BY$3))</f>
        <v>0.32</v>
      </c>
      <c r="CG104" s="377">
        <f ca="1">IF(ISERROR(OFFSET(Initiatives!$D$1,M104-1,$BY$3)),,OFFSET(Initiatives!$D$1,M104-1,$BY$3))</f>
        <v>0.68</v>
      </c>
      <c r="CH104" s="377">
        <f ca="1">IF(ISERROR(OFFSET(Initiatives!$D$1,N104-1,$BY$3)),,OFFSET(Initiatives!$D$1,N104-1,$BY$3))</f>
        <v>0.68</v>
      </c>
      <c r="CI104" s="377">
        <f ca="1">IF(ISERROR(OFFSET(Initiatives!$D$1,O104-1,$BY$3)),,OFFSET(Initiatives!$D$1,O104-1,$BY$3))</f>
        <v>0.68</v>
      </c>
      <c r="CJ104" s="377">
        <f ca="1">IF(ISERROR(OFFSET(Initiatives!$D$1,P104-1,$BY$3)),,OFFSET(Initiatives!$D$1,P104-1,$BY$3))</f>
        <v>0.68</v>
      </c>
      <c r="CK104" s="377">
        <f ca="1">IF(ISERROR(OFFSET(Initiatives!$D$1,Q104-1,$BY$3)),,OFFSET(Initiatives!$D$1,Q104-1,$BY$3))</f>
        <v>0.68</v>
      </c>
      <c r="CL104" s="377">
        <f ca="1">IF(ISERROR(OFFSET(Initiatives!$D$1,R104-1,$BY$3)),,OFFSET(Initiatives!$D$1,R104-1,$BY$3))</f>
        <v>0.68</v>
      </c>
      <c r="CM104" s="377">
        <f ca="1">IF(ISERROR(OFFSET(Initiatives!$D$1,S104-1,$BY$3)),,OFFSET(Initiatives!$D$1,S104-1,$BY$3))</f>
        <v>0.64000000000000012</v>
      </c>
      <c r="CN104" s="377">
        <f ca="1">IF(ISERROR(OFFSET(Initiatives!$D$1,T104-1,$BY$3)),,OFFSET(Initiatives!$D$1,T104-1,$BY$3))</f>
        <v>0.64000000000000012</v>
      </c>
      <c r="CO104" s="377">
        <f ca="1">IF(ISERROR(OFFSET(Initiatives!$D$1,U104-1,$BY$3)),,OFFSET(Initiatives!$D$1,U104-1,$BY$3))</f>
        <v>0.64000000000000012</v>
      </c>
      <c r="CP104" s="377">
        <f ca="1">IF(ISERROR(OFFSET(Initiatives!$D$1,V104-1,$BY$3)),,OFFSET(Initiatives!$D$1,V104-1,$BY$3))</f>
        <v>7.7000000000000179E-2</v>
      </c>
      <c r="CQ104" s="377">
        <f ca="1">IF(ISERROR(OFFSET(Initiatives!$D$1,W104-1,$BY$3)),,OFFSET(Initiatives!$D$1,W104-1,$BY$3))</f>
        <v>0.6</v>
      </c>
      <c r="CR104" s="377">
        <f ca="1">IF(ISERROR(OFFSET(Initiatives!$D$1,X104-1,$BY$3)),,OFFSET(Initiatives!$D$1,X104-1,$BY$3))</f>
        <v>0</v>
      </c>
      <c r="CT104" s="41">
        <f t="shared" ref="CT104:CT110" ca="1" si="1849">BY104*Z104/$BN104</f>
        <v>0</v>
      </c>
      <c r="CU104" s="41">
        <f t="shared" ref="CU104:CU110" ca="1" si="1850">BZ104*AB104/$BN104</f>
        <v>2.7826026465159855E-2</v>
      </c>
      <c r="CV104" s="41">
        <f t="shared" ref="CV104:CV110" ca="1" si="1851">CA104*AD104/$BN104</f>
        <v>0</v>
      </c>
      <c r="CW104" s="41">
        <f t="shared" ref="CW104:CW110" ca="1" si="1852">CB104*AF104/$BN104</f>
        <v>0</v>
      </c>
      <c r="CX104" s="41">
        <f t="shared" ref="CX104:CX110" ca="1" si="1853">CC104*AH104/$BN104</f>
        <v>0</v>
      </c>
      <c r="CY104" s="41">
        <f t="shared" ref="CY104:CY110" ca="1" si="1854">CD104*AJ104/$BN104</f>
        <v>2.7826026465159855E-2</v>
      </c>
      <c r="CZ104" s="41">
        <f t="shared" ref="CZ104:CZ110" ca="1" si="1855">CE104*AL104/$BN104</f>
        <v>6.2608559546609668E-2</v>
      </c>
      <c r="DA104" s="41">
        <f t="shared" ref="DA104:DA110" ca="1" si="1856">CF104*AN104/$BN104</f>
        <v>0</v>
      </c>
      <c r="DB104" s="41">
        <f t="shared" ref="DB104:DB110" ca="1" si="1857">CG104*AP104/$BN104</f>
        <v>8.8695459357697043E-2</v>
      </c>
      <c r="DC104" s="41">
        <f t="shared" ref="DC104:DC110" ca="1" si="1858">CH104*AR104/$BN104</f>
        <v>4.4347729678848521E-2</v>
      </c>
      <c r="DD104" s="41">
        <f t="shared" ref="DD104:DD110" ca="1" si="1859">CI104*AT104/$BN104</f>
        <v>2.956515311923235E-2</v>
      </c>
      <c r="DE104" s="41">
        <f t="shared" ref="DE104:DE110" ca="1" si="1860">CJ104*AV104/$BN104</f>
        <v>2.956515311923235E-2</v>
      </c>
      <c r="DF104" s="41">
        <f t="shared" ref="DF104:DF110" ca="1" si="1861">CK104*AX104/$BN104</f>
        <v>2.956515311923235E-2</v>
      </c>
      <c r="DG104" s="41">
        <f t="shared" ref="DG104:DG110" ca="1" si="1862">CL104*AZ104/$BN104</f>
        <v>4.4347729678848521E-2</v>
      </c>
      <c r="DH104" s="41">
        <f t="shared" ref="DH104:DH110" ca="1" si="1863">CM104*BB104/$BN104</f>
        <v>0</v>
      </c>
      <c r="DI104" s="41">
        <f t="shared" ref="DI104:DI110" ca="1" si="1864">CN104*BD104/$BN104</f>
        <v>6.9565066162899661E-2</v>
      </c>
      <c r="DJ104" s="41">
        <f t="shared" ref="DJ104:DJ110" ca="1" si="1865">CO104*BF104/$BN104</f>
        <v>0</v>
      </c>
      <c r="DK104" s="41">
        <f t="shared" ref="DK104:DK110" ca="1" si="1866">CP104*BH104/$BN104</f>
        <v>3.347818809089553E-3</v>
      </c>
      <c r="DL104" s="41">
        <f t="shared" ref="DL104:DL110" ca="1" si="1867">CQ104*BJ104/$BN104</f>
        <v>5.2173799622174728E-2</v>
      </c>
      <c r="DM104" s="41">
        <f t="shared" ref="DM104:DM110" ca="1" si="1868">CR104*BL104/$BN104</f>
        <v>0</v>
      </c>
      <c r="DN104" s="41">
        <f t="shared" ref="DN104:DN110" ca="1" si="1869">SUM(CT104:DM104)</f>
        <v>0.50943367514418447</v>
      </c>
      <c r="DP104" s="41">
        <f t="shared" ref="DP104:DP110" ca="1" si="1870">CT104/$DN104-DP$5/100000</f>
        <v>-1.0000000000000001E-5</v>
      </c>
      <c r="DQ104" s="41">
        <f t="shared" ref="DQ104:DQ110" ca="1" si="1871">CU104/$DN104-DQ$5/100000</f>
        <v>5.4601490142527943E-2</v>
      </c>
      <c r="DR104" s="41">
        <f t="shared" ref="DR104:DR110" ca="1" si="1872">CV104/$DN104-DR$5/100000</f>
        <v>-3.0000000000000001E-5</v>
      </c>
      <c r="DS104" s="41">
        <f t="shared" ref="DS104:DS110" ca="1" si="1873">CW104/$DN104-DS$5/100000</f>
        <v>-4.0000000000000003E-5</v>
      </c>
      <c r="DT104" s="41">
        <f t="shared" ref="DT104:DT110" ca="1" si="1874">CX104/$DN104-DT$5/100000</f>
        <v>-5.0000000000000002E-5</v>
      </c>
      <c r="DU104" s="41">
        <f t="shared" ref="DU104:DU110" ca="1" si="1875">CY104/$DN104-DU$5/100000</f>
        <v>5.4561490142527945E-2</v>
      </c>
      <c r="DV104" s="41">
        <f t="shared" ref="DV104:DV110" ca="1" si="1876">CZ104/$DN104-DV$5/100000</f>
        <v>0.12282835282068787</v>
      </c>
      <c r="DW104" s="41">
        <f t="shared" ref="DW104:DW110" ca="1" si="1877">DA104/$DN104-DW$5/100000</f>
        <v>-8.0000000000000007E-5</v>
      </c>
      <c r="DX104" s="41">
        <f t="shared" ref="DX104:DX110" ca="1" si="1878">DB104/$DN104-DX$5/100000</f>
        <v>0.17401599982930782</v>
      </c>
      <c r="DY104" s="41">
        <f t="shared" ref="DY104:DY110" ca="1" si="1879">DC104/$DN104-DY$5/100000</f>
        <v>8.6952999914653911E-2</v>
      </c>
      <c r="DZ104" s="41">
        <f t="shared" ref="DZ104:DZ110" ca="1" si="1880">DD104/$DN104-DZ$5/100000</f>
        <v>5.7925333276435946E-2</v>
      </c>
      <c r="EA104" s="41">
        <f t="shared" ref="EA104:EA110" ca="1" si="1881">DE104/$DN104-EA$5/100000</f>
        <v>5.7915333276435943E-2</v>
      </c>
      <c r="EB104" s="41">
        <f t="shared" ref="EB104:EB110" ca="1" si="1882">DF104/$DN104-EB$5/100000</f>
        <v>5.7905333276435947E-2</v>
      </c>
      <c r="EC104" s="41">
        <f t="shared" ref="EC104:EC110" ca="1" si="1883">DG104/$DN104-EC$5/100000</f>
        <v>8.6912999914653913E-2</v>
      </c>
      <c r="ED104" s="41">
        <f t="shared" ref="ED104:ED110" ca="1" si="1884">DH104/$DN104-ED$5/100000</f>
        <v>-1.4999999999999999E-4</v>
      </c>
      <c r="EE104" s="41">
        <f t="shared" ref="EE104:EE110" ca="1" si="1885">DI104/$DN104-EE$5/100000</f>
        <v>0.13639372535631991</v>
      </c>
      <c r="EF104" s="41">
        <f t="shared" ref="EF104:EF110" ca="1" si="1886">DJ104/$DN104-EF$5/100000</f>
        <v>-1.7000000000000001E-4</v>
      </c>
      <c r="EG104" s="41">
        <f t="shared" ref="EG104:EG110" ca="1" si="1887">DK104/$DN104-EG$5/100000</f>
        <v>6.3916480327729092E-3</v>
      </c>
      <c r="EH104" s="41">
        <f t="shared" ref="EH104:EH110" ca="1" si="1888">DL104/$DN104-EH$5/100000</f>
        <v>0.1022252940172399</v>
      </c>
      <c r="EI104" s="41">
        <f t="shared" ref="EI104:EI110" ca="1" si="1889">DM104/$DN104-EI$5/100000</f>
        <v>-2.0000000000000001E-4</v>
      </c>
      <c r="EJ104" s="41">
        <f t="shared" ref="EJ104:EJ110" ca="1" si="1890">SUM(DP104:EI104)</f>
        <v>0.99790000000000001</v>
      </c>
      <c r="EL104" s="378">
        <f t="shared" ref="EL104:EL110" ca="1" si="1891">RANK(DP104,$DP104:$EI104)</f>
        <v>13</v>
      </c>
      <c r="EM104" s="378">
        <f t="shared" ref="EM104:EM110" ca="1" si="1892">RANK(DQ104,$DP104:$EI104)</f>
        <v>10</v>
      </c>
      <c r="EN104" s="378">
        <f t="shared" ref="EN104:EN110" ca="1" si="1893">RANK(DR104,$DP104:$EI104)</f>
        <v>14</v>
      </c>
      <c r="EO104" s="378">
        <f t="shared" ref="EO104:EO110" ca="1" si="1894">RANK(DS104,$DP104:$EI104)</f>
        <v>15</v>
      </c>
      <c r="EP104" s="378">
        <f t="shared" ref="EP104:EP110" ca="1" si="1895">RANK(DT104,$DP104:$EI104)</f>
        <v>16</v>
      </c>
      <c r="EQ104" s="378">
        <f t="shared" ref="EQ104:EQ110" ca="1" si="1896">RANK(DU104,$DP104:$EI104)</f>
        <v>11</v>
      </c>
      <c r="ER104" s="378">
        <f t="shared" ref="ER104:ER110" ca="1" si="1897">RANK(DV104,$DP104:$EI104)</f>
        <v>3</v>
      </c>
      <c r="ES104" s="378">
        <f t="shared" ref="ES104:ES110" ca="1" si="1898">RANK(DW104,$DP104:$EI104)</f>
        <v>17</v>
      </c>
      <c r="ET104" s="378">
        <f t="shared" ref="ET104:ET110" ca="1" si="1899">RANK(DX104,$DP104:$EI104)</f>
        <v>1</v>
      </c>
      <c r="EU104" s="378">
        <f t="shared" ref="EU104:EU110" ca="1" si="1900">RANK(DY104,$DP104:$EI104)</f>
        <v>5</v>
      </c>
      <c r="EV104" s="378">
        <f t="shared" ref="EV104:EV110" ca="1" si="1901">RANK(DZ104,$DP104:$EI104)</f>
        <v>7</v>
      </c>
      <c r="EW104" s="378">
        <f t="shared" ref="EW104:EW110" ca="1" si="1902">RANK(EA104,$DP104:$EI104)</f>
        <v>8</v>
      </c>
      <c r="EX104" s="378">
        <f t="shared" ref="EX104:EX110" ca="1" si="1903">RANK(EB104,$DP104:$EI104)</f>
        <v>9</v>
      </c>
      <c r="EY104" s="378">
        <f t="shared" ref="EY104:EY110" ca="1" si="1904">RANK(EC104,$DP104:$EI104)</f>
        <v>6</v>
      </c>
      <c r="EZ104" s="378">
        <f t="shared" ref="EZ104:EZ110" ca="1" si="1905">RANK(ED104,$DP104:$EI104)</f>
        <v>18</v>
      </c>
      <c r="FA104" s="378">
        <f t="shared" ref="FA104:FA110" ca="1" si="1906">RANK(EE104,$DP104:$EI104)</f>
        <v>2</v>
      </c>
      <c r="FB104" s="378">
        <f t="shared" ref="FB104:FB110" ca="1" si="1907">RANK(EF104,$DP104:$EI104)</f>
        <v>19</v>
      </c>
      <c r="FC104" s="378">
        <f t="shared" ref="FC104:FC110" ca="1" si="1908">RANK(EG104,$DP104:$EI104)</f>
        <v>12</v>
      </c>
      <c r="FD104" s="378">
        <f t="shared" ref="FD104:FD110" ca="1" si="1909">RANK(EH104,$DP104:$EI104)</f>
        <v>4</v>
      </c>
      <c r="FE104" s="378">
        <f t="shared" ref="FE104:FE110" ca="1" si="1910">RANK(EI104,$DP104:$EI104)</f>
        <v>20</v>
      </c>
      <c r="FG104" s="378">
        <f t="shared" ca="1" si="1646"/>
        <v>9</v>
      </c>
      <c r="FH104" s="378">
        <f t="shared" ca="1" si="1646"/>
        <v>16</v>
      </c>
      <c r="FI104" s="378">
        <f t="shared" ca="1" si="1646"/>
        <v>7</v>
      </c>
      <c r="FJ104" s="378">
        <f t="shared" ca="1" si="1646"/>
        <v>19</v>
      </c>
      <c r="FK104" s="378">
        <f t="shared" ca="1" si="1646"/>
        <v>10</v>
      </c>
      <c r="FL104" s="378">
        <f t="shared" ca="1" si="1646"/>
        <v>14</v>
      </c>
      <c r="FM104" s="378">
        <f t="shared" ca="1" si="1646"/>
        <v>11</v>
      </c>
      <c r="FN104" s="378">
        <f t="shared" ca="1" si="1646"/>
        <v>12</v>
      </c>
      <c r="FO104" s="378">
        <f t="shared" ca="1" si="1646"/>
        <v>13</v>
      </c>
      <c r="FP104" s="378">
        <f t="shared" ca="1" si="1646"/>
        <v>2</v>
      </c>
      <c r="FQ104" s="378">
        <f t="shared" ca="1" si="1646"/>
        <v>6</v>
      </c>
      <c r="FR104" s="378">
        <f t="shared" ca="1" si="1646"/>
        <v>18</v>
      </c>
      <c r="FS104" s="378">
        <f t="shared" ca="1" si="1646"/>
        <v>1</v>
      </c>
      <c r="FT104" s="378">
        <f t="shared" ca="1" si="1646"/>
        <v>3</v>
      </c>
      <c r="FU104" s="378">
        <f t="shared" ca="1" si="1646"/>
        <v>4</v>
      </c>
      <c r="FV104" s="378">
        <f t="shared" ref="FV104:FZ110" ca="1" si="1911">MATCH(FV$5,$EL104:$FE104,0)</f>
        <v>5</v>
      </c>
      <c r="FW104" s="378">
        <f t="shared" ca="1" si="1911"/>
        <v>8</v>
      </c>
      <c r="FX104" s="378">
        <f t="shared" ca="1" si="1911"/>
        <v>15</v>
      </c>
      <c r="FY104" s="378">
        <f t="shared" ca="1" si="1911"/>
        <v>17</v>
      </c>
      <c r="FZ104" s="378">
        <f t="shared" ca="1" si="1911"/>
        <v>20</v>
      </c>
      <c r="GB104" s="275" t="str">
        <f t="shared" ref="GB104:GB110" ca="1" si="1912">IF(GB$5&lt;=$BV104,INDEX($Y104:$BL104,1,FG104*2-1)&amp;" ("&amp;TEXT(INDEX($DP104:$EI104,1,FG104),"0%")&amp;")","")</f>
        <v>R&amp;D / prod development apps (17%)</v>
      </c>
      <c r="GC104" s="231" t="str">
        <f t="shared" ref="GC104:GC110" ca="1" si="1913">IF(GC$5&lt;=$BV104,"; "&amp;INDEX($Y104:$BL104,1,FH104*2-1)&amp;" ("&amp;TEXT(INDEX($DP104:$EI104,1,FH104),"0%")&amp;")","")</f>
        <v>; R&amp;D data (14%)</v>
      </c>
      <c r="GD104" s="231" t="str">
        <f t="shared" ref="GD104:GD110" ca="1" si="1914">IF(GD$5&lt;=$BV104,"; "&amp;INDEX($Y104:$BL104,1,FI104*2-1)&amp;" ("&amp;TEXT(INDEX($DP104:$EI104,1,FI104),"0%")&amp;")","")</f>
        <v>; Business process/activity monitoring (BAM) (12%)</v>
      </c>
      <c r="GE104" s="231" t="str">
        <f t="shared" ref="GE104:GE110" ca="1" si="1915">IF(GE$5&lt;=$BV104,"; "&amp;INDEX($Y104:$BL104,1,FJ104*2-1)&amp;" ("&amp;TEXT(INDEX($DP104:$EI104,1,FJ104),"0%")&amp;")","")</f>
        <v>; Enhance BI Platform (10%)</v>
      </c>
      <c r="GF104" s="231" t="str">
        <f t="shared" ref="GF104:GF110" ca="1" si="1916">IF(GF$5&lt;=$BV104,"; "&amp;INDEX($Y104:$BL104,1,FK104*2-1)&amp;" ("&amp;TEXT(INDEX($DP104:$EI104,1,FK104),"0%")&amp;")","")</f>
        <v>; Competitive intelligence analysis (9%)</v>
      </c>
      <c r="GG104" s="231" t="str">
        <f t="shared" ref="GG104:GG110" ca="1" si="1917">IF(GG$5&lt;=$BV104,"; "&amp;INDEX($Y104:$BL104,1,FL104*2-1)&amp;" ("&amp;TEXT(INDEX($DP104:$EI104,1,FL104),"0%")&amp;")","")</f>
        <v>; Support / services data (9%)</v>
      </c>
      <c r="GH104" s="231" t="str">
        <f t="shared" ref="GH104:GH110" ca="1" si="1918">IF(GH$5&lt;=$BV104,"; "&amp;INDEX($Y104:$BL104,1,FM104*2-1)&amp;" ("&amp;TEXT(INDEX($DP104:$EI104,1,FM104),"0%")&amp;")","")</f>
        <v>; Manufacturing data (6%)</v>
      </c>
      <c r="GI104" s="231" t="str">
        <f t="shared" ref="GI104:GI110" ca="1" si="1919">IF(GI$5&lt;=$BV104,"; "&amp;INDEX($Y104:$BL104,1,FN104*2-1)&amp;" ("&amp;TEXT(INDEX($DP104:$EI104,1,FN104),"0%")&amp;")","")</f>
        <v/>
      </c>
      <c r="GJ104" s="231" t="str">
        <f t="shared" ref="GJ104:GJ110" ca="1" si="1920">IF(GJ$5&lt;=$BV104,"; "&amp;INDEX($Y104:$BL104,1,FO104*2-1)&amp;" ("&amp;TEXT(INDEX($DP104:$EI104,1,FO104),"0%")&amp;")","")</f>
        <v/>
      </c>
      <c r="GK104" s="231" t="str">
        <f t="shared" ref="GK104:GK110" ca="1" si="1921">IF(GK$5&lt;=$BV104,"; "&amp;INDEX($Y104:$BL104,1,FP104*2-1)&amp;" ("&amp;TEXT(INDEX($DP104:$EI104,1,FP104),"0%")&amp;")","")</f>
        <v/>
      </c>
      <c r="GL104" s="231" t="str">
        <f t="shared" ref="GL104:GL110" ca="1" si="1922">IF(GL$5&lt;=$BV104,"; "&amp;INDEX($Y104:$BL104,1,FQ104*2-1)&amp;" ("&amp;TEXT(INDEX($DP104:$EI104,1,FQ104),"0%")&amp;")","")</f>
        <v/>
      </c>
      <c r="GM104" s="231" t="str">
        <f t="shared" ref="GM104:GM110" ca="1" si="1923">IF(GM$5&lt;=$BV104,"; "&amp;INDEX($Y104:$BL104,1,FR104*2-1)&amp;" ("&amp;TEXT(INDEX($DP104:$EI104,1,FR104),"0%")&amp;")","")</f>
        <v/>
      </c>
      <c r="GN104" s="231" t="str">
        <f t="shared" ref="GN104:GN110" ca="1" si="1924">IF(GN$5&lt;=$BV104,"; "&amp;INDEX($Y104:$BL104,1,FS104*2-1)&amp;" ("&amp;TEXT(INDEX($DP104:$EI104,1,FS104),"0%")&amp;")","")</f>
        <v/>
      </c>
      <c r="GO104" s="231" t="str">
        <f t="shared" ref="GO104:GO110" ca="1" si="1925">IF(GO$5&lt;=$BV104,"; "&amp;INDEX($Y104:$BL104,1,FT104*2-1)&amp;" ("&amp;TEXT(INDEX($DP104:$EI104,1,FT104),"0%")&amp;")","")</f>
        <v/>
      </c>
      <c r="GP104" s="231" t="str">
        <f t="shared" ref="GP104:GP110" ca="1" si="1926">IF(GP$5&lt;=$BV104,"; "&amp;INDEX($Y104:$BL104,1,FU104*2-1)&amp;" ("&amp;TEXT(INDEX($DP104:$EI104,1,FU104),"0%")&amp;")","")</f>
        <v/>
      </c>
      <c r="GQ104" s="231" t="str">
        <f t="shared" ref="GQ104:GQ110" ca="1" si="1927">IF(GQ$5&lt;=$BV104,"; "&amp;INDEX($Y104:$BL104,1,FV104*2-1)&amp;" ("&amp;TEXT(INDEX($DP104:$EI104,1,FV104),"0%")&amp;")","")</f>
        <v/>
      </c>
      <c r="GR104" s="231" t="str">
        <f t="shared" ref="GR104:GR110" ca="1" si="1928">IF(GR$5&lt;=$BV104,"; "&amp;INDEX($Y104:$BL104,1,FW104*2-1)&amp;" ("&amp;TEXT(INDEX($DP104:$EI104,1,FW104),"0%")&amp;")","")</f>
        <v/>
      </c>
      <c r="GS104" s="231" t="str">
        <f t="shared" ref="GS104:GS110" ca="1" si="1929">IF(GS$5&lt;=$BV104,"; "&amp;INDEX($Y104:$BL104,1,FX104*2-1)&amp;" ("&amp;TEXT(INDEX($DP104:$EI104,1,FX104),"0%")&amp;")","")</f>
        <v/>
      </c>
      <c r="GT104" s="231" t="str">
        <f t="shared" ref="GT104:GT110" ca="1" si="1930">IF(GT$5&lt;=$BV104,"; "&amp;INDEX($Y104:$BL104,1,FY104*2-1)&amp;" ("&amp;TEXT(INDEX($DP104:$EI104,1,FY104),"0%")&amp;")","")</f>
        <v/>
      </c>
      <c r="GU104" s="231" t="str">
        <f t="shared" ref="GU104:GU110" ca="1" si="1931">IF(GU$5&lt;=$BV104,"; "&amp;INDEX($Y104:$BL104,1,FZ104*2-1)&amp;" ("&amp;TEXT(INDEX($DP104:$EI104,1,FZ104),"0%")&amp;")","")</f>
        <v/>
      </c>
    </row>
    <row r="105" spans="2:203" s="386" customFormat="1" ht="16.5" hidden="1" customHeight="1">
      <c r="B105" s="373"/>
      <c r="C105" s="81" t="str">
        <f>KPIs!B19</f>
        <v>Defect rate</v>
      </c>
      <c r="D105" s="404">
        <f t="shared" ca="1" si="1843"/>
        <v>0.48325576212639393</v>
      </c>
      <c r="E105" s="374">
        <f>ROW(Initiatives!$A$18)</f>
        <v>18</v>
      </c>
      <c r="F105" s="374">
        <f>ROW(Initiatives!$A$19)</f>
        <v>19</v>
      </c>
      <c r="G105" s="374">
        <f>ROW(Initiatives!$A$20)</f>
        <v>20</v>
      </c>
      <c r="H105" s="374">
        <f>ROW(Initiatives!$A$21)</f>
        <v>21</v>
      </c>
      <c r="I105" s="374">
        <f>ROW(Initiatives!$A$22)</f>
        <v>22</v>
      </c>
      <c r="J105" s="374">
        <f>ROW(Initiatives!$A$23)</f>
        <v>23</v>
      </c>
      <c r="K105" s="374">
        <f>ROW(Initiatives!$A$24)</f>
        <v>24</v>
      </c>
      <c r="L105" s="374">
        <f>ROW(Initiatives!$A$25)</f>
        <v>25</v>
      </c>
      <c r="M105" s="374">
        <f>ROW(Initiatives!$A$42)</f>
        <v>42</v>
      </c>
      <c r="N105" s="374">
        <f>ROW(Initiatives!$A$45)</f>
        <v>45</v>
      </c>
      <c r="O105" s="374">
        <f>ROW(Initiatives!$A$65)</f>
        <v>65</v>
      </c>
      <c r="P105" s="374">
        <f>ROW(Initiatives!$A$66)</f>
        <v>66</v>
      </c>
      <c r="Q105" s="374">
        <f>ROW(Initiatives!$A$67)</f>
        <v>67</v>
      </c>
      <c r="R105" s="374">
        <f>ROW(Initiatives!$A$68)</f>
        <v>68</v>
      </c>
      <c r="S105" s="374">
        <f>ROW(Initiatives!$A$86)</f>
        <v>86</v>
      </c>
      <c r="T105" s="374">
        <f>ROW(Initiatives!$A$87)</f>
        <v>87</v>
      </c>
      <c r="U105" s="374">
        <f>ROW(Initiatives!$A$88)</f>
        <v>88</v>
      </c>
      <c r="V105" s="374">
        <f>ROW(Initiatives!$A$183)</f>
        <v>183</v>
      </c>
      <c r="W105" s="374">
        <f>ROW(Initiatives!$A$189)</f>
        <v>189</v>
      </c>
      <c r="X105" s="374"/>
      <c r="Y105" s="392" t="str">
        <f ca="1">OFFSET(Initiatives!$D$1,E105-1,$BS$3)</f>
        <v>Supply chain analytics/optimization</v>
      </c>
      <c r="Z105" s="375"/>
      <c r="AA105" s="392" t="str">
        <f ca="1">OFFSET(Initiatives!$D$1,F105-1,$BS$3)</f>
        <v>Production and inventory analysis</v>
      </c>
      <c r="AB105" s="375">
        <v>7</v>
      </c>
      <c r="AC105" s="392" t="str">
        <f ca="1">OFFSET(Initiatives!$D$1,G105-1,$BS$3)</f>
        <v>Demand forecasting/planning</v>
      </c>
      <c r="AD105" s="375"/>
      <c r="AE105" s="392" t="str">
        <f ca="1">OFFSET(Initiatives!$D$1,H105-1,$BS$3)</f>
        <v>Fulfillment management analysis</v>
      </c>
      <c r="AF105" s="375"/>
      <c r="AG105" s="392" t="str">
        <f ca="1">OFFSET(Initiatives!$D$1,I105-1,$BS$3)</f>
        <v>Logistics management analysis</v>
      </c>
      <c r="AH105" s="375"/>
      <c r="AI105" s="392" t="str">
        <f ca="1">OFFSET(Initiatives!$D$1,J105-1,$BS$3)</f>
        <v>Customer service analysis</v>
      </c>
      <c r="AJ105" s="375"/>
      <c r="AK105" s="392" t="str">
        <f ca="1">OFFSET(Initiatives!$D$1,K105-1,$BS$3)</f>
        <v>Business process/activity monitoring (BAM)</v>
      </c>
      <c r="AL105" s="375">
        <v>8</v>
      </c>
      <c r="AM105" s="392" t="str">
        <f ca="1">OFFSET(Initiatives!$D$1,L105-1,$BS$3)</f>
        <v>Web analytics</v>
      </c>
      <c r="AN105" s="375"/>
      <c r="AO105" s="392" t="str">
        <f ca="1">OFFSET(Initiatives!$D$1,M105-1,$BS$3)</f>
        <v>R&amp;D / prod development apps</v>
      </c>
      <c r="AP105" s="375"/>
      <c r="AQ105" s="392" t="str">
        <f ca="1">OFFSET(Initiatives!$D$1,N105-1,$BS$3)</f>
        <v>Competitive intelligence analysis</v>
      </c>
      <c r="AR105" s="375"/>
      <c r="AS105" s="392" t="str">
        <f ca="1">OFFSET(Initiatives!$D$1,O105-1,$BS$3)</f>
        <v>Manufacturing data</v>
      </c>
      <c r="AT105" s="375">
        <v>5</v>
      </c>
      <c r="AU105" s="392" t="str">
        <f ca="1">OFFSET(Initiatives!$D$1,P105-1,$BS$3)</f>
        <v>Logistics, warehousing, distribution data</v>
      </c>
      <c r="AV105" s="375">
        <v>3</v>
      </c>
      <c r="AW105" s="392" t="str">
        <f ca="1">OFFSET(Initiatives!$D$1,Q105-1,$BS$3)</f>
        <v>Purchasing data</v>
      </c>
      <c r="AX105" s="375">
        <v>2</v>
      </c>
      <c r="AY105" s="392" t="str">
        <f ca="1">OFFSET(Initiatives!$D$1,R105-1,$BS$3)</f>
        <v>Support / services data</v>
      </c>
      <c r="AZ105" s="375">
        <v>4</v>
      </c>
      <c r="BA105" s="392" t="str">
        <f ca="1">OFFSET(Initiatives!$D$1,S105-1,$BS$3)</f>
        <v>Human resources data</v>
      </c>
      <c r="BB105" s="375"/>
      <c r="BC105" s="392" t="str">
        <f ca="1">OFFSET(Initiatives!$D$1,T105-1,$BS$3)</f>
        <v>R&amp;D data</v>
      </c>
      <c r="BD105" s="375">
        <v>1</v>
      </c>
      <c r="BE105" s="392" t="str">
        <f ca="1">OFFSET(Initiatives!$D$1,U105-1,$BS$3)</f>
        <v>IT data</v>
      </c>
      <c r="BF105" s="375"/>
      <c r="BG105" s="392" t="str">
        <f ca="1">OFFSET(Initiatives!$D$1,V105-1,$BS$3)</f>
        <v>Enhance DW Platform</v>
      </c>
      <c r="BH105" s="375">
        <v>2</v>
      </c>
      <c r="BI105" s="392" t="str">
        <f ca="1">OFFSET(Initiatives!$D$1,W105-1,$BS$3)</f>
        <v>Enhance BI Platform</v>
      </c>
      <c r="BJ105" s="375">
        <v>3</v>
      </c>
      <c r="BK105" s="392" t="e">
        <f ca="1">OFFSET(Initiatives!$D$1,X105-1,$BS$3)</f>
        <v>#REF!</v>
      </c>
      <c r="BL105" s="375"/>
      <c r="BN105" s="101">
        <f t="shared" si="1844"/>
        <v>35.000100000000003</v>
      </c>
      <c r="BP105" s="231" t="str">
        <f t="shared" ca="1" si="1845"/>
        <v>Manufacturing data (20%); Support / services data (16%); Business process/activity monitoring (BAM) (15%); Production and inventory analysis (13%); Logistics, warehousing, distribution data (12%); Enhance BI Platform (11%); Purchasing data (8%)</v>
      </c>
      <c r="BQ105" s="338">
        <v>0.01</v>
      </c>
      <c r="BR105" s="40">
        <f t="shared" ca="1" si="1846"/>
        <v>8</v>
      </c>
      <c r="BS105" s="274">
        <v>0.05</v>
      </c>
      <c r="BT105" s="40">
        <f t="shared" ca="1" si="1847"/>
        <v>7</v>
      </c>
      <c r="BU105" s="376">
        <v>7</v>
      </c>
      <c r="BV105" s="40">
        <f t="shared" ca="1" si="1848"/>
        <v>7</v>
      </c>
      <c r="BY105" s="377">
        <f ca="1">IF(ISERROR(OFFSET(Initiatives!$D$1,E105-1,$BY$3)),,OFFSET(Initiatives!$D$1,E105-1,$BY$3))</f>
        <v>0.32</v>
      </c>
      <c r="BZ105" s="377">
        <f ca="1">IF(ISERROR(OFFSET(Initiatives!$D$1,F105-1,$BY$3)),,OFFSET(Initiatives!$D$1,F105-1,$BY$3))</f>
        <v>0.32</v>
      </c>
      <c r="CA105" s="377">
        <f ca="1">IF(ISERROR(OFFSET(Initiatives!$D$1,G105-1,$BY$3)),,OFFSET(Initiatives!$D$1,G105-1,$BY$3))</f>
        <v>0.32</v>
      </c>
      <c r="CB105" s="377">
        <f ca="1">IF(ISERROR(OFFSET(Initiatives!$D$1,H105-1,$BY$3)),,OFFSET(Initiatives!$D$1,H105-1,$BY$3))</f>
        <v>0.32</v>
      </c>
      <c r="CC105" s="377">
        <f ca="1">IF(ISERROR(OFFSET(Initiatives!$D$1,I105-1,$BY$3)),,OFFSET(Initiatives!$D$1,I105-1,$BY$3))</f>
        <v>0.32</v>
      </c>
      <c r="CD105" s="377">
        <f ca="1">IF(ISERROR(OFFSET(Initiatives!$D$1,J105-1,$BY$3)),,OFFSET(Initiatives!$D$1,J105-1,$BY$3))</f>
        <v>0.32</v>
      </c>
      <c r="CE105" s="377">
        <f ca="1">IF(ISERROR(OFFSET(Initiatives!$D$1,K105-1,$BY$3)),,OFFSET(Initiatives!$D$1,K105-1,$BY$3))</f>
        <v>0.32</v>
      </c>
      <c r="CF105" s="377">
        <f ca="1">IF(ISERROR(OFFSET(Initiatives!$D$1,L105-1,$BY$3)),,OFFSET(Initiatives!$D$1,L105-1,$BY$3))</f>
        <v>0.32</v>
      </c>
      <c r="CG105" s="377">
        <f ca="1">IF(ISERROR(OFFSET(Initiatives!$D$1,M105-1,$BY$3)),,OFFSET(Initiatives!$D$1,M105-1,$BY$3))</f>
        <v>0.68</v>
      </c>
      <c r="CH105" s="377">
        <f ca="1">IF(ISERROR(OFFSET(Initiatives!$D$1,N105-1,$BY$3)),,OFFSET(Initiatives!$D$1,N105-1,$BY$3))</f>
        <v>0.68</v>
      </c>
      <c r="CI105" s="377">
        <f ca="1">IF(ISERROR(OFFSET(Initiatives!$D$1,O105-1,$BY$3)),,OFFSET(Initiatives!$D$1,O105-1,$BY$3))</f>
        <v>0.68</v>
      </c>
      <c r="CJ105" s="377">
        <f ca="1">IF(ISERROR(OFFSET(Initiatives!$D$1,P105-1,$BY$3)),,OFFSET(Initiatives!$D$1,P105-1,$BY$3))</f>
        <v>0.68</v>
      </c>
      <c r="CK105" s="377">
        <f ca="1">IF(ISERROR(OFFSET(Initiatives!$D$1,Q105-1,$BY$3)),,OFFSET(Initiatives!$D$1,Q105-1,$BY$3))</f>
        <v>0.68</v>
      </c>
      <c r="CL105" s="377">
        <f ca="1">IF(ISERROR(OFFSET(Initiatives!$D$1,R105-1,$BY$3)),,OFFSET(Initiatives!$D$1,R105-1,$BY$3))</f>
        <v>0.68</v>
      </c>
      <c r="CM105" s="377">
        <f ca="1">IF(ISERROR(OFFSET(Initiatives!$D$1,S105-1,$BY$3)),,OFFSET(Initiatives!$D$1,S105-1,$BY$3))</f>
        <v>0.64000000000000012</v>
      </c>
      <c r="CN105" s="377">
        <f ca="1">IF(ISERROR(OFFSET(Initiatives!$D$1,T105-1,$BY$3)),,OFFSET(Initiatives!$D$1,T105-1,$BY$3))</f>
        <v>0.64000000000000012</v>
      </c>
      <c r="CO105" s="377">
        <f ca="1">IF(ISERROR(OFFSET(Initiatives!$D$1,U105-1,$BY$3)),,OFFSET(Initiatives!$D$1,U105-1,$BY$3))</f>
        <v>0.64000000000000012</v>
      </c>
      <c r="CP105" s="377">
        <f ca="1">IF(ISERROR(OFFSET(Initiatives!$D$1,V105-1,$BY$3)),,OFFSET(Initiatives!$D$1,V105-1,$BY$3))</f>
        <v>7.7000000000000179E-2</v>
      </c>
      <c r="CQ105" s="377">
        <f ca="1">IF(ISERROR(OFFSET(Initiatives!$D$1,W105-1,$BY$3)),,OFFSET(Initiatives!$D$1,W105-1,$BY$3))</f>
        <v>0.6</v>
      </c>
      <c r="CR105" s="377">
        <f ca="1">IF(ISERROR(OFFSET(Initiatives!$D$1,X105-1,$BY$3)),,OFFSET(Initiatives!$D$1,X105-1,$BY$3))</f>
        <v>0</v>
      </c>
      <c r="CT105" s="41">
        <f t="shared" ca="1" si="1849"/>
        <v>0</v>
      </c>
      <c r="CU105" s="41">
        <f t="shared" ca="1" si="1850"/>
        <v>6.3999817143379586E-2</v>
      </c>
      <c r="CV105" s="41">
        <f t="shared" ca="1" si="1851"/>
        <v>0</v>
      </c>
      <c r="CW105" s="41">
        <f t="shared" ca="1" si="1852"/>
        <v>0</v>
      </c>
      <c r="CX105" s="41">
        <f t="shared" ca="1" si="1853"/>
        <v>0</v>
      </c>
      <c r="CY105" s="41">
        <f t="shared" ca="1" si="1854"/>
        <v>0</v>
      </c>
      <c r="CZ105" s="41">
        <f t="shared" ca="1" si="1855"/>
        <v>7.3142648163862387E-2</v>
      </c>
      <c r="DA105" s="41">
        <f t="shared" ca="1" si="1856"/>
        <v>0</v>
      </c>
      <c r="DB105" s="41">
        <f t="shared" ca="1" si="1857"/>
        <v>0</v>
      </c>
      <c r="DC105" s="41">
        <f t="shared" ca="1" si="1858"/>
        <v>0</v>
      </c>
      <c r="DD105" s="41">
        <f t="shared" ca="1" si="1859"/>
        <v>9.714257959262973E-2</v>
      </c>
      <c r="DE105" s="41">
        <f t="shared" ca="1" si="1860"/>
        <v>5.8285547755577836E-2</v>
      </c>
      <c r="DF105" s="41">
        <f t="shared" ca="1" si="1861"/>
        <v>3.8857031837051893E-2</v>
      </c>
      <c r="DG105" s="41">
        <f t="shared" ca="1" si="1862"/>
        <v>7.7714063674103787E-2</v>
      </c>
      <c r="DH105" s="41">
        <f t="shared" ca="1" si="1863"/>
        <v>0</v>
      </c>
      <c r="DI105" s="41">
        <f t="shared" ca="1" si="1864"/>
        <v>1.82856620409656E-2</v>
      </c>
      <c r="DJ105" s="41">
        <f t="shared" ca="1" si="1865"/>
        <v>0</v>
      </c>
      <c r="DK105" s="41">
        <f t="shared" ca="1" si="1866"/>
        <v>4.3999874286073564E-3</v>
      </c>
      <c r="DL105" s="41">
        <f t="shared" ca="1" si="1867"/>
        <v>5.1428424490215729E-2</v>
      </c>
      <c r="DM105" s="41">
        <f t="shared" ca="1" si="1868"/>
        <v>0</v>
      </c>
      <c r="DN105" s="41">
        <f t="shared" ca="1" si="1869"/>
        <v>0.48325576212639393</v>
      </c>
      <c r="DP105" s="41">
        <f t="shared" ca="1" si="1870"/>
        <v>-1.0000000000000001E-5</v>
      </c>
      <c r="DQ105" s="41">
        <f t="shared" ca="1" si="1871"/>
        <v>0.13241466950455244</v>
      </c>
      <c r="DR105" s="41">
        <f t="shared" ca="1" si="1872"/>
        <v>-3.0000000000000001E-5</v>
      </c>
      <c r="DS105" s="41">
        <f t="shared" ca="1" si="1873"/>
        <v>-4.0000000000000003E-5</v>
      </c>
      <c r="DT105" s="41">
        <f t="shared" ca="1" si="1874"/>
        <v>-5.0000000000000002E-5</v>
      </c>
      <c r="DU105" s="41">
        <f t="shared" ca="1" si="1875"/>
        <v>-6.0000000000000002E-5</v>
      </c>
      <c r="DV105" s="41">
        <f t="shared" ca="1" si="1876"/>
        <v>0.15128390800520281</v>
      </c>
      <c r="DW105" s="41">
        <f t="shared" ca="1" si="1877"/>
        <v>-8.0000000000000007E-5</v>
      </c>
      <c r="DX105" s="41">
        <f t="shared" ca="1" si="1878"/>
        <v>-9.0000000000000006E-5</v>
      </c>
      <c r="DY105" s="41">
        <f t="shared" ca="1" si="1879"/>
        <v>-1E-4</v>
      </c>
      <c r="DZ105" s="41">
        <f t="shared" ca="1" si="1880"/>
        <v>0.20090690906940994</v>
      </c>
      <c r="EA105" s="41">
        <f t="shared" ca="1" si="1881"/>
        <v>0.12049014544164596</v>
      </c>
      <c r="EB105" s="41">
        <f t="shared" ca="1" si="1882"/>
        <v>8.0276763627763981E-2</v>
      </c>
      <c r="EC105" s="41">
        <f t="shared" ca="1" si="1883"/>
        <v>0.16067352725552797</v>
      </c>
      <c r="ED105" s="41">
        <f t="shared" ca="1" si="1884"/>
        <v>-1.4999999999999999E-4</v>
      </c>
      <c r="EE105" s="41">
        <f t="shared" ca="1" si="1885"/>
        <v>3.7678477001300704E-2</v>
      </c>
      <c r="EF105" s="41">
        <f t="shared" ca="1" si="1886"/>
        <v>-1.7000000000000001E-4</v>
      </c>
      <c r="EG105" s="41">
        <f t="shared" ca="1" si="1887"/>
        <v>8.9248835284379997E-3</v>
      </c>
      <c r="EH105" s="41">
        <f t="shared" ca="1" si="1888"/>
        <v>0.10623071656615819</v>
      </c>
      <c r="EI105" s="41">
        <f t="shared" ca="1" si="1889"/>
        <v>-2.0000000000000001E-4</v>
      </c>
      <c r="EJ105" s="41">
        <f t="shared" ca="1" si="1890"/>
        <v>0.99790000000000012</v>
      </c>
      <c r="EL105" s="378">
        <f t="shared" ca="1" si="1891"/>
        <v>10</v>
      </c>
      <c r="EM105" s="378">
        <f t="shared" ca="1" si="1892"/>
        <v>4</v>
      </c>
      <c r="EN105" s="378">
        <f t="shared" ca="1" si="1893"/>
        <v>11</v>
      </c>
      <c r="EO105" s="378">
        <f t="shared" ca="1" si="1894"/>
        <v>12</v>
      </c>
      <c r="EP105" s="378">
        <f t="shared" ca="1" si="1895"/>
        <v>13</v>
      </c>
      <c r="EQ105" s="378">
        <f t="shared" ca="1" si="1896"/>
        <v>14</v>
      </c>
      <c r="ER105" s="378">
        <f t="shared" ca="1" si="1897"/>
        <v>3</v>
      </c>
      <c r="ES105" s="378">
        <f t="shared" ca="1" si="1898"/>
        <v>15</v>
      </c>
      <c r="ET105" s="378">
        <f t="shared" ca="1" si="1899"/>
        <v>16</v>
      </c>
      <c r="EU105" s="378">
        <f t="shared" ca="1" si="1900"/>
        <v>17</v>
      </c>
      <c r="EV105" s="378">
        <f t="shared" ca="1" si="1901"/>
        <v>1</v>
      </c>
      <c r="EW105" s="378">
        <f t="shared" ca="1" si="1902"/>
        <v>5</v>
      </c>
      <c r="EX105" s="378">
        <f t="shared" ca="1" si="1903"/>
        <v>7</v>
      </c>
      <c r="EY105" s="378">
        <f t="shared" ca="1" si="1904"/>
        <v>2</v>
      </c>
      <c r="EZ105" s="378">
        <f t="shared" ca="1" si="1905"/>
        <v>18</v>
      </c>
      <c r="FA105" s="378">
        <f t="shared" ca="1" si="1906"/>
        <v>8</v>
      </c>
      <c r="FB105" s="378">
        <f t="shared" ca="1" si="1907"/>
        <v>19</v>
      </c>
      <c r="FC105" s="378">
        <f t="shared" ca="1" si="1908"/>
        <v>9</v>
      </c>
      <c r="FD105" s="378">
        <f t="shared" ca="1" si="1909"/>
        <v>6</v>
      </c>
      <c r="FE105" s="378">
        <f t="shared" ca="1" si="1910"/>
        <v>20</v>
      </c>
      <c r="FG105" s="378">
        <f t="shared" ref="FG105:FV110" ca="1" si="1932">MATCH(FG$5,$EL105:$FE105,0)</f>
        <v>11</v>
      </c>
      <c r="FH105" s="378">
        <f t="shared" ca="1" si="1932"/>
        <v>14</v>
      </c>
      <c r="FI105" s="378">
        <f t="shared" ca="1" si="1932"/>
        <v>7</v>
      </c>
      <c r="FJ105" s="378">
        <f t="shared" ca="1" si="1932"/>
        <v>2</v>
      </c>
      <c r="FK105" s="378">
        <f t="shared" ca="1" si="1932"/>
        <v>12</v>
      </c>
      <c r="FL105" s="378">
        <f t="shared" ca="1" si="1932"/>
        <v>19</v>
      </c>
      <c r="FM105" s="378">
        <f t="shared" ca="1" si="1932"/>
        <v>13</v>
      </c>
      <c r="FN105" s="378">
        <f t="shared" ca="1" si="1932"/>
        <v>16</v>
      </c>
      <c r="FO105" s="378">
        <f t="shared" ca="1" si="1932"/>
        <v>18</v>
      </c>
      <c r="FP105" s="378">
        <f t="shared" ca="1" si="1932"/>
        <v>1</v>
      </c>
      <c r="FQ105" s="378">
        <f t="shared" ca="1" si="1932"/>
        <v>3</v>
      </c>
      <c r="FR105" s="378">
        <f t="shared" ca="1" si="1932"/>
        <v>4</v>
      </c>
      <c r="FS105" s="378">
        <f t="shared" ca="1" si="1932"/>
        <v>5</v>
      </c>
      <c r="FT105" s="378">
        <f t="shared" ca="1" si="1932"/>
        <v>6</v>
      </c>
      <c r="FU105" s="378">
        <f t="shared" ca="1" si="1932"/>
        <v>8</v>
      </c>
      <c r="FV105" s="378">
        <f t="shared" ca="1" si="1932"/>
        <v>9</v>
      </c>
      <c r="FW105" s="378">
        <f t="shared" ca="1" si="1911"/>
        <v>10</v>
      </c>
      <c r="FX105" s="378">
        <f t="shared" ca="1" si="1911"/>
        <v>15</v>
      </c>
      <c r="FY105" s="378">
        <f t="shared" ca="1" si="1911"/>
        <v>17</v>
      </c>
      <c r="FZ105" s="378">
        <f t="shared" ca="1" si="1911"/>
        <v>20</v>
      </c>
      <c r="GB105" s="275" t="str">
        <f t="shared" ca="1" si="1912"/>
        <v>Manufacturing data (20%)</v>
      </c>
      <c r="GC105" s="231" t="str">
        <f t="shared" ca="1" si="1913"/>
        <v>; Support / services data (16%)</v>
      </c>
      <c r="GD105" s="231" t="str">
        <f t="shared" ca="1" si="1914"/>
        <v>; Business process/activity monitoring (BAM) (15%)</v>
      </c>
      <c r="GE105" s="231" t="str">
        <f t="shared" ca="1" si="1915"/>
        <v>; Production and inventory analysis (13%)</v>
      </c>
      <c r="GF105" s="231" t="str">
        <f t="shared" ca="1" si="1916"/>
        <v>; Logistics, warehousing, distribution data (12%)</v>
      </c>
      <c r="GG105" s="231" t="str">
        <f t="shared" ca="1" si="1917"/>
        <v>; Enhance BI Platform (11%)</v>
      </c>
      <c r="GH105" s="231" t="str">
        <f t="shared" ca="1" si="1918"/>
        <v>; Purchasing data (8%)</v>
      </c>
      <c r="GI105" s="231" t="str">
        <f t="shared" ca="1" si="1919"/>
        <v/>
      </c>
      <c r="GJ105" s="231" t="str">
        <f t="shared" ca="1" si="1920"/>
        <v/>
      </c>
      <c r="GK105" s="231" t="str">
        <f t="shared" ca="1" si="1921"/>
        <v/>
      </c>
      <c r="GL105" s="231" t="str">
        <f t="shared" ca="1" si="1922"/>
        <v/>
      </c>
      <c r="GM105" s="231" t="str">
        <f t="shared" ca="1" si="1923"/>
        <v/>
      </c>
      <c r="GN105" s="231" t="str">
        <f t="shared" ca="1" si="1924"/>
        <v/>
      </c>
      <c r="GO105" s="231" t="str">
        <f t="shared" ca="1" si="1925"/>
        <v/>
      </c>
      <c r="GP105" s="231" t="str">
        <f t="shared" ca="1" si="1926"/>
        <v/>
      </c>
      <c r="GQ105" s="231" t="str">
        <f t="shared" ca="1" si="1927"/>
        <v/>
      </c>
      <c r="GR105" s="231" t="str">
        <f t="shared" ca="1" si="1928"/>
        <v/>
      </c>
      <c r="GS105" s="231" t="str">
        <f t="shared" ca="1" si="1929"/>
        <v/>
      </c>
      <c r="GT105" s="231" t="str">
        <f t="shared" ca="1" si="1930"/>
        <v/>
      </c>
      <c r="GU105" s="231" t="str">
        <f t="shared" ca="1" si="1931"/>
        <v/>
      </c>
    </row>
    <row r="106" spans="2:203" s="386" customFormat="1" ht="16.5" hidden="1" customHeight="1">
      <c r="B106" s="373"/>
      <c r="C106" s="81" t="str">
        <f>KPIs!B20</f>
        <v>Supply Chain Effectiveness</v>
      </c>
      <c r="D106" s="404">
        <f t="shared" ca="1" si="1843"/>
        <v>0.47919214176817226</v>
      </c>
      <c r="E106" s="374">
        <f>ROW(Initiatives!$A$18)</f>
        <v>18</v>
      </c>
      <c r="F106" s="374">
        <f>ROW(Initiatives!$A$19)</f>
        <v>19</v>
      </c>
      <c r="G106" s="374">
        <f>ROW(Initiatives!$A$20)</f>
        <v>20</v>
      </c>
      <c r="H106" s="374">
        <f>ROW(Initiatives!$A$21)</f>
        <v>21</v>
      </c>
      <c r="I106" s="374">
        <f>ROW(Initiatives!$A$22)</f>
        <v>22</v>
      </c>
      <c r="J106" s="374">
        <f>ROW(Initiatives!$A$23)</f>
        <v>23</v>
      </c>
      <c r="K106" s="374">
        <f>ROW(Initiatives!$A$24)</f>
        <v>24</v>
      </c>
      <c r="L106" s="374">
        <f>ROW(Initiatives!$A$25)</f>
        <v>25</v>
      </c>
      <c r="M106" s="374">
        <f>ROW(Initiatives!$A$42)</f>
        <v>42</v>
      </c>
      <c r="N106" s="374">
        <f>ROW(Initiatives!$A$45)</f>
        <v>45</v>
      </c>
      <c r="O106" s="374">
        <f>ROW(Initiatives!$A$65)</f>
        <v>65</v>
      </c>
      <c r="P106" s="374">
        <f>ROW(Initiatives!$A$66)</f>
        <v>66</v>
      </c>
      <c r="Q106" s="374">
        <f>ROW(Initiatives!$A$67)</f>
        <v>67</v>
      </c>
      <c r="R106" s="374">
        <f>ROW(Initiatives!$A$68)</f>
        <v>68</v>
      </c>
      <c r="S106" s="374">
        <f>ROW(Initiatives!$A$86)</f>
        <v>86</v>
      </c>
      <c r="T106" s="374">
        <f>ROW(Initiatives!$A$87)</f>
        <v>87</v>
      </c>
      <c r="U106" s="374">
        <f>ROW(Initiatives!$A$88)</f>
        <v>88</v>
      </c>
      <c r="V106" s="374">
        <f>ROW(Initiatives!$A$183)</f>
        <v>183</v>
      </c>
      <c r="W106" s="374">
        <f>ROW(Initiatives!$A$189)</f>
        <v>189</v>
      </c>
      <c r="X106" s="374"/>
      <c r="Y106" s="392" t="str">
        <f ca="1">OFFSET(Initiatives!$D$1,E106-1,$BS$3)</f>
        <v>Supply chain analytics/optimization</v>
      </c>
      <c r="Z106" s="375">
        <v>9</v>
      </c>
      <c r="AA106" s="392" t="str">
        <f ca="1">OFFSET(Initiatives!$D$1,F106-1,$BS$3)</f>
        <v>Production and inventory analysis</v>
      </c>
      <c r="AB106" s="375">
        <v>5</v>
      </c>
      <c r="AC106" s="392" t="str">
        <f ca="1">OFFSET(Initiatives!$D$1,G106-1,$BS$3)</f>
        <v>Demand forecasting/planning</v>
      </c>
      <c r="AD106" s="375">
        <v>4</v>
      </c>
      <c r="AE106" s="392" t="str">
        <f ca="1">OFFSET(Initiatives!$D$1,H106-1,$BS$3)</f>
        <v>Fulfillment management analysis</v>
      </c>
      <c r="AF106" s="375">
        <v>3</v>
      </c>
      <c r="AG106" s="392" t="str">
        <f ca="1">OFFSET(Initiatives!$D$1,I106-1,$BS$3)</f>
        <v>Logistics management analysis</v>
      </c>
      <c r="AH106" s="375">
        <v>3</v>
      </c>
      <c r="AI106" s="392" t="str">
        <f ca="1">OFFSET(Initiatives!$D$1,J106-1,$BS$3)</f>
        <v>Customer service analysis</v>
      </c>
      <c r="AJ106" s="375"/>
      <c r="AK106" s="392" t="str">
        <f ca="1">OFFSET(Initiatives!$D$1,K106-1,$BS$3)</f>
        <v>Business process/activity monitoring (BAM)</v>
      </c>
      <c r="AL106" s="375">
        <v>4</v>
      </c>
      <c r="AM106" s="392" t="str">
        <f ca="1">OFFSET(Initiatives!$D$1,L106-1,$BS$3)</f>
        <v>Web analytics</v>
      </c>
      <c r="AN106" s="375"/>
      <c r="AO106" s="392" t="str">
        <f ca="1">OFFSET(Initiatives!$D$1,M106-1,$BS$3)</f>
        <v>R&amp;D / prod development apps</v>
      </c>
      <c r="AP106" s="375">
        <v>7</v>
      </c>
      <c r="AQ106" s="392" t="str">
        <f ca="1">OFFSET(Initiatives!$D$1,N106-1,$BS$3)</f>
        <v>Competitive intelligence analysis</v>
      </c>
      <c r="AR106" s="375"/>
      <c r="AS106" s="392" t="str">
        <f ca="1">OFFSET(Initiatives!$D$1,O106-1,$BS$3)</f>
        <v>Manufacturing data</v>
      </c>
      <c r="AT106" s="375">
        <v>5</v>
      </c>
      <c r="AU106" s="392" t="str">
        <f ca="1">OFFSET(Initiatives!$D$1,P106-1,$BS$3)</f>
        <v>Logistics, warehousing, distribution data</v>
      </c>
      <c r="AV106" s="375">
        <v>6</v>
      </c>
      <c r="AW106" s="392" t="str">
        <f ca="1">OFFSET(Initiatives!$D$1,Q106-1,$BS$3)</f>
        <v>Purchasing data</v>
      </c>
      <c r="AX106" s="375">
        <v>3</v>
      </c>
      <c r="AY106" s="392" t="str">
        <f ca="1">OFFSET(Initiatives!$D$1,R106-1,$BS$3)</f>
        <v>Support / services data</v>
      </c>
      <c r="AZ106" s="375">
        <v>4</v>
      </c>
      <c r="BA106" s="392" t="str">
        <f ca="1">OFFSET(Initiatives!$D$1,S106-1,$BS$3)</f>
        <v>Human resources data</v>
      </c>
      <c r="BB106" s="375"/>
      <c r="BC106" s="392" t="str">
        <f ca="1">OFFSET(Initiatives!$D$1,T106-1,$BS$3)</f>
        <v>R&amp;D data</v>
      </c>
      <c r="BD106" s="375"/>
      <c r="BE106" s="392" t="str">
        <f ca="1">OFFSET(Initiatives!$D$1,U106-1,$BS$3)</f>
        <v>IT data</v>
      </c>
      <c r="BF106" s="375"/>
      <c r="BG106" s="392" t="str">
        <f ca="1">OFFSET(Initiatives!$D$1,V106-1,$BS$3)</f>
        <v>Enhance DW Platform</v>
      </c>
      <c r="BH106" s="375">
        <v>2</v>
      </c>
      <c r="BI106" s="392" t="str">
        <f ca="1">OFFSET(Initiatives!$D$1,W106-1,$BS$3)</f>
        <v>Enhance BI Platform</v>
      </c>
      <c r="BJ106" s="375">
        <v>2</v>
      </c>
      <c r="BK106" s="392" t="e">
        <f ca="1">OFFSET(Initiatives!$D$1,X106-1,$BS$3)</f>
        <v>#REF!</v>
      </c>
      <c r="BL106" s="375"/>
      <c r="BN106" s="101">
        <f t="shared" si="1844"/>
        <v>57.000100000000003</v>
      </c>
      <c r="BP106" s="231" t="str">
        <f t="shared" ca="1" si="1845"/>
        <v>R&amp;D / prod development apps (17%); Logistics, warehousing, distribution data (15%); Manufacturing data (12%); Supply chain analytics/optimization (11%); Support / services data (10%); Purchasing data (7%); Production and inventory analysis (6%)</v>
      </c>
      <c r="BQ106" s="338">
        <v>0.01</v>
      </c>
      <c r="BR106" s="40">
        <f t="shared" ca="1" si="1846"/>
        <v>12</v>
      </c>
      <c r="BS106" s="274">
        <v>0.05</v>
      </c>
      <c r="BT106" s="40">
        <f t="shared" ca="1" si="1847"/>
        <v>7</v>
      </c>
      <c r="BU106" s="376">
        <v>7</v>
      </c>
      <c r="BV106" s="40">
        <f t="shared" ca="1" si="1848"/>
        <v>7</v>
      </c>
      <c r="BY106" s="377">
        <f ca="1">IF(ISERROR(OFFSET(Initiatives!$D$1,E106-1,$BY$3)),,OFFSET(Initiatives!$D$1,E106-1,$BY$3))</f>
        <v>0.32</v>
      </c>
      <c r="BZ106" s="377">
        <f ca="1">IF(ISERROR(OFFSET(Initiatives!$D$1,F106-1,$BY$3)),,OFFSET(Initiatives!$D$1,F106-1,$BY$3))</f>
        <v>0.32</v>
      </c>
      <c r="CA106" s="377">
        <f ca="1">IF(ISERROR(OFFSET(Initiatives!$D$1,G106-1,$BY$3)),,OFFSET(Initiatives!$D$1,G106-1,$BY$3))</f>
        <v>0.32</v>
      </c>
      <c r="CB106" s="377">
        <f ca="1">IF(ISERROR(OFFSET(Initiatives!$D$1,H106-1,$BY$3)),,OFFSET(Initiatives!$D$1,H106-1,$BY$3))</f>
        <v>0.32</v>
      </c>
      <c r="CC106" s="377">
        <f ca="1">IF(ISERROR(OFFSET(Initiatives!$D$1,I106-1,$BY$3)),,OFFSET(Initiatives!$D$1,I106-1,$BY$3))</f>
        <v>0.32</v>
      </c>
      <c r="CD106" s="377">
        <f ca="1">IF(ISERROR(OFFSET(Initiatives!$D$1,J106-1,$BY$3)),,OFFSET(Initiatives!$D$1,J106-1,$BY$3))</f>
        <v>0.32</v>
      </c>
      <c r="CE106" s="377">
        <f ca="1">IF(ISERROR(OFFSET(Initiatives!$D$1,K106-1,$BY$3)),,OFFSET(Initiatives!$D$1,K106-1,$BY$3))</f>
        <v>0.32</v>
      </c>
      <c r="CF106" s="377">
        <f ca="1">IF(ISERROR(OFFSET(Initiatives!$D$1,L106-1,$BY$3)),,OFFSET(Initiatives!$D$1,L106-1,$BY$3))</f>
        <v>0.32</v>
      </c>
      <c r="CG106" s="377">
        <f ca="1">IF(ISERROR(OFFSET(Initiatives!$D$1,M106-1,$BY$3)),,OFFSET(Initiatives!$D$1,M106-1,$BY$3))</f>
        <v>0.68</v>
      </c>
      <c r="CH106" s="377">
        <f ca="1">IF(ISERROR(OFFSET(Initiatives!$D$1,N106-1,$BY$3)),,OFFSET(Initiatives!$D$1,N106-1,$BY$3))</f>
        <v>0.68</v>
      </c>
      <c r="CI106" s="377">
        <f ca="1">IF(ISERROR(OFFSET(Initiatives!$D$1,O106-1,$BY$3)),,OFFSET(Initiatives!$D$1,O106-1,$BY$3))</f>
        <v>0.68</v>
      </c>
      <c r="CJ106" s="377">
        <f ca="1">IF(ISERROR(OFFSET(Initiatives!$D$1,P106-1,$BY$3)),,OFFSET(Initiatives!$D$1,P106-1,$BY$3))</f>
        <v>0.68</v>
      </c>
      <c r="CK106" s="377">
        <f ca="1">IF(ISERROR(OFFSET(Initiatives!$D$1,Q106-1,$BY$3)),,OFFSET(Initiatives!$D$1,Q106-1,$BY$3))</f>
        <v>0.68</v>
      </c>
      <c r="CL106" s="377">
        <f ca="1">IF(ISERROR(OFFSET(Initiatives!$D$1,R106-1,$BY$3)),,OFFSET(Initiatives!$D$1,R106-1,$BY$3))</f>
        <v>0.68</v>
      </c>
      <c r="CM106" s="377">
        <f ca="1">IF(ISERROR(OFFSET(Initiatives!$D$1,S106-1,$BY$3)),,OFFSET(Initiatives!$D$1,S106-1,$BY$3))</f>
        <v>0.64000000000000012</v>
      </c>
      <c r="CN106" s="377">
        <f ca="1">IF(ISERROR(OFFSET(Initiatives!$D$1,T106-1,$BY$3)),,OFFSET(Initiatives!$D$1,T106-1,$BY$3))</f>
        <v>0.64000000000000012</v>
      </c>
      <c r="CO106" s="377">
        <f ca="1">IF(ISERROR(OFFSET(Initiatives!$D$1,U106-1,$BY$3)),,OFFSET(Initiatives!$D$1,U106-1,$BY$3))</f>
        <v>0.64000000000000012</v>
      </c>
      <c r="CP106" s="377">
        <f ca="1">IF(ISERROR(OFFSET(Initiatives!$D$1,V106-1,$BY$3)),,OFFSET(Initiatives!$D$1,V106-1,$BY$3))</f>
        <v>7.7000000000000179E-2</v>
      </c>
      <c r="CQ106" s="377">
        <f ca="1">IF(ISERROR(OFFSET(Initiatives!$D$1,W106-1,$BY$3)),,OFFSET(Initiatives!$D$1,W106-1,$BY$3))</f>
        <v>0.6</v>
      </c>
      <c r="CR106" s="377">
        <f ca="1">IF(ISERROR(OFFSET(Initiatives!$D$1,X106-1,$BY$3)),,OFFSET(Initiatives!$D$1,X106-1,$BY$3))</f>
        <v>0</v>
      </c>
      <c r="CT106" s="41">
        <f t="shared" ca="1" si="1849"/>
        <v>5.0526227146969915E-2</v>
      </c>
      <c r="CU106" s="41">
        <f t="shared" ca="1" si="1850"/>
        <v>2.8070126192761065E-2</v>
      </c>
      <c r="CV106" s="41">
        <f t="shared" ca="1" si="1851"/>
        <v>2.245610095420885E-2</v>
      </c>
      <c r="CW106" s="41">
        <f t="shared" ca="1" si="1852"/>
        <v>1.6842075715656636E-2</v>
      </c>
      <c r="CX106" s="41">
        <f t="shared" ca="1" si="1853"/>
        <v>1.6842075715656636E-2</v>
      </c>
      <c r="CY106" s="41">
        <f t="shared" ca="1" si="1854"/>
        <v>0</v>
      </c>
      <c r="CZ106" s="41">
        <f t="shared" ca="1" si="1855"/>
        <v>2.245610095420885E-2</v>
      </c>
      <c r="DA106" s="41">
        <f t="shared" ca="1" si="1856"/>
        <v>0</v>
      </c>
      <c r="DB106" s="41">
        <f t="shared" ca="1" si="1857"/>
        <v>8.350862542346417E-2</v>
      </c>
      <c r="DC106" s="41">
        <f t="shared" ca="1" si="1858"/>
        <v>0</v>
      </c>
      <c r="DD106" s="41">
        <f t="shared" ca="1" si="1859"/>
        <v>5.9649018159617269E-2</v>
      </c>
      <c r="DE106" s="41">
        <f t="shared" ca="1" si="1860"/>
        <v>7.1578821791540709E-2</v>
      </c>
      <c r="DF106" s="41">
        <f t="shared" ca="1" si="1861"/>
        <v>3.5789410895770354E-2</v>
      </c>
      <c r="DG106" s="41">
        <f t="shared" ca="1" si="1862"/>
        <v>4.7719214527693815E-2</v>
      </c>
      <c r="DH106" s="41">
        <f t="shared" ca="1" si="1863"/>
        <v>0</v>
      </c>
      <c r="DI106" s="41">
        <f t="shared" ca="1" si="1864"/>
        <v>0</v>
      </c>
      <c r="DJ106" s="41">
        <f t="shared" ca="1" si="1865"/>
        <v>0</v>
      </c>
      <c r="DK106" s="41">
        <f t="shared" ca="1" si="1866"/>
        <v>2.7017496460532589E-3</v>
      </c>
      <c r="DL106" s="41">
        <f t="shared" ca="1" si="1867"/>
        <v>2.1052594644570797E-2</v>
      </c>
      <c r="DM106" s="41">
        <f t="shared" ca="1" si="1868"/>
        <v>0</v>
      </c>
      <c r="DN106" s="41">
        <f t="shared" ca="1" si="1869"/>
        <v>0.47919214176817226</v>
      </c>
      <c r="DP106" s="41">
        <f t="shared" ca="1" si="1870"/>
        <v>0.10543043347733765</v>
      </c>
      <c r="DQ106" s="41">
        <f t="shared" ca="1" si="1871"/>
        <v>5.8558018598520917E-2</v>
      </c>
      <c r="DR106" s="41">
        <f t="shared" ca="1" si="1872"/>
        <v>4.6832414878816724E-2</v>
      </c>
      <c r="DS106" s="41">
        <f t="shared" ca="1" si="1873"/>
        <v>3.5106811159112544E-2</v>
      </c>
      <c r="DT106" s="41">
        <f t="shared" ca="1" si="1874"/>
        <v>3.5096811159112541E-2</v>
      </c>
      <c r="DU106" s="41">
        <f t="shared" ca="1" si="1875"/>
        <v>-6.0000000000000002E-5</v>
      </c>
      <c r="DV106" s="41">
        <f t="shared" ca="1" si="1876"/>
        <v>4.6792414878816725E-2</v>
      </c>
      <c r="DW106" s="41">
        <f t="shared" ca="1" si="1877"/>
        <v>-8.0000000000000007E-5</v>
      </c>
      <c r="DX106" s="41">
        <f t="shared" ca="1" si="1878"/>
        <v>0.1741796053305997</v>
      </c>
      <c r="DY106" s="41">
        <f t="shared" ca="1" si="1879"/>
        <v>-1E-4</v>
      </c>
      <c r="DZ106" s="41">
        <f t="shared" ca="1" si="1880"/>
        <v>0.12436828952185695</v>
      </c>
      <c r="EA106" s="41">
        <f t="shared" ca="1" si="1881"/>
        <v>0.1492539474262283</v>
      </c>
      <c r="EB106" s="41">
        <f t="shared" ca="1" si="1882"/>
        <v>7.455697371311415E-2</v>
      </c>
      <c r="EC106" s="41">
        <f t="shared" ca="1" si="1883"/>
        <v>9.9442631617485566E-2</v>
      </c>
      <c r="ED106" s="41">
        <f t="shared" ca="1" si="1884"/>
        <v>-1.4999999999999999E-4</v>
      </c>
      <c r="EE106" s="41">
        <f t="shared" ca="1" si="1885"/>
        <v>-1.6000000000000001E-4</v>
      </c>
      <c r="EF106" s="41">
        <f t="shared" ca="1" si="1886"/>
        <v>-1.7000000000000001E-4</v>
      </c>
      <c r="EG106" s="41">
        <f t="shared" ca="1" si="1887"/>
        <v>5.4581342901076513E-3</v>
      </c>
      <c r="EH106" s="41">
        <f t="shared" ca="1" si="1888"/>
        <v>4.3743513948890679E-2</v>
      </c>
      <c r="EI106" s="41">
        <f t="shared" ca="1" si="1889"/>
        <v>-2.0000000000000001E-4</v>
      </c>
      <c r="EJ106" s="41">
        <f t="shared" ca="1" si="1890"/>
        <v>0.99790000000000012</v>
      </c>
      <c r="EL106" s="378">
        <f t="shared" ca="1" si="1891"/>
        <v>4</v>
      </c>
      <c r="EM106" s="378">
        <f t="shared" ca="1" si="1892"/>
        <v>7</v>
      </c>
      <c r="EN106" s="378">
        <f t="shared" ca="1" si="1893"/>
        <v>8</v>
      </c>
      <c r="EO106" s="378">
        <f t="shared" ca="1" si="1894"/>
        <v>11</v>
      </c>
      <c r="EP106" s="378">
        <f t="shared" ca="1" si="1895"/>
        <v>12</v>
      </c>
      <c r="EQ106" s="378">
        <f t="shared" ca="1" si="1896"/>
        <v>14</v>
      </c>
      <c r="ER106" s="378">
        <f t="shared" ca="1" si="1897"/>
        <v>9</v>
      </c>
      <c r="ES106" s="378">
        <f t="shared" ca="1" si="1898"/>
        <v>15</v>
      </c>
      <c r="ET106" s="378">
        <f t="shared" ca="1" si="1899"/>
        <v>1</v>
      </c>
      <c r="EU106" s="378">
        <f t="shared" ca="1" si="1900"/>
        <v>16</v>
      </c>
      <c r="EV106" s="378">
        <f t="shared" ca="1" si="1901"/>
        <v>3</v>
      </c>
      <c r="EW106" s="378">
        <f t="shared" ca="1" si="1902"/>
        <v>2</v>
      </c>
      <c r="EX106" s="378">
        <f t="shared" ca="1" si="1903"/>
        <v>6</v>
      </c>
      <c r="EY106" s="378">
        <f t="shared" ca="1" si="1904"/>
        <v>5</v>
      </c>
      <c r="EZ106" s="378">
        <f t="shared" ca="1" si="1905"/>
        <v>17</v>
      </c>
      <c r="FA106" s="378">
        <f t="shared" ca="1" si="1906"/>
        <v>18</v>
      </c>
      <c r="FB106" s="378">
        <f t="shared" ca="1" si="1907"/>
        <v>19</v>
      </c>
      <c r="FC106" s="378">
        <f t="shared" ca="1" si="1908"/>
        <v>13</v>
      </c>
      <c r="FD106" s="378">
        <f t="shared" ca="1" si="1909"/>
        <v>10</v>
      </c>
      <c r="FE106" s="378">
        <f t="shared" ca="1" si="1910"/>
        <v>20</v>
      </c>
      <c r="FG106" s="378">
        <f t="shared" ca="1" si="1932"/>
        <v>9</v>
      </c>
      <c r="FH106" s="378">
        <f t="shared" ca="1" si="1932"/>
        <v>12</v>
      </c>
      <c r="FI106" s="378">
        <f t="shared" ca="1" si="1932"/>
        <v>11</v>
      </c>
      <c r="FJ106" s="378">
        <f t="shared" ca="1" si="1932"/>
        <v>1</v>
      </c>
      <c r="FK106" s="378">
        <f t="shared" ca="1" si="1932"/>
        <v>14</v>
      </c>
      <c r="FL106" s="378">
        <f t="shared" ca="1" si="1932"/>
        <v>13</v>
      </c>
      <c r="FM106" s="378">
        <f t="shared" ca="1" si="1932"/>
        <v>2</v>
      </c>
      <c r="FN106" s="378">
        <f t="shared" ca="1" si="1932"/>
        <v>3</v>
      </c>
      <c r="FO106" s="378">
        <f t="shared" ca="1" si="1932"/>
        <v>7</v>
      </c>
      <c r="FP106" s="378">
        <f t="shared" ca="1" si="1932"/>
        <v>19</v>
      </c>
      <c r="FQ106" s="378">
        <f t="shared" ca="1" si="1932"/>
        <v>4</v>
      </c>
      <c r="FR106" s="378">
        <f t="shared" ca="1" si="1932"/>
        <v>5</v>
      </c>
      <c r="FS106" s="378">
        <f t="shared" ca="1" si="1932"/>
        <v>18</v>
      </c>
      <c r="FT106" s="378">
        <f t="shared" ca="1" si="1932"/>
        <v>6</v>
      </c>
      <c r="FU106" s="378">
        <f t="shared" ca="1" si="1932"/>
        <v>8</v>
      </c>
      <c r="FV106" s="378">
        <f t="shared" ca="1" si="1932"/>
        <v>10</v>
      </c>
      <c r="FW106" s="378">
        <f t="shared" ca="1" si="1911"/>
        <v>15</v>
      </c>
      <c r="FX106" s="378">
        <f t="shared" ca="1" si="1911"/>
        <v>16</v>
      </c>
      <c r="FY106" s="378">
        <f t="shared" ca="1" si="1911"/>
        <v>17</v>
      </c>
      <c r="FZ106" s="378">
        <f t="shared" ca="1" si="1911"/>
        <v>20</v>
      </c>
      <c r="GB106" s="275" t="str">
        <f t="shared" ca="1" si="1912"/>
        <v>R&amp;D / prod development apps (17%)</v>
      </c>
      <c r="GC106" s="231" t="str">
        <f t="shared" ca="1" si="1913"/>
        <v>; Logistics, warehousing, distribution data (15%)</v>
      </c>
      <c r="GD106" s="231" t="str">
        <f t="shared" ca="1" si="1914"/>
        <v>; Manufacturing data (12%)</v>
      </c>
      <c r="GE106" s="231" t="str">
        <f t="shared" ca="1" si="1915"/>
        <v>; Supply chain analytics/optimization (11%)</v>
      </c>
      <c r="GF106" s="231" t="str">
        <f t="shared" ca="1" si="1916"/>
        <v>; Support / services data (10%)</v>
      </c>
      <c r="GG106" s="231" t="str">
        <f t="shared" ca="1" si="1917"/>
        <v>; Purchasing data (7%)</v>
      </c>
      <c r="GH106" s="231" t="str">
        <f t="shared" ca="1" si="1918"/>
        <v>; Production and inventory analysis (6%)</v>
      </c>
      <c r="GI106" s="231" t="str">
        <f t="shared" ca="1" si="1919"/>
        <v/>
      </c>
      <c r="GJ106" s="231" t="str">
        <f t="shared" ca="1" si="1920"/>
        <v/>
      </c>
      <c r="GK106" s="231" t="str">
        <f t="shared" ca="1" si="1921"/>
        <v/>
      </c>
      <c r="GL106" s="231" t="str">
        <f t="shared" ca="1" si="1922"/>
        <v/>
      </c>
      <c r="GM106" s="231" t="str">
        <f t="shared" ca="1" si="1923"/>
        <v/>
      </c>
      <c r="GN106" s="231" t="str">
        <f t="shared" ca="1" si="1924"/>
        <v/>
      </c>
      <c r="GO106" s="231" t="str">
        <f t="shared" ca="1" si="1925"/>
        <v/>
      </c>
      <c r="GP106" s="231" t="str">
        <f t="shared" ca="1" si="1926"/>
        <v/>
      </c>
      <c r="GQ106" s="231" t="str">
        <f t="shared" ca="1" si="1927"/>
        <v/>
      </c>
      <c r="GR106" s="231" t="str">
        <f t="shared" ca="1" si="1928"/>
        <v/>
      </c>
      <c r="GS106" s="231" t="str">
        <f t="shared" ca="1" si="1929"/>
        <v/>
      </c>
      <c r="GT106" s="231" t="str">
        <f t="shared" ca="1" si="1930"/>
        <v/>
      </c>
      <c r="GU106" s="231" t="str">
        <f t="shared" ca="1" si="1931"/>
        <v/>
      </c>
    </row>
    <row r="107" spans="2:203" s="386" customFormat="1" ht="16.5" hidden="1" customHeight="1">
      <c r="B107" s="373"/>
      <c r="C107" s="81" t="str">
        <f>KPIs!B21</f>
        <v>Project management effectiveness</v>
      </c>
      <c r="D107" s="404">
        <f t="shared" ca="1" si="1843"/>
        <v>0.55070826531588324</v>
      </c>
      <c r="E107" s="374">
        <f>ROW(Initiatives!$A$170)</f>
        <v>170</v>
      </c>
      <c r="F107" s="374">
        <f>ROW(Initiatives!$A$176)</f>
        <v>176</v>
      </c>
      <c r="G107" s="374">
        <f>ROW(Initiatives!$A$183)</f>
        <v>183</v>
      </c>
      <c r="H107" s="374">
        <f>ROW(Initiatives!$A$185)</f>
        <v>185</v>
      </c>
      <c r="I107" s="374">
        <f>ROW(Initiatives!$A$186)</f>
        <v>186</v>
      </c>
      <c r="J107" s="374">
        <f>ROW(Initiatives!$A$187)</f>
        <v>187</v>
      </c>
      <c r="K107" s="374">
        <f>ROW(Initiatives!$A$188)</f>
        <v>188</v>
      </c>
      <c r="L107" s="374"/>
      <c r="M107" s="374"/>
      <c r="N107" s="374"/>
      <c r="O107" s="374" t="s">
        <v>975</v>
      </c>
      <c r="P107" s="374" t="s">
        <v>975</v>
      </c>
      <c r="Q107" s="374" t="s">
        <v>975</v>
      </c>
      <c r="R107" s="374" t="s">
        <v>975</v>
      </c>
      <c r="S107" s="374" t="s">
        <v>975</v>
      </c>
      <c r="T107" s="374" t="s">
        <v>975</v>
      </c>
      <c r="U107" s="374" t="s">
        <v>975</v>
      </c>
      <c r="V107" s="374" t="s">
        <v>975</v>
      </c>
      <c r="W107" s="374" t="s">
        <v>975</v>
      </c>
      <c r="X107" s="374" t="s">
        <v>975</v>
      </c>
      <c r="Y107" s="392" t="str">
        <f ca="1">OFFSET(Initiatives!$D$1,E107-1,$BS$3)</f>
        <v>BI Applications</v>
      </c>
      <c r="Z107" s="375">
        <v>3</v>
      </c>
      <c r="AA107" s="392" t="str">
        <f ca="1">OFFSET(Initiatives!$D$1,F107-1,$BS$3)</f>
        <v>Source System Inclusion / Integration</v>
      </c>
      <c r="AB107" s="375">
        <v>3</v>
      </c>
      <c r="AC107" s="392" t="str">
        <f ca="1">OFFSET(Initiatives!$D$1,G107-1,$BS$3)</f>
        <v>Enhance DW Platform</v>
      </c>
      <c r="AD107" s="375">
        <v>3</v>
      </c>
      <c r="AE107" s="392" t="str">
        <f ca="1">OFFSET(Initiatives!$D$1,H107-1,$BS$3)</f>
        <v>Reporting</v>
      </c>
      <c r="AF107" s="375">
        <v>1</v>
      </c>
      <c r="AG107" s="392" t="str">
        <f ca="1">OFFSET(Initiatives!$D$1,I107-1,$BS$3)</f>
        <v>Scorecards / Dashboards</v>
      </c>
      <c r="AH107" s="375">
        <v>6</v>
      </c>
      <c r="AI107" s="392" t="str">
        <f ca="1">OFFSET(Initiatives!$D$1,J107-1,$BS$3)</f>
        <v>Analytical Tools</v>
      </c>
      <c r="AJ107" s="375">
        <v>5</v>
      </c>
      <c r="AK107" s="392" t="str">
        <f ca="1">OFFSET(Initiatives!$D$1,K107-1,$BS$3)</f>
        <v>Workflow and Collaboration</v>
      </c>
      <c r="AL107" s="375">
        <v>9</v>
      </c>
      <c r="AM107" s="392" t="e">
        <f ca="1">OFFSET(Initiatives!$D$1,L107-1,$BS$3)</f>
        <v>#REF!</v>
      </c>
      <c r="AN107" s="375"/>
      <c r="AO107" s="392" t="e">
        <f ca="1">OFFSET(Initiatives!$D$1,M107-1,$BS$3)</f>
        <v>#REF!</v>
      </c>
      <c r="AP107" s="375"/>
      <c r="AQ107" s="392" t="e">
        <f ca="1">OFFSET(Initiatives!$D$1,N107-1,$BS$3)</f>
        <v>#REF!</v>
      </c>
      <c r="AR107" s="375"/>
      <c r="AS107" s="392" t="e">
        <f ca="1">OFFSET(Initiatives!$D$1,O107-1,$BS$3)</f>
        <v>#VALUE!</v>
      </c>
      <c r="AT107" s="375"/>
      <c r="AU107" s="392" t="e">
        <f ca="1">OFFSET(Initiatives!$D$1,P107-1,$BS$3)</f>
        <v>#VALUE!</v>
      </c>
      <c r="AV107" s="375"/>
      <c r="AW107" s="392" t="e">
        <f ca="1">OFFSET(Initiatives!$D$1,Q107-1,$BS$3)</f>
        <v>#VALUE!</v>
      </c>
      <c r="AX107" s="375"/>
      <c r="AY107" s="392" t="e">
        <f ca="1">OFFSET(Initiatives!$D$1,R107-1,$BS$3)</f>
        <v>#VALUE!</v>
      </c>
      <c r="AZ107" s="375"/>
      <c r="BA107" s="392" t="e">
        <f ca="1">OFFSET(Initiatives!$D$1,S107-1,$BS$3)</f>
        <v>#VALUE!</v>
      </c>
      <c r="BB107" s="375"/>
      <c r="BC107" s="392" t="e">
        <f ca="1">OFFSET(Initiatives!$D$1,T107-1,$BS$3)</f>
        <v>#VALUE!</v>
      </c>
      <c r="BD107" s="375"/>
      <c r="BE107" s="392" t="e">
        <f ca="1">OFFSET(Initiatives!$D$1,U107-1,$BS$3)</f>
        <v>#VALUE!</v>
      </c>
      <c r="BF107" s="375"/>
      <c r="BG107" s="392" t="e">
        <f ca="1">OFFSET(Initiatives!$D$1,V107-1,$BS$3)</f>
        <v>#VALUE!</v>
      </c>
      <c r="BH107" s="375"/>
      <c r="BI107" s="392" t="e">
        <f ca="1">OFFSET(Initiatives!$D$1,W107-1,$BS$3)</f>
        <v>#VALUE!</v>
      </c>
      <c r="BJ107" s="375"/>
      <c r="BK107" s="392" t="e">
        <f ca="1">OFFSET(Initiatives!$D$1,X107-1,$BS$3)</f>
        <v>#VALUE!</v>
      </c>
      <c r="BL107" s="375"/>
      <c r="BN107" s="101">
        <f t="shared" si="1844"/>
        <v>30.0001</v>
      </c>
      <c r="BP107" s="231" t="str">
        <f t="shared" ca="1" si="1845"/>
        <v>Workflow and Collaboration (39%); Scorecards / Dashboards (22%); Analytical Tools (18%); BI Applications (8%); Source System Inclusion / Integration (8%)</v>
      </c>
      <c r="BQ107" s="338">
        <v>0.01</v>
      </c>
      <c r="BR107" s="40">
        <f t="shared" ca="1" si="1846"/>
        <v>6</v>
      </c>
      <c r="BS107" s="274">
        <v>0.05</v>
      </c>
      <c r="BT107" s="40">
        <f t="shared" ca="1" si="1847"/>
        <v>5</v>
      </c>
      <c r="BU107" s="376">
        <v>7</v>
      </c>
      <c r="BV107" s="40">
        <f t="shared" ca="1" si="1848"/>
        <v>5</v>
      </c>
      <c r="BY107" s="377">
        <f ca="1">IF(ISERROR(OFFSET(Initiatives!$D$1,E107-1,$BY$3)),,OFFSET(Initiatives!$D$1,E107-1,$BY$3))</f>
        <v>0.45555555555555544</v>
      </c>
      <c r="BZ107" s="377">
        <f ca="1">IF(ISERROR(OFFSET(Initiatives!$D$1,F107-1,$BY$3)),,OFFSET(Initiatives!$D$1,F107-1,$BY$3))</f>
        <v>0.45454545454545436</v>
      </c>
      <c r="CA107" s="377">
        <f ca="1">IF(ISERROR(OFFSET(Initiatives!$D$1,G107-1,$BY$3)),,OFFSET(Initiatives!$D$1,G107-1,$BY$3))</f>
        <v>7.7000000000000179E-2</v>
      </c>
      <c r="CB107" s="377">
        <f ca="1">IF(ISERROR(OFFSET(Initiatives!$D$1,H107-1,$BY$3)),,OFFSET(Initiatives!$D$1,H107-1,$BY$3))</f>
        <v>0.48</v>
      </c>
      <c r="CC107" s="377">
        <f ca="1">IF(ISERROR(OFFSET(Initiatives!$D$1,I107-1,$BY$3)),,OFFSET(Initiatives!$D$1,I107-1,$BY$3))</f>
        <v>0.6</v>
      </c>
      <c r="CD107" s="377">
        <f ca="1">IF(ISERROR(OFFSET(Initiatives!$D$1,J107-1,$BY$3)),,OFFSET(Initiatives!$D$1,J107-1,$BY$3))</f>
        <v>0.6</v>
      </c>
      <c r="CE107" s="377">
        <f ca="1">IF(ISERROR(OFFSET(Initiatives!$D$1,K107-1,$BY$3)),,OFFSET(Initiatives!$D$1,K107-1,$BY$3))</f>
        <v>0.72000000000000008</v>
      </c>
      <c r="CF107" s="377">
        <f ca="1">IF(ISERROR(OFFSET(Initiatives!$D$1,L107-1,$BY$3)),,OFFSET(Initiatives!$D$1,L107-1,$BY$3))</f>
        <v>0</v>
      </c>
      <c r="CG107" s="377">
        <f ca="1">IF(ISERROR(OFFSET(Initiatives!$D$1,M107-1,$BY$3)),,OFFSET(Initiatives!$D$1,M107-1,$BY$3))</f>
        <v>0</v>
      </c>
      <c r="CH107" s="377">
        <f ca="1">IF(ISERROR(OFFSET(Initiatives!$D$1,N107-1,$BY$3)),,OFFSET(Initiatives!$D$1,N107-1,$BY$3))</f>
        <v>0</v>
      </c>
      <c r="CI107" s="377">
        <f ca="1">IF(ISERROR(OFFSET(Initiatives!$D$1,O107-1,$BY$3)),,OFFSET(Initiatives!$D$1,O107-1,$BY$3))</f>
        <v>0</v>
      </c>
      <c r="CJ107" s="377">
        <f ca="1">IF(ISERROR(OFFSET(Initiatives!$D$1,P107-1,$BY$3)),,OFFSET(Initiatives!$D$1,P107-1,$BY$3))</f>
        <v>0</v>
      </c>
      <c r="CK107" s="377">
        <f ca="1">IF(ISERROR(OFFSET(Initiatives!$D$1,Q107-1,$BY$3)),,OFFSET(Initiatives!$D$1,Q107-1,$BY$3))</f>
        <v>0</v>
      </c>
      <c r="CL107" s="377">
        <f ca="1">IF(ISERROR(OFFSET(Initiatives!$D$1,R107-1,$BY$3)),,OFFSET(Initiatives!$D$1,R107-1,$BY$3))</f>
        <v>0</v>
      </c>
      <c r="CM107" s="377">
        <f ca="1">IF(ISERROR(OFFSET(Initiatives!$D$1,S107-1,$BY$3)),,OFFSET(Initiatives!$D$1,S107-1,$BY$3))</f>
        <v>0</v>
      </c>
      <c r="CN107" s="377">
        <f ca="1">IF(ISERROR(OFFSET(Initiatives!$D$1,T107-1,$BY$3)),,OFFSET(Initiatives!$D$1,T107-1,$BY$3))</f>
        <v>0</v>
      </c>
      <c r="CO107" s="377">
        <f ca="1">IF(ISERROR(OFFSET(Initiatives!$D$1,U107-1,$BY$3)),,OFFSET(Initiatives!$D$1,U107-1,$BY$3))</f>
        <v>0</v>
      </c>
      <c r="CP107" s="377">
        <f ca="1">IF(ISERROR(OFFSET(Initiatives!$D$1,V107-1,$BY$3)),,OFFSET(Initiatives!$D$1,V107-1,$BY$3))</f>
        <v>0</v>
      </c>
      <c r="CQ107" s="377">
        <f ca="1">IF(ISERROR(OFFSET(Initiatives!$D$1,W107-1,$BY$3)),,OFFSET(Initiatives!$D$1,W107-1,$BY$3))</f>
        <v>0</v>
      </c>
      <c r="CR107" s="377">
        <f ca="1">IF(ISERROR(OFFSET(Initiatives!$D$1,X107-1,$BY$3)),,OFFSET(Initiatives!$D$1,X107-1,$BY$3))</f>
        <v>0</v>
      </c>
      <c r="CT107" s="41">
        <f t="shared" ca="1" si="1849"/>
        <v>4.5555403704209858E-2</v>
      </c>
      <c r="CU107" s="41">
        <f t="shared" ca="1" si="1850"/>
        <v>4.5454393939898974E-2</v>
      </c>
      <c r="CV107" s="41">
        <f t="shared" ca="1" si="1851"/>
        <v>7.6999743334189063E-3</v>
      </c>
      <c r="CW107" s="41">
        <f t="shared" ca="1" si="1852"/>
        <v>1.5999946666844442E-2</v>
      </c>
      <c r="CX107" s="41">
        <f t="shared" ca="1" si="1853"/>
        <v>0.11999960000133332</v>
      </c>
      <c r="CY107" s="41">
        <f t="shared" ca="1" si="1854"/>
        <v>9.9999666667777778E-2</v>
      </c>
      <c r="CZ107" s="41">
        <f t="shared" ca="1" si="1855"/>
        <v>0.21599928000240001</v>
      </c>
      <c r="DA107" s="41">
        <f t="shared" ca="1" si="1856"/>
        <v>0</v>
      </c>
      <c r="DB107" s="41">
        <f t="shared" ca="1" si="1857"/>
        <v>0</v>
      </c>
      <c r="DC107" s="41">
        <f t="shared" ca="1" si="1858"/>
        <v>0</v>
      </c>
      <c r="DD107" s="41">
        <f t="shared" ca="1" si="1859"/>
        <v>0</v>
      </c>
      <c r="DE107" s="41">
        <f t="shared" ca="1" si="1860"/>
        <v>0</v>
      </c>
      <c r="DF107" s="41">
        <f t="shared" ca="1" si="1861"/>
        <v>0</v>
      </c>
      <c r="DG107" s="41">
        <f t="shared" ca="1" si="1862"/>
        <v>0</v>
      </c>
      <c r="DH107" s="41">
        <f t="shared" ca="1" si="1863"/>
        <v>0</v>
      </c>
      <c r="DI107" s="41">
        <f t="shared" ca="1" si="1864"/>
        <v>0</v>
      </c>
      <c r="DJ107" s="41">
        <f t="shared" ca="1" si="1865"/>
        <v>0</v>
      </c>
      <c r="DK107" s="41">
        <f t="shared" ca="1" si="1866"/>
        <v>0</v>
      </c>
      <c r="DL107" s="41">
        <f t="shared" ca="1" si="1867"/>
        <v>0</v>
      </c>
      <c r="DM107" s="41">
        <f t="shared" ca="1" si="1868"/>
        <v>0</v>
      </c>
      <c r="DN107" s="41">
        <f t="shared" ca="1" si="1869"/>
        <v>0.55070826531588324</v>
      </c>
      <c r="DP107" s="41">
        <f t="shared" ca="1" si="1870"/>
        <v>8.2711481723321392E-2</v>
      </c>
      <c r="DQ107" s="41">
        <f t="shared" ca="1" si="1871"/>
        <v>8.251806380375748E-2</v>
      </c>
      <c r="DR107" s="41">
        <f t="shared" ca="1" si="1872"/>
        <v>1.3951948008356554E-2</v>
      </c>
      <c r="DS107" s="41">
        <f t="shared" ca="1" si="1873"/>
        <v>2.9013398458922639E-2</v>
      </c>
      <c r="DT107" s="41">
        <f t="shared" ca="1" si="1874"/>
        <v>0.21785048844191982</v>
      </c>
      <c r="DU107" s="41">
        <f t="shared" ca="1" si="1875"/>
        <v>0.18152374036826652</v>
      </c>
      <c r="DV107" s="41">
        <f t="shared" ca="1" si="1876"/>
        <v>0.39215087919545571</v>
      </c>
      <c r="DW107" s="41">
        <f t="shared" ca="1" si="1877"/>
        <v>-8.0000000000000007E-5</v>
      </c>
      <c r="DX107" s="41">
        <f t="shared" ca="1" si="1878"/>
        <v>-9.0000000000000006E-5</v>
      </c>
      <c r="DY107" s="41">
        <f t="shared" ca="1" si="1879"/>
        <v>-1E-4</v>
      </c>
      <c r="DZ107" s="41">
        <f t="shared" ca="1" si="1880"/>
        <v>-1.1E-4</v>
      </c>
      <c r="EA107" s="41">
        <f t="shared" ca="1" si="1881"/>
        <v>-1.2E-4</v>
      </c>
      <c r="EB107" s="41">
        <f t="shared" ca="1" si="1882"/>
        <v>-1.2999999999999999E-4</v>
      </c>
      <c r="EC107" s="41">
        <f t="shared" ca="1" si="1883"/>
        <v>-1.3999999999999999E-4</v>
      </c>
      <c r="ED107" s="41">
        <f t="shared" ca="1" si="1884"/>
        <v>-1.4999999999999999E-4</v>
      </c>
      <c r="EE107" s="41">
        <f t="shared" ca="1" si="1885"/>
        <v>-1.6000000000000001E-4</v>
      </c>
      <c r="EF107" s="41">
        <f t="shared" ca="1" si="1886"/>
        <v>-1.7000000000000001E-4</v>
      </c>
      <c r="EG107" s="41">
        <f t="shared" ca="1" si="1887"/>
        <v>-1.8000000000000001E-4</v>
      </c>
      <c r="EH107" s="41">
        <f t="shared" ca="1" si="1888"/>
        <v>-1.9000000000000001E-4</v>
      </c>
      <c r="EI107" s="41">
        <f t="shared" ca="1" si="1889"/>
        <v>-2.0000000000000001E-4</v>
      </c>
      <c r="EJ107" s="41">
        <f t="shared" ca="1" si="1890"/>
        <v>0.99790000000000012</v>
      </c>
      <c r="EL107" s="378">
        <f t="shared" ca="1" si="1891"/>
        <v>4</v>
      </c>
      <c r="EM107" s="378">
        <f t="shared" ca="1" si="1892"/>
        <v>5</v>
      </c>
      <c r="EN107" s="378">
        <f t="shared" ca="1" si="1893"/>
        <v>7</v>
      </c>
      <c r="EO107" s="378">
        <f t="shared" ca="1" si="1894"/>
        <v>6</v>
      </c>
      <c r="EP107" s="378">
        <f t="shared" ca="1" si="1895"/>
        <v>2</v>
      </c>
      <c r="EQ107" s="378">
        <f t="shared" ca="1" si="1896"/>
        <v>3</v>
      </c>
      <c r="ER107" s="378">
        <f t="shared" ca="1" si="1897"/>
        <v>1</v>
      </c>
      <c r="ES107" s="378">
        <f t="shared" ca="1" si="1898"/>
        <v>8</v>
      </c>
      <c r="ET107" s="378">
        <f t="shared" ca="1" si="1899"/>
        <v>9</v>
      </c>
      <c r="EU107" s="378">
        <f t="shared" ca="1" si="1900"/>
        <v>10</v>
      </c>
      <c r="EV107" s="378">
        <f t="shared" ca="1" si="1901"/>
        <v>11</v>
      </c>
      <c r="EW107" s="378">
        <f t="shared" ca="1" si="1902"/>
        <v>12</v>
      </c>
      <c r="EX107" s="378">
        <f t="shared" ca="1" si="1903"/>
        <v>13</v>
      </c>
      <c r="EY107" s="378">
        <f t="shared" ca="1" si="1904"/>
        <v>14</v>
      </c>
      <c r="EZ107" s="378">
        <f t="shared" ca="1" si="1905"/>
        <v>15</v>
      </c>
      <c r="FA107" s="378">
        <f t="shared" ca="1" si="1906"/>
        <v>16</v>
      </c>
      <c r="FB107" s="378">
        <f t="shared" ca="1" si="1907"/>
        <v>17</v>
      </c>
      <c r="FC107" s="378">
        <f t="shared" ca="1" si="1908"/>
        <v>18</v>
      </c>
      <c r="FD107" s="378">
        <f t="shared" ca="1" si="1909"/>
        <v>19</v>
      </c>
      <c r="FE107" s="378">
        <f t="shared" ca="1" si="1910"/>
        <v>20</v>
      </c>
      <c r="FG107" s="378">
        <f t="shared" ca="1" si="1932"/>
        <v>7</v>
      </c>
      <c r="FH107" s="378">
        <f t="shared" ca="1" si="1932"/>
        <v>5</v>
      </c>
      <c r="FI107" s="378">
        <f t="shared" ca="1" si="1932"/>
        <v>6</v>
      </c>
      <c r="FJ107" s="378">
        <f t="shared" ca="1" si="1932"/>
        <v>1</v>
      </c>
      <c r="FK107" s="378">
        <f t="shared" ca="1" si="1932"/>
        <v>2</v>
      </c>
      <c r="FL107" s="378">
        <f t="shared" ca="1" si="1932"/>
        <v>4</v>
      </c>
      <c r="FM107" s="378">
        <f t="shared" ca="1" si="1932"/>
        <v>3</v>
      </c>
      <c r="FN107" s="378">
        <f t="shared" ca="1" si="1932"/>
        <v>8</v>
      </c>
      <c r="FO107" s="378">
        <f t="shared" ca="1" si="1932"/>
        <v>9</v>
      </c>
      <c r="FP107" s="378">
        <f t="shared" ca="1" si="1932"/>
        <v>10</v>
      </c>
      <c r="FQ107" s="378">
        <f t="shared" ca="1" si="1932"/>
        <v>11</v>
      </c>
      <c r="FR107" s="378">
        <f t="shared" ca="1" si="1932"/>
        <v>12</v>
      </c>
      <c r="FS107" s="378">
        <f t="shared" ca="1" si="1932"/>
        <v>13</v>
      </c>
      <c r="FT107" s="378">
        <f t="shared" ca="1" si="1932"/>
        <v>14</v>
      </c>
      <c r="FU107" s="378">
        <f t="shared" ca="1" si="1932"/>
        <v>15</v>
      </c>
      <c r="FV107" s="378">
        <f t="shared" ca="1" si="1932"/>
        <v>16</v>
      </c>
      <c r="FW107" s="378">
        <f t="shared" ca="1" si="1911"/>
        <v>17</v>
      </c>
      <c r="FX107" s="378">
        <f t="shared" ca="1" si="1911"/>
        <v>18</v>
      </c>
      <c r="FY107" s="378">
        <f t="shared" ca="1" si="1911"/>
        <v>19</v>
      </c>
      <c r="FZ107" s="378">
        <f t="shared" ca="1" si="1911"/>
        <v>20</v>
      </c>
      <c r="GB107" s="275" t="str">
        <f t="shared" ca="1" si="1912"/>
        <v>Workflow and Collaboration (39%)</v>
      </c>
      <c r="GC107" s="231" t="str">
        <f t="shared" ca="1" si="1913"/>
        <v>; Scorecards / Dashboards (22%)</v>
      </c>
      <c r="GD107" s="231" t="str">
        <f t="shared" ca="1" si="1914"/>
        <v>; Analytical Tools (18%)</v>
      </c>
      <c r="GE107" s="231" t="str">
        <f t="shared" ca="1" si="1915"/>
        <v>; BI Applications (8%)</v>
      </c>
      <c r="GF107" s="231" t="str">
        <f t="shared" ca="1" si="1916"/>
        <v>; Source System Inclusion / Integration (8%)</v>
      </c>
      <c r="GG107" s="231" t="str">
        <f t="shared" ca="1" si="1917"/>
        <v/>
      </c>
      <c r="GH107" s="231" t="str">
        <f t="shared" ca="1" si="1918"/>
        <v/>
      </c>
      <c r="GI107" s="231" t="str">
        <f t="shared" ca="1" si="1919"/>
        <v/>
      </c>
      <c r="GJ107" s="231" t="str">
        <f t="shared" ca="1" si="1920"/>
        <v/>
      </c>
      <c r="GK107" s="231" t="str">
        <f t="shared" ca="1" si="1921"/>
        <v/>
      </c>
      <c r="GL107" s="231" t="str">
        <f t="shared" ca="1" si="1922"/>
        <v/>
      </c>
      <c r="GM107" s="231" t="str">
        <f t="shared" ca="1" si="1923"/>
        <v/>
      </c>
      <c r="GN107" s="231" t="str">
        <f t="shared" ca="1" si="1924"/>
        <v/>
      </c>
      <c r="GO107" s="231" t="str">
        <f t="shared" ca="1" si="1925"/>
        <v/>
      </c>
      <c r="GP107" s="231" t="str">
        <f t="shared" ca="1" si="1926"/>
        <v/>
      </c>
      <c r="GQ107" s="231" t="str">
        <f t="shared" ca="1" si="1927"/>
        <v/>
      </c>
      <c r="GR107" s="231" t="str">
        <f t="shared" ca="1" si="1928"/>
        <v/>
      </c>
      <c r="GS107" s="231" t="str">
        <f t="shared" ca="1" si="1929"/>
        <v/>
      </c>
      <c r="GT107" s="231" t="str">
        <f t="shared" ca="1" si="1930"/>
        <v/>
      </c>
      <c r="GU107" s="231" t="str">
        <f t="shared" ca="1" si="1931"/>
        <v/>
      </c>
    </row>
    <row r="108" spans="2:203" s="386" customFormat="1" ht="16.5" hidden="1" customHeight="1">
      <c r="B108" s="373"/>
      <c r="C108" s="81" t="str">
        <f>KPIs!B22</f>
        <v>User computing experience satisfaction</v>
      </c>
      <c r="D108" s="404">
        <f t="shared" ca="1" si="1843"/>
        <v>0.51465895146520413</v>
      </c>
      <c r="E108" s="374">
        <f>ROW(Initiatives!$A$170)</f>
        <v>170</v>
      </c>
      <c r="F108" s="374">
        <f>ROW(Initiatives!$A$176)</f>
        <v>176</v>
      </c>
      <c r="G108" s="374">
        <f>ROW(Initiatives!$A$183)</f>
        <v>183</v>
      </c>
      <c r="H108" s="374">
        <f>ROW(Initiatives!$A$185)</f>
        <v>185</v>
      </c>
      <c r="I108" s="374">
        <f>ROW(Initiatives!$A$186)</f>
        <v>186</v>
      </c>
      <c r="J108" s="374">
        <f>ROW(Initiatives!$A$187)</f>
        <v>187</v>
      </c>
      <c r="K108" s="374">
        <f>ROW(Initiatives!$A$188)</f>
        <v>188</v>
      </c>
      <c r="L108" s="374"/>
      <c r="M108" s="374"/>
      <c r="N108" s="374"/>
      <c r="O108" s="374"/>
      <c r="P108" s="374"/>
      <c r="Q108" s="374"/>
      <c r="R108" s="374"/>
      <c r="S108" s="374"/>
      <c r="T108" s="374"/>
      <c r="U108" s="374"/>
      <c r="V108" s="374"/>
      <c r="W108" s="374"/>
      <c r="X108" s="374"/>
      <c r="Y108" s="392" t="str">
        <f ca="1">OFFSET(Initiatives!$D$1,E108-1,$BS$3)</f>
        <v>BI Applications</v>
      </c>
      <c r="Z108" s="375">
        <v>7</v>
      </c>
      <c r="AA108" s="392" t="str">
        <f ca="1">OFFSET(Initiatives!$D$1,F108-1,$BS$3)</f>
        <v>Source System Inclusion / Integration</v>
      </c>
      <c r="AB108" s="375">
        <v>3</v>
      </c>
      <c r="AC108" s="392" t="str">
        <f ca="1">OFFSET(Initiatives!$D$1,G108-1,$BS$3)</f>
        <v>Enhance DW Platform</v>
      </c>
      <c r="AD108" s="375">
        <v>2</v>
      </c>
      <c r="AE108" s="392" t="str">
        <f ca="1">OFFSET(Initiatives!$D$1,H108-1,$BS$3)</f>
        <v>Reporting</v>
      </c>
      <c r="AF108" s="375">
        <v>1</v>
      </c>
      <c r="AG108" s="392" t="str">
        <f ca="1">OFFSET(Initiatives!$D$1,I108-1,$BS$3)</f>
        <v>Scorecards / Dashboards</v>
      </c>
      <c r="AH108" s="375">
        <v>3</v>
      </c>
      <c r="AI108" s="392" t="str">
        <f ca="1">OFFSET(Initiatives!$D$1,J108-1,$BS$3)</f>
        <v>Analytical Tools</v>
      </c>
      <c r="AJ108" s="375">
        <v>5</v>
      </c>
      <c r="AK108" s="392" t="str">
        <f ca="1">OFFSET(Initiatives!$D$1,K108-1,$BS$3)</f>
        <v>Workflow and Collaboration</v>
      </c>
      <c r="AL108" s="375">
        <v>4</v>
      </c>
      <c r="AM108" s="392" t="e">
        <f ca="1">OFFSET(Initiatives!$D$1,L108-1,$BS$3)</f>
        <v>#REF!</v>
      </c>
      <c r="AN108" s="375"/>
      <c r="AO108" s="392" t="e">
        <f ca="1">OFFSET(Initiatives!$D$1,M108-1,$BS$3)</f>
        <v>#REF!</v>
      </c>
      <c r="AP108" s="375"/>
      <c r="AQ108" s="392" t="e">
        <f ca="1">OFFSET(Initiatives!$D$1,N108-1,$BS$3)</f>
        <v>#REF!</v>
      </c>
      <c r="AR108" s="375"/>
      <c r="AS108" s="392" t="e">
        <f ca="1">OFFSET(Initiatives!$D$1,O108-1,$BS$3)</f>
        <v>#REF!</v>
      </c>
      <c r="AT108" s="375"/>
      <c r="AU108" s="392" t="e">
        <f ca="1">OFFSET(Initiatives!$D$1,P108-1,$BS$3)</f>
        <v>#REF!</v>
      </c>
      <c r="AV108" s="375"/>
      <c r="AW108" s="392" t="e">
        <f ca="1">OFFSET(Initiatives!$D$1,Q108-1,$BS$3)</f>
        <v>#REF!</v>
      </c>
      <c r="AX108" s="375"/>
      <c r="AY108" s="392" t="e">
        <f ca="1">OFFSET(Initiatives!$D$1,R108-1,$BS$3)</f>
        <v>#REF!</v>
      </c>
      <c r="AZ108" s="375"/>
      <c r="BA108" s="392" t="e">
        <f ca="1">OFFSET(Initiatives!$D$1,S108-1,$BS$3)</f>
        <v>#REF!</v>
      </c>
      <c r="BB108" s="375"/>
      <c r="BC108" s="392" t="e">
        <f ca="1">OFFSET(Initiatives!$D$1,T108-1,$BS$3)</f>
        <v>#REF!</v>
      </c>
      <c r="BD108" s="375"/>
      <c r="BE108" s="392" t="e">
        <f ca="1">OFFSET(Initiatives!$D$1,U108-1,$BS$3)</f>
        <v>#REF!</v>
      </c>
      <c r="BF108" s="375"/>
      <c r="BG108" s="392" t="e">
        <f ca="1">OFFSET(Initiatives!$D$1,V108-1,$BS$3)</f>
        <v>#REF!</v>
      </c>
      <c r="BH108" s="375"/>
      <c r="BI108" s="392" t="e">
        <f ca="1">OFFSET(Initiatives!$D$1,W108-1,$BS$3)</f>
        <v>#REF!</v>
      </c>
      <c r="BJ108" s="375"/>
      <c r="BK108" s="392" t="e">
        <f ca="1">OFFSET(Initiatives!$D$1,X108-1,$BS$3)</f>
        <v>#REF!</v>
      </c>
      <c r="BL108" s="375"/>
      <c r="BN108" s="101">
        <f t="shared" si="1844"/>
        <v>25.0001</v>
      </c>
      <c r="BP108" s="231" t="str">
        <f t="shared" ca="1" si="1845"/>
        <v>BI Applications (25%); Analytical Tools (23%); Workflow and Collaboration (22%); Scorecards / Dashboards (14%); Source System Inclusion / Integration (11%)</v>
      </c>
      <c r="BQ108" s="338">
        <v>0.01</v>
      </c>
      <c r="BR108" s="40">
        <f t="shared" ca="1" si="1846"/>
        <v>6</v>
      </c>
      <c r="BS108" s="274">
        <v>0.05</v>
      </c>
      <c r="BT108" s="40">
        <f t="shared" ca="1" si="1847"/>
        <v>5</v>
      </c>
      <c r="BU108" s="376">
        <v>7</v>
      </c>
      <c r="BV108" s="40">
        <f t="shared" ca="1" si="1848"/>
        <v>5</v>
      </c>
      <c r="BY108" s="377">
        <f ca="1">IF(ISERROR(OFFSET(Initiatives!$D$1,E108-1,$BY$3)),,OFFSET(Initiatives!$D$1,E108-1,$BY$3))</f>
        <v>0.45555555555555544</v>
      </c>
      <c r="BZ108" s="377">
        <f ca="1">IF(ISERROR(OFFSET(Initiatives!$D$1,F108-1,$BY$3)),,OFFSET(Initiatives!$D$1,F108-1,$BY$3))</f>
        <v>0.45454545454545436</v>
      </c>
      <c r="CA108" s="377">
        <f ca="1">IF(ISERROR(OFFSET(Initiatives!$D$1,G108-1,$BY$3)),,OFFSET(Initiatives!$D$1,G108-1,$BY$3))</f>
        <v>7.7000000000000179E-2</v>
      </c>
      <c r="CB108" s="377">
        <f ca="1">IF(ISERROR(OFFSET(Initiatives!$D$1,H108-1,$BY$3)),,OFFSET(Initiatives!$D$1,H108-1,$BY$3))</f>
        <v>0.48</v>
      </c>
      <c r="CC108" s="377">
        <f ca="1">IF(ISERROR(OFFSET(Initiatives!$D$1,I108-1,$BY$3)),,OFFSET(Initiatives!$D$1,I108-1,$BY$3))</f>
        <v>0.6</v>
      </c>
      <c r="CD108" s="377">
        <f ca="1">IF(ISERROR(OFFSET(Initiatives!$D$1,J108-1,$BY$3)),,OFFSET(Initiatives!$D$1,J108-1,$BY$3))</f>
        <v>0.6</v>
      </c>
      <c r="CE108" s="377">
        <f ca="1">IF(ISERROR(OFFSET(Initiatives!$D$1,K108-1,$BY$3)),,OFFSET(Initiatives!$D$1,K108-1,$BY$3))</f>
        <v>0.72000000000000008</v>
      </c>
      <c r="CF108" s="377">
        <f ca="1">IF(ISERROR(OFFSET(Initiatives!$D$1,L108-1,$BY$3)),,OFFSET(Initiatives!$D$1,L108-1,$BY$3))</f>
        <v>0</v>
      </c>
      <c r="CG108" s="377">
        <f ca="1">IF(ISERROR(OFFSET(Initiatives!$D$1,M108-1,$BY$3)),,OFFSET(Initiatives!$D$1,M108-1,$BY$3))</f>
        <v>0</v>
      </c>
      <c r="CH108" s="377">
        <f ca="1">IF(ISERROR(OFFSET(Initiatives!$D$1,N108-1,$BY$3)),,OFFSET(Initiatives!$D$1,N108-1,$BY$3))</f>
        <v>0</v>
      </c>
      <c r="CI108" s="377">
        <f ca="1">IF(ISERROR(OFFSET(Initiatives!$D$1,O108-1,$BY$3)),,OFFSET(Initiatives!$D$1,O108-1,$BY$3))</f>
        <v>0</v>
      </c>
      <c r="CJ108" s="377">
        <f ca="1">IF(ISERROR(OFFSET(Initiatives!$D$1,P108-1,$BY$3)),,OFFSET(Initiatives!$D$1,P108-1,$BY$3))</f>
        <v>0</v>
      </c>
      <c r="CK108" s="377">
        <f ca="1">IF(ISERROR(OFFSET(Initiatives!$D$1,Q108-1,$BY$3)),,OFFSET(Initiatives!$D$1,Q108-1,$BY$3))</f>
        <v>0</v>
      </c>
      <c r="CL108" s="377">
        <f ca="1">IF(ISERROR(OFFSET(Initiatives!$D$1,R108-1,$BY$3)),,OFFSET(Initiatives!$D$1,R108-1,$BY$3))</f>
        <v>0</v>
      </c>
      <c r="CM108" s="377">
        <f ca="1">IF(ISERROR(OFFSET(Initiatives!$D$1,S108-1,$BY$3)),,OFFSET(Initiatives!$D$1,S108-1,$BY$3))</f>
        <v>0</v>
      </c>
      <c r="CN108" s="377">
        <f ca="1">IF(ISERROR(OFFSET(Initiatives!$D$1,T108-1,$BY$3)),,OFFSET(Initiatives!$D$1,T108-1,$BY$3))</f>
        <v>0</v>
      </c>
      <c r="CO108" s="377">
        <f ca="1">IF(ISERROR(OFFSET(Initiatives!$D$1,U108-1,$BY$3)),,OFFSET(Initiatives!$D$1,U108-1,$BY$3))</f>
        <v>0</v>
      </c>
      <c r="CP108" s="377">
        <f ca="1">IF(ISERROR(OFFSET(Initiatives!$D$1,V108-1,$BY$3)),,OFFSET(Initiatives!$D$1,V108-1,$BY$3))</f>
        <v>0</v>
      </c>
      <c r="CQ108" s="377">
        <f ca="1">IF(ISERROR(OFFSET(Initiatives!$D$1,W108-1,$BY$3)),,OFFSET(Initiatives!$D$1,W108-1,$BY$3))</f>
        <v>0</v>
      </c>
      <c r="CR108" s="377">
        <f ca="1">IF(ISERROR(OFFSET(Initiatives!$D$1,X108-1,$BY$3)),,OFFSET(Initiatives!$D$1,X108-1,$BY$3))</f>
        <v>0</v>
      </c>
      <c r="CT108" s="41">
        <f t="shared" ca="1" si="1849"/>
        <v>0.12755504533537418</v>
      </c>
      <c r="CU108" s="41">
        <f t="shared" ca="1" si="1850"/>
        <v>5.4545236364509066E-2</v>
      </c>
      <c r="CV108" s="41">
        <f t="shared" ca="1" si="1851"/>
        <v>6.159975360098574E-3</v>
      </c>
      <c r="CW108" s="41">
        <f t="shared" ca="1" si="1852"/>
        <v>1.9199923200307199E-2</v>
      </c>
      <c r="CX108" s="41">
        <f t="shared" ca="1" si="1853"/>
        <v>7.1999712001151989E-2</v>
      </c>
      <c r="CY108" s="41">
        <f t="shared" ca="1" si="1854"/>
        <v>0.11999952000191999</v>
      </c>
      <c r="CZ108" s="41">
        <f t="shared" ca="1" si="1855"/>
        <v>0.11519953920184321</v>
      </c>
      <c r="DA108" s="41">
        <f t="shared" ca="1" si="1856"/>
        <v>0</v>
      </c>
      <c r="DB108" s="41">
        <f t="shared" ca="1" si="1857"/>
        <v>0</v>
      </c>
      <c r="DC108" s="41">
        <f t="shared" ca="1" si="1858"/>
        <v>0</v>
      </c>
      <c r="DD108" s="41">
        <f t="shared" ca="1" si="1859"/>
        <v>0</v>
      </c>
      <c r="DE108" s="41">
        <f t="shared" ca="1" si="1860"/>
        <v>0</v>
      </c>
      <c r="DF108" s="41">
        <f t="shared" ca="1" si="1861"/>
        <v>0</v>
      </c>
      <c r="DG108" s="41">
        <f t="shared" ca="1" si="1862"/>
        <v>0</v>
      </c>
      <c r="DH108" s="41">
        <f t="shared" ca="1" si="1863"/>
        <v>0</v>
      </c>
      <c r="DI108" s="41">
        <f t="shared" ca="1" si="1864"/>
        <v>0</v>
      </c>
      <c r="DJ108" s="41">
        <f t="shared" ca="1" si="1865"/>
        <v>0</v>
      </c>
      <c r="DK108" s="41">
        <f t="shared" ca="1" si="1866"/>
        <v>0</v>
      </c>
      <c r="DL108" s="41">
        <f t="shared" ca="1" si="1867"/>
        <v>0</v>
      </c>
      <c r="DM108" s="41">
        <f t="shared" ca="1" si="1868"/>
        <v>0</v>
      </c>
      <c r="DN108" s="41">
        <f t="shared" ca="1" si="1869"/>
        <v>0.51465895146520413</v>
      </c>
      <c r="DP108" s="41">
        <f t="shared" ca="1" si="1870"/>
        <v>0.24783382934025022</v>
      </c>
      <c r="DQ108" s="41">
        <f t="shared" ca="1" si="1871"/>
        <v>0.10596326563488684</v>
      </c>
      <c r="DR108" s="41">
        <f t="shared" ca="1" si="1872"/>
        <v>1.1939043465699919E-2</v>
      </c>
      <c r="DS108" s="41">
        <f t="shared" ca="1" si="1873"/>
        <v>3.7266109503480187E-2</v>
      </c>
      <c r="DT108" s="41">
        <f t="shared" ca="1" si="1874"/>
        <v>0.13984791063805069</v>
      </c>
      <c r="DU108" s="41">
        <f t="shared" ca="1" si="1875"/>
        <v>0.23310318439675115</v>
      </c>
      <c r="DV108" s="41">
        <f t="shared" ca="1" si="1876"/>
        <v>0.22376665702088117</v>
      </c>
      <c r="DW108" s="41">
        <f t="shared" ca="1" si="1877"/>
        <v>-8.0000000000000007E-5</v>
      </c>
      <c r="DX108" s="41">
        <f t="shared" ca="1" si="1878"/>
        <v>-9.0000000000000006E-5</v>
      </c>
      <c r="DY108" s="41">
        <f t="shared" ca="1" si="1879"/>
        <v>-1E-4</v>
      </c>
      <c r="DZ108" s="41">
        <f t="shared" ca="1" si="1880"/>
        <v>-1.1E-4</v>
      </c>
      <c r="EA108" s="41">
        <f t="shared" ca="1" si="1881"/>
        <v>-1.2E-4</v>
      </c>
      <c r="EB108" s="41">
        <f t="shared" ca="1" si="1882"/>
        <v>-1.2999999999999999E-4</v>
      </c>
      <c r="EC108" s="41">
        <f t="shared" ca="1" si="1883"/>
        <v>-1.3999999999999999E-4</v>
      </c>
      <c r="ED108" s="41">
        <f t="shared" ca="1" si="1884"/>
        <v>-1.4999999999999999E-4</v>
      </c>
      <c r="EE108" s="41">
        <f t="shared" ca="1" si="1885"/>
        <v>-1.6000000000000001E-4</v>
      </c>
      <c r="EF108" s="41">
        <f t="shared" ca="1" si="1886"/>
        <v>-1.7000000000000001E-4</v>
      </c>
      <c r="EG108" s="41">
        <f t="shared" ca="1" si="1887"/>
        <v>-1.8000000000000001E-4</v>
      </c>
      <c r="EH108" s="41">
        <f t="shared" ca="1" si="1888"/>
        <v>-1.9000000000000001E-4</v>
      </c>
      <c r="EI108" s="41">
        <f t="shared" ca="1" si="1889"/>
        <v>-2.0000000000000001E-4</v>
      </c>
      <c r="EJ108" s="41">
        <f t="shared" ca="1" si="1890"/>
        <v>0.99790000000000012</v>
      </c>
      <c r="EL108" s="378">
        <f t="shared" ca="1" si="1891"/>
        <v>1</v>
      </c>
      <c r="EM108" s="378">
        <f t="shared" ca="1" si="1892"/>
        <v>5</v>
      </c>
      <c r="EN108" s="378">
        <f t="shared" ca="1" si="1893"/>
        <v>7</v>
      </c>
      <c r="EO108" s="378">
        <f t="shared" ca="1" si="1894"/>
        <v>6</v>
      </c>
      <c r="EP108" s="378">
        <f t="shared" ca="1" si="1895"/>
        <v>4</v>
      </c>
      <c r="EQ108" s="378">
        <f t="shared" ca="1" si="1896"/>
        <v>2</v>
      </c>
      <c r="ER108" s="378">
        <f t="shared" ca="1" si="1897"/>
        <v>3</v>
      </c>
      <c r="ES108" s="378">
        <f t="shared" ca="1" si="1898"/>
        <v>8</v>
      </c>
      <c r="ET108" s="378">
        <f t="shared" ca="1" si="1899"/>
        <v>9</v>
      </c>
      <c r="EU108" s="378">
        <f t="shared" ca="1" si="1900"/>
        <v>10</v>
      </c>
      <c r="EV108" s="378">
        <f t="shared" ca="1" si="1901"/>
        <v>11</v>
      </c>
      <c r="EW108" s="378">
        <f t="shared" ca="1" si="1902"/>
        <v>12</v>
      </c>
      <c r="EX108" s="378">
        <f t="shared" ca="1" si="1903"/>
        <v>13</v>
      </c>
      <c r="EY108" s="378">
        <f t="shared" ca="1" si="1904"/>
        <v>14</v>
      </c>
      <c r="EZ108" s="378">
        <f t="shared" ca="1" si="1905"/>
        <v>15</v>
      </c>
      <c r="FA108" s="378">
        <f t="shared" ca="1" si="1906"/>
        <v>16</v>
      </c>
      <c r="FB108" s="378">
        <f t="shared" ca="1" si="1907"/>
        <v>17</v>
      </c>
      <c r="FC108" s="378">
        <f t="shared" ca="1" si="1908"/>
        <v>18</v>
      </c>
      <c r="FD108" s="378">
        <f t="shared" ca="1" si="1909"/>
        <v>19</v>
      </c>
      <c r="FE108" s="378">
        <f t="shared" ca="1" si="1910"/>
        <v>20</v>
      </c>
      <c r="FG108" s="378">
        <f t="shared" ca="1" si="1932"/>
        <v>1</v>
      </c>
      <c r="FH108" s="378">
        <f t="shared" ca="1" si="1932"/>
        <v>6</v>
      </c>
      <c r="FI108" s="378">
        <f t="shared" ca="1" si="1932"/>
        <v>7</v>
      </c>
      <c r="FJ108" s="378">
        <f t="shared" ca="1" si="1932"/>
        <v>5</v>
      </c>
      <c r="FK108" s="378">
        <f t="shared" ca="1" si="1932"/>
        <v>2</v>
      </c>
      <c r="FL108" s="378">
        <f t="shared" ca="1" si="1932"/>
        <v>4</v>
      </c>
      <c r="FM108" s="378">
        <f t="shared" ca="1" si="1932"/>
        <v>3</v>
      </c>
      <c r="FN108" s="378">
        <f t="shared" ca="1" si="1932"/>
        <v>8</v>
      </c>
      <c r="FO108" s="378">
        <f t="shared" ca="1" si="1932"/>
        <v>9</v>
      </c>
      <c r="FP108" s="378">
        <f t="shared" ca="1" si="1932"/>
        <v>10</v>
      </c>
      <c r="FQ108" s="378">
        <f t="shared" ca="1" si="1932"/>
        <v>11</v>
      </c>
      <c r="FR108" s="378">
        <f t="shared" ca="1" si="1932"/>
        <v>12</v>
      </c>
      <c r="FS108" s="378">
        <f t="shared" ca="1" si="1932"/>
        <v>13</v>
      </c>
      <c r="FT108" s="378">
        <f t="shared" ca="1" si="1932"/>
        <v>14</v>
      </c>
      <c r="FU108" s="378">
        <f t="shared" ca="1" si="1932"/>
        <v>15</v>
      </c>
      <c r="FV108" s="378">
        <f t="shared" ca="1" si="1932"/>
        <v>16</v>
      </c>
      <c r="FW108" s="378">
        <f t="shared" ca="1" si="1911"/>
        <v>17</v>
      </c>
      <c r="FX108" s="378">
        <f t="shared" ca="1" si="1911"/>
        <v>18</v>
      </c>
      <c r="FY108" s="378">
        <f t="shared" ca="1" si="1911"/>
        <v>19</v>
      </c>
      <c r="FZ108" s="378">
        <f t="shared" ca="1" si="1911"/>
        <v>20</v>
      </c>
      <c r="GB108" s="275" t="str">
        <f t="shared" ca="1" si="1912"/>
        <v>BI Applications (25%)</v>
      </c>
      <c r="GC108" s="231" t="str">
        <f t="shared" ca="1" si="1913"/>
        <v>; Analytical Tools (23%)</v>
      </c>
      <c r="GD108" s="231" t="str">
        <f t="shared" ca="1" si="1914"/>
        <v>; Workflow and Collaboration (22%)</v>
      </c>
      <c r="GE108" s="231" t="str">
        <f t="shared" ca="1" si="1915"/>
        <v>; Scorecards / Dashboards (14%)</v>
      </c>
      <c r="GF108" s="231" t="str">
        <f t="shared" ca="1" si="1916"/>
        <v>; Source System Inclusion / Integration (11%)</v>
      </c>
      <c r="GG108" s="231" t="str">
        <f t="shared" ca="1" si="1917"/>
        <v/>
      </c>
      <c r="GH108" s="231" t="str">
        <f t="shared" ca="1" si="1918"/>
        <v/>
      </c>
      <c r="GI108" s="231" t="str">
        <f t="shared" ca="1" si="1919"/>
        <v/>
      </c>
      <c r="GJ108" s="231" t="str">
        <f t="shared" ca="1" si="1920"/>
        <v/>
      </c>
      <c r="GK108" s="231" t="str">
        <f t="shared" ca="1" si="1921"/>
        <v/>
      </c>
      <c r="GL108" s="231" t="str">
        <f t="shared" ca="1" si="1922"/>
        <v/>
      </c>
      <c r="GM108" s="231" t="str">
        <f t="shared" ca="1" si="1923"/>
        <v/>
      </c>
      <c r="GN108" s="231" t="str">
        <f t="shared" ca="1" si="1924"/>
        <v/>
      </c>
      <c r="GO108" s="231" t="str">
        <f t="shared" ca="1" si="1925"/>
        <v/>
      </c>
      <c r="GP108" s="231" t="str">
        <f t="shared" ca="1" si="1926"/>
        <v/>
      </c>
      <c r="GQ108" s="231" t="str">
        <f t="shared" ca="1" si="1927"/>
        <v/>
      </c>
      <c r="GR108" s="231" t="str">
        <f t="shared" ca="1" si="1928"/>
        <v/>
      </c>
      <c r="GS108" s="231" t="str">
        <f t="shared" ca="1" si="1929"/>
        <v/>
      </c>
      <c r="GT108" s="231" t="str">
        <f t="shared" ca="1" si="1930"/>
        <v/>
      </c>
      <c r="GU108" s="231" t="str">
        <f t="shared" ca="1" si="1931"/>
        <v/>
      </c>
    </row>
    <row r="109" spans="2:203" s="386" customFormat="1" ht="16.5" hidden="1" customHeight="1">
      <c r="B109" s="373"/>
      <c r="C109" s="81" t="str">
        <f>KPIs!B23</f>
        <v>Security</v>
      </c>
      <c r="D109" s="404">
        <f t="shared" ca="1" si="1843"/>
        <v>0.14051675683876955</v>
      </c>
      <c r="E109" s="374">
        <f>ROW(Initiatives!$A$100)</f>
        <v>100</v>
      </c>
      <c r="F109" s="374">
        <f>ROW(Initiatives!$A$101)</f>
        <v>101</v>
      </c>
      <c r="G109" s="374">
        <f>ROW(Initiatives!$A$102)</f>
        <v>102</v>
      </c>
      <c r="H109" s="374">
        <f>ROW(Initiatives!$A$117)</f>
        <v>117</v>
      </c>
      <c r="I109" s="374">
        <f>ROW(Initiatives!$A$118)</f>
        <v>118</v>
      </c>
      <c r="J109" s="374">
        <f>ROW(Initiatives!$A$123)</f>
        <v>123</v>
      </c>
      <c r="K109" s="374">
        <f>ROW(Initiatives!$A$124)</f>
        <v>124</v>
      </c>
      <c r="L109" s="374">
        <f>ROW(Initiatives!$A$158)</f>
        <v>158</v>
      </c>
      <c r="M109" s="374"/>
      <c r="N109" s="374"/>
      <c r="O109" s="374"/>
      <c r="P109" s="374"/>
      <c r="Q109" s="374"/>
      <c r="R109" s="374"/>
      <c r="S109" s="374"/>
      <c r="T109" s="374"/>
      <c r="U109" s="374"/>
      <c r="V109" s="374"/>
      <c r="W109" s="374"/>
      <c r="X109" s="374"/>
      <c r="Y109" s="392" t="str">
        <f ca="1">OFFSET(Initiatives!$D$1,E109-1,$BS$3)</f>
        <v>Governance</v>
      </c>
      <c r="Z109" s="375">
        <v>5</v>
      </c>
      <c r="AA109" s="392" t="str">
        <f ca="1">OFFSET(Initiatives!$D$1,F109-1,$BS$3)</f>
        <v>Architecture</v>
      </c>
      <c r="AB109" s="375">
        <v>3</v>
      </c>
      <c r="AC109" s="392" t="str">
        <f ca="1">OFFSET(Initiatives!$D$1,G109-1,$BS$3)</f>
        <v>Robust security</v>
      </c>
      <c r="AD109" s="375">
        <v>9</v>
      </c>
      <c r="AE109" s="392" t="str">
        <f ca="1">OFFSET(Initiatives!$D$1,H109-1,$BS$3)</f>
        <v>Standardized data marts</v>
      </c>
      <c r="AF109" s="375">
        <v>3</v>
      </c>
      <c r="AG109" s="392" t="str">
        <f ca="1">OFFSET(Initiatives!$D$1,I109-1,$BS$3)</f>
        <v>A single, central DW</v>
      </c>
      <c r="AH109" s="375">
        <v>4</v>
      </c>
      <c r="AI109" s="392" t="str">
        <f ca="1">OFFSET(Initiatives!$D$1,J109-1,$BS$3)</f>
        <v>Robust development tools</v>
      </c>
      <c r="AJ109" s="375">
        <v>2</v>
      </c>
      <c r="AK109" s="392" t="str">
        <f ca="1">OFFSET(Initiatives!$D$1,K109-1,$BS$3)</f>
        <v>Extensible / supports web services</v>
      </c>
      <c r="AL109" s="375">
        <v>1</v>
      </c>
      <c r="AM109" s="392" t="str">
        <f ca="1">OFFSET(Initiatives!$D$1,L109-1,$BS$3)</f>
        <v>Business activity monitoring</v>
      </c>
      <c r="AN109" s="375">
        <v>2</v>
      </c>
      <c r="AO109" s="392" t="e">
        <f ca="1">OFFSET(Initiatives!$D$1,M109-1,$BS$3)</f>
        <v>#REF!</v>
      </c>
      <c r="AP109" s="375"/>
      <c r="AQ109" s="392" t="e">
        <f ca="1">OFFSET(Initiatives!$D$1,N109-1,$BS$3)</f>
        <v>#REF!</v>
      </c>
      <c r="AR109" s="375"/>
      <c r="AS109" s="392" t="e">
        <f ca="1">OFFSET(Initiatives!$D$1,O109-1,$BS$3)</f>
        <v>#REF!</v>
      </c>
      <c r="AT109" s="375"/>
      <c r="AU109" s="392" t="e">
        <f ca="1">OFFSET(Initiatives!$D$1,P109-1,$BS$3)</f>
        <v>#REF!</v>
      </c>
      <c r="AV109" s="375"/>
      <c r="AW109" s="392" t="e">
        <f ca="1">OFFSET(Initiatives!$D$1,Q109-1,$BS$3)</f>
        <v>#REF!</v>
      </c>
      <c r="AX109" s="375"/>
      <c r="AY109" s="392" t="e">
        <f ca="1">OFFSET(Initiatives!$D$1,R109-1,$BS$3)</f>
        <v>#REF!</v>
      </c>
      <c r="AZ109" s="375"/>
      <c r="BA109" s="392" t="e">
        <f ca="1">OFFSET(Initiatives!$D$1,S109-1,$BS$3)</f>
        <v>#REF!</v>
      </c>
      <c r="BB109" s="375"/>
      <c r="BC109" s="392" t="e">
        <f ca="1">OFFSET(Initiatives!$D$1,T109-1,$BS$3)</f>
        <v>#REF!</v>
      </c>
      <c r="BD109" s="375"/>
      <c r="BE109" s="392" t="e">
        <f ca="1">OFFSET(Initiatives!$D$1,U109-1,$BS$3)</f>
        <v>#REF!</v>
      </c>
      <c r="BF109" s="375"/>
      <c r="BG109" s="392" t="e">
        <f ca="1">OFFSET(Initiatives!$D$1,V109-1,$BS$3)</f>
        <v>#REF!</v>
      </c>
      <c r="BH109" s="375"/>
      <c r="BI109" s="392" t="e">
        <f ca="1">OFFSET(Initiatives!$D$1,W109-1,$BS$3)</f>
        <v>#REF!</v>
      </c>
      <c r="BJ109" s="375"/>
      <c r="BK109" s="392" t="e">
        <f ca="1">OFFSET(Initiatives!$D$1,X109-1,$BS$3)</f>
        <v>#REF!</v>
      </c>
      <c r="BL109" s="375"/>
      <c r="BN109" s="101">
        <f t="shared" si="1844"/>
        <v>29.0001</v>
      </c>
      <c r="BP109" s="231" t="str">
        <f t="shared" ca="1" si="1845"/>
        <v>Business activity monitoring (35%); Robust security (31%); Governance (17%); Architecture (10%)</v>
      </c>
      <c r="BQ109" s="338">
        <v>0.01</v>
      </c>
      <c r="BR109" s="40">
        <f t="shared" ca="1" si="1846"/>
        <v>4</v>
      </c>
      <c r="BS109" s="274">
        <v>0.05</v>
      </c>
      <c r="BT109" s="40">
        <f t="shared" ca="1" si="1847"/>
        <v>4</v>
      </c>
      <c r="BU109" s="376">
        <v>7</v>
      </c>
      <c r="BV109" s="40">
        <f t="shared" ca="1" si="1848"/>
        <v>4</v>
      </c>
      <c r="BY109" s="377">
        <f ca="1">IF(ISERROR(OFFSET(Initiatives!$D$1,E109-1,$BY$3)),,OFFSET(Initiatives!$D$1,E109-1,$BY$3))</f>
        <v>0.14000000000000001</v>
      </c>
      <c r="BZ109" s="377">
        <f ca="1">IF(ISERROR(OFFSET(Initiatives!$D$1,F109-1,$BY$3)),,OFFSET(Initiatives!$D$1,F109-1,$BY$3))</f>
        <v>0.14000000000000001</v>
      </c>
      <c r="CA109" s="377">
        <f ca="1">IF(ISERROR(OFFSET(Initiatives!$D$1,G109-1,$BY$3)),,OFFSET(Initiatives!$D$1,G109-1,$BY$3))</f>
        <v>0.14000000000000001</v>
      </c>
      <c r="CB109" s="377">
        <f ca="1">IF(ISERROR(OFFSET(Initiatives!$D$1,H109-1,$BY$3)),,OFFSET(Initiatives!$D$1,H109-1,$BY$3))</f>
        <v>3.0000000000000027E-2</v>
      </c>
      <c r="CC109" s="377">
        <f ca="1">IF(ISERROR(OFFSET(Initiatives!$D$1,I109-1,$BY$3)),,OFFSET(Initiatives!$D$1,I109-1,$BY$3))</f>
        <v>3.0000000000000027E-2</v>
      </c>
      <c r="CD109" s="377">
        <f ca="1">IF(ISERROR(OFFSET(Initiatives!$D$1,J109-1,$BY$3)),,OFFSET(Initiatives!$D$1,J109-1,$BY$3))</f>
        <v>1.5000000000000013E-2</v>
      </c>
      <c r="CE109" s="377">
        <f ca="1">IF(ISERROR(OFFSET(Initiatives!$D$1,K109-1,$BY$3)),,OFFSET(Initiatives!$D$1,K109-1,$BY$3))</f>
        <v>1.5000000000000013E-2</v>
      </c>
      <c r="CF109" s="377">
        <f ca="1">IF(ISERROR(OFFSET(Initiatives!$D$1,L109-1,$BY$3)),,OFFSET(Initiatives!$D$1,L109-1,$BY$3))</f>
        <v>0.72000000000000008</v>
      </c>
      <c r="CG109" s="377">
        <f ca="1">IF(ISERROR(OFFSET(Initiatives!$D$1,M109-1,$BY$3)),,OFFSET(Initiatives!$D$1,M109-1,$BY$3))</f>
        <v>0</v>
      </c>
      <c r="CH109" s="377">
        <f ca="1">IF(ISERROR(OFFSET(Initiatives!$D$1,N109-1,$BY$3)),,OFFSET(Initiatives!$D$1,N109-1,$BY$3))</f>
        <v>0</v>
      </c>
      <c r="CI109" s="377">
        <f ca="1">IF(ISERROR(OFFSET(Initiatives!$D$1,O109-1,$BY$3)),,OFFSET(Initiatives!$D$1,O109-1,$BY$3))</f>
        <v>0</v>
      </c>
      <c r="CJ109" s="377">
        <f ca="1">IF(ISERROR(OFFSET(Initiatives!$D$1,P109-1,$BY$3)),,OFFSET(Initiatives!$D$1,P109-1,$BY$3))</f>
        <v>0</v>
      </c>
      <c r="CK109" s="377">
        <f ca="1">IF(ISERROR(OFFSET(Initiatives!$D$1,Q109-1,$BY$3)),,OFFSET(Initiatives!$D$1,Q109-1,$BY$3))</f>
        <v>0</v>
      </c>
      <c r="CL109" s="377">
        <f ca="1">IF(ISERROR(OFFSET(Initiatives!$D$1,R109-1,$BY$3)),,OFFSET(Initiatives!$D$1,R109-1,$BY$3))</f>
        <v>0</v>
      </c>
      <c r="CM109" s="377">
        <f ca="1">IF(ISERROR(OFFSET(Initiatives!$D$1,S109-1,$BY$3)),,OFFSET(Initiatives!$D$1,S109-1,$BY$3))</f>
        <v>0</v>
      </c>
      <c r="CN109" s="377">
        <f ca="1">IF(ISERROR(OFFSET(Initiatives!$D$1,T109-1,$BY$3)),,OFFSET(Initiatives!$D$1,T109-1,$BY$3))</f>
        <v>0</v>
      </c>
      <c r="CO109" s="377">
        <f ca="1">IF(ISERROR(OFFSET(Initiatives!$D$1,U109-1,$BY$3)),,OFFSET(Initiatives!$D$1,U109-1,$BY$3))</f>
        <v>0</v>
      </c>
      <c r="CP109" s="377">
        <f ca="1">IF(ISERROR(OFFSET(Initiatives!$D$1,V109-1,$BY$3)),,OFFSET(Initiatives!$D$1,V109-1,$BY$3))</f>
        <v>0</v>
      </c>
      <c r="CQ109" s="377">
        <f ca="1">IF(ISERROR(OFFSET(Initiatives!$D$1,W109-1,$BY$3)),,OFFSET(Initiatives!$D$1,W109-1,$BY$3))</f>
        <v>0</v>
      </c>
      <c r="CR109" s="377">
        <f ca="1">IF(ISERROR(OFFSET(Initiatives!$D$1,X109-1,$BY$3)),,OFFSET(Initiatives!$D$1,X109-1,$BY$3))</f>
        <v>0</v>
      </c>
      <c r="CT109" s="41">
        <f t="shared" ca="1" si="1849"/>
        <v>2.4137847800524827E-2</v>
      </c>
      <c r="CU109" s="41">
        <f t="shared" ca="1" si="1850"/>
        <v>1.4482708680314897E-2</v>
      </c>
      <c r="CV109" s="41">
        <f t="shared" ca="1" si="1851"/>
        <v>4.3448126040944696E-2</v>
      </c>
      <c r="CW109" s="41">
        <f t="shared" ca="1" si="1852"/>
        <v>3.1034375743531945E-3</v>
      </c>
      <c r="CX109" s="41">
        <f t="shared" ca="1" si="1853"/>
        <v>4.1379167658042596E-3</v>
      </c>
      <c r="CY109" s="41">
        <f t="shared" ca="1" si="1854"/>
        <v>1.0344791914510649E-3</v>
      </c>
      <c r="CZ109" s="41">
        <f t="shared" ca="1" si="1855"/>
        <v>5.1723959572553245E-4</v>
      </c>
      <c r="DA109" s="41">
        <f t="shared" ca="1" si="1856"/>
        <v>4.9655001189651077E-2</v>
      </c>
      <c r="DB109" s="41">
        <f t="shared" ca="1" si="1857"/>
        <v>0</v>
      </c>
      <c r="DC109" s="41">
        <f t="shared" ca="1" si="1858"/>
        <v>0</v>
      </c>
      <c r="DD109" s="41">
        <f t="shared" ca="1" si="1859"/>
        <v>0</v>
      </c>
      <c r="DE109" s="41">
        <f t="shared" ca="1" si="1860"/>
        <v>0</v>
      </c>
      <c r="DF109" s="41">
        <f t="shared" ca="1" si="1861"/>
        <v>0</v>
      </c>
      <c r="DG109" s="41">
        <f t="shared" ca="1" si="1862"/>
        <v>0</v>
      </c>
      <c r="DH109" s="41">
        <f t="shared" ca="1" si="1863"/>
        <v>0</v>
      </c>
      <c r="DI109" s="41">
        <f t="shared" ca="1" si="1864"/>
        <v>0</v>
      </c>
      <c r="DJ109" s="41">
        <f t="shared" ca="1" si="1865"/>
        <v>0</v>
      </c>
      <c r="DK109" s="41">
        <f t="shared" ca="1" si="1866"/>
        <v>0</v>
      </c>
      <c r="DL109" s="41">
        <f t="shared" ca="1" si="1867"/>
        <v>0</v>
      </c>
      <c r="DM109" s="41">
        <f t="shared" ca="1" si="1868"/>
        <v>0</v>
      </c>
      <c r="DN109" s="41">
        <f t="shared" ca="1" si="1869"/>
        <v>0.14051675683876955</v>
      </c>
      <c r="DP109" s="41">
        <f t="shared" ca="1" si="1870"/>
        <v>0.17176914110429445</v>
      </c>
      <c r="DQ109" s="41">
        <f t="shared" ca="1" si="1871"/>
        <v>0.10304748466257667</v>
      </c>
      <c r="DR109" s="41">
        <f t="shared" ca="1" si="1872"/>
        <v>0.30917245398773008</v>
      </c>
      <c r="DS109" s="41">
        <f t="shared" ca="1" si="1873"/>
        <v>2.2045889570552164E-2</v>
      </c>
      <c r="DT109" s="41">
        <f t="shared" ca="1" si="1874"/>
        <v>2.9397852760736216E-2</v>
      </c>
      <c r="DU109" s="41">
        <f t="shared" ca="1" si="1875"/>
        <v>7.3019631901840541E-3</v>
      </c>
      <c r="DV109" s="41">
        <f t="shared" ca="1" si="1876"/>
        <v>3.610981595092027E-3</v>
      </c>
      <c r="DW109" s="41">
        <f t="shared" ca="1" si="1877"/>
        <v>0.35329423312883429</v>
      </c>
      <c r="DX109" s="41">
        <f t="shared" ca="1" si="1878"/>
        <v>-9.0000000000000006E-5</v>
      </c>
      <c r="DY109" s="41">
        <f t="shared" ca="1" si="1879"/>
        <v>-1E-4</v>
      </c>
      <c r="DZ109" s="41">
        <f t="shared" ca="1" si="1880"/>
        <v>-1.1E-4</v>
      </c>
      <c r="EA109" s="41">
        <f t="shared" ca="1" si="1881"/>
        <v>-1.2E-4</v>
      </c>
      <c r="EB109" s="41">
        <f t="shared" ca="1" si="1882"/>
        <v>-1.2999999999999999E-4</v>
      </c>
      <c r="EC109" s="41">
        <f t="shared" ca="1" si="1883"/>
        <v>-1.3999999999999999E-4</v>
      </c>
      <c r="ED109" s="41">
        <f t="shared" ca="1" si="1884"/>
        <v>-1.4999999999999999E-4</v>
      </c>
      <c r="EE109" s="41">
        <f t="shared" ca="1" si="1885"/>
        <v>-1.6000000000000001E-4</v>
      </c>
      <c r="EF109" s="41">
        <f t="shared" ca="1" si="1886"/>
        <v>-1.7000000000000001E-4</v>
      </c>
      <c r="EG109" s="41">
        <f t="shared" ca="1" si="1887"/>
        <v>-1.8000000000000001E-4</v>
      </c>
      <c r="EH109" s="41">
        <f t="shared" ca="1" si="1888"/>
        <v>-1.9000000000000001E-4</v>
      </c>
      <c r="EI109" s="41">
        <f t="shared" ca="1" si="1889"/>
        <v>-2.0000000000000001E-4</v>
      </c>
      <c r="EJ109" s="41">
        <f t="shared" ca="1" si="1890"/>
        <v>0.99790000000000001</v>
      </c>
      <c r="EL109" s="378">
        <f t="shared" ca="1" si="1891"/>
        <v>3</v>
      </c>
      <c r="EM109" s="378">
        <f t="shared" ca="1" si="1892"/>
        <v>4</v>
      </c>
      <c r="EN109" s="378">
        <f t="shared" ca="1" si="1893"/>
        <v>2</v>
      </c>
      <c r="EO109" s="378">
        <f t="shared" ca="1" si="1894"/>
        <v>6</v>
      </c>
      <c r="EP109" s="378">
        <f t="shared" ca="1" si="1895"/>
        <v>5</v>
      </c>
      <c r="EQ109" s="378">
        <f t="shared" ca="1" si="1896"/>
        <v>7</v>
      </c>
      <c r="ER109" s="378">
        <f t="shared" ca="1" si="1897"/>
        <v>8</v>
      </c>
      <c r="ES109" s="378">
        <f t="shared" ca="1" si="1898"/>
        <v>1</v>
      </c>
      <c r="ET109" s="378">
        <f t="shared" ca="1" si="1899"/>
        <v>9</v>
      </c>
      <c r="EU109" s="378">
        <f t="shared" ca="1" si="1900"/>
        <v>10</v>
      </c>
      <c r="EV109" s="378">
        <f t="shared" ca="1" si="1901"/>
        <v>11</v>
      </c>
      <c r="EW109" s="378">
        <f t="shared" ca="1" si="1902"/>
        <v>12</v>
      </c>
      <c r="EX109" s="378">
        <f t="shared" ca="1" si="1903"/>
        <v>13</v>
      </c>
      <c r="EY109" s="378">
        <f t="shared" ca="1" si="1904"/>
        <v>14</v>
      </c>
      <c r="EZ109" s="378">
        <f t="shared" ca="1" si="1905"/>
        <v>15</v>
      </c>
      <c r="FA109" s="378">
        <f t="shared" ca="1" si="1906"/>
        <v>16</v>
      </c>
      <c r="FB109" s="378">
        <f t="shared" ca="1" si="1907"/>
        <v>17</v>
      </c>
      <c r="FC109" s="378">
        <f t="shared" ca="1" si="1908"/>
        <v>18</v>
      </c>
      <c r="FD109" s="378">
        <f t="shared" ca="1" si="1909"/>
        <v>19</v>
      </c>
      <c r="FE109" s="378">
        <f t="shared" ca="1" si="1910"/>
        <v>20</v>
      </c>
      <c r="FG109" s="378">
        <f t="shared" ca="1" si="1932"/>
        <v>8</v>
      </c>
      <c r="FH109" s="378">
        <f t="shared" ca="1" si="1932"/>
        <v>3</v>
      </c>
      <c r="FI109" s="378">
        <f t="shared" ca="1" si="1932"/>
        <v>1</v>
      </c>
      <c r="FJ109" s="378">
        <f t="shared" ca="1" si="1932"/>
        <v>2</v>
      </c>
      <c r="FK109" s="378">
        <f t="shared" ca="1" si="1932"/>
        <v>5</v>
      </c>
      <c r="FL109" s="378">
        <f t="shared" ca="1" si="1932"/>
        <v>4</v>
      </c>
      <c r="FM109" s="378">
        <f t="shared" ca="1" si="1932"/>
        <v>6</v>
      </c>
      <c r="FN109" s="378">
        <f t="shared" ca="1" si="1932"/>
        <v>7</v>
      </c>
      <c r="FO109" s="378">
        <f t="shared" ca="1" si="1932"/>
        <v>9</v>
      </c>
      <c r="FP109" s="378">
        <f t="shared" ca="1" si="1932"/>
        <v>10</v>
      </c>
      <c r="FQ109" s="378">
        <f t="shared" ca="1" si="1932"/>
        <v>11</v>
      </c>
      <c r="FR109" s="378">
        <f t="shared" ca="1" si="1932"/>
        <v>12</v>
      </c>
      <c r="FS109" s="378">
        <f t="shared" ca="1" si="1932"/>
        <v>13</v>
      </c>
      <c r="FT109" s="378">
        <f t="shared" ca="1" si="1932"/>
        <v>14</v>
      </c>
      <c r="FU109" s="378">
        <f t="shared" ca="1" si="1932"/>
        <v>15</v>
      </c>
      <c r="FV109" s="378">
        <f t="shared" ca="1" si="1932"/>
        <v>16</v>
      </c>
      <c r="FW109" s="378">
        <f t="shared" ca="1" si="1911"/>
        <v>17</v>
      </c>
      <c r="FX109" s="378">
        <f t="shared" ca="1" si="1911"/>
        <v>18</v>
      </c>
      <c r="FY109" s="378">
        <f t="shared" ca="1" si="1911"/>
        <v>19</v>
      </c>
      <c r="FZ109" s="378">
        <f t="shared" ca="1" si="1911"/>
        <v>20</v>
      </c>
      <c r="GB109" s="275" t="str">
        <f t="shared" ca="1" si="1912"/>
        <v>Business activity monitoring (35%)</v>
      </c>
      <c r="GC109" s="231" t="str">
        <f t="shared" ca="1" si="1913"/>
        <v>; Robust security (31%)</v>
      </c>
      <c r="GD109" s="231" t="str">
        <f t="shared" ca="1" si="1914"/>
        <v>; Governance (17%)</v>
      </c>
      <c r="GE109" s="231" t="str">
        <f t="shared" ca="1" si="1915"/>
        <v>; Architecture (10%)</v>
      </c>
      <c r="GF109" s="231" t="str">
        <f t="shared" ca="1" si="1916"/>
        <v/>
      </c>
      <c r="GG109" s="231" t="str">
        <f t="shared" ca="1" si="1917"/>
        <v/>
      </c>
      <c r="GH109" s="231" t="str">
        <f t="shared" ca="1" si="1918"/>
        <v/>
      </c>
      <c r="GI109" s="231" t="str">
        <f t="shared" ca="1" si="1919"/>
        <v/>
      </c>
      <c r="GJ109" s="231" t="str">
        <f t="shared" ca="1" si="1920"/>
        <v/>
      </c>
      <c r="GK109" s="231" t="str">
        <f t="shared" ca="1" si="1921"/>
        <v/>
      </c>
      <c r="GL109" s="231" t="str">
        <f t="shared" ca="1" si="1922"/>
        <v/>
      </c>
      <c r="GM109" s="231" t="str">
        <f t="shared" ca="1" si="1923"/>
        <v/>
      </c>
      <c r="GN109" s="231" t="str">
        <f t="shared" ca="1" si="1924"/>
        <v/>
      </c>
      <c r="GO109" s="231" t="str">
        <f t="shared" ca="1" si="1925"/>
        <v/>
      </c>
      <c r="GP109" s="231" t="str">
        <f t="shared" ca="1" si="1926"/>
        <v/>
      </c>
      <c r="GQ109" s="231" t="str">
        <f t="shared" ca="1" si="1927"/>
        <v/>
      </c>
      <c r="GR109" s="231" t="str">
        <f t="shared" ca="1" si="1928"/>
        <v/>
      </c>
      <c r="GS109" s="231" t="str">
        <f t="shared" ca="1" si="1929"/>
        <v/>
      </c>
      <c r="GT109" s="231" t="str">
        <f t="shared" ca="1" si="1930"/>
        <v/>
      </c>
      <c r="GU109" s="231" t="str">
        <f t="shared" ca="1" si="1931"/>
        <v/>
      </c>
    </row>
    <row r="110" spans="2:203" s="386" customFormat="1" ht="16.5" hidden="1" customHeight="1">
      <c r="B110" s="373"/>
      <c r="C110" s="81" t="str">
        <f>KPIs!B24</f>
        <v>System response time</v>
      </c>
      <c r="D110" s="404">
        <f t="shared" ca="1" si="1843"/>
        <v>5.7825835539845508E-2</v>
      </c>
      <c r="E110" s="374">
        <f>ROW(Initiatives!$A$103)</f>
        <v>103</v>
      </c>
      <c r="F110" s="374">
        <f>ROW(Initiatives!$A$112)</f>
        <v>112</v>
      </c>
      <c r="G110" s="374">
        <f>ROW(Initiatives!$A$113)</f>
        <v>113</v>
      </c>
      <c r="H110" s="374">
        <f>ROW(Initiatives!$A$117)</f>
        <v>117</v>
      </c>
      <c r="I110" s="374">
        <f>ROW(Initiatives!$A$118)</f>
        <v>118</v>
      </c>
      <c r="J110" s="374">
        <f>ROW(Initiatives!$A$119)</f>
        <v>119</v>
      </c>
      <c r="K110" s="374"/>
      <c r="L110" s="374"/>
      <c r="M110" s="374"/>
      <c r="N110" s="374"/>
      <c r="O110" s="374"/>
      <c r="P110" s="374"/>
      <c r="Q110" s="374"/>
      <c r="R110" s="374"/>
      <c r="S110" s="374"/>
      <c r="T110" s="374"/>
      <c r="U110" s="374"/>
      <c r="V110" s="374"/>
      <c r="W110" s="374"/>
      <c r="X110" s="374"/>
      <c r="Y110" s="392" t="str">
        <f ca="1">OFFSET(Initiatives!$D$1,E110-1,$BS$3)</f>
        <v>Architecture Standards &amp; Adherence</v>
      </c>
      <c r="Z110" s="375">
        <v>2</v>
      </c>
      <c r="AA110" s="392" t="str">
        <f ca="1">OFFSET(Initiatives!$D$1,F110-1,$BS$3)</f>
        <v>Automated DW synchronization</v>
      </c>
      <c r="AB110" s="375">
        <v>2</v>
      </c>
      <c r="AC110" s="392" t="str">
        <f ca="1">OFFSET(Initiatives!$D$1,G110-1,$BS$3)</f>
        <v>DW refresh rate</v>
      </c>
      <c r="AD110" s="375">
        <v>4</v>
      </c>
      <c r="AE110" s="392" t="str">
        <f ca="1">OFFSET(Initiatives!$D$1,H110-1,$BS$3)</f>
        <v>Standardized data marts</v>
      </c>
      <c r="AF110" s="375">
        <v>1</v>
      </c>
      <c r="AG110" s="392" t="str">
        <f ca="1">OFFSET(Initiatives!$D$1,I110-1,$BS$3)</f>
        <v>A single, central DW</v>
      </c>
      <c r="AH110" s="375">
        <v>5</v>
      </c>
      <c r="AI110" s="392" t="str">
        <f ca="1">OFFSET(Initiatives!$D$1,J110-1,$BS$3)</f>
        <v>High performance/reliability infrastructure</v>
      </c>
      <c r="AJ110" s="375">
        <v>9</v>
      </c>
      <c r="AK110" s="392" t="e">
        <f ca="1">OFFSET(Initiatives!$D$1,K110-1,$BS$3)</f>
        <v>#REF!</v>
      </c>
      <c r="AL110" s="375"/>
      <c r="AM110" s="392" t="e">
        <f ca="1">OFFSET(Initiatives!$D$1,L110-1,$BS$3)</f>
        <v>#REF!</v>
      </c>
      <c r="AN110" s="375"/>
      <c r="AO110" s="392" t="e">
        <f ca="1">OFFSET(Initiatives!$D$1,M110-1,$BS$3)</f>
        <v>#REF!</v>
      </c>
      <c r="AP110" s="375"/>
      <c r="AQ110" s="392" t="e">
        <f ca="1">OFFSET(Initiatives!$D$1,N110-1,$BS$3)</f>
        <v>#REF!</v>
      </c>
      <c r="AR110" s="375"/>
      <c r="AS110" s="392" t="e">
        <f ca="1">OFFSET(Initiatives!$D$1,O110-1,$BS$3)</f>
        <v>#REF!</v>
      </c>
      <c r="AT110" s="375"/>
      <c r="AU110" s="392" t="e">
        <f ca="1">OFFSET(Initiatives!$D$1,P110-1,$BS$3)</f>
        <v>#REF!</v>
      </c>
      <c r="AV110" s="375"/>
      <c r="AW110" s="392" t="e">
        <f ca="1">OFFSET(Initiatives!$D$1,Q110-1,$BS$3)</f>
        <v>#REF!</v>
      </c>
      <c r="AX110" s="375"/>
      <c r="AY110" s="392" t="e">
        <f ca="1">OFFSET(Initiatives!$D$1,R110-1,$BS$3)</f>
        <v>#REF!</v>
      </c>
      <c r="AZ110" s="375"/>
      <c r="BA110" s="392" t="e">
        <f ca="1">OFFSET(Initiatives!$D$1,S110-1,$BS$3)</f>
        <v>#REF!</v>
      </c>
      <c r="BB110" s="375"/>
      <c r="BC110" s="392" t="e">
        <f ca="1">OFFSET(Initiatives!$D$1,T110-1,$BS$3)</f>
        <v>#REF!</v>
      </c>
      <c r="BD110" s="375"/>
      <c r="BE110" s="392" t="e">
        <f ca="1">OFFSET(Initiatives!$D$1,U110-1,$BS$3)</f>
        <v>#REF!</v>
      </c>
      <c r="BF110" s="375"/>
      <c r="BG110" s="392" t="e">
        <f ca="1">OFFSET(Initiatives!$D$1,V110-1,$BS$3)</f>
        <v>#REF!</v>
      </c>
      <c r="BH110" s="375"/>
      <c r="BI110" s="392" t="e">
        <f ca="1">OFFSET(Initiatives!$D$1,W110-1,$BS$3)</f>
        <v>#REF!</v>
      </c>
      <c r="BJ110" s="375"/>
      <c r="BK110" s="392" t="e">
        <f ca="1">OFFSET(Initiatives!$D$1,X110-1,$BS$3)</f>
        <v>#REF!</v>
      </c>
      <c r="BL110" s="375"/>
      <c r="BN110" s="101">
        <f t="shared" si="1844"/>
        <v>23.0001</v>
      </c>
      <c r="BP110" s="231" t="str">
        <f t="shared" ca="1" si="1845"/>
        <v>DW refresh rate (30%); Architecture Standards &amp; Adherence (21%); High performance/reliability infrastructure (20%)</v>
      </c>
      <c r="BQ110" s="338">
        <v>0.01</v>
      </c>
      <c r="BR110" s="40">
        <f t="shared" ca="1" si="1846"/>
        <v>3</v>
      </c>
      <c r="BS110" s="274">
        <v>0.05</v>
      </c>
      <c r="BT110" s="40">
        <f t="shared" ca="1" si="1847"/>
        <v>5</v>
      </c>
      <c r="BU110" s="376">
        <v>7</v>
      </c>
      <c r="BV110" s="40">
        <f t="shared" ca="1" si="1848"/>
        <v>3</v>
      </c>
      <c r="BY110" s="377">
        <f ca="1">IF(ISERROR(OFFSET(Initiatives!$D$1,E110-1,$BY$3)),,OFFSET(Initiatives!$D$1,E110-1,$BY$3))</f>
        <v>0.14000000000000012</v>
      </c>
      <c r="BZ110" s="377">
        <f ca="1">IF(ISERROR(OFFSET(Initiatives!$D$1,F110-1,$BY$3)),,OFFSET(Initiatives!$D$1,F110-1,$BY$3))</f>
        <v>9.9999999999999978E-2</v>
      </c>
      <c r="CA110" s="377">
        <f ca="1">IF(ISERROR(OFFSET(Initiatives!$D$1,G110-1,$BY$3)),,OFFSET(Initiatives!$D$1,G110-1,$BY$3))</f>
        <v>9.9999999999999978E-2</v>
      </c>
      <c r="CB110" s="377">
        <f ca="1">IF(ISERROR(OFFSET(Initiatives!$D$1,H110-1,$BY$3)),,OFFSET(Initiatives!$D$1,H110-1,$BY$3))</f>
        <v>3.0000000000000027E-2</v>
      </c>
      <c r="CC110" s="377">
        <f ca="1">IF(ISERROR(OFFSET(Initiatives!$D$1,I110-1,$BY$3)),,OFFSET(Initiatives!$D$1,I110-1,$BY$3))</f>
        <v>3.0000000000000027E-2</v>
      </c>
      <c r="CD110" s="377">
        <f ca="1">IF(ISERROR(OFFSET(Initiatives!$D$1,J110-1,$BY$3)),,OFFSET(Initiatives!$D$1,J110-1,$BY$3))</f>
        <v>3.0000000000000027E-2</v>
      </c>
      <c r="CE110" s="377">
        <f ca="1">IF(ISERROR(OFFSET(Initiatives!$D$1,K110-1,$BY$3)),,OFFSET(Initiatives!$D$1,K110-1,$BY$3))</f>
        <v>0</v>
      </c>
      <c r="CF110" s="377">
        <f ca="1">IF(ISERROR(OFFSET(Initiatives!$D$1,L110-1,$BY$3)),,OFFSET(Initiatives!$D$1,L110-1,$BY$3))</f>
        <v>0</v>
      </c>
      <c r="CG110" s="377">
        <f ca="1">IF(ISERROR(OFFSET(Initiatives!$D$1,M110-1,$BY$3)),,OFFSET(Initiatives!$D$1,M110-1,$BY$3))</f>
        <v>0</v>
      </c>
      <c r="CH110" s="377">
        <f ca="1">IF(ISERROR(OFFSET(Initiatives!$D$1,N110-1,$BY$3)),,OFFSET(Initiatives!$D$1,N110-1,$BY$3))</f>
        <v>0</v>
      </c>
      <c r="CI110" s="377">
        <f ca="1">IF(ISERROR(OFFSET(Initiatives!$D$1,O110-1,$BY$3)),,OFFSET(Initiatives!$D$1,O110-1,$BY$3))</f>
        <v>0</v>
      </c>
      <c r="CJ110" s="377">
        <f ca="1">IF(ISERROR(OFFSET(Initiatives!$D$1,P110-1,$BY$3)),,OFFSET(Initiatives!$D$1,P110-1,$BY$3))</f>
        <v>0</v>
      </c>
      <c r="CK110" s="377">
        <f ca="1">IF(ISERROR(OFFSET(Initiatives!$D$1,Q110-1,$BY$3)),,OFFSET(Initiatives!$D$1,Q110-1,$BY$3))</f>
        <v>0</v>
      </c>
      <c r="CL110" s="377">
        <f ca="1">IF(ISERROR(OFFSET(Initiatives!$D$1,R110-1,$BY$3)),,OFFSET(Initiatives!$D$1,R110-1,$BY$3))</f>
        <v>0</v>
      </c>
      <c r="CM110" s="377">
        <f ca="1">IF(ISERROR(OFFSET(Initiatives!$D$1,S110-1,$BY$3)),,OFFSET(Initiatives!$D$1,S110-1,$BY$3))</f>
        <v>0</v>
      </c>
      <c r="CN110" s="377">
        <f ca="1">IF(ISERROR(OFFSET(Initiatives!$D$1,T110-1,$BY$3)),,OFFSET(Initiatives!$D$1,T110-1,$BY$3))</f>
        <v>0</v>
      </c>
      <c r="CO110" s="377">
        <f ca="1">IF(ISERROR(OFFSET(Initiatives!$D$1,U110-1,$BY$3)),,OFFSET(Initiatives!$D$1,U110-1,$BY$3))</f>
        <v>0</v>
      </c>
      <c r="CP110" s="377">
        <f ca="1">IF(ISERROR(OFFSET(Initiatives!$D$1,V110-1,$BY$3)),,OFFSET(Initiatives!$D$1,V110-1,$BY$3))</f>
        <v>0</v>
      </c>
      <c r="CQ110" s="377">
        <f ca="1">IF(ISERROR(OFFSET(Initiatives!$D$1,W110-1,$BY$3)),,OFFSET(Initiatives!$D$1,W110-1,$BY$3))</f>
        <v>0</v>
      </c>
      <c r="CR110" s="377">
        <f ca="1">IF(ISERROR(OFFSET(Initiatives!$D$1,X110-1,$BY$3)),,OFFSET(Initiatives!$D$1,X110-1,$BY$3))</f>
        <v>0</v>
      </c>
      <c r="CT110" s="41">
        <f t="shared" ca="1" si="1849"/>
        <v>1.217386011365169E-2</v>
      </c>
      <c r="CU110" s="41">
        <f t="shared" ca="1" si="1850"/>
        <v>8.6956143668940559E-3</v>
      </c>
      <c r="CV110" s="41">
        <f t="shared" ca="1" si="1851"/>
        <v>1.7391228733788112E-2</v>
      </c>
      <c r="CW110" s="41">
        <f t="shared" ca="1" si="1852"/>
        <v>1.3043421550341097E-3</v>
      </c>
      <c r="CX110" s="41">
        <f t="shared" ca="1" si="1853"/>
        <v>6.5217107751705484E-3</v>
      </c>
      <c r="CY110" s="41">
        <f t="shared" ca="1" si="1854"/>
        <v>1.1739079395306988E-2</v>
      </c>
      <c r="CZ110" s="41">
        <f t="shared" ca="1" si="1855"/>
        <v>0</v>
      </c>
      <c r="DA110" s="41">
        <f t="shared" ca="1" si="1856"/>
        <v>0</v>
      </c>
      <c r="DB110" s="41">
        <f t="shared" ca="1" si="1857"/>
        <v>0</v>
      </c>
      <c r="DC110" s="41">
        <f t="shared" ca="1" si="1858"/>
        <v>0</v>
      </c>
      <c r="DD110" s="41">
        <f t="shared" ca="1" si="1859"/>
        <v>0</v>
      </c>
      <c r="DE110" s="41">
        <f t="shared" ca="1" si="1860"/>
        <v>0</v>
      </c>
      <c r="DF110" s="41">
        <f t="shared" ca="1" si="1861"/>
        <v>0</v>
      </c>
      <c r="DG110" s="41">
        <f t="shared" ca="1" si="1862"/>
        <v>0</v>
      </c>
      <c r="DH110" s="41">
        <f t="shared" ca="1" si="1863"/>
        <v>0</v>
      </c>
      <c r="DI110" s="41">
        <f t="shared" ca="1" si="1864"/>
        <v>0</v>
      </c>
      <c r="DJ110" s="41">
        <f t="shared" ca="1" si="1865"/>
        <v>0</v>
      </c>
      <c r="DK110" s="41">
        <f t="shared" ca="1" si="1866"/>
        <v>0</v>
      </c>
      <c r="DL110" s="41">
        <f t="shared" ca="1" si="1867"/>
        <v>0</v>
      </c>
      <c r="DM110" s="41">
        <f t="shared" ca="1" si="1868"/>
        <v>0</v>
      </c>
      <c r="DN110" s="41">
        <f t="shared" ca="1" si="1869"/>
        <v>5.7825835539845508E-2</v>
      </c>
      <c r="DP110" s="41">
        <f t="shared" ca="1" si="1870"/>
        <v>0.21051631578947375</v>
      </c>
      <c r="DQ110" s="41">
        <f t="shared" ca="1" si="1871"/>
        <v>0.15035593984962398</v>
      </c>
      <c r="DR110" s="41">
        <f t="shared" ca="1" si="1872"/>
        <v>0.30072187969924796</v>
      </c>
      <c r="DS110" s="41">
        <f t="shared" ca="1" si="1873"/>
        <v>2.251639097744362E-2</v>
      </c>
      <c r="DT110" s="41">
        <f t="shared" ca="1" si="1874"/>
        <v>0.11273195488721809</v>
      </c>
      <c r="DU110" s="41">
        <f t="shared" ca="1" si="1875"/>
        <v>0.20294751879699258</v>
      </c>
      <c r="DV110" s="41">
        <f t="shared" ca="1" si="1876"/>
        <v>-6.9999999999999994E-5</v>
      </c>
      <c r="DW110" s="41">
        <f t="shared" ca="1" si="1877"/>
        <v>-8.0000000000000007E-5</v>
      </c>
      <c r="DX110" s="41">
        <f t="shared" ca="1" si="1878"/>
        <v>-9.0000000000000006E-5</v>
      </c>
      <c r="DY110" s="41">
        <f t="shared" ca="1" si="1879"/>
        <v>-1E-4</v>
      </c>
      <c r="DZ110" s="41">
        <f t="shared" ca="1" si="1880"/>
        <v>-1.1E-4</v>
      </c>
      <c r="EA110" s="41">
        <f t="shared" ca="1" si="1881"/>
        <v>-1.2E-4</v>
      </c>
      <c r="EB110" s="41">
        <f t="shared" ca="1" si="1882"/>
        <v>-1.2999999999999999E-4</v>
      </c>
      <c r="EC110" s="41">
        <f t="shared" ca="1" si="1883"/>
        <v>-1.3999999999999999E-4</v>
      </c>
      <c r="ED110" s="41">
        <f t="shared" ca="1" si="1884"/>
        <v>-1.4999999999999999E-4</v>
      </c>
      <c r="EE110" s="41">
        <f t="shared" ca="1" si="1885"/>
        <v>-1.6000000000000001E-4</v>
      </c>
      <c r="EF110" s="41">
        <f t="shared" ca="1" si="1886"/>
        <v>-1.7000000000000001E-4</v>
      </c>
      <c r="EG110" s="41">
        <f t="shared" ca="1" si="1887"/>
        <v>-1.8000000000000001E-4</v>
      </c>
      <c r="EH110" s="41">
        <f t="shared" ca="1" si="1888"/>
        <v>-1.9000000000000001E-4</v>
      </c>
      <c r="EI110" s="41">
        <f t="shared" ca="1" si="1889"/>
        <v>-2.0000000000000001E-4</v>
      </c>
      <c r="EJ110" s="41">
        <f t="shared" ca="1" si="1890"/>
        <v>0.9978999999999999</v>
      </c>
      <c r="EL110" s="378">
        <f t="shared" ca="1" si="1891"/>
        <v>2</v>
      </c>
      <c r="EM110" s="378">
        <f t="shared" ca="1" si="1892"/>
        <v>4</v>
      </c>
      <c r="EN110" s="378">
        <f t="shared" ca="1" si="1893"/>
        <v>1</v>
      </c>
      <c r="EO110" s="378">
        <f t="shared" ca="1" si="1894"/>
        <v>6</v>
      </c>
      <c r="EP110" s="378">
        <f t="shared" ca="1" si="1895"/>
        <v>5</v>
      </c>
      <c r="EQ110" s="378">
        <f t="shared" ca="1" si="1896"/>
        <v>3</v>
      </c>
      <c r="ER110" s="378">
        <f t="shared" ca="1" si="1897"/>
        <v>7</v>
      </c>
      <c r="ES110" s="378">
        <f t="shared" ca="1" si="1898"/>
        <v>8</v>
      </c>
      <c r="ET110" s="378">
        <f t="shared" ca="1" si="1899"/>
        <v>9</v>
      </c>
      <c r="EU110" s="378">
        <f t="shared" ca="1" si="1900"/>
        <v>10</v>
      </c>
      <c r="EV110" s="378">
        <f t="shared" ca="1" si="1901"/>
        <v>11</v>
      </c>
      <c r="EW110" s="378">
        <f t="shared" ca="1" si="1902"/>
        <v>12</v>
      </c>
      <c r="EX110" s="378">
        <f t="shared" ca="1" si="1903"/>
        <v>13</v>
      </c>
      <c r="EY110" s="378">
        <f t="shared" ca="1" si="1904"/>
        <v>14</v>
      </c>
      <c r="EZ110" s="378">
        <f t="shared" ca="1" si="1905"/>
        <v>15</v>
      </c>
      <c r="FA110" s="378">
        <f t="shared" ca="1" si="1906"/>
        <v>16</v>
      </c>
      <c r="FB110" s="378">
        <f t="shared" ca="1" si="1907"/>
        <v>17</v>
      </c>
      <c r="FC110" s="378">
        <f t="shared" ca="1" si="1908"/>
        <v>18</v>
      </c>
      <c r="FD110" s="378">
        <f t="shared" ca="1" si="1909"/>
        <v>19</v>
      </c>
      <c r="FE110" s="378">
        <f t="shared" ca="1" si="1910"/>
        <v>20</v>
      </c>
      <c r="FG110" s="378">
        <f t="shared" ca="1" si="1932"/>
        <v>3</v>
      </c>
      <c r="FH110" s="378">
        <f t="shared" ca="1" si="1932"/>
        <v>1</v>
      </c>
      <c r="FI110" s="378">
        <f t="shared" ca="1" si="1932"/>
        <v>6</v>
      </c>
      <c r="FJ110" s="378">
        <f t="shared" ca="1" si="1932"/>
        <v>2</v>
      </c>
      <c r="FK110" s="378">
        <f t="shared" ca="1" si="1932"/>
        <v>5</v>
      </c>
      <c r="FL110" s="378">
        <f t="shared" ca="1" si="1932"/>
        <v>4</v>
      </c>
      <c r="FM110" s="378">
        <f t="shared" ca="1" si="1932"/>
        <v>7</v>
      </c>
      <c r="FN110" s="378">
        <f t="shared" ca="1" si="1932"/>
        <v>8</v>
      </c>
      <c r="FO110" s="378">
        <f t="shared" ca="1" si="1932"/>
        <v>9</v>
      </c>
      <c r="FP110" s="378">
        <f t="shared" ca="1" si="1932"/>
        <v>10</v>
      </c>
      <c r="FQ110" s="378">
        <f t="shared" ca="1" si="1932"/>
        <v>11</v>
      </c>
      <c r="FR110" s="378">
        <f t="shared" ca="1" si="1932"/>
        <v>12</v>
      </c>
      <c r="FS110" s="378">
        <f t="shared" ca="1" si="1932"/>
        <v>13</v>
      </c>
      <c r="FT110" s="378">
        <f t="shared" ca="1" si="1932"/>
        <v>14</v>
      </c>
      <c r="FU110" s="378">
        <f t="shared" ca="1" si="1932"/>
        <v>15</v>
      </c>
      <c r="FV110" s="378">
        <f t="shared" ca="1" si="1932"/>
        <v>16</v>
      </c>
      <c r="FW110" s="378">
        <f t="shared" ca="1" si="1911"/>
        <v>17</v>
      </c>
      <c r="FX110" s="378">
        <f t="shared" ca="1" si="1911"/>
        <v>18</v>
      </c>
      <c r="FY110" s="378">
        <f t="shared" ca="1" si="1911"/>
        <v>19</v>
      </c>
      <c r="FZ110" s="378">
        <f t="shared" ca="1" si="1911"/>
        <v>20</v>
      </c>
      <c r="GB110" s="275" t="str">
        <f t="shared" ca="1" si="1912"/>
        <v>DW refresh rate (30%)</v>
      </c>
      <c r="GC110" s="231" t="str">
        <f t="shared" ca="1" si="1913"/>
        <v>; Architecture Standards &amp; Adherence (21%)</v>
      </c>
      <c r="GD110" s="231" t="str">
        <f t="shared" ca="1" si="1914"/>
        <v>; High performance/reliability infrastructure (20%)</v>
      </c>
      <c r="GE110" s="231" t="str">
        <f t="shared" ca="1" si="1915"/>
        <v/>
      </c>
      <c r="GF110" s="231" t="str">
        <f t="shared" ca="1" si="1916"/>
        <v/>
      </c>
      <c r="GG110" s="231" t="str">
        <f t="shared" ca="1" si="1917"/>
        <v/>
      </c>
      <c r="GH110" s="231" t="str">
        <f t="shared" ca="1" si="1918"/>
        <v/>
      </c>
      <c r="GI110" s="231" t="str">
        <f t="shared" ca="1" si="1919"/>
        <v/>
      </c>
      <c r="GJ110" s="231" t="str">
        <f t="shared" ca="1" si="1920"/>
        <v/>
      </c>
      <c r="GK110" s="231" t="str">
        <f t="shared" ca="1" si="1921"/>
        <v/>
      </c>
      <c r="GL110" s="231" t="str">
        <f t="shared" ca="1" si="1922"/>
        <v/>
      </c>
      <c r="GM110" s="231" t="str">
        <f t="shared" ca="1" si="1923"/>
        <v/>
      </c>
      <c r="GN110" s="231" t="str">
        <f t="shared" ca="1" si="1924"/>
        <v/>
      </c>
      <c r="GO110" s="231" t="str">
        <f t="shared" ca="1" si="1925"/>
        <v/>
      </c>
      <c r="GP110" s="231" t="str">
        <f t="shared" ca="1" si="1926"/>
        <v/>
      </c>
      <c r="GQ110" s="231" t="str">
        <f t="shared" ca="1" si="1927"/>
        <v/>
      </c>
      <c r="GR110" s="231" t="str">
        <f t="shared" ca="1" si="1928"/>
        <v/>
      </c>
      <c r="GS110" s="231" t="str">
        <f t="shared" ca="1" si="1929"/>
        <v/>
      </c>
      <c r="GT110" s="231" t="str">
        <f t="shared" ca="1" si="1930"/>
        <v/>
      </c>
      <c r="GU110" s="231" t="str">
        <f t="shared" ca="1" si="1931"/>
        <v/>
      </c>
    </row>
    <row r="111" spans="2:203" ht="15" hidden="1">
      <c r="B111" s="6" t="str">
        <f>KPIs!A25</f>
        <v>Financial Management Performance</v>
      </c>
    </row>
    <row r="112" spans="2:203" s="386" customFormat="1" ht="16.5" hidden="1" customHeight="1">
      <c r="B112" s="373"/>
      <c r="C112" s="81" t="str">
        <f>KPIs!B26</f>
        <v>Forecast Accuracy</v>
      </c>
      <c r="D112" s="404">
        <f t="shared" ref="D112:D115" ca="1" si="1933">DN112</f>
        <v>0.45759901506845257</v>
      </c>
      <c r="E112" s="374">
        <f>ROW(Initiatives!$A$20)</f>
        <v>20</v>
      </c>
      <c r="F112" s="374">
        <f>ROW(Initiatives!$A$30)</f>
        <v>30</v>
      </c>
      <c r="G112" s="374">
        <f>ROW(Initiatives!$A$31)</f>
        <v>31</v>
      </c>
      <c r="H112" s="374">
        <f>ROW(Initiatives!$A$176)</f>
        <v>176</v>
      </c>
      <c r="I112" s="374">
        <f>ROW(Initiatives!$A$183)</f>
        <v>183</v>
      </c>
      <c r="J112" s="374">
        <f>ROW(Initiatives!$A$189)</f>
        <v>189</v>
      </c>
      <c r="K112" s="374"/>
      <c r="L112" s="374"/>
      <c r="M112" s="374"/>
      <c r="N112" s="374"/>
      <c r="O112" s="374"/>
      <c r="P112" s="374"/>
      <c r="Q112" s="374"/>
      <c r="R112" s="374"/>
      <c r="S112" s="374"/>
      <c r="T112" s="374"/>
      <c r="U112" s="374"/>
      <c r="V112" s="374"/>
      <c r="W112" s="374"/>
      <c r="X112" s="374"/>
      <c r="Y112" s="392" t="str">
        <f ca="1">OFFSET(Initiatives!$D$1,E112-1,$BS$3)</f>
        <v>Demand forecasting/planning</v>
      </c>
      <c r="Z112" s="375">
        <v>3</v>
      </c>
      <c r="AA112" s="392" t="str">
        <f ca="1">OFFSET(Initiatives!$D$1,F112-1,$BS$3)</f>
        <v>Financial analysis</v>
      </c>
      <c r="AB112" s="375">
        <v>5</v>
      </c>
      <c r="AC112" s="392" t="str">
        <f ca="1">OFFSET(Initiatives!$D$1,G112-1,$BS$3)</f>
        <v>Financial planning</v>
      </c>
      <c r="AD112" s="375">
        <v>9</v>
      </c>
      <c r="AE112" s="392" t="str">
        <f ca="1">OFFSET(Initiatives!$D$1,H112-1,$BS$3)</f>
        <v>Source System Inclusion / Integration</v>
      </c>
      <c r="AF112" s="375">
        <v>7</v>
      </c>
      <c r="AG112" s="392" t="str">
        <f ca="1">OFFSET(Initiatives!$D$1,I112-1,$BS$3)</f>
        <v>Enhance DW Platform</v>
      </c>
      <c r="AH112" s="375">
        <v>3</v>
      </c>
      <c r="AI112" s="392" t="str">
        <f ca="1">OFFSET(Initiatives!$D$1,J112-1,$BS$3)</f>
        <v>Enhance BI Platform</v>
      </c>
      <c r="AJ112" s="375">
        <v>1</v>
      </c>
      <c r="AK112" s="392" t="e">
        <f ca="1">OFFSET(Initiatives!$D$1,K112-1,$BS$3)</f>
        <v>#REF!</v>
      </c>
      <c r="AL112" s="375"/>
      <c r="AM112" s="392" t="e">
        <f ca="1">OFFSET(Initiatives!$D$1,L112-1,$BS$3)</f>
        <v>#REF!</v>
      </c>
      <c r="AN112" s="375"/>
      <c r="AO112" s="392" t="e">
        <f ca="1">OFFSET(Initiatives!$D$1,M112-1,$BS$3)</f>
        <v>#REF!</v>
      </c>
      <c r="AP112" s="375"/>
      <c r="AQ112" s="392" t="e">
        <f ca="1">OFFSET(Initiatives!$D$1,N112-1,$BS$3)</f>
        <v>#REF!</v>
      </c>
      <c r="AR112" s="375"/>
      <c r="AS112" s="392" t="e">
        <f ca="1">OFFSET(Initiatives!$D$1,O112-1,$BS$3)</f>
        <v>#REF!</v>
      </c>
      <c r="AT112" s="375"/>
      <c r="AU112" s="392" t="e">
        <f ca="1">OFFSET(Initiatives!$D$1,P112-1,$BS$3)</f>
        <v>#REF!</v>
      </c>
      <c r="AV112" s="375"/>
      <c r="AW112" s="392" t="e">
        <f ca="1">OFFSET(Initiatives!$D$1,Q112-1,$BS$3)</f>
        <v>#REF!</v>
      </c>
      <c r="AX112" s="375"/>
      <c r="AY112" s="392" t="e">
        <f ca="1">OFFSET(Initiatives!$D$1,R112-1,$BS$3)</f>
        <v>#REF!</v>
      </c>
      <c r="AZ112" s="375"/>
      <c r="BA112" s="392" t="e">
        <f ca="1">OFFSET(Initiatives!$D$1,S112-1,$BS$3)</f>
        <v>#REF!</v>
      </c>
      <c r="BB112" s="375"/>
      <c r="BC112" s="392" t="e">
        <f ca="1">OFFSET(Initiatives!$D$1,T112-1,$BS$3)</f>
        <v>#REF!</v>
      </c>
      <c r="BD112" s="375"/>
      <c r="BE112" s="392" t="e">
        <f ca="1">OFFSET(Initiatives!$D$1,U112-1,$BS$3)</f>
        <v>#REF!</v>
      </c>
      <c r="BF112" s="375"/>
      <c r="BG112" s="392" t="e">
        <f ca="1">OFFSET(Initiatives!$D$1,V112-1,$BS$3)</f>
        <v>#REF!</v>
      </c>
      <c r="BH112" s="375"/>
      <c r="BI112" s="392" t="e">
        <f ca="1">OFFSET(Initiatives!$D$1,W112-1,$BS$3)</f>
        <v>#REF!</v>
      </c>
      <c r="BJ112" s="375"/>
      <c r="BK112" s="392" t="e">
        <f ca="1">OFFSET(Initiatives!$D$1,X112-1,$BS$3)</f>
        <v>#REF!</v>
      </c>
      <c r="BL112" s="375"/>
      <c r="BN112" s="101">
        <f t="shared" ref="BN112:BN115" si="1934">SUM(Z112,AB112,AD112,AF112,AH112,AJ112,AL112,AN112,AP112,AR112,AT112,AV112,AX112,AZ112,BB112,BD112,BF112,BH112,BJ112,BL112)+0.0001</f>
        <v>28.0001</v>
      </c>
      <c r="BP112" s="231" t="str">
        <f t="shared" ref="BP112:BP115" ca="1" si="1935">CONCATENATE(GB112,GC112,GD112,GE112,GF112,GG112,GH112,GI112,GJ112,GK112,GL112,GM112,GN112,GO112,GP112,GQ112,GR112,GS112,GT112,GU112)</f>
        <v>Financial planning (39%); Source System Inclusion / Integration (25%); Financial analysis (22%); Demand forecasting/planning (7%)</v>
      </c>
      <c r="BQ112" s="338">
        <v>0.01</v>
      </c>
      <c r="BR112" s="40">
        <f t="shared" ref="BR112:BR115" ca="1" si="1936">COUNTIF(CT112:DM112,"&gt;"&amp;BQ112)</f>
        <v>5</v>
      </c>
      <c r="BS112" s="274">
        <v>0.05</v>
      </c>
      <c r="BT112" s="40">
        <f t="shared" ref="BT112:BT115" ca="1" si="1937">COUNTIF(DP112:EI112,"&gt;"&amp;BS112)</f>
        <v>4</v>
      </c>
      <c r="BU112" s="376">
        <v>7</v>
      </c>
      <c r="BV112" s="40">
        <f t="shared" ref="BV112:BV115" ca="1" si="1938">MIN(BR112,BT112,BU112)</f>
        <v>4</v>
      </c>
      <c r="BY112" s="377">
        <f ca="1">IF(ISERROR(OFFSET(Initiatives!$D$1,E112-1,$BY$3)),,OFFSET(Initiatives!$D$1,E112-1,$BY$3))</f>
        <v>0.32</v>
      </c>
      <c r="BZ112" s="377">
        <f ca="1">IF(ISERROR(OFFSET(Initiatives!$D$1,F112-1,$BY$3)),,OFFSET(Initiatives!$D$1,F112-1,$BY$3))</f>
        <v>0.55999999999999983</v>
      </c>
      <c r="CA112" s="377">
        <f ca="1">IF(ISERROR(OFFSET(Initiatives!$D$1,G112-1,$BY$3)),,OFFSET(Initiatives!$D$1,G112-1,$BY$3))</f>
        <v>0.55999999999999983</v>
      </c>
      <c r="CB112" s="377">
        <f ca="1">IF(ISERROR(OFFSET(Initiatives!$D$1,H112-1,$BY$3)),,OFFSET(Initiatives!$D$1,H112-1,$BY$3))</f>
        <v>0.45454545454545436</v>
      </c>
      <c r="CC112" s="377">
        <f ca="1">IF(ISERROR(OFFSET(Initiatives!$D$1,I112-1,$BY$3)),,OFFSET(Initiatives!$D$1,I112-1,$BY$3))</f>
        <v>7.7000000000000179E-2</v>
      </c>
      <c r="CD112" s="377">
        <f ca="1">IF(ISERROR(OFFSET(Initiatives!$D$1,J112-1,$BY$3)),,OFFSET(Initiatives!$D$1,J112-1,$BY$3))</f>
        <v>0.6</v>
      </c>
      <c r="CE112" s="377">
        <f ca="1">IF(ISERROR(OFFSET(Initiatives!$D$1,K112-1,$BY$3)),,OFFSET(Initiatives!$D$1,K112-1,$BY$3))</f>
        <v>0</v>
      </c>
      <c r="CF112" s="377">
        <f ca="1">IF(ISERROR(OFFSET(Initiatives!$D$1,L112-1,$BY$3)),,OFFSET(Initiatives!$D$1,L112-1,$BY$3))</f>
        <v>0</v>
      </c>
      <c r="CG112" s="377">
        <f ca="1">IF(ISERROR(OFFSET(Initiatives!$D$1,M112-1,$BY$3)),,OFFSET(Initiatives!$D$1,M112-1,$BY$3))</f>
        <v>0</v>
      </c>
      <c r="CH112" s="377">
        <f ca="1">IF(ISERROR(OFFSET(Initiatives!$D$1,N112-1,$BY$3)),,OFFSET(Initiatives!$D$1,N112-1,$BY$3))</f>
        <v>0</v>
      </c>
      <c r="CI112" s="377">
        <f ca="1">IF(ISERROR(OFFSET(Initiatives!$D$1,O112-1,$BY$3)),,OFFSET(Initiatives!$D$1,O112-1,$BY$3))</f>
        <v>0</v>
      </c>
      <c r="CJ112" s="377">
        <f ca="1">IF(ISERROR(OFFSET(Initiatives!$D$1,P112-1,$BY$3)),,OFFSET(Initiatives!$D$1,P112-1,$BY$3))</f>
        <v>0</v>
      </c>
      <c r="CK112" s="377">
        <f ca="1">IF(ISERROR(OFFSET(Initiatives!$D$1,Q112-1,$BY$3)),,OFFSET(Initiatives!$D$1,Q112-1,$BY$3))</f>
        <v>0</v>
      </c>
      <c r="CL112" s="377">
        <f ca="1">IF(ISERROR(OFFSET(Initiatives!$D$1,R112-1,$BY$3)),,OFFSET(Initiatives!$D$1,R112-1,$BY$3))</f>
        <v>0</v>
      </c>
      <c r="CM112" s="377">
        <f ca="1">IF(ISERROR(OFFSET(Initiatives!$D$1,S112-1,$BY$3)),,OFFSET(Initiatives!$D$1,S112-1,$BY$3))</f>
        <v>0</v>
      </c>
      <c r="CN112" s="377">
        <f ca="1">IF(ISERROR(OFFSET(Initiatives!$D$1,T112-1,$BY$3)),,OFFSET(Initiatives!$D$1,T112-1,$BY$3))</f>
        <v>0</v>
      </c>
      <c r="CO112" s="377">
        <f ca="1">IF(ISERROR(OFFSET(Initiatives!$D$1,U112-1,$BY$3)),,OFFSET(Initiatives!$D$1,U112-1,$BY$3))</f>
        <v>0</v>
      </c>
      <c r="CP112" s="377">
        <f ca="1">IF(ISERROR(OFFSET(Initiatives!$D$1,V112-1,$BY$3)),,OFFSET(Initiatives!$D$1,V112-1,$BY$3))</f>
        <v>0</v>
      </c>
      <c r="CQ112" s="377">
        <f ca="1">IF(ISERROR(OFFSET(Initiatives!$D$1,W112-1,$BY$3)),,OFFSET(Initiatives!$D$1,W112-1,$BY$3))</f>
        <v>0</v>
      </c>
      <c r="CR112" s="377">
        <f ca="1">IF(ISERROR(OFFSET(Initiatives!$D$1,X112-1,$BY$3)),,OFFSET(Initiatives!$D$1,X112-1,$BY$3))</f>
        <v>0</v>
      </c>
      <c r="CT112" s="41">
        <f t="shared" ref="CT112:CT115" ca="1" si="1939">BY112*Z112/$BN112</f>
        <v>3.4285591837172009E-2</v>
      </c>
      <c r="CU112" s="41">
        <f t="shared" ref="CU112:CU115" ca="1" si="1940">BZ112*AB112/$BN112</f>
        <v>9.9999642858418322E-2</v>
      </c>
      <c r="CV112" s="41">
        <f t="shared" ref="CV112:CV115" ca="1" si="1941">CA112*AD112/$BN112</f>
        <v>0.179999357145153</v>
      </c>
      <c r="CW112" s="41">
        <f t="shared" ref="CW112:CW115" ca="1" si="1942">CB112*AF112/$BN112</f>
        <v>0.11363595779365719</v>
      </c>
      <c r="CX112" s="41">
        <f t="shared" ref="CX112:CX115" ca="1" si="1943">CC112*AH112/$BN112</f>
        <v>8.2499705358195334E-3</v>
      </c>
      <c r="CY112" s="41">
        <f t="shared" ref="CY112:CY115" ca="1" si="1944">CD112*AJ112/$BN112</f>
        <v>2.1428494898232505E-2</v>
      </c>
      <c r="CZ112" s="41">
        <f t="shared" ref="CZ112:CZ115" ca="1" si="1945">CE112*AL112/$BN112</f>
        <v>0</v>
      </c>
      <c r="DA112" s="41">
        <f t="shared" ref="DA112:DA115" ca="1" si="1946">CF112*AN112/$BN112</f>
        <v>0</v>
      </c>
      <c r="DB112" s="41">
        <f t="shared" ref="DB112:DB115" ca="1" si="1947">CG112*AP112/$BN112</f>
        <v>0</v>
      </c>
      <c r="DC112" s="41">
        <f t="shared" ref="DC112:DC115" ca="1" si="1948">CH112*AR112/$BN112</f>
        <v>0</v>
      </c>
      <c r="DD112" s="41">
        <f t="shared" ref="DD112:DD115" ca="1" si="1949">CI112*AT112/$BN112</f>
        <v>0</v>
      </c>
      <c r="DE112" s="41">
        <f t="shared" ref="DE112:DE115" ca="1" si="1950">CJ112*AV112/$BN112</f>
        <v>0</v>
      </c>
      <c r="DF112" s="41">
        <f t="shared" ref="DF112:DF115" ca="1" si="1951">CK112*AX112/$BN112</f>
        <v>0</v>
      </c>
      <c r="DG112" s="41">
        <f t="shared" ref="DG112:DG115" ca="1" si="1952">CL112*AZ112/$BN112</f>
        <v>0</v>
      </c>
      <c r="DH112" s="41">
        <f t="shared" ref="DH112:DH115" ca="1" si="1953">CM112*BB112/$BN112</f>
        <v>0</v>
      </c>
      <c r="DI112" s="41">
        <f t="shared" ref="DI112:DI115" ca="1" si="1954">CN112*BD112/$BN112</f>
        <v>0</v>
      </c>
      <c r="DJ112" s="41">
        <f t="shared" ref="DJ112:DJ115" ca="1" si="1955">CO112*BF112/$BN112</f>
        <v>0</v>
      </c>
      <c r="DK112" s="41">
        <f t="shared" ref="DK112:DK115" ca="1" si="1956">CP112*BH112/$BN112</f>
        <v>0</v>
      </c>
      <c r="DL112" s="41">
        <f t="shared" ref="DL112:DL115" ca="1" si="1957">CQ112*BJ112/$BN112</f>
        <v>0</v>
      </c>
      <c r="DM112" s="41">
        <f t="shared" ref="DM112:DM115" ca="1" si="1958">CR112*BL112/$BN112</f>
        <v>0</v>
      </c>
      <c r="DN112" s="41">
        <f t="shared" ref="DN112:DN115" ca="1" si="1959">SUM(CT112:DM112)</f>
        <v>0.45759901506845257</v>
      </c>
      <c r="DP112" s="41">
        <f t="shared" ref="DP112:DP115" ca="1" si="1960">CT112/$DN112-DP$5/100000</f>
        <v>7.4914968603883914E-2</v>
      </c>
      <c r="DQ112" s="41">
        <f t="shared" ref="DQ112:DQ115" ca="1" si="1961">CU112/$DN112-DQ$5/100000</f>
        <v>0.21851115842799465</v>
      </c>
      <c r="DR112" s="41">
        <f t="shared" ref="DR112:DR115" ca="1" si="1962">CV112/$DN112-DR$5/100000</f>
        <v>0.39332608517039047</v>
      </c>
      <c r="DS112" s="41">
        <f t="shared" ref="DS112:DS115" ca="1" si="1963">CW112/$DN112-DS$5/100000</f>
        <v>0.24829086184999394</v>
      </c>
      <c r="DT112" s="41">
        <f t="shared" ref="DT112:DT115" ca="1" si="1964">CX112/$DN112-DT$5/100000</f>
        <v>1.7978820570309605E-2</v>
      </c>
      <c r="DU112" s="41">
        <f t="shared" ref="DU112:DU115" ca="1" si="1965">CY112/$DN112-DU$5/100000</f>
        <v>4.6768105377427448E-2</v>
      </c>
      <c r="DV112" s="41">
        <f t="shared" ref="DV112:DV115" ca="1" si="1966">CZ112/$DN112-DV$5/100000</f>
        <v>-6.9999999999999994E-5</v>
      </c>
      <c r="DW112" s="41">
        <f t="shared" ref="DW112:DW115" ca="1" si="1967">DA112/$DN112-DW$5/100000</f>
        <v>-8.0000000000000007E-5</v>
      </c>
      <c r="DX112" s="41">
        <f t="shared" ref="DX112:DX115" ca="1" si="1968">DB112/$DN112-DX$5/100000</f>
        <v>-9.0000000000000006E-5</v>
      </c>
      <c r="DY112" s="41">
        <f t="shared" ref="DY112:DY115" ca="1" si="1969">DC112/$DN112-DY$5/100000</f>
        <v>-1E-4</v>
      </c>
      <c r="DZ112" s="41">
        <f t="shared" ref="DZ112:DZ115" ca="1" si="1970">DD112/$DN112-DZ$5/100000</f>
        <v>-1.1E-4</v>
      </c>
      <c r="EA112" s="41">
        <f t="shared" ref="EA112:EA115" ca="1" si="1971">DE112/$DN112-EA$5/100000</f>
        <v>-1.2E-4</v>
      </c>
      <c r="EB112" s="41">
        <f t="shared" ref="EB112:EB115" ca="1" si="1972">DF112/$DN112-EB$5/100000</f>
        <v>-1.2999999999999999E-4</v>
      </c>
      <c r="EC112" s="41">
        <f t="shared" ref="EC112:EC115" ca="1" si="1973">DG112/$DN112-EC$5/100000</f>
        <v>-1.3999999999999999E-4</v>
      </c>
      <c r="ED112" s="41">
        <f t="shared" ref="ED112:ED115" ca="1" si="1974">DH112/$DN112-ED$5/100000</f>
        <v>-1.4999999999999999E-4</v>
      </c>
      <c r="EE112" s="41">
        <f t="shared" ref="EE112:EE115" ca="1" si="1975">DI112/$DN112-EE$5/100000</f>
        <v>-1.6000000000000001E-4</v>
      </c>
      <c r="EF112" s="41">
        <f t="shared" ref="EF112:EF115" ca="1" si="1976">DJ112/$DN112-EF$5/100000</f>
        <v>-1.7000000000000001E-4</v>
      </c>
      <c r="EG112" s="41">
        <f t="shared" ref="EG112:EG115" ca="1" si="1977">DK112/$DN112-EG$5/100000</f>
        <v>-1.8000000000000001E-4</v>
      </c>
      <c r="EH112" s="41">
        <f t="shared" ref="EH112:EH115" ca="1" si="1978">DL112/$DN112-EH$5/100000</f>
        <v>-1.9000000000000001E-4</v>
      </c>
      <c r="EI112" s="41">
        <f t="shared" ref="EI112:EI115" ca="1" si="1979">DM112/$DN112-EI$5/100000</f>
        <v>-2.0000000000000001E-4</v>
      </c>
      <c r="EJ112" s="41">
        <f t="shared" ref="EJ112:EJ115" ca="1" si="1980">SUM(DP112:EI112)</f>
        <v>0.99790000000000001</v>
      </c>
      <c r="EL112" s="378">
        <f t="shared" ref="EL112:EL115" ca="1" si="1981">RANK(DP112,$DP112:$EI112)</f>
        <v>4</v>
      </c>
      <c r="EM112" s="378">
        <f t="shared" ref="EM112:EM115" ca="1" si="1982">RANK(DQ112,$DP112:$EI112)</f>
        <v>3</v>
      </c>
      <c r="EN112" s="378">
        <f t="shared" ref="EN112:EN115" ca="1" si="1983">RANK(DR112,$DP112:$EI112)</f>
        <v>1</v>
      </c>
      <c r="EO112" s="378">
        <f t="shared" ref="EO112:EO115" ca="1" si="1984">RANK(DS112,$DP112:$EI112)</f>
        <v>2</v>
      </c>
      <c r="EP112" s="378">
        <f t="shared" ref="EP112:EP115" ca="1" si="1985">RANK(DT112,$DP112:$EI112)</f>
        <v>6</v>
      </c>
      <c r="EQ112" s="378">
        <f t="shared" ref="EQ112:EQ115" ca="1" si="1986">RANK(DU112,$DP112:$EI112)</f>
        <v>5</v>
      </c>
      <c r="ER112" s="378">
        <f t="shared" ref="ER112:ER115" ca="1" si="1987">RANK(DV112,$DP112:$EI112)</f>
        <v>7</v>
      </c>
      <c r="ES112" s="378">
        <f t="shared" ref="ES112:ES115" ca="1" si="1988">RANK(DW112,$DP112:$EI112)</f>
        <v>8</v>
      </c>
      <c r="ET112" s="378">
        <f t="shared" ref="ET112:ET115" ca="1" si="1989">RANK(DX112,$DP112:$EI112)</f>
        <v>9</v>
      </c>
      <c r="EU112" s="378">
        <f t="shared" ref="EU112:EU115" ca="1" si="1990">RANK(DY112,$DP112:$EI112)</f>
        <v>10</v>
      </c>
      <c r="EV112" s="378">
        <f t="shared" ref="EV112:EV115" ca="1" si="1991">RANK(DZ112,$DP112:$EI112)</f>
        <v>11</v>
      </c>
      <c r="EW112" s="378">
        <f t="shared" ref="EW112:EW115" ca="1" si="1992">RANK(EA112,$DP112:$EI112)</f>
        <v>12</v>
      </c>
      <c r="EX112" s="378">
        <f t="shared" ref="EX112:EX115" ca="1" si="1993">RANK(EB112,$DP112:$EI112)</f>
        <v>13</v>
      </c>
      <c r="EY112" s="378">
        <f t="shared" ref="EY112:EY115" ca="1" si="1994">RANK(EC112,$DP112:$EI112)</f>
        <v>14</v>
      </c>
      <c r="EZ112" s="378">
        <f t="shared" ref="EZ112:EZ115" ca="1" si="1995">RANK(ED112,$DP112:$EI112)</f>
        <v>15</v>
      </c>
      <c r="FA112" s="378">
        <f t="shared" ref="FA112:FA115" ca="1" si="1996">RANK(EE112,$DP112:$EI112)</f>
        <v>16</v>
      </c>
      <c r="FB112" s="378">
        <f t="shared" ref="FB112:FB115" ca="1" si="1997">RANK(EF112,$DP112:$EI112)</f>
        <v>17</v>
      </c>
      <c r="FC112" s="378">
        <f t="shared" ref="FC112:FC115" ca="1" si="1998">RANK(EG112,$DP112:$EI112)</f>
        <v>18</v>
      </c>
      <c r="FD112" s="378">
        <f t="shared" ref="FD112:FD115" ca="1" si="1999">RANK(EH112,$DP112:$EI112)</f>
        <v>19</v>
      </c>
      <c r="FE112" s="378">
        <f t="shared" ref="FE112:FE115" ca="1" si="2000">RANK(EI112,$DP112:$EI112)</f>
        <v>20</v>
      </c>
      <c r="FG112" s="378">
        <f t="shared" ref="FG112:FV115" ca="1" si="2001">MATCH(FG$5,$EL112:$FE112,0)</f>
        <v>3</v>
      </c>
      <c r="FH112" s="378">
        <f t="shared" ca="1" si="2001"/>
        <v>4</v>
      </c>
      <c r="FI112" s="378">
        <f t="shared" ca="1" si="2001"/>
        <v>2</v>
      </c>
      <c r="FJ112" s="378">
        <f t="shared" ca="1" si="2001"/>
        <v>1</v>
      </c>
      <c r="FK112" s="378">
        <f t="shared" ca="1" si="2001"/>
        <v>6</v>
      </c>
      <c r="FL112" s="378">
        <f t="shared" ca="1" si="2001"/>
        <v>5</v>
      </c>
      <c r="FM112" s="378">
        <f t="shared" ca="1" si="2001"/>
        <v>7</v>
      </c>
      <c r="FN112" s="378">
        <f t="shared" ca="1" si="2001"/>
        <v>8</v>
      </c>
      <c r="FO112" s="378">
        <f t="shared" ca="1" si="2001"/>
        <v>9</v>
      </c>
      <c r="FP112" s="378">
        <f t="shared" ca="1" si="2001"/>
        <v>10</v>
      </c>
      <c r="FQ112" s="378">
        <f t="shared" ca="1" si="2001"/>
        <v>11</v>
      </c>
      <c r="FR112" s="378">
        <f t="shared" ca="1" si="2001"/>
        <v>12</v>
      </c>
      <c r="FS112" s="378">
        <f t="shared" ca="1" si="2001"/>
        <v>13</v>
      </c>
      <c r="FT112" s="378">
        <f t="shared" ca="1" si="2001"/>
        <v>14</v>
      </c>
      <c r="FU112" s="378">
        <f t="shared" ca="1" si="2001"/>
        <v>15</v>
      </c>
      <c r="FV112" s="378">
        <f t="shared" ca="1" si="2001"/>
        <v>16</v>
      </c>
      <c r="FW112" s="378">
        <f t="shared" ref="FW112:FZ115" ca="1" si="2002">MATCH(FW$5,$EL112:$FE112,0)</f>
        <v>17</v>
      </c>
      <c r="FX112" s="378">
        <f t="shared" ca="1" si="2002"/>
        <v>18</v>
      </c>
      <c r="FY112" s="378">
        <f t="shared" ca="1" si="2002"/>
        <v>19</v>
      </c>
      <c r="FZ112" s="378">
        <f t="shared" ca="1" si="2002"/>
        <v>20</v>
      </c>
      <c r="GB112" s="275" t="str">
        <f t="shared" ref="GB112:GB115" ca="1" si="2003">IF(GB$5&lt;=$BV112,INDEX($Y112:$BL112,1,FG112*2-1)&amp;" ("&amp;TEXT(INDEX($DP112:$EI112,1,FG112),"0%")&amp;")","")</f>
        <v>Financial planning (39%)</v>
      </c>
      <c r="GC112" s="231" t="str">
        <f t="shared" ref="GC112:GC115" ca="1" si="2004">IF(GC$5&lt;=$BV112,"; "&amp;INDEX($Y112:$BL112,1,FH112*2-1)&amp;" ("&amp;TEXT(INDEX($DP112:$EI112,1,FH112),"0%")&amp;")","")</f>
        <v>; Source System Inclusion / Integration (25%)</v>
      </c>
      <c r="GD112" s="231" t="str">
        <f t="shared" ref="GD112:GD115" ca="1" si="2005">IF(GD$5&lt;=$BV112,"; "&amp;INDEX($Y112:$BL112,1,FI112*2-1)&amp;" ("&amp;TEXT(INDEX($DP112:$EI112,1,FI112),"0%")&amp;")","")</f>
        <v>; Financial analysis (22%)</v>
      </c>
      <c r="GE112" s="231" t="str">
        <f t="shared" ref="GE112:GE115" ca="1" si="2006">IF(GE$5&lt;=$BV112,"; "&amp;INDEX($Y112:$BL112,1,FJ112*2-1)&amp;" ("&amp;TEXT(INDEX($DP112:$EI112,1,FJ112),"0%")&amp;")","")</f>
        <v>; Demand forecasting/planning (7%)</v>
      </c>
      <c r="GF112" s="231" t="str">
        <f t="shared" ref="GF112:GF115" ca="1" si="2007">IF(GF$5&lt;=$BV112,"; "&amp;INDEX($Y112:$BL112,1,FK112*2-1)&amp;" ("&amp;TEXT(INDEX($DP112:$EI112,1,FK112),"0%")&amp;")","")</f>
        <v/>
      </c>
      <c r="GG112" s="231" t="str">
        <f t="shared" ref="GG112:GG115" ca="1" si="2008">IF(GG$5&lt;=$BV112,"; "&amp;INDEX($Y112:$BL112,1,FL112*2-1)&amp;" ("&amp;TEXT(INDEX($DP112:$EI112,1,FL112),"0%")&amp;")","")</f>
        <v/>
      </c>
      <c r="GH112" s="231" t="str">
        <f t="shared" ref="GH112:GH115" ca="1" si="2009">IF(GH$5&lt;=$BV112,"; "&amp;INDEX($Y112:$BL112,1,FM112*2-1)&amp;" ("&amp;TEXT(INDEX($DP112:$EI112,1,FM112),"0%")&amp;")","")</f>
        <v/>
      </c>
      <c r="GI112" s="231" t="str">
        <f t="shared" ref="GI112:GI115" ca="1" si="2010">IF(GI$5&lt;=$BV112,"; "&amp;INDEX($Y112:$BL112,1,FN112*2-1)&amp;" ("&amp;TEXT(INDEX($DP112:$EI112,1,FN112),"0%")&amp;")","")</f>
        <v/>
      </c>
      <c r="GJ112" s="231" t="str">
        <f t="shared" ref="GJ112:GJ115" ca="1" si="2011">IF(GJ$5&lt;=$BV112,"; "&amp;INDEX($Y112:$BL112,1,FO112*2-1)&amp;" ("&amp;TEXT(INDEX($DP112:$EI112,1,FO112),"0%")&amp;")","")</f>
        <v/>
      </c>
      <c r="GK112" s="231" t="str">
        <f t="shared" ref="GK112:GK115" ca="1" si="2012">IF(GK$5&lt;=$BV112,"; "&amp;INDEX($Y112:$BL112,1,FP112*2-1)&amp;" ("&amp;TEXT(INDEX($DP112:$EI112,1,FP112),"0%")&amp;")","")</f>
        <v/>
      </c>
      <c r="GL112" s="231" t="str">
        <f t="shared" ref="GL112:GL115" ca="1" si="2013">IF(GL$5&lt;=$BV112,"; "&amp;INDEX($Y112:$BL112,1,FQ112*2-1)&amp;" ("&amp;TEXT(INDEX($DP112:$EI112,1,FQ112),"0%")&amp;")","")</f>
        <v/>
      </c>
      <c r="GM112" s="231" t="str">
        <f t="shared" ref="GM112:GM115" ca="1" si="2014">IF(GM$5&lt;=$BV112,"; "&amp;INDEX($Y112:$BL112,1,FR112*2-1)&amp;" ("&amp;TEXT(INDEX($DP112:$EI112,1,FR112),"0%")&amp;")","")</f>
        <v/>
      </c>
      <c r="GN112" s="231" t="str">
        <f t="shared" ref="GN112:GN115" ca="1" si="2015">IF(GN$5&lt;=$BV112,"; "&amp;INDEX($Y112:$BL112,1,FS112*2-1)&amp;" ("&amp;TEXT(INDEX($DP112:$EI112,1,FS112),"0%")&amp;")","")</f>
        <v/>
      </c>
      <c r="GO112" s="231" t="str">
        <f t="shared" ref="GO112:GO115" ca="1" si="2016">IF(GO$5&lt;=$BV112,"; "&amp;INDEX($Y112:$BL112,1,FT112*2-1)&amp;" ("&amp;TEXT(INDEX($DP112:$EI112,1,FT112),"0%")&amp;")","")</f>
        <v/>
      </c>
      <c r="GP112" s="231" t="str">
        <f t="shared" ref="GP112:GP115" ca="1" si="2017">IF(GP$5&lt;=$BV112,"; "&amp;INDEX($Y112:$BL112,1,FU112*2-1)&amp;" ("&amp;TEXT(INDEX($DP112:$EI112,1,FU112),"0%")&amp;")","")</f>
        <v/>
      </c>
      <c r="GQ112" s="231" t="str">
        <f t="shared" ref="GQ112:GQ115" ca="1" si="2018">IF(GQ$5&lt;=$BV112,"; "&amp;INDEX($Y112:$BL112,1,FV112*2-1)&amp;" ("&amp;TEXT(INDEX($DP112:$EI112,1,FV112),"0%")&amp;")","")</f>
        <v/>
      </c>
      <c r="GR112" s="231" t="str">
        <f t="shared" ref="GR112:GR115" ca="1" si="2019">IF(GR$5&lt;=$BV112,"; "&amp;INDEX($Y112:$BL112,1,FW112*2-1)&amp;" ("&amp;TEXT(INDEX($DP112:$EI112,1,FW112),"0%")&amp;")","")</f>
        <v/>
      </c>
      <c r="GS112" s="231" t="str">
        <f t="shared" ref="GS112:GS115" ca="1" si="2020">IF(GS$5&lt;=$BV112,"; "&amp;INDEX($Y112:$BL112,1,FX112*2-1)&amp;" ("&amp;TEXT(INDEX($DP112:$EI112,1,FX112),"0%")&amp;")","")</f>
        <v/>
      </c>
      <c r="GT112" s="231" t="str">
        <f t="shared" ref="GT112:GT115" ca="1" si="2021">IF(GT$5&lt;=$BV112,"; "&amp;INDEX($Y112:$BL112,1,FY112*2-1)&amp;" ("&amp;TEXT(INDEX($DP112:$EI112,1,FY112),"0%")&amp;")","")</f>
        <v/>
      </c>
      <c r="GU112" s="231" t="str">
        <f t="shared" ref="GU112:GU115" ca="1" si="2022">IF(GU$5&lt;=$BV112,"; "&amp;INDEX($Y112:$BL112,1,FZ112*2-1)&amp;" ("&amp;TEXT(INDEX($DP112:$EI112,1,FZ112),"0%")&amp;")","")</f>
        <v/>
      </c>
    </row>
    <row r="113" spans="1:246" s="386" customFormat="1" ht="16.5" hidden="1" customHeight="1">
      <c r="B113" s="373"/>
      <c r="C113" s="81" t="str">
        <f>KPIs!B27</f>
        <v>Analysis/reporting Time</v>
      </c>
      <c r="D113" s="404">
        <f t="shared" ca="1" si="1933"/>
        <v>0.51578317165474263</v>
      </c>
      <c r="E113" s="374">
        <f>ROW(Initiatives!$A$170)</f>
        <v>170</v>
      </c>
      <c r="F113" s="374">
        <f>ROW(Initiatives!$A$176)</f>
        <v>176</v>
      </c>
      <c r="G113" s="374">
        <f>ROW(Initiatives!$A$183)</f>
        <v>183</v>
      </c>
      <c r="H113" s="374">
        <f>ROW(Initiatives!$A$185)</f>
        <v>185</v>
      </c>
      <c r="I113" s="374">
        <f>ROW(Initiatives!$A$186)</f>
        <v>186</v>
      </c>
      <c r="J113" s="374">
        <f>ROW(Initiatives!$A$187)</f>
        <v>187</v>
      </c>
      <c r="K113" s="374">
        <f>ROW(Initiatives!$A$188)</f>
        <v>188</v>
      </c>
      <c r="L113" s="374">
        <f>ROW(Initiatives!$A$189)</f>
        <v>189</v>
      </c>
      <c r="M113" s="374"/>
      <c r="N113" s="374"/>
      <c r="O113" s="374"/>
      <c r="P113" s="374"/>
      <c r="Q113" s="374"/>
      <c r="R113" s="374"/>
      <c r="S113" s="374"/>
      <c r="T113" s="374"/>
      <c r="U113" s="374"/>
      <c r="V113" s="374"/>
      <c r="W113" s="374"/>
      <c r="X113" s="374"/>
      <c r="Y113" s="392" t="str">
        <f ca="1">OFFSET(Initiatives!$D$1,E113-1,$BS$3)</f>
        <v>BI Applications</v>
      </c>
      <c r="Z113" s="375">
        <v>7</v>
      </c>
      <c r="AA113" s="392" t="str">
        <f ca="1">OFFSET(Initiatives!$D$1,F113-1,$BS$3)</f>
        <v>Source System Inclusion / Integration</v>
      </c>
      <c r="AB113" s="375">
        <v>6</v>
      </c>
      <c r="AC113" s="392" t="str">
        <f ca="1">OFFSET(Initiatives!$D$1,G113-1,$BS$3)</f>
        <v>Enhance DW Platform</v>
      </c>
      <c r="AD113" s="375">
        <v>3</v>
      </c>
      <c r="AE113" s="392" t="str">
        <f ca="1">OFFSET(Initiatives!$D$1,H113-1,$BS$3)</f>
        <v>Reporting</v>
      </c>
      <c r="AF113" s="375">
        <v>6</v>
      </c>
      <c r="AG113" s="392" t="str">
        <f ca="1">OFFSET(Initiatives!$D$1,I113-1,$BS$3)</f>
        <v>Scorecards / Dashboards</v>
      </c>
      <c r="AH113" s="375">
        <v>6</v>
      </c>
      <c r="AI113" s="392" t="str">
        <f ca="1">OFFSET(Initiatives!$D$1,J113-1,$BS$3)</f>
        <v>Analytical Tools</v>
      </c>
      <c r="AJ113" s="375">
        <v>7</v>
      </c>
      <c r="AK113" s="392" t="str">
        <f ca="1">OFFSET(Initiatives!$D$1,K113-1,$BS$3)</f>
        <v>Workflow and Collaboration</v>
      </c>
      <c r="AL113" s="375">
        <v>6</v>
      </c>
      <c r="AM113" s="392" t="str">
        <f ca="1">OFFSET(Initiatives!$D$1,L113-1,$BS$3)</f>
        <v>Enhance BI Platform</v>
      </c>
      <c r="AN113" s="375"/>
      <c r="AO113" s="392" t="e">
        <f ca="1">OFFSET(Initiatives!$D$1,M113-1,$BS$3)</f>
        <v>#REF!</v>
      </c>
      <c r="AP113" s="375"/>
      <c r="AQ113" s="392" t="e">
        <f ca="1">OFFSET(Initiatives!$D$1,N113-1,$BS$3)</f>
        <v>#REF!</v>
      </c>
      <c r="AR113" s="375"/>
      <c r="AS113" s="392" t="e">
        <f ca="1">OFFSET(Initiatives!$D$1,O113-1,$BS$3)</f>
        <v>#REF!</v>
      </c>
      <c r="AT113" s="375"/>
      <c r="AU113" s="392" t="e">
        <f ca="1">OFFSET(Initiatives!$D$1,P113-1,$BS$3)</f>
        <v>#REF!</v>
      </c>
      <c r="AV113" s="375"/>
      <c r="AW113" s="392" t="e">
        <f ca="1">OFFSET(Initiatives!$D$1,Q113-1,$BS$3)</f>
        <v>#REF!</v>
      </c>
      <c r="AX113" s="375"/>
      <c r="AY113" s="392" t="e">
        <f ca="1">OFFSET(Initiatives!$D$1,R113-1,$BS$3)</f>
        <v>#REF!</v>
      </c>
      <c r="AZ113" s="375"/>
      <c r="BA113" s="392" t="e">
        <f ca="1">OFFSET(Initiatives!$D$1,S113-1,$BS$3)</f>
        <v>#REF!</v>
      </c>
      <c r="BB113" s="375"/>
      <c r="BC113" s="392" t="e">
        <f ca="1">OFFSET(Initiatives!$D$1,T113-1,$BS$3)</f>
        <v>#REF!</v>
      </c>
      <c r="BD113" s="375"/>
      <c r="BE113" s="392" t="e">
        <f ca="1">OFFSET(Initiatives!$D$1,U113-1,$BS$3)</f>
        <v>#REF!</v>
      </c>
      <c r="BF113" s="375"/>
      <c r="BG113" s="392" t="e">
        <f ca="1">OFFSET(Initiatives!$D$1,V113-1,$BS$3)</f>
        <v>#REF!</v>
      </c>
      <c r="BH113" s="375"/>
      <c r="BI113" s="392" t="e">
        <f ca="1">OFFSET(Initiatives!$D$1,W113-1,$BS$3)</f>
        <v>#REF!</v>
      </c>
      <c r="BJ113" s="375"/>
      <c r="BK113" s="392" t="e">
        <f ca="1">OFFSET(Initiatives!$D$1,X113-1,$BS$3)</f>
        <v>#REF!</v>
      </c>
      <c r="BL113" s="375"/>
      <c r="BN113" s="101">
        <f t="shared" si="1934"/>
        <v>41.000100000000003</v>
      </c>
      <c r="BP113" s="231" t="str">
        <f t="shared" ca="1" si="1935"/>
        <v>Workflow and Collaboration (20%); Analytical Tools (20%); Scorecards / Dashboards (17%); BI Applications (15%); Reporting (14%); Source System Inclusion / Integration (13%)</v>
      </c>
      <c r="BQ113" s="338">
        <v>0.01</v>
      </c>
      <c r="BR113" s="40">
        <f t="shared" ca="1" si="1936"/>
        <v>6</v>
      </c>
      <c r="BS113" s="274">
        <v>0.05</v>
      </c>
      <c r="BT113" s="40">
        <f t="shared" ca="1" si="1937"/>
        <v>6</v>
      </c>
      <c r="BU113" s="376">
        <v>7</v>
      </c>
      <c r="BV113" s="40">
        <f t="shared" ca="1" si="1938"/>
        <v>6</v>
      </c>
      <c r="BY113" s="377">
        <f ca="1">IF(ISERROR(OFFSET(Initiatives!$D$1,E113-1,$BY$3)),,OFFSET(Initiatives!$D$1,E113-1,$BY$3))</f>
        <v>0.45555555555555544</v>
      </c>
      <c r="BZ113" s="377">
        <f ca="1">IF(ISERROR(OFFSET(Initiatives!$D$1,F113-1,$BY$3)),,OFFSET(Initiatives!$D$1,F113-1,$BY$3))</f>
        <v>0.45454545454545436</v>
      </c>
      <c r="CA113" s="377">
        <f ca="1">IF(ISERROR(OFFSET(Initiatives!$D$1,G113-1,$BY$3)),,OFFSET(Initiatives!$D$1,G113-1,$BY$3))</f>
        <v>7.7000000000000179E-2</v>
      </c>
      <c r="CB113" s="377">
        <f ca="1">IF(ISERROR(OFFSET(Initiatives!$D$1,H113-1,$BY$3)),,OFFSET(Initiatives!$D$1,H113-1,$BY$3))</f>
        <v>0.48</v>
      </c>
      <c r="CC113" s="377">
        <f ca="1">IF(ISERROR(OFFSET(Initiatives!$D$1,I113-1,$BY$3)),,OFFSET(Initiatives!$D$1,I113-1,$BY$3))</f>
        <v>0.6</v>
      </c>
      <c r="CD113" s="377">
        <f ca="1">IF(ISERROR(OFFSET(Initiatives!$D$1,J113-1,$BY$3)),,OFFSET(Initiatives!$D$1,J113-1,$BY$3))</f>
        <v>0.6</v>
      </c>
      <c r="CE113" s="377">
        <f ca="1">IF(ISERROR(OFFSET(Initiatives!$D$1,K113-1,$BY$3)),,OFFSET(Initiatives!$D$1,K113-1,$BY$3))</f>
        <v>0.72000000000000008</v>
      </c>
      <c r="CF113" s="377">
        <f ca="1">IF(ISERROR(OFFSET(Initiatives!$D$1,L113-1,$BY$3)),,OFFSET(Initiatives!$D$1,L113-1,$BY$3))</f>
        <v>0.6</v>
      </c>
      <c r="CG113" s="377">
        <f ca="1">IF(ISERROR(OFFSET(Initiatives!$D$1,M113-1,$BY$3)),,OFFSET(Initiatives!$D$1,M113-1,$BY$3))</f>
        <v>0</v>
      </c>
      <c r="CH113" s="377">
        <f ca="1">IF(ISERROR(OFFSET(Initiatives!$D$1,N113-1,$BY$3)),,OFFSET(Initiatives!$D$1,N113-1,$BY$3))</f>
        <v>0</v>
      </c>
      <c r="CI113" s="377">
        <f ca="1">IF(ISERROR(OFFSET(Initiatives!$D$1,O113-1,$BY$3)),,OFFSET(Initiatives!$D$1,O113-1,$BY$3))</f>
        <v>0</v>
      </c>
      <c r="CJ113" s="377">
        <f ca="1">IF(ISERROR(OFFSET(Initiatives!$D$1,P113-1,$BY$3)),,OFFSET(Initiatives!$D$1,P113-1,$BY$3))</f>
        <v>0</v>
      </c>
      <c r="CK113" s="377">
        <f ca="1">IF(ISERROR(OFFSET(Initiatives!$D$1,Q113-1,$BY$3)),,OFFSET(Initiatives!$D$1,Q113-1,$BY$3))</f>
        <v>0</v>
      </c>
      <c r="CL113" s="377">
        <f ca="1">IF(ISERROR(OFFSET(Initiatives!$D$1,R113-1,$BY$3)),,OFFSET(Initiatives!$D$1,R113-1,$BY$3))</f>
        <v>0</v>
      </c>
      <c r="CM113" s="377">
        <f ca="1">IF(ISERROR(OFFSET(Initiatives!$D$1,S113-1,$BY$3)),,OFFSET(Initiatives!$D$1,S113-1,$BY$3))</f>
        <v>0</v>
      </c>
      <c r="CN113" s="377">
        <f ca="1">IF(ISERROR(OFFSET(Initiatives!$D$1,T113-1,$BY$3)),,OFFSET(Initiatives!$D$1,T113-1,$BY$3))</f>
        <v>0</v>
      </c>
      <c r="CO113" s="377">
        <f ca="1">IF(ISERROR(OFFSET(Initiatives!$D$1,U113-1,$BY$3)),,OFFSET(Initiatives!$D$1,U113-1,$BY$3))</f>
        <v>0</v>
      </c>
      <c r="CP113" s="377">
        <f ca="1">IF(ISERROR(OFFSET(Initiatives!$D$1,V113-1,$BY$3)),,OFFSET(Initiatives!$D$1,V113-1,$BY$3))</f>
        <v>0</v>
      </c>
      <c r="CQ113" s="377">
        <f ca="1">IF(ISERROR(OFFSET(Initiatives!$D$1,W113-1,$BY$3)),,OFFSET(Initiatives!$D$1,W113-1,$BY$3))</f>
        <v>0</v>
      </c>
      <c r="CR113" s="377">
        <f ca="1">IF(ISERROR(OFFSET(Initiatives!$D$1,X113-1,$BY$3)),,OFFSET(Initiatives!$D$1,X113-1,$BY$3))</f>
        <v>0</v>
      </c>
      <c r="CT113" s="41">
        <f t="shared" ca="1" si="1939"/>
        <v>7.7777588076343426E-2</v>
      </c>
      <c r="CU113" s="41">
        <f t="shared" ca="1" si="1940"/>
        <v>6.6518684765957306E-2</v>
      </c>
      <c r="CV113" s="41">
        <f t="shared" ca="1" si="1941"/>
        <v>5.6341325996765992E-3</v>
      </c>
      <c r="CW113" s="41">
        <f t="shared" ca="1" si="1942"/>
        <v>7.0243731112850941E-2</v>
      </c>
      <c r="CX113" s="41">
        <f t="shared" ca="1" si="1943"/>
        <v>8.7804663891063658E-2</v>
      </c>
      <c r="CY113" s="41">
        <f t="shared" ca="1" si="1944"/>
        <v>0.10243877453957428</v>
      </c>
      <c r="CZ113" s="41">
        <f t="shared" ca="1" si="1945"/>
        <v>0.10536559666927642</v>
      </c>
      <c r="DA113" s="41">
        <f t="shared" ca="1" si="1946"/>
        <v>0</v>
      </c>
      <c r="DB113" s="41">
        <f t="shared" ca="1" si="1947"/>
        <v>0</v>
      </c>
      <c r="DC113" s="41">
        <f t="shared" ca="1" si="1948"/>
        <v>0</v>
      </c>
      <c r="DD113" s="41">
        <f t="shared" ca="1" si="1949"/>
        <v>0</v>
      </c>
      <c r="DE113" s="41">
        <f t="shared" ca="1" si="1950"/>
        <v>0</v>
      </c>
      <c r="DF113" s="41">
        <f t="shared" ca="1" si="1951"/>
        <v>0</v>
      </c>
      <c r="DG113" s="41">
        <f t="shared" ca="1" si="1952"/>
        <v>0</v>
      </c>
      <c r="DH113" s="41">
        <f t="shared" ca="1" si="1953"/>
        <v>0</v>
      </c>
      <c r="DI113" s="41">
        <f t="shared" ca="1" si="1954"/>
        <v>0</v>
      </c>
      <c r="DJ113" s="41">
        <f t="shared" ca="1" si="1955"/>
        <v>0</v>
      </c>
      <c r="DK113" s="41">
        <f t="shared" ca="1" si="1956"/>
        <v>0</v>
      </c>
      <c r="DL113" s="41">
        <f t="shared" ca="1" si="1957"/>
        <v>0</v>
      </c>
      <c r="DM113" s="41">
        <f t="shared" ca="1" si="1958"/>
        <v>0</v>
      </c>
      <c r="DN113" s="41">
        <f t="shared" ca="1" si="1959"/>
        <v>0.51578317165474263</v>
      </c>
      <c r="DP113" s="41">
        <f t="shared" ca="1" si="1960"/>
        <v>0.15078512545323319</v>
      </c>
      <c r="DQ113" s="41">
        <f t="shared" ca="1" si="1961"/>
        <v>0.12894637273478923</v>
      </c>
      <c r="DR113" s="41">
        <f t="shared" ca="1" si="1962"/>
        <v>1.0893451770636676E-2</v>
      </c>
      <c r="DS113" s="41">
        <f t="shared" ca="1" si="1963"/>
        <v>0.13614848960793746</v>
      </c>
      <c r="DT113" s="41">
        <f t="shared" ca="1" si="1964"/>
        <v>0.1701856120099218</v>
      </c>
      <c r="DU113" s="41">
        <f t="shared" ca="1" si="1965"/>
        <v>0.19854821401157546</v>
      </c>
      <c r="DV113" s="41">
        <f t="shared" ca="1" si="1966"/>
        <v>0.20421273441190621</v>
      </c>
      <c r="DW113" s="41">
        <f t="shared" ca="1" si="1967"/>
        <v>-8.0000000000000007E-5</v>
      </c>
      <c r="DX113" s="41">
        <f t="shared" ca="1" si="1968"/>
        <v>-9.0000000000000006E-5</v>
      </c>
      <c r="DY113" s="41">
        <f t="shared" ca="1" si="1969"/>
        <v>-1E-4</v>
      </c>
      <c r="DZ113" s="41">
        <f t="shared" ca="1" si="1970"/>
        <v>-1.1E-4</v>
      </c>
      <c r="EA113" s="41">
        <f t="shared" ca="1" si="1971"/>
        <v>-1.2E-4</v>
      </c>
      <c r="EB113" s="41">
        <f t="shared" ca="1" si="1972"/>
        <v>-1.2999999999999999E-4</v>
      </c>
      <c r="EC113" s="41">
        <f t="shared" ca="1" si="1973"/>
        <v>-1.3999999999999999E-4</v>
      </c>
      <c r="ED113" s="41">
        <f t="shared" ca="1" si="1974"/>
        <v>-1.4999999999999999E-4</v>
      </c>
      <c r="EE113" s="41">
        <f t="shared" ca="1" si="1975"/>
        <v>-1.6000000000000001E-4</v>
      </c>
      <c r="EF113" s="41">
        <f t="shared" ca="1" si="1976"/>
        <v>-1.7000000000000001E-4</v>
      </c>
      <c r="EG113" s="41">
        <f t="shared" ca="1" si="1977"/>
        <v>-1.8000000000000001E-4</v>
      </c>
      <c r="EH113" s="41">
        <f t="shared" ca="1" si="1978"/>
        <v>-1.9000000000000001E-4</v>
      </c>
      <c r="EI113" s="41">
        <f t="shared" ca="1" si="1979"/>
        <v>-2.0000000000000001E-4</v>
      </c>
      <c r="EJ113" s="41">
        <f t="shared" ca="1" si="1980"/>
        <v>0.99790000000000012</v>
      </c>
      <c r="EL113" s="378">
        <f t="shared" ca="1" si="1981"/>
        <v>4</v>
      </c>
      <c r="EM113" s="378">
        <f t="shared" ca="1" si="1982"/>
        <v>6</v>
      </c>
      <c r="EN113" s="378">
        <f t="shared" ca="1" si="1983"/>
        <v>7</v>
      </c>
      <c r="EO113" s="378">
        <f t="shared" ca="1" si="1984"/>
        <v>5</v>
      </c>
      <c r="EP113" s="378">
        <f t="shared" ca="1" si="1985"/>
        <v>3</v>
      </c>
      <c r="EQ113" s="378">
        <f t="shared" ca="1" si="1986"/>
        <v>2</v>
      </c>
      <c r="ER113" s="378">
        <f t="shared" ca="1" si="1987"/>
        <v>1</v>
      </c>
      <c r="ES113" s="378">
        <f t="shared" ca="1" si="1988"/>
        <v>8</v>
      </c>
      <c r="ET113" s="378">
        <f t="shared" ca="1" si="1989"/>
        <v>9</v>
      </c>
      <c r="EU113" s="378">
        <f t="shared" ca="1" si="1990"/>
        <v>10</v>
      </c>
      <c r="EV113" s="378">
        <f t="shared" ca="1" si="1991"/>
        <v>11</v>
      </c>
      <c r="EW113" s="378">
        <f t="shared" ca="1" si="1992"/>
        <v>12</v>
      </c>
      <c r="EX113" s="378">
        <f t="shared" ca="1" si="1993"/>
        <v>13</v>
      </c>
      <c r="EY113" s="378">
        <f t="shared" ca="1" si="1994"/>
        <v>14</v>
      </c>
      <c r="EZ113" s="378">
        <f t="shared" ca="1" si="1995"/>
        <v>15</v>
      </c>
      <c r="FA113" s="378">
        <f t="shared" ca="1" si="1996"/>
        <v>16</v>
      </c>
      <c r="FB113" s="378">
        <f t="shared" ca="1" si="1997"/>
        <v>17</v>
      </c>
      <c r="FC113" s="378">
        <f t="shared" ca="1" si="1998"/>
        <v>18</v>
      </c>
      <c r="FD113" s="378">
        <f t="shared" ca="1" si="1999"/>
        <v>19</v>
      </c>
      <c r="FE113" s="378">
        <f t="shared" ca="1" si="2000"/>
        <v>20</v>
      </c>
      <c r="FG113" s="378">
        <f t="shared" ca="1" si="2001"/>
        <v>7</v>
      </c>
      <c r="FH113" s="378">
        <f t="shared" ca="1" si="2001"/>
        <v>6</v>
      </c>
      <c r="FI113" s="378">
        <f t="shared" ca="1" si="2001"/>
        <v>5</v>
      </c>
      <c r="FJ113" s="378">
        <f t="shared" ca="1" si="2001"/>
        <v>1</v>
      </c>
      <c r="FK113" s="378">
        <f t="shared" ca="1" si="2001"/>
        <v>4</v>
      </c>
      <c r="FL113" s="378">
        <f t="shared" ca="1" si="2001"/>
        <v>2</v>
      </c>
      <c r="FM113" s="378">
        <f t="shared" ca="1" si="2001"/>
        <v>3</v>
      </c>
      <c r="FN113" s="378">
        <f t="shared" ca="1" si="2001"/>
        <v>8</v>
      </c>
      <c r="FO113" s="378">
        <f t="shared" ca="1" si="2001"/>
        <v>9</v>
      </c>
      <c r="FP113" s="378">
        <f t="shared" ca="1" si="2001"/>
        <v>10</v>
      </c>
      <c r="FQ113" s="378">
        <f t="shared" ca="1" si="2001"/>
        <v>11</v>
      </c>
      <c r="FR113" s="378">
        <f t="shared" ca="1" si="2001"/>
        <v>12</v>
      </c>
      <c r="FS113" s="378">
        <f t="shared" ca="1" si="2001"/>
        <v>13</v>
      </c>
      <c r="FT113" s="378">
        <f t="shared" ca="1" si="2001"/>
        <v>14</v>
      </c>
      <c r="FU113" s="378">
        <f t="shared" ca="1" si="2001"/>
        <v>15</v>
      </c>
      <c r="FV113" s="378">
        <f t="shared" ca="1" si="2001"/>
        <v>16</v>
      </c>
      <c r="FW113" s="378">
        <f t="shared" ca="1" si="2002"/>
        <v>17</v>
      </c>
      <c r="FX113" s="378">
        <f t="shared" ca="1" si="2002"/>
        <v>18</v>
      </c>
      <c r="FY113" s="378">
        <f t="shared" ca="1" si="2002"/>
        <v>19</v>
      </c>
      <c r="FZ113" s="378">
        <f t="shared" ca="1" si="2002"/>
        <v>20</v>
      </c>
      <c r="GB113" s="275" t="str">
        <f t="shared" ca="1" si="2003"/>
        <v>Workflow and Collaboration (20%)</v>
      </c>
      <c r="GC113" s="231" t="str">
        <f t="shared" ca="1" si="2004"/>
        <v>; Analytical Tools (20%)</v>
      </c>
      <c r="GD113" s="231" t="str">
        <f t="shared" ca="1" si="2005"/>
        <v>; Scorecards / Dashboards (17%)</v>
      </c>
      <c r="GE113" s="231" t="str">
        <f t="shared" ca="1" si="2006"/>
        <v>; BI Applications (15%)</v>
      </c>
      <c r="GF113" s="231" t="str">
        <f t="shared" ca="1" si="2007"/>
        <v>; Reporting (14%)</v>
      </c>
      <c r="GG113" s="231" t="str">
        <f t="shared" ca="1" si="2008"/>
        <v>; Source System Inclusion / Integration (13%)</v>
      </c>
      <c r="GH113" s="231" t="str">
        <f t="shared" ca="1" si="2009"/>
        <v/>
      </c>
      <c r="GI113" s="231" t="str">
        <f t="shared" ca="1" si="2010"/>
        <v/>
      </c>
      <c r="GJ113" s="231" t="str">
        <f t="shared" ca="1" si="2011"/>
        <v/>
      </c>
      <c r="GK113" s="231" t="str">
        <f t="shared" ca="1" si="2012"/>
        <v/>
      </c>
      <c r="GL113" s="231" t="str">
        <f t="shared" ca="1" si="2013"/>
        <v/>
      </c>
      <c r="GM113" s="231" t="str">
        <f t="shared" ca="1" si="2014"/>
        <v/>
      </c>
      <c r="GN113" s="231" t="str">
        <f t="shared" ca="1" si="2015"/>
        <v/>
      </c>
      <c r="GO113" s="231" t="str">
        <f t="shared" ca="1" si="2016"/>
        <v/>
      </c>
      <c r="GP113" s="231" t="str">
        <f t="shared" ca="1" si="2017"/>
        <v/>
      </c>
      <c r="GQ113" s="231" t="str">
        <f t="shared" ca="1" si="2018"/>
        <v/>
      </c>
      <c r="GR113" s="231" t="str">
        <f t="shared" ca="1" si="2019"/>
        <v/>
      </c>
      <c r="GS113" s="231" t="str">
        <f t="shared" ca="1" si="2020"/>
        <v/>
      </c>
      <c r="GT113" s="231" t="str">
        <f t="shared" ca="1" si="2021"/>
        <v/>
      </c>
      <c r="GU113" s="231" t="str">
        <f t="shared" ca="1" si="2022"/>
        <v/>
      </c>
    </row>
    <row r="114" spans="1:246" s="386" customFormat="1" ht="16.5" hidden="1" customHeight="1">
      <c r="B114" s="373"/>
      <c r="C114" s="81" t="str">
        <f>KPIs!B28</f>
        <v>Cash Cycle Time</v>
      </c>
      <c r="D114" s="404">
        <f t="shared" ca="1" si="1933"/>
        <v>0.47405994825427827</v>
      </c>
      <c r="E114" s="374">
        <f>ROW(Initiatives!$A$170)</f>
        <v>170</v>
      </c>
      <c r="F114" s="374">
        <f>ROW(Initiatives!$A$176)</f>
        <v>176</v>
      </c>
      <c r="G114" s="374">
        <f>ROW(Initiatives!$A$183)</f>
        <v>183</v>
      </c>
      <c r="H114" s="374">
        <f>ROW(Initiatives!$A$188)</f>
        <v>188</v>
      </c>
      <c r="I114" s="374"/>
      <c r="J114" s="374"/>
      <c r="K114" s="374"/>
      <c r="L114" s="374"/>
      <c r="M114" s="374"/>
      <c r="N114" s="374"/>
      <c r="O114" s="374"/>
      <c r="P114" s="374"/>
      <c r="Q114" s="374"/>
      <c r="R114" s="374"/>
      <c r="S114" s="374"/>
      <c r="T114" s="374"/>
      <c r="U114" s="374"/>
      <c r="V114" s="374"/>
      <c r="W114" s="374"/>
      <c r="X114" s="374"/>
      <c r="Y114" s="392" t="str">
        <f ca="1">OFFSET(Initiatives!$D$1,E114-1,$BS$3)</f>
        <v>BI Applications</v>
      </c>
      <c r="Z114" s="375">
        <v>6</v>
      </c>
      <c r="AA114" s="392" t="str">
        <f ca="1">OFFSET(Initiatives!$D$1,F114-1,$BS$3)</f>
        <v>Source System Inclusion / Integration</v>
      </c>
      <c r="AB114" s="375">
        <v>6</v>
      </c>
      <c r="AC114" s="392" t="str">
        <f ca="1">OFFSET(Initiatives!$D$1,G114-1,$BS$3)</f>
        <v>Enhance DW Platform</v>
      </c>
      <c r="AD114" s="375">
        <v>5</v>
      </c>
      <c r="AE114" s="392" t="str">
        <f ca="1">OFFSET(Initiatives!$D$1,H114-1,$BS$3)</f>
        <v>Workflow and Collaboration</v>
      </c>
      <c r="AF114" s="375">
        <v>9</v>
      </c>
      <c r="AG114" s="392" t="e">
        <f ca="1">OFFSET(Initiatives!$D$1,I114-1,$BS$3)</f>
        <v>#REF!</v>
      </c>
      <c r="AH114" s="375"/>
      <c r="AI114" s="392" t="e">
        <f ca="1">OFFSET(Initiatives!$D$1,J114-1,$BS$3)</f>
        <v>#REF!</v>
      </c>
      <c r="AJ114" s="375"/>
      <c r="AK114" s="392" t="e">
        <f ca="1">OFFSET(Initiatives!$D$1,K114-1,$BS$3)</f>
        <v>#REF!</v>
      </c>
      <c r="AL114" s="375"/>
      <c r="AM114" s="392" t="e">
        <f ca="1">OFFSET(Initiatives!$D$1,L114-1,$BS$3)</f>
        <v>#REF!</v>
      </c>
      <c r="AN114" s="375"/>
      <c r="AO114" s="392" t="e">
        <f ca="1">OFFSET(Initiatives!$D$1,M114-1,$BS$3)</f>
        <v>#REF!</v>
      </c>
      <c r="AP114" s="375"/>
      <c r="AQ114" s="392" t="e">
        <f ca="1">OFFSET(Initiatives!$D$1,N114-1,$BS$3)</f>
        <v>#REF!</v>
      </c>
      <c r="AR114" s="375"/>
      <c r="AS114" s="392" t="e">
        <f ca="1">OFFSET(Initiatives!$D$1,O114-1,$BS$3)</f>
        <v>#REF!</v>
      </c>
      <c r="AT114" s="375"/>
      <c r="AU114" s="392" t="e">
        <f ca="1">OFFSET(Initiatives!$D$1,P114-1,$BS$3)</f>
        <v>#REF!</v>
      </c>
      <c r="AV114" s="375"/>
      <c r="AW114" s="392" t="e">
        <f ca="1">OFFSET(Initiatives!$D$1,Q114-1,$BS$3)</f>
        <v>#REF!</v>
      </c>
      <c r="AX114" s="375"/>
      <c r="AY114" s="392" t="e">
        <f ca="1">OFFSET(Initiatives!$D$1,R114-1,$BS$3)</f>
        <v>#REF!</v>
      </c>
      <c r="AZ114" s="375"/>
      <c r="BA114" s="392" t="e">
        <f ca="1">OFFSET(Initiatives!$D$1,S114-1,$BS$3)</f>
        <v>#REF!</v>
      </c>
      <c r="BB114" s="375"/>
      <c r="BC114" s="392" t="e">
        <f ca="1">OFFSET(Initiatives!$D$1,T114-1,$BS$3)</f>
        <v>#REF!</v>
      </c>
      <c r="BD114" s="375"/>
      <c r="BE114" s="392" t="e">
        <f ca="1">OFFSET(Initiatives!$D$1,U114-1,$BS$3)</f>
        <v>#REF!</v>
      </c>
      <c r="BF114" s="375"/>
      <c r="BG114" s="392" t="e">
        <f ca="1">OFFSET(Initiatives!$D$1,V114-1,$BS$3)</f>
        <v>#REF!</v>
      </c>
      <c r="BH114" s="375"/>
      <c r="BI114" s="392" t="e">
        <f ca="1">OFFSET(Initiatives!$D$1,W114-1,$BS$3)</f>
        <v>#REF!</v>
      </c>
      <c r="BJ114" s="375"/>
      <c r="BK114" s="392" t="e">
        <f ca="1">OFFSET(Initiatives!$D$1,X114-1,$BS$3)</f>
        <v>#REF!</v>
      </c>
      <c r="BL114" s="375"/>
      <c r="BN114" s="101">
        <f t="shared" si="1934"/>
        <v>26.0001</v>
      </c>
      <c r="BP114" s="231" t="str">
        <f t="shared" ca="1" si="1935"/>
        <v>Workflow and Collaboration (53%); BI Applications (22%); Source System Inclusion / Integration (22%)</v>
      </c>
      <c r="BQ114" s="338">
        <v>0.01</v>
      </c>
      <c r="BR114" s="40">
        <f t="shared" ca="1" si="1936"/>
        <v>4</v>
      </c>
      <c r="BS114" s="274">
        <v>0.05</v>
      </c>
      <c r="BT114" s="40">
        <f t="shared" ca="1" si="1937"/>
        <v>3</v>
      </c>
      <c r="BU114" s="376">
        <v>7</v>
      </c>
      <c r="BV114" s="40">
        <f t="shared" ca="1" si="1938"/>
        <v>3</v>
      </c>
      <c r="BY114" s="377">
        <f ca="1">IF(ISERROR(OFFSET(Initiatives!$D$1,E114-1,$BY$3)),,OFFSET(Initiatives!$D$1,E114-1,$BY$3))</f>
        <v>0.45555555555555544</v>
      </c>
      <c r="BZ114" s="377">
        <f ca="1">IF(ISERROR(OFFSET(Initiatives!$D$1,F114-1,$BY$3)),,OFFSET(Initiatives!$D$1,F114-1,$BY$3))</f>
        <v>0.45454545454545436</v>
      </c>
      <c r="CA114" s="377">
        <f ca="1">IF(ISERROR(OFFSET(Initiatives!$D$1,G114-1,$BY$3)),,OFFSET(Initiatives!$D$1,G114-1,$BY$3))</f>
        <v>7.7000000000000179E-2</v>
      </c>
      <c r="CB114" s="377">
        <f ca="1">IF(ISERROR(OFFSET(Initiatives!$D$1,H114-1,$BY$3)),,OFFSET(Initiatives!$D$1,H114-1,$BY$3))</f>
        <v>0.72000000000000008</v>
      </c>
      <c r="CC114" s="377">
        <f ca="1">IF(ISERROR(OFFSET(Initiatives!$D$1,I114-1,$BY$3)),,OFFSET(Initiatives!$D$1,I114-1,$BY$3))</f>
        <v>0</v>
      </c>
      <c r="CD114" s="377">
        <f ca="1">IF(ISERROR(OFFSET(Initiatives!$D$1,J114-1,$BY$3)),,OFFSET(Initiatives!$D$1,J114-1,$BY$3))</f>
        <v>0</v>
      </c>
      <c r="CE114" s="377">
        <f ca="1">IF(ISERROR(OFFSET(Initiatives!$D$1,K114-1,$BY$3)),,OFFSET(Initiatives!$D$1,K114-1,$BY$3))</f>
        <v>0</v>
      </c>
      <c r="CF114" s="377">
        <f ca="1">IF(ISERROR(OFFSET(Initiatives!$D$1,L114-1,$BY$3)),,OFFSET(Initiatives!$D$1,L114-1,$BY$3))</f>
        <v>0</v>
      </c>
      <c r="CG114" s="377">
        <f ca="1">IF(ISERROR(OFFSET(Initiatives!$D$1,M114-1,$BY$3)),,OFFSET(Initiatives!$D$1,M114-1,$BY$3))</f>
        <v>0</v>
      </c>
      <c r="CH114" s="377">
        <f ca="1">IF(ISERROR(OFFSET(Initiatives!$D$1,N114-1,$BY$3)),,OFFSET(Initiatives!$D$1,N114-1,$BY$3))</f>
        <v>0</v>
      </c>
      <c r="CI114" s="377">
        <f ca="1">IF(ISERROR(OFFSET(Initiatives!$D$1,O114-1,$BY$3)),,OFFSET(Initiatives!$D$1,O114-1,$BY$3))</f>
        <v>0</v>
      </c>
      <c r="CJ114" s="377">
        <f ca="1">IF(ISERROR(OFFSET(Initiatives!$D$1,P114-1,$BY$3)),,OFFSET(Initiatives!$D$1,P114-1,$BY$3))</f>
        <v>0</v>
      </c>
      <c r="CK114" s="377">
        <f ca="1">IF(ISERROR(OFFSET(Initiatives!$D$1,Q114-1,$BY$3)),,OFFSET(Initiatives!$D$1,Q114-1,$BY$3))</f>
        <v>0</v>
      </c>
      <c r="CL114" s="377">
        <f ca="1">IF(ISERROR(OFFSET(Initiatives!$D$1,R114-1,$BY$3)),,OFFSET(Initiatives!$D$1,R114-1,$BY$3))</f>
        <v>0</v>
      </c>
      <c r="CM114" s="377">
        <f ca="1">IF(ISERROR(OFFSET(Initiatives!$D$1,S114-1,$BY$3)),,OFFSET(Initiatives!$D$1,S114-1,$BY$3))</f>
        <v>0</v>
      </c>
      <c r="CN114" s="377">
        <f ca="1">IF(ISERROR(OFFSET(Initiatives!$D$1,T114-1,$BY$3)),,OFFSET(Initiatives!$D$1,T114-1,$BY$3))</f>
        <v>0</v>
      </c>
      <c r="CO114" s="377">
        <f ca="1">IF(ISERROR(OFFSET(Initiatives!$D$1,U114-1,$BY$3)),,OFFSET(Initiatives!$D$1,U114-1,$BY$3))</f>
        <v>0</v>
      </c>
      <c r="CP114" s="377">
        <f ca="1">IF(ISERROR(OFFSET(Initiatives!$D$1,V114-1,$BY$3)),,OFFSET(Initiatives!$D$1,V114-1,$BY$3))</f>
        <v>0</v>
      </c>
      <c r="CQ114" s="377">
        <f ca="1">IF(ISERROR(OFFSET(Initiatives!$D$1,W114-1,$BY$3)),,OFFSET(Initiatives!$D$1,W114-1,$BY$3))</f>
        <v>0</v>
      </c>
      <c r="CR114" s="377">
        <f ca="1">IF(ISERROR(OFFSET(Initiatives!$D$1,X114-1,$BY$3)),,OFFSET(Initiatives!$D$1,X114-1,$BY$3))</f>
        <v>0</v>
      </c>
      <c r="CT114" s="41">
        <f t="shared" ca="1" si="1939"/>
        <v>0.10512780079050975</v>
      </c>
      <c r="CU114" s="41">
        <f t="shared" ca="1" si="1940"/>
        <v>0.10489470145394542</v>
      </c>
      <c r="CV114" s="41">
        <f t="shared" ca="1" si="1941"/>
        <v>1.4807635355248669E-2</v>
      </c>
      <c r="CW114" s="41">
        <f t="shared" ca="1" si="1942"/>
        <v>0.24922981065457442</v>
      </c>
      <c r="CX114" s="41">
        <f t="shared" ca="1" si="1943"/>
        <v>0</v>
      </c>
      <c r="CY114" s="41">
        <f t="shared" ca="1" si="1944"/>
        <v>0</v>
      </c>
      <c r="CZ114" s="41">
        <f t="shared" ca="1" si="1945"/>
        <v>0</v>
      </c>
      <c r="DA114" s="41">
        <f t="shared" ca="1" si="1946"/>
        <v>0</v>
      </c>
      <c r="DB114" s="41">
        <f t="shared" ca="1" si="1947"/>
        <v>0</v>
      </c>
      <c r="DC114" s="41">
        <f t="shared" ca="1" si="1948"/>
        <v>0</v>
      </c>
      <c r="DD114" s="41">
        <f t="shared" ca="1" si="1949"/>
        <v>0</v>
      </c>
      <c r="DE114" s="41">
        <f t="shared" ca="1" si="1950"/>
        <v>0</v>
      </c>
      <c r="DF114" s="41">
        <f t="shared" ca="1" si="1951"/>
        <v>0</v>
      </c>
      <c r="DG114" s="41">
        <f t="shared" ca="1" si="1952"/>
        <v>0</v>
      </c>
      <c r="DH114" s="41">
        <f t="shared" ca="1" si="1953"/>
        <v>0</v>
      </c>
      <c r="DI114" s="41">
        <f t="shared" ca="1" si="1954"/>
        <v>0</v>
      </c>
      <c r="DJ114" s="41">
        <f t="shared" ca="1" si="1955"/>
        <v>0</v>
      </c>
      <c r="DK114" s="41">
        <f t="shared" ca="1" si="1956"/>
        <v>0</v>
      </c>
      <c r="DL114" s="41">
        <f t="shared" ca="1" si="1957"/>
        <v>0</v>
      </c>
      <c r="DM114" s="41">
        <f t="shared" ca="1" si="1958"/>
        <v>0</v>
      </c>
      <c r="DN114" s="41">
        <f t="shared" ca="1" si="1959"/>
        <v>0.47405994825427827</v>
      </c>
      <c r="DP114" s="41">
        <f t="shared" ca="1" si="1960"/>
        <v>0.22175056251459752</v>
      </c>
      <c r="DQ114" s="41">
        <f t="shared" ca="1" si="1961"/>
        <v>0.22124885395026361</v>
      </c>
      <c r="DR114" s="41">
        <f t="shared" ca="1" si="1962"/>
        <v>3.1205786549312296E-2</v>
      </c>
      <c r="DS114" s="41">
        <f t="shared" ca="1" si="1963"/>
        <v>0.52569479698582644</v>
      </c>
      <c r="DT114" s="41">
        <f t="shared" ca="1" si="1964"/>
        <v>-5.0000000000000002E-5</v>
      </c>
      <c r="DU114" s="41">
        <f t="shared" ca="1" si="1965"/>
        <v>-6.0000000000000002E-5</v>
      </c>
      <c r="DV114" s="41">
        <f t="shared" ca="1" si="1966"/>
        <v>-6.9999999999999994E-5</v>
      </c>
      <c r="DW114" s="41">
        <f t="shared" ca="1" si="1967"/>
        <v>-8.0000000000000007E-5</v>
      </c>
      <c r="DX114" s="41">
        <f t="shared" ca="1" si="1968"/>
        <v>-9.0000000000000006E-5</v>
      </c>
      <c r="DY114" s="41">
        <f t="shared" ca="1" si="1969"/>
        <v>-1E-4</v>
      </c>
      <c r="DZ114" s="41">
        <f t="shared" ca="1" si="1970"/>
        <v>-1.1E-4</v>
      </c>
      <c r="EA114" s="41">
        <f t="shared" ca="1" si="1971"/>
        <v>-1.2E-4</v>
      </c>
      <c r="EB114" s="41">
        <f t="shared" ca="1" si="1972"/>
        <v>-1.2999999999999999E-4</v>
      </c>
      <c r="EC114" s="41">
        <f t="shared" ca="1" si="1973"/>
        <v>-1.3999999999999999E-4</v>
      </c>
      <c r="ED114" s="41">
        <f t="shared" ca="1" si="1974"/>
        <v>-1.4999999999999999E-4</v>
      </c>
      <c r="EE114" s="41">
        <f t="shared" ca="1" si="1975"/>
        <v>-1.6000000000000001E-4</v>
      </c>
      <c r="EF114" s="41">
        <f t="shared" ca="1" si="1976"/>
        <v>-1.7000000000000001E-4</v>
      </c>
      <c r="EG114" s="41">
        <f t="shared" ca="1" si="1977"/>
        <v>-1.8000000000000001E-4</v>
      </c>
      <c r="EH114" s="41">
        <f t="shared" ca="1" si="1978"/>
        <v>-1.9000000000000001E-4</v>
      </c>
      <c r="EI114" s="41">
        <f t="shared" ca="1" si="1979"/>
        <v>-2.0000000000000001E-4</v>
      </c>
      <c r="EJ114" s="41">
        <f t="shared" ca="1" si="1980"/>
        <v>0.99789999999999979</v>
      </c>
      <c r="EL114" s="378">
        <f t="shared" ca="1" si="1981"/>
        <v>2</v>
      </c>
      <c r="EM114" s="378">
        <f t="shared" ca="1" si="1982"/>
        <v>3</v>
      </c>
      <c r="EN114" s="378">
        <f t="shared" ca="1" si="1983"/>
        <v>4</v>
      </c>
      <c r="EO114" s="378">
        <f t="shared" ca="1" si="1984"/>
        <v>1</v>
      </c>
      <c r="EP114" s="378">
        <f t="shared" ca="1" si="1985"/>
        <v>5</v>
      </c>
      <c r="EQ114" s="378">
        <f t="shared" ca="1" si="1986"/>
        <v>6</v>
      </c>
      <c r="ER114" s="378">
        <f t="shared" ca="1" si="1987"/>
        <v>7</v>
      </c>
      <c r="ES114" s="378">
        <f t="shared" ca="1" si="1988"/>
        <v>8</v>
      </c>
      <c r="ET114" s="378">
        <f t="shared" ca="1" si="1989"/>
        <v>9</v>
      </c>
      <c r="EU114" s="378">
        <f t="shared" ca="1" si="1990"/>
        <v>10</v>
      </c>
      <c r="EV114" s="378">
        <f t="shared" ca="1" si="1991"/>
        <v>11</v>
      </c>
      <c r="EW114" s="378">
        <f t="shared" ca="1" si="1992"/>
        <v>12</v>
      </c>
      <c r="EX114" s="378">
        <f t="shared" ca="1" si="1993"/>
        <v>13</v>
      </c>
      <c r="EY114" s="378">
        <f t="shared" ca="1" si="1994"/>
        <v>14</v>
      </c>
      <c r="EZ114" s="378">
        <f t="shared" ca="1" si="1995"/>
        <v>15</v>
      </c>
      <c r="FA114" s="378">
        <f t="shared" ca="1" si="1996"/>
        <v>16</v>
      </c>
      <c r="FB114" s="378">
        <f t="shared" ca="1" si="1997"/>
        <v>17</v>
      </c>
      <c r="FC114" s="378">
        <f t="shared" ca="1" si="1998"/>
        <v>18</v>
      </c>
      <c r="FD114" s="378">
        <f t="shared" ca="1" si="1999"/>
        <v>19</v>
      </c>
      <c r="FE114" s="378">
        <f t="shared" ca="1" si="2000"/>
        <v>20</v>
      </c>
      <c r="FG114" s="378">
        <f t="shared" ca="1" si="2001"/>
        <v>4</v>
      </c>
      <c r="FH114" s="378">
        <f t="shared" ca="1" si="2001"/>
        <v>1</v>
      </c>
      <c r="FI114" s="378">
        <f t="shared" ca="1" si="2001"/>
        <v>2</v>
      </c>
      <c r="FJ114" s="378">
        <f t="shared" ca="1" si="2001"/>
        <v>3</v>
      </c>
      <c r="FK114" s="378">
        <f t="shared" ca="1" si="2001"/>
        <v>5</v>
      </c>
      <c r="FL114" s="378">
        <f t="shared" ca="1" si="2001"/>
        <v>6</v>
      </c>
      <c r="FM114" s="378">
        <f t="shared" ca="1" si="2001"/>
        <v>7</v>
      </c>
      <c r="FN114" s="378">
        <f t="shared" ca="1" si="2001"/>
        <v>8</v>
      </c>
      <c r="FO114" s="378">
        <f t="shared" ca="1" si="2001"/>
        <v>9</v>
      </c>
      <c r="FP114" s="378">
        <f t="shared" ca="1" si="2001"/>
        <v>10</v>
      </c>
      <c r="FQ114" s="378">
        <f t="shared" ca="1" si="2001"/>
        <v>11</v>
      </c>
      <c r="FR114" s="378">
        <f t="shared" ca="1" si="2001"/>
        <v>12</v>
      </c>
      <c r="FS114" s="378">
        <f t="shared" ca="1" si="2001"/>
        <v>13</v>
      </c>
      <c r="FT114" s="378">
        <f t="shared" ca="1" si="2001"/>
        <v>14</v>
      </c>
      <c r="FU114" s="378">
        <f t="shared" ca="1" si="2001"/>
        <v>15</v>
      </c>
      <c r="FV114" s="378">
        <f t="shared" ca="1" si="2001"/>
        <v>16</v>
      </c>
      <c r="FW114" s="378">
        <f t="shared" ca="1" si="2002"/>
        <v>17</v>
      </c>
      <c r="FX114" s="378">
        <f t="shared" ca="1" si="2002"/>
        <v>18</v>
      </c>
      <c r="FY114" s="378">
        <f t="shared" ca="1" si="2002"/>
        <v>19</v>
      </c>
      <c r="FZ114" s="378">
        <f t="shared" ca="1" si="2002"/>
        <v>20</v>
      </c>
      <c r="GB114" s="275" t="str">
        <f t="shared" ca="1" si="2003"/>
        <v>Workflow and Collaboration (53%)</v>
      </c>
      <c r="GC114" s="231" t="str">
        <f t="shared" ca="1" si="2004"/>
        <v>; BI Applications (22%)</v>
      </c>
      <c r="GD114" s="231" t="str">
        <f t="shared" ca="1" si="2005"/>
        <v>; Source System Inclusion / Integration (22%)</v>
      </c>
      <c r="GE114" s="231" t="str">
        <f t="shared" ca="1" si="2006"/>
        <v/>
      </c>
      <c r="GF114" s="231" t="str">
        <f t="shared" ca="1" si="2007"/>
        <v/>
      </c>
      <c r="GG114" s="231" t="str">
        <f t="shared" ca="1" si="2008"/>
        <v/>
      </c>
      <c r="GH114" s="231" t="str">
        <f t="shared" ca="1" si="2009"/>
        <v/>
      </c>
      <c r="GI114" s="231" t="str">
        <f t="shared" ca="1" si="2010"/>
        <v/>
      </c>
      <c r="GJ114" s="231" t="str">
        <f t="shared" ca="1" si="2011"/>
        <v/>
      </c>
      <c r="GK114" s="231" t="str">
        <f t="shared" ca="1" si="2012"/>
        <v/>
      </c>
      <c r="GL114" s="231" t="str">
        <f t="shared" ca="1" si="2013"/>
        <v/>
      </c>
      <c r="GM114" s="231" t="str">
        <f t="shared" ca="1" si="2014"/>
        <v/>
      </c>
      <c r="GN114" s="231" t="str">
        <f t="shared" ca="1" si="2015"/>
        <v/>
      </c>
      <c r="GO114" s="231" t="str">
        <f t="shared" ca="1" si="2016"/>
        <v/>
      </c>
      <c r="GP114" s="231" t="str">
        <f t="shared" ca="1" si="2017"/>
        <v/>
      </c>
      <c r="GQ114" s="231" t="str">
        <f t="shared" ca="1" si="2018"/>
        <v/>
      </c>
      <c r="GR114" s="231" t="str">
        <f t="shared" ca="1" si="2019"/>
        <v/>
      </c>
      <c r="GS114" s="231" t="str">
        <f t="shared" ca="1" si="2020"/>
        <v/>
      </c>
      <c r="GT114" s="231" t="str">
        <f t="shared" ca="1" si="2021"/>
        <v/>
      </c>
      <c r="GU114" s="231" t="str">
        <f t="shared" ca="1" si="2022"/>
        <v/>
      </c>
    </row>
    <row r="115" spans="1:246" s="386" customFormat="1" ht="16.5" hidden="1" customHeight="1">
      <c r="B115" s="373"/>
      <c r="C115" s="81" t="str">
        <f>KPIs!B29</f>
        <v>Compliance</v>
      </c>
      <c r="D115" s="404">
        <f t="shared" ca="1" si="1933"/>
        <v>0.44733388066686908</v>
      </c>
      <c r="E115" s="374">
        <f>ROW(Initiatives!$A$37)</f>
        <v>37</v>
      </c>
      <c r="F115" s="374">
        <f>ROW(Initiatives!$A$47)</f>
        <v>47</v>
      </c>
      <c r="G115" s="374">
        <f>ROW(Initiatives!$A$176)</f>
        <v>176</v>
      </c>
      <c r="H115" s="374">
        <f>ROW(Initiatives!$A$178)</f>
        <v>178</v>
      </c>
      <c r="I115" s="374">
        <f>ROW(Initiatives!$A$179)</f>
        <v>179</v>
      </c>
      <c r="J115" s="374">
        <f>ROW(Initiatives!$A$189)</f>
        <v>189</v>
      </c>
      <c r="K115" s="374"/>
      <c r="L115" s="374"/>
      <c r="M115" s="374"/>
      <c r="N115" s="374"/>
      <c r="O115" s="374"/>
      <c r="P115" s="374"/>
      <c r="Q115" s="374"/>
      <c r="R115" s="374"/>
      <c r="S115" s="374"/>
      <c r="T115" s="374"/>
      <c r="U115" s="374"/>
      <c r="V115" s="374"/>
      <c r="W115" s="374"/>
      <c r="X115" s="374"/>
      <c r="Y115" s="392" t="str">
        <f ca="1">OFFSET(Initiatives!$D$1,E115-1,$BS$3)</f>
        <v>Financial Apps</v>
      </c>
      <c r="Z115" s="375">
        <v>3</v>
      </c>
      <c r="AA115" s="392" t="str">
        <f ca="1">OFFSET(Initiatives!$D$1,F115-1,$BS$3)</f>
        <v>Compliance mgmt analysis</v>
      </c>
      <c r="AB115" s="375">
        <v>9</v>
      </c>
      <c r="AC115" s="392" t="str">
        <f ca="1">OFFSET(Initiatives!$D$1,G115-1,$BS$3)</f>
        <v>Source System Inclusion / Integration</v>
      </c>
      <c r="AD115" s="375">
        <v>5</v>
      </c>
      <c r="AE115" s="392" t="str">
        <f ca="1">OFFSET(Initiatives!$D$1,H115-1,$BS$3)</f>
        <v>Architecture Standards &amp; Adherence</v>
      </c>
      <c r="AF115" s="375">
        <v>5</v>
      </c>
      <c r="AG115" s="392" t="str">
        <f ca="1">OFFSET(Initiatives!$D$1,I115-1,$BS$3)</f>
        <v>Data Management</v>
      </c>
      <c r="AH115" s="375">
        <v>4</v>
      </c>
      <c r="AI115" s="392" t="str">
        <f ca="1">OFFSET(Initiatives!$D$1,J115-1,$BS$3)</f>
        <v>Enhance BI Platform</v>
      </c>
      <c r="AJ115" s="375">
        <v>3</v>
      </c>
      <c r="AK115" s="392" t="e">
        <f ca="1">OFFSET(Initiatives!$D$1,K115-1,$BS$3)</f>
        <v>#REF!</v>
      </c>
      <c r="AL115" s="375"/>
      <c r="AM115" s="392" t="e">
        <f ca="1">OFFSET(Initiatives!$D$1,L115-1,$BS$3)</f>
        <v>#REF!</v>
      </c>
      <c r="AN115" s="375"/>
      <c r="AO115" s="392" t="e">
        <f ca="1">OFFSET(Initiatives!$D$1,M115-1,$BS$3)</f>
        <v>#REF!</v>
      </c>
      <c r="AP115" s="375"/>
      <c r="AQ115" s="392" t="e">
        <f ca="1">OFFSET(Initiatives!$D$1,N115-1,$BS$3)</f>
        <v>#REF!</v>
      </c>
      <c r="AR115" s="375"/>
      <c r="AS115" s="392" t="e">
        <f ca="1">OFFSET(Initiatives!$D$1,O115-1,$BS$3)</f>
        <v>#REF!</v>
      </c>
      <c r="AT115" s="375"/>
      <c r="AU115" s="392" t="e">
        <f ca="1">OFFSET(Initiatives!$D$1,P115-1,$BS$3)</f>
        <v>#REF!</v>
      </c>
      <c r="AV115" s="375"/>
      <c r="AW115" s="392" t="e">
        <f ca="1">OFFSET(Initiatives!$D$1,Q115-1,$BS$3)</f>
        <v>#REF!</v>
      </c>
      <c r="AX115" s="375"/>
      <c r="AY115" s="392" t="e">
        <f ca="1">OFFSET(Initiatives!$D$1,R115-1,$BS$3)</f>
        <v>#REF!</v>
      </c>
      <c r="AZ115" s="375"/>
      <c r="BA115" s="392" t="e">
        <f ca="1">OFFSET(Initiatives!$D$1,S115-1,$BS$3)</f>
        <v>#REF!</v>
      </c>
      <c r="BB115" s="375"/>
      <c r="BC115" s="392" t="e">
        <f ca="1">OFFSET(Initiatives!$D$1,T115-1,$BS$3)</f>
        <v>#REF!</v>
      </c>
      <c r="BD115" s="375"/>
      <c r="BE115" s="392" t="e">
        <f ca="1">OFFSET(Initiatives!$D$1,U115-1,$BS$3)</f>
        <v>#REF!</v>
      </c>
      <c r="BF115" s="375"/>
      <c r="BG115" s="392" t="e">
        <f ca="1">OFFSET(Initiatives!$D$1,V115-1,$BS$3)</f>
        <v>#REF!</v>
      </c>
      <c r="BH115" s="375"/>
      <c r="BI115" s="392" t="e">
        <f ca="1">OFFSET(Initiatives!$D$1,W115-1,$BS$3)</f>
        <v>#REF!</v>
      </c>
      <c r="BJ115" s="375"/>
      <c r="BK115" s="392" t="e">
        <f ca="1">OFFSET(Initiatives!$D$1,X115-1,$BS$3)</f>
        <v>#REF!</v>
      </c>
      <c r="BL115" s="375"/>
      <c r="BN115" s="101">
        <f t="shared" si="1934"/>
        <v>29.0001</v>
      </c>
      <c r="BP115" s="231" t="str">
        <f t="shared" ca="1" si="1935"/>
        <v>Compliance mgmt analysis (47%); Source System Inclusion / Integration (18%); Enhance BI Platform (14%); Financial Apps (13%); Architecture Standards &amp; Adherence (5%)</v>
      </c>
      <c r="BQ115" s="338">
        <v>0.01</v>
      </c>
      <c r="BR115" s="40">
        <f t="shared" ca="1" si="1936"/>
        <v>6</v>
      </c>
      <c r="BS115" s="274">
        <v>0.05</v>
      </c>
      <c r="BT115" s="40">
        <f t="shared" ca="1" si="1937"/>
        <v>5</v>
      </c>
      <c r="BU115" s="376">
        <v>7</v>
      </c>
      <c r="BV115" s="40">
        <f t="shared" ca="1" si="1938"/>
        <v>5</v>
      </c>
      <c r="BY115" s="377">
        <f ca="1">IF(ISERROR(OFFSET(Initiatives!$D$1,E115-1,$BY$3)),,OFFSET(Initiatives!$D$1,E115-1,$BY$3))</f>
        <v>0.55999999999999961</v>
      </c>
      <c r="BZ115" s="377">
        <f ca="1">IF(ISERROR(OFFSET(Initiatives!$D$1,F115-1,$BY$3)),,OFFSET(Initiatives!$D$1,F115-1,$BY$3))</f>
        <v>0.68</v>
      </c>
      <c r="CA115" s="377">
        <f ca="1">IF(ISERROR(OFFSET(Initiatives!$D$1,G115-1,$BY$3)),,OFFSET(Initiatives!$D$1,G115-1,$BY$3))</f>
        <v>0.45454545454545436</v>
      </c>
      <c r="CB115" s="377">
        <f ca="1">IF(ISERROR(OFFSET(Initiatives!$D$1,H115-1,$BY$3)),,OFFSET(Initiatives!$D$1,H115-1,$BY$3))</f>
        <v>0.14000000000000012</v>
      </c>
      <c r="CC115" s="377">
        <f ca="1">IF(ISERROR(OFFSET(Initiatives!$D$1,I115-1,$BY$3)),,OFFSET(Initiatives!$D$1,I115-1,$BY$3))</f>
        <v>9.9999999999999978E-2</v>
      </c>
      <c r="CD115" s="377">
        <f ca="1">IF(ISERROR(OFFSET(Initiatives!$D$1,J115-1,$BY$3)),,OFFSET(Initiatives!$D$1,J115-1,$BY$3))</f>
        <v>0.6</v>
      </c>
      <c r="CE115" s="377">
        <f ca="1">IF(ISERROR(OFFSET(Initiatives!$D$1,K115-1,$BY$3)),,OFFSET(Initiatives!$D$1,K115-1,$BY$3))</f>
        <v>0</v>
      </c>
      <c r="CF115" s="377">
        <f ca="1">IF(ISERROR(OFFSET(Initiatives!$D$1,L115-1,$BY$3)),,OFFSET(Initiatives!$D$1,L115-1,$BY$3))</f>
        <v>0</v>
      </c>
      <c r="CG115" s="377">
        <f ca="1">IF(ISERROR(OFFSET(Initiatives!$D$1,M115-1,$BY$3)),,OFFSET(Initiatives!$D$1,M115-1,$BY$3))</f>
        <v>0</v>
      </c>
      <c r="CH115" s="377">
        <f ca="1">IF(ISERROR(OFFSET(Initiatives!$D$1,N115-1,$BY$3)),,OFFSET(Initiatives!$D$1,N115-1,$BY$3))</f>
        <v>0</v>
      </c>
      <c r="CI115" s="377">
        <f ca="1">IF(ISERROR(OFFSET(Initiatives!$D$1,O115-1,$BY$3)),,OFFSET(Initiatives!$D$1,O115-1,$BY$3))</f>
        <v>0</v>
      </c>
      <c r="CJ115" s="377">
        <f ca="1">IF(ISERROR(OFFSET(Initiatives!$D$1,P115-1,$BY$3)),,OFFSET(Initiatives!$D$1,P115-1,$BY$3))</f>
        <v>0</v>
      </c>
      <c r="CK115" s="377">
        <f ca="1">IF(ISERROR(OFFSET(Initiatives!$D$1,Q115-1,$BY$3)),,OFFSET(Initiatives!$D$1,Q115-1,$BY$3))</f>
        <v>0</v>
      </c>
      <c r="CL115" s="377">
        <f ca="1">IF(ISERROR(OFFSET(Initiatives!$D$1,R115-1,$BY$3)),,OFFSET(Initiatives!$D$1,R115-1,$BY$3))</f>
        <v>0</v>
      </c>
      <c r="CM115" s="377">
        <f ca="1">IF(ISERROR(OFFSET(Initiatives!$D$1,S115-1,$BY$3)),,OFFSET(Initiatives!$D$1,S115-1,$BY$3))</f>
        <v>0</v>
      </c>
      <c r="CN115" s="377">
        <f ca="1">IF(ISERROR(OFFSET(Initiatives!$D$1,T115-1,$BY$3)),,OFFSET(Initiatives!$D$1,T115-1,$BY$3))</f>
        <v>0</v>
      </c>
      <c r="CO115" s="377">
        <f ca="1">IF(ISERROR(OFFSET(Initiatives!$D$1,U115-1,$BY$3)),,OFFSET(Initiatives!$D$1,U115-1,$BY$3))</f>
        <v>0</v>
      </c>
      <c r="CP115" s="377">
        <f ca="1">IF(ISERROR(OFFSET(Initiatives!$D$1,V115-1,$BY$3)),,OFFSET(Initiatives!$D$1,V115-1,$BY$3))</f>
        <v>0</v>
      </c>
      <c r="CQ115" s="377">
        <f ca="1">IF(ISERROR(OFFSET(Initiatives!$D$1,W115-1,$BY$3)),,OFFSET(Initiatives!$D$1,W115-1,$BY$3))</f>
        <v>0</v>
      </c>
      <c r="CR115" s="377">
        <f ca="1">IF(ISERROR(OFFSET(Initiatives!$D$1,X115-1,$BY$3)),,OFFSET(Initiatives!$D$1,X115-1,$BY$3))</f>
        <v>0</v>
      </c>
      <c r="CT115" s="41">
        <f t="shared" ca="1" si="1939"/>
        <v>5.7930834721259539E-2</v>
      </c>
      <c r="CU115" s="41">
        <f t="shared" ca="1" si="1940"/>
        <v>0.21103375505601704</v>
      </c>
      <c r="CV115" s="41">
        <f t="shared" ca="1" si="1941"/>
        <v>7.836963571598965E-2</v>
      </c>
      <c r="CW115" s="41">
        <f t="shared" ca="1" si="1942"/>
        <v>2.4137847800524848E-2</v>
      </c>
      <c r="CX115" s="41">
        <f t="shared" ca="1" si="1943"/>
        <v>1.3793055886014182E-2</v>
      </c>
      <c r="CY115" s="41">
        <f t="shared" ca="1" si="1944"/>
        <v>6.2068751487063832E-2</v>
      </c>
      <c r="CZ115" s="41">
        <f t="shared" ca="1" si="1945"/>
        <v>0</v>
      </c>
      <c r="DA115" s="41">
        <f t="shared" ca="1" si="1946"/>
        <v>0</v>
      </c>
      <c r="DB115" s="41">
        <f t="shared" ca="1" si="1947"/>
        <v>0</v>
      </c>
      <c r="DC115" s="41">
        <f t="shared" ca="1" si="1948"/>
        <v>0</v>
      </c>
      <c r="DD115" s="41">
        <f t="shared" ca="1" si="1949"/>
        <v>0</v>
      </c>
      <c r="DE115" s="41">
        <f t="shared" ca="1" si="1950"/>
        <v>0</v>
      </c>
      <c r="DF115" s="41">
        <f t="shared" ca="1" si="1951"/>
        <v>0</v>
      </c>
      <c r="DG115" s="41">
        <f t="shared" ca="1" si="1952"/>
        <v>0</v>
      </c>
      <c r="DH115" s="41">
        <f t="shared" ca="1" si="1953"/>
        <v>0</v>
      </c>
      <c r="DI115" s="41">
        <f t="shared" ca="1" si="1954"/>
        <v>0</v>
      </c>
      <c r="DJ115" s="41">
        <f t="shared" ca="1" si="1955"/>
        <v>0</v>
      </c>
      <c r="DK115" s="41">
        <f t="shared" ca="1" si="1956"/>
        <v>0</v>
      </c>
      <c r="DL115" s="41">
        <f t="shared" ca="1" si="1957"/>
        <v>0</v>
      </c>
      <c r="DM115" s="41">
        <f t="shared" ca="1" si="1958"/>
        <v>0</v>
      </c>
      <c r="DN115" s="41">
        <f t="shared" ca="1" si="1959"/>
        <v>0.44733388066686908</v>
      </c>
      <c r="DP115" s="41">
        <f t="shared" ca="1" si="1960"/>
        <v>0.12949245269796769</v>
      </c>
      <c r="DQ115" s="41">
        <f t="shared" ca="1" si="1961"/>
        <v>0.4717389348283112</v>
      </c>
      <c r="DR115" s="41">
        <f t="shared" ca="1" si="1962"/>
        <v>0.17516271198318142</v>
      </c>
      <c r="DS115" s="41">
        <f t="shared" ca="1" si="1963"/>
        <v>5.3919355290819967E-2</v>
      </c>
      <c r="DT115" s="41">
        <f t="shared" ca="1" si="1964"/>
        <v>3.078391730903994E-2</v>
      </c>
      <c r="DU115" s="41">
        <f t="shared" ca="1" si="1965"/>
        <v>0.13869262789067976</v>
      </c>
      <c r="DV115" s="41">
        <f t="shared" ca="1" si="1966"/>
        <v>-6.9999999999999994E-5</v>
      </c>
      <c r="DW115" s="41">
        <f t="shared" ca="1" si="1967"/>
        <v>-8.0000000000000007E-5</v>
      </c>
      <c r="DX115" s="41">
        <f t="shared" ca="1" si="1968"/>
        <v>-9.0000000000000006E-5</v>
      </c>
      <c r="DY115" s="41">
        <f t="shared" ca="1" si="1969"/>
        <v>-1E-4</v>
      </c>
      <c r="DZ115" s="41">
        <f t="shared" ca="1" si="1970"/>
        <v>-1.1E-4</v>
      </c>
      <c r="EA115" s="41">
        <f t="shared" ca="1" si="1971"/>
        <v>-1.2E-4</v>
      </c>
      <c r="EB115" s="41">
        <f t="shared" ca="1" si="1972"/>
        <v>-1.2999999999999999E-4</v>
      </c>
      <c r="EC115" s="41">
        <f t="shared" ca="1" si="1973"/>
        <v>-1.3999999999999999E-4</v>
      </c>
      <c r="ED115" s="41">
        <f t="shared" ca="1" si="1974"/>
        <v>-1.4999999999999999E-4</v>
      </c>
      <c r="EE115" s="41">
        <f t="shared" ca="1" si="1975"/>
        <v>-1.6000000000000001E-4</v>
      </c>
      <c r="EF115" s="41">
        <f t="shared" ca="1" si="1976"/>
        <v>-1.7000000000000001E-4</v>
      </c>
      <c r="EG115" s="41">
        <f t="shared" ca="1" si="1977"/>
        <v>-1.8000000000000001E-4</v>
      </c>
      <c r="EH115" s="41">
        <f t="shared" ca="1" si="1978"/>
        <v>-1.9000000000000001E-4</v>
      </c>
      <c r="EI115" s="41">
        <f t="shared" ca="1" si="1979"/>
        <v>-2.0000000000000001E-4</v>
      </c>
      <c r="EJ115" s="41">
        <f t="shared" ca="1" si="1980"/>
        <v>0.9978999999999999</v>
      </c>
      <c r="EL115" s="378">
        <f t="shared" ca="1" si="1981"/>
        <v>4</v>
      </c>
      <c r="EM115" s="378">
        <f t="shared" ca="1" si="1982"/>
        <v>1</v>
      </c>
      <c r="EN115" s="378">
        <f t="shared" ca="1" si="1983"/>
        <v>2</v>
      </c>
      <c r="EO115" s="378">
        <f t="shared" ca="1" si="1984"/>
        <v>5</v>
      </c>
      <c r="EP115" s="378">
        <f t="shared" ca="1" si="1985"/>
        <v>6</v>
      </c>
      <c r="EQ115" s="378">
        <f t="shared" ca="1" si="1986"/>
        <v>3</v>
      </c>
      <c r="ER115" s="378">
        <f t="shared" ca="1" si="1987"/>
        <v>7</v>
      </c>
      <c r="ES115" s="378">
        <f t="shared" ca="1" si="1988"/>
        <v>8</v>
      </c>
      <c r="ET115" s="378">
        <f t="shared" ca="1" si="1989"/>
        <v>9</v>
      </c>
      <c r="EU115" s="378">
        <f t="shared" ca="1" si="1990"/>
        <v>10</v>
      </c>
      <c r="EV115" s="378">
        <f t="shared" ca="1" si="1991"/>
        <v>11</v>
      </c>
      <c r="EW115" s="378">
        <f t="shared" ca="1" si="1992"/>
        <v>12</v>
      </c>
      <c r="EX115" s="378">
        <f t="shared" ca="1" si="1993"/>
        <v>13</v>
      </c>
      <c r="EY115" s="378">
        <f t="shared" ca="1" si="1994"/>
        <v>14</v>
      </c>
      <c r="EZ115" s="378">
        <f t="shared" ca="1" si="1995"/>
        <v>15</v>
      </c>
      <c r="FA115" s="378">
        <f t="shared" ca="1" si="1996"/>
        <v>16</v>
      </c>
      <c r="FB115" s="378">
        <f t="shared" ca="1" si="1997"/>
        <v>17</v>
      </c>
      <c r="FC115" s="378">
        <f t="shared" ca="1" si="1998"/>
        <v>18</v>
      </c>
      <c r="FD115" s="378">
        <f t="shared" ca="1" si="1999"/>
        <v>19</v>
      </c>
      <c r="FE115" s="378">
        <f t="shared" ca="1" si="2000"/>
        <v>20</v>
      </c>
      <c r="FG115" s="378">
        <f t="shared" ca="1" si="2001"/>
        <v>2</v>
      </c>
      <c r="FH115" s="378">
        <f t="shared" ca="1" si="2001"/>
        <v>3</v>
      </c>
      <c r="FI115" s="378">
        <f t="shared" ca="1" si="2001"/>
        <v>6</v>
      </c>
      <c r="FJ115" s="378">
        <f t="shared" ca="1" si="2001"/>
        <v>1</v>
      </c>
      <c r="FK115" s="378">
        <f t="shared" ca="1" si="2001"/>
        <v>4</v>
      </c>
      <c r="FL115" s="378">
        <f t="shared" ca="1" si="2001"/>
        <v>5</v>
      </c>
      <c r="FM115" s="378">
        <f t="shared" ca="1" si="2001"/>
        <v>7</v>
      </c>
      <c r="FN115" s="378">
        <f t="shared" ca="1" si="2001"/>
        <v>8</v>
      </c>
      <c r="FO115" s="378">
        <f t="shared" ca="1" si="2001"/>
        <v>9</v>
      </c>
      <c r="FP115" s="378">
        <f t="shared" ca="1" si="2001"/>
        <v>10</v>
      </c>
      <c r="FQ115" s="378">
        <f t="shared" ca="1" si="2001"/>
        <v>11</v>
      </c>
      <c r="FR115" s="378">
        <f t="shared" ca="1" si="2001"/>
        <v>12</v>
      </c>
      <c r="FS115" s="378">
        <f t="shared" ca="1" si="2001"/>
        <v>13</v>
      </c>
      <c r="FT115" s="378">
        <f t="shared" ca="1" si="2001"/>
        <v>14</v>
      </c>
      <c r="FU115" s="378">
        <f t="shared" ca="1" si="2001"/>
        <v>15</v>
      </c>
      <c r="FV115" s="378">
        <f t="shared" ca="1" si="2001"/>
        <v>16</v>
      </c>
      <c r="FW115" s="378">
        <f t="shared" ca="1" si="2002"/>
        <v>17</v>
      </c>
      <c r="FX115" s="378">
        <f t="shared" ca="1" si="2002"/>
        <v>18</v>
      </c>
      <c r="FY115" s="378">
        <f t="shared" ca="1" si="2002"/>
        <v>19</v>
      </c>
      <c r="FZ115" s="378">
        <f t="shared" ca="1" si="2002"/>
        <v>20</v>
      </c>
      <c r="GB115" s="275" t="str">
        <f t="shared" ca="1" si="2003"/>
        <v>Compliance mgmt analysis (47%)</v>
      </c>
      <c r="GC115" s="231" t="str">
        <f t="shared" ca="1" si="2004"/>
        <v>; Source System Inclusion / Integration (18%)</v>
      </c>
      <c r="GD115" s="231" t="str">
        <f t="shared" ca="1" si="2005"/>
        <v>; Enhance BI Platform (14%)</v>
      </c>
      <c r="GE115" s="231" t="str">
        <f t="shared" ca="1" si="2006"/>
        <v>; Financial Apps (13%)</v>
      </c>
      <c r="GF115" s="231" t="str">
        <f t="shared" ca="1" si="2007"/>
        <v>; Architecture Standards &amp; Adherence (5%)</v>
      </c>
      <c r="GG115" s="231" t="str">
        <f t="shared" ca="1" si="2008"/>
        <v/>
      </c>
      <c r="GH115" s="231" t="str">
        <f t="shared" ca="1" si="2009"/>
        <v/>
      </c>
      <c r="GI115" s="231" t="str">
        <f t="shared" ca="1" si="2010"/>
        <v/>
      </c>
      <c r="GJ115" s="231" t="str">
        <f t="shared" ca="1" si="2011"/>
        <v/>
      </c>
      <c r="GK115" s="231" t="str">
        <f t="shared" ca="1" si="2012"/>
        <v/>
      </c>
      <c r="GL115" s="231" t="str">
        <f t="shared" ca="1" si="2013"/>
        <v/>
      </c>
      <c r="GM115" s="231" t="str">
        <f t="shared" ca="1" si="2014"/>
        <v/>
      </c>
      <c r="GN115" s="231" t="str">
        <f t="shared" ca="1" si="2015"/>
        <v/>
      </c>
      <c r="GO115" s="231" t="str">
        <f t="shared" ca="1" si="2016"/>
        <v/>
      </c>
      <c r="GP115" s="231" t="str">
        <f t="shared" ca="1" si="2017"/>
        <v/>
      </c>
      <c r="GQ115" s="231" t="str">
        <f t="shared" ca="1" si="2018"/>
        <v/>
      </c>
      <c r="GR115" s="231" t="str">
        <f t="shared" ca="1" si="2019"/>
        <v/>
      </c>
      <c r="GS115" s="231" t="str">
        <f t="shared" ca="1" si="2020"/>
        <v/>
      </c>
      <c r="GT115" s="231" t="str">
        <f t="shared" ca="1" si="2021"/>
        <v/>
      </c>
      <c r="GU115" s="231" t="str">
        <f t="shared" ca="1" si="2022"/>
        <v/>
      </c>
    </row>
    <row r="116" spans="1:246" hidden="1"/>
    <row r="117" spans="1:246" ht="21" hidden="1">
      <c r="A117" s="1" t="s">
        <v>1039</v>
      </c>
      <c r="B117" s="409"/>
      <c r="C117" s="409"/>
      <c r="D117" s="409"/>
    </row>
    <row r="118" spans="1:246" ht="15" hidden="1">
      <c r="A118" s="409"/>
      <c r="B118" s="6" t="str">
        <f>Maturity!A4</f>
        <v>Scope</v>
      </c>
      <c r="C118" s="409"/>
      <c r="D118" s="409"/>
    </row>
    <row r="119" spans="1:246" s="409" customFormat="1" ht="12" hidden="1" customHeight="1">
      <c r="B119" s="373"/>
      <c r="C119" s="443" t="str">
        <f>Maturity!B5</f>
        <v>Which best describes the SCOPE of your group's BI/DW environment?</v>
      </c>
      <c r="D119" s="404">
        <f t="shared" ref="D119:D123" ca="1" si="2023">DN119</f>
        <v>0.39170448929536927</v>
      </c>
      <c r="E119" s="374">
        <f>ROW(Initiatives!$A$170)</f>
        <v>170</v>
      </c>
      <c r="F119" s="374">
        <f>ROW(Initiatives!$A$176)</f>
        <v>176</v>
      </c>
      <c r="G119" s="374">
        <f>ROW(Initiatives!$A$183)</f>
        <v>183</v>
      </c>
      <c r="H119" s="374">
        <f>ROW(Initiatives!$A$189)</f>
        <v>189</v>
      </c>
      <c r="I119" s="374"/>
      <c r="J119" s="374"/>
      <c r="K119" s="374"/>
      <c r="L119" s="374"/>
      <c r="M119" s="374"/>
      <c r="N119" s="374"/>
      <c r="O119" s="374" t="s">
        <v>975</v>
      </c>
      <c r="P119" s="374" t="s">
        <v>975</v>
      </c>
      <c r="Q119" s="374" t="s">
        <v>975</v>
      </c>
      <c r="R119" s="374" t="s">
        <v>975</v>
      </c>
      <c r="S119" s="374" t="s">
        <v>975</v>
      </c>
      <c r="T119" s="374" t="s">
        <v>975</v>
      </c>
      <c r="U119" s="374" t="s">
        <v>975</v>
      </c>
      <c r="V119" s="374" t="s">
        <v>975</v>
      </c>
      <c r="W119" s="374" t="s">
        <v>975</v>
      </c>
      <c r="X119" s="374" t="s">
        <v>975</v>
      </c>
      <c r="Y119" s="392" t="str">
        <f ca="1">OFFSET(Initiatives!$D$1,E119-1,$BS$3)</f>
        <v>BI Applications</v>
      </c>
      <c r="Z119" s="375">
        <v>6</v>
      </c>
      <c r="AA119" s="392" t="str">
        <f ca="1">OFFSET(Initiatives!$D$1,F119-1,$BS$3)</f>
        <v>Source System Inclusion / Integration</v>
      </c>
      <c r="AB119" s="375">
        <v>9</v>
      </c>
      <c r="AC119" s="392" t="str">
        <f ca="1">OFFSET(Initiatives!$D$1,G119-1,$BS$3)</f>
        <v>Enhance DW Platform</v>
      </c>
      <c r="AD119" s="375">
        <v>5</v>
      </c>
      <c r="AE119" s="392" t="str">
        <f ca="1">OFFSET(Initiatives!$D$1,H119-1,$BS$3)</f>
        <v>Enhance BI Platform</v>
      </c>
      <c r="AF119" s="375">
        <v>3</v>
      </c>
      <c r="AG119" s="392" t="e">
        <f ca="1">OFFSET(Initiatives!$D$1,I119-1,$BS$3)</f>
        <v>#REF!</v>
      </c>
      <c r="AH119" s="375"/>
      <c r="AI119" s="392" t="e">
        <f ca="1">OFFSET(Initiatives!$D$1,J119-1,$BS$3)</f>
        <v>#REF!</v>
      </c>
      <c r="AJ119" s="375"/>
      <c r="AK119" s="392" t="e">
        <f ca="1">OFFSET(Initiatives!$D$1,K119-1,$BS$3)</f>
        <v>#REF!</v>
      </c>
      <c r="AL119" s="375"/>
      <c r="AM119" s="392" t="e">
        <f ca="1">OFFSET(Initiatives!$D$1,L119-1,$BS$3)</f>
        <v>#REF!</v>
      </c>
      <c r="AN119" s="375"/>
      <c r="AO119" s="392" t="e">
        <f ca="1">OFFSET(Initiatives!$D$1,M119-1,$BS$3)</f>
        <v>#REF!</v>
      </c>
      <c r="AP119" s="375"/>
      <c r="AQ119" s="392" t="e">
        <f ca="1">OFFSET(Initiatives!$D$1,N119-1,$BS$3)</f>
        <v>#REF!</v>
      </c>
      <c r="AR119" s="375"/>
      <c r="AS119" s="392" t="e">
        <f ca="1">OFFSET(Initiatives!$D$1,O119-1,$BS$3)</f>
        <v>#VALUE!</v>
      </c>
      <c r="AT119" s="375"/>
      <c r="AU119" s="392" t="e">
        <f ca="1">OFFSET(Initiatives!$D$1,P119-1,$BS$3)</f>
        <v>#VALUE!</v>
      </c>
      <c r="AV119" s="375"/>
      <c r="AW119" s="392" t="e">
        <f ca="1">OFFSET(Initiatives!$D$1,Q119-1,$BS$3)</f>
        <v>#VALUE!</v>
      </c>
      <c r="AX119" s="375"/>
      <c r="AY119" s="392" t="e">
        <f ca="1">OFFSET(Initiatives!$D$1,R119-1,$BS$3)</f>
        <v>#VALUE!</v>
      </c>
      <c r="AZ119" s="375"/>
      <c r="BA119" s="392" t="e">
        <f ca="1">OFFSET(Initiatives!$D$1,S119-1,$BS$3)</f>
        <v>#VALUE!</v>
      </c>
      <c r="BB119" s="375"/>
      <c r="BC119" s="392" t="e">
        <f ca="1">OFFSET(Initiatives!$D$1,T119-1,$BS$3)</f>
        <v>#VALUE!</v>
      </c>
      <c r="BD119" s="375"/>
      <c r="BE119" s="392" t="e">
        <f ca="1">OFFSET(Initiatives!$D$1,U119-1,$BS$3)</f>
        <v>#VALUE!</v>
      </c>
      <c r="BF119" s="375"/>
      <c r="BG119" s="392" t="e">
        <f ca="1">OFFSET(Initiatives!$D$1,V119-1,$BS$3)</f>
        <v>#VALUE!</v>
      </c>
      <c r="BH119" s="375"/>
      <c r="BI119" s="392" t="e">
        <f ca="1">OFFSET(Initiatives!$D$1,W119-1,$BS$3)</f>
        <v>#VALUE!</v>
      </c>
      <c r="BJ119" s="375"/>
      <c r="BK119" s="392" t="e">
        <f ca="1">OFFSET(Initiatives!$D$1,X119-1,$BS$3)</f>
        <v>#VALUE!</v>
      </c>
      <c r="BL119" s="375"/>
      <c r="BN119" s="101">
        <f t="shared" ref="BN119:BN123" si="2024">SUM(Z119,AB119,AD119,AF119,AH119,AJ119,AL119,AN119,AP119,AR119,AT119,AV119,AX119,AZ119,BB119,BD119,BF119,BH119,BJ119,BL119)+0.0001</f>
        <v>23.0001</v>
      </c>
      <c r="BP119" s="231" t="str">
        <f t="shared" ref="BP119:BP123" ca="1" si="2025">CONCATENATE(GB119,GC119,GD119,GE119,GF119,GG119,GH119,GI119,GJ119,GK119,GL119,GM119,GN119,GO119,GP119,GQ119,GR119,GS119,GT119,GU119)</f>
        <v>Source System Inclusion / Integration (45%); BI Applications (30%); Enhance BI Platform (20%)</v>
      </c>
      <c r="BQ119" s="338">
        <v>0.01</v>
      </c>
      <c r="BR119" s="40">
        <f t="shared" ref="BR119:BR123" ca="1" si="2026">COUNTIF(CT119:DM119,"&gt;"&amp;BQ119)</f>
        <v>4</v>
      </c>
      <c r="BS119" s="274">
        <v>0.05</v>
      </c>
      <c r="BT119" s="40">
        <f t="shared" ref="BT119:BT123" ca="1" si="2027">COUNTIF(DP119:EI119,"&gt;"&amp;BS119)</f>
        <v>3</v>
      </c>
      <c r="BU119" s="376">
        <v>7</v>
      </c>
      <c r="BV119" s="40">
        <f t="shared" ref="BV119:BV123" ca="1" si="2028">MIN(BR119,BT119,BU119)</f>
        <v>3</v>
      </c>
      <c r="BY119" s="377">
        <f ca="1">IF(ISERROR(OFFSET(Initiatives!$D$1,E119-1,$BY$3)),,OFFSET(Initiatives!$D$1,E119-1,$BY$3))</f>
        <v>0.45555555555555544</v>
      </c>
      <c r="BZ119" s="377">
        <f ca="1">IF(ISERROR(OFFSET(Initiatives!$D$1,F119-1,$BY$3)),,OFFSET(Initiatives!$D$1,F119-1,$BY$3))</f>
        <v>0.45454545454545436</v>
      </c>
      <c r="CA119" s="377">
        <f ca="1">IF(ISERROR(OFFSET(Initiatives!$D$1,G119-1,$BY$3)),,OFFSET(Initiatives!$D$1,G119-1,$BY$3))</f>
        <v>7.7000000000000179E-2</v>
      </c>
      <c r="CB119" s="377">
        <f ca="1">IF(ISERROR(OFFSET(Initiatives!$D$1,H119-1,$BY$3)),,OFFSET(Initiatives!$D$1,H119-1,$BY$3))</f>
        <v>0.6</v>
      </c>
      <c r="CC119" s="377">
        <f ca="1">IF(ISERROR(OFFSET(Initiatives!$D$1,I119-1,$BY$3)),,OFFSET(Initiatives!$D$1,I119-1,$BY$3))</f>
        <v>0</v>
      </c>
      <c r="CD119" s="377">
        <f ca="1">IF(ISERROR(OFFSET(Initiatives!$D$1,J119-1,$BY$3)),,OFFSET(Initiatives!$D$1,J119-1,$BY$3))</f>
        <v>0</v>
      </c>
      <c r="CE119" s="377">
        <f ca="1">IF(ISERROR(OFFSET(Initiatives!$D$1,K119-1,$BY$3)),,OFFSET(Initiatives!$D$1,K119-1,$BY$3))</f>
        <v>0</v>
      </c>
      <c r="CF119" s="377">
        <f ca="1">IF(ISERROR(OFFSET(Initiatives!$D$1,L119-1,$BY$3)),,OFFSET(Initiatives!$D$1,L119-1,$BY$3))</f>
        <v>0</v>
      </c>
      <c r="CG119" s="377">
        <f ca="1">IF(ISERROR(OFFSET(Initiatives!$D$1,M119-1,$BY$3)),,OFFSET(Initiatives!$D$1,M119-1,$BY$3))</f>
        <v>0</v>
      </c>
      <c r="CH119" s="377">
        <f ca="1">IF(ISERROR(OFFSET(Initiatives!$D$1,N119-1,$BY$3)),,OFFSET(Initiatives!$D$1,N119-1,$BY$3))</f>
        <v>0</v>
      </c>
      <c r="CI119" s="377">
        <f ca="1">IF(ISERROR(OFFSET(Initiatives!$D$1,O119-1,$BY$3)),,OFFSET(Initiatives!$D$1,O119-1,$BY$3))</f>
        <v>0</v>
      </c>
      <c r="CJ119" s="377">
        <f ca="1">IF(ISERROR(OFFSET(Initiatives!$D$1,P119-1,$BY$3)),,OFFSET(Initiatives!$D$1,P119-1,$BY$3))</f>
        <v>0</v>
      </c>
      <c r="CK119" s="377">
        <f ca="1">IF(ISERROR(OFFSET(Initiatives!$D$1,Q119-1,$BY$3)),,OFFSET(Initiatives!$D$1,Q119-1,$BY$3))</f>
        <v>0</v>
      </c>
      <c r="CL119" s="377">
        <f ca="1">IF(ISERROR(OFFSET(Initiatives!$D$1,R119-1,$BY$3)),,OFFSET(Initiatives!$D$1,R119-1,$BY$3))</f>
        <v>0</v>
      </c>
      <c r="CM119" s="377">
        <f ca="1">IF(ISERROR(OFFSET(Initiatives!$D$1,S119-1,$BY$3)),,OFFSET(Initiatives!$D$1,S119-1,$BY$3))</f>
        <v>0</v>
      </c>
      <c r="CN119" s="377">
        <f ca="1">IF(ISERROR(OFFSET(Initiatives!$D$1,T119-1,$BY$3)),,OFFSET(Initiatives!$D$1,T119-1,$BY$3))</f>
        <v>0</v>
      </c>
      <c r="CO119" s="377">
        <f ca="1">IF(ISERROR(OFFSET(Initiatives!$D$1,U119-1,$BY$3)),,OFFSET(Initiatives!$D$1,U119-1,$BY$3))</f>
        <v>0</v>
      </c>
      <c r="CP119" s="377">
        <f ca="1">IF(ISERROR(OFFSET(Initiatives!$D$1,V119-1,$BY$3)),,OFFSET(Initiatives!$D$1,V119-1,$BY$3))</f>
        <v>0</v>
      </c>
      <c r="CQ119" s="377">
        <f ca="1">IF(ISERROR(OFFSET(Initiatives!$D$1,W119-1,$BY$3)),,OFFSET(Initiatives!$D$1,W119-1,$BY$3))</f>
        <v>0</v>
      </c>
      <c r="CR119" s="377">
        <f ca="1">IF(ISERROR(OFFSET(Initiatives!$D$1,X119-1,$BY$3)),,OFFSET(Initiatives!$D$1,X119-1,$BY$3))</f>
        <v>0</v>
      </c>
      <c r="CT119" s="41">
        <f t="shared" ref="CT119:CT123" ca="1" si="2029">BY119*Z119/$BN119</f>
        <v>0.11884006301421875</v>
      </c>
      <c r="CU119" s="41">
        <f t="shared" ref="CU119:CU123" ca="1" si="2030">BZ119*AB119/$BN119</f>
        <v>0.1778648393228329</v>
      </c>
      <c r="CV119" s="41">
        <f t="shared" ref="CV119:CV123" ca="1" si="2031">CA119*AD119/$BN119</f>
        <v>1.6739057656271098E-2</v>
      </c>
      <c r="CW119" s="41">
        <f t="shared" ref="CW119:CW123" ca="1" si="2032">CB119*AF119/$BN119</f>
        <v>7.8260529302046508E-2</v>
      </c>
      <c r="CX119" s="41">
        <f t="shared" ref="CX119:CX123" ca="1" si="2033">CC119*AH119/$BN119</f>
        <v>0</v>
      </c>
      <c r="CY119" s="41">
        <f t="shared" ref="CY119:CY123" ca="1" si="2034">CD119*AJ119/$BN119</f>
        <v>0</v>
      </c>
      <c r="CZ119" s="41">
        <f t="shared" ref="CZ119:CZ123" ca="1" si="2035">CE119*AL119/$BN119</f>
        <v>0</v>
      </c>
      <c r="DA119" s="41">
        <f t="shared" ref="DA119:DA123" ca="1" si="2036">CF119*AN119/$BN119</f>
        <v>0</v>
      </c>
      <c r="DB119" s="41">
        <f t="shared" ref="DB119:DB123" ca="1" si="2037">CG119*AP119/$BN119</f>
        <v>0</v>
      </c>
      <c r="DC119" s="41">
        <f t="shared" ref="DC119:DC123" ca="1" si="2038">CH119*AR119/$BN119</f>
        <v>0</v>
      </c>
      <c r="DD119" s="41">
        <f t="shared" ref="DD119:DD123" ca="1" si="2039">CI119*AT119/$BN119</f>
        <v>0</v>
      </c>
      <c r="DE119" s="41">
        <f t="shared" ref="DE119:DE123" ca="1" si="2040">CJ119*AV119/$BN119</f>
        <v>0</v>
      </c>
      <c r="DF119" s="41">
        <f t="shared" ref="DF119:DF123" ca="1" si="2041">CK119*AX119/$BN119</f>
        <v>0</v>
      </c>
      <c r="DG119" s="41">
        <f t="shared" ref="DG119:DG123" ca="1" si="2042">CL119*AZ119/$BN119</f>
        <v>0</v>
      </c>
      <c r="DH119" s="41">
        <f t="shared" ref="DH119:DH123" ca="1" si="2043">CM119*BB119/$BN119</f>
        <v>0</v>
      </c>
      <c r="DI119" s="41">
        <f t="shared" ref="DI119:DI123" ca="1" si="2044">CN119*BD119/$BN119</f>
        <v>0</v>
      </c>
      <c r="DJ119" s="41">
        <f t="shared" ref="DJ119:DJ123" ca="1" si="2045">CO119*BF119/$BN119</f>
        <v>0</v>
      </c>
      <c r="DK119" s="41">
        <f t="shared" ref="DK119:DK123" ca="1" si="2046">CP119*BH119/$BN119</f>
        <v>0</v>
      </c>
      <c r="DL119" s="41">
        <f t="shared" ref="DL119:DL123" ca="1" si="2047">CQ119*BJ119/$BN119</f>
        <v>0</v>
      </c>
      <c r="DM119" s="41">
        <f t="shared" ref="DM119:DM123" ca="1" si="2048">CR119*BL119/$BN119</f>
        <v>0</v>
      </c>
      <c r="DN119" s="41">
        <f t="shared" ref="DN119:DN123" ca="1" si="2049">SUM(CT119:DM119)</f>
        <v>0.39170448929536927</v>
      </c>
      <c r="DP119" s="41">
        <f t="shared" ref="DP119:DP123" ca="1" si="2050">CT119/$DN119-DP$5/100000</f>
        <v>0.30338213938547953</v>
      </c>
      <c r="DQ119" s="41">
        <f t="shared" ref="DQ119:DQ123" ca="1" si="2051">CU119/$DN119-DQ$5/100000</f>
        <v>0.45405914431307898</v>
      </c>
      <c r="DR119" s="41">
        <f t="shared" ref="DR119:DR123" ca="1" si="2052">CV119/$DN119-DR$5/100000</f>
        <v>4.2703892803686555E-2</v>
      </c>
      <c r="DS119" s="41">
        <f t="shared" ref="DS119:DS123" ca="1" si="2053">CW119/$DN119-DS$5/100000</f>
        <v>0.19975482349775484</v>
      </c>
      <c r="DT119" s="41">
        <f t="shared" ref="DT119:DT123" ca="1" si="2054">CX119/$DN119-DT$5/100000</f>
        <v>-5.0000000000000002E-5</v>
      </c>
      <c r="DU119" s="41">
        <f t="shared" ref="DU119:DU123" ca="1" si="2055">CY119/$DN119-DU$5/100000</f>
        <v>-6.0000000000000002E-5</v>
      </c>
      <c r="DV119" s="41">
        <f t="shared" ref="DV119:DV123" ca="1" si="2056">CZ119/$DN119-DV$5/100000</f>
        <v>-6.9999999999999994E-5</v>
      </c>
      <c r="DW119" s="41">
        <f t="shared" ref="DW119:DW123" ca="1" si="2057">DA119/$DN119-DW$5/100000</f>
        <v>-8.0000000000000007E-5</v>
      </c>
      <c r="DX119" s="41">
        <f t="shared" ref="DX119:DX123" ca="1" si="2058">DB119/$DN119-DX$5/100000</f>
        <v>-9.0000000000000006E-5</v>
      </c>
      <c r="DY119" s="41">
        <f t="shared" ref="DY119:DY123" ca="1" si="2059">DC119/$DN119-DY$5/100000</f>
        <v>-1E-4</v>
      </c>
      <c r="DZ119" s="41">
        <f t="shared" ref="DZ119:DZ123" ca="1" si="2060">DD119/$DN119-DZ$5/100000</f>
        <v>-1.1E-4</v>
      </c>
      <c r="EA119" s="41">
        <f t="shared" ref="EA119:EA123" ca="1" si="2061">DE119/$DN119-EA$5/100000</f>
        <v>-1.2E-4</v>
      </c>
      <c r="EB119" s="41">
        <f t="shared" ref="EB119:EB123" ca="1" si="2062">DF119/$DN119-EB$5/100000</f>
        <v>-1.2999999999999999E-4</v>
      </c>
      <c r="EC119" s="41">
        <f t="shared" ref="EC119:EC123" ca="1" si="2063">DG119/$DN119-EC$5/100000</f>
        <v>-1.3999999999999999E-4</v>
      </c>
      <c r="ED119" s="41">
        <f t="shared" ref="ED119:ED123" ca="1" si="2064">DH119/$DN119-ED$5/100000</f>
        <v>-1.4999999999999999E-4</v>
      </c>
      <c r="EE119" s="41">
        <f t="shared" ref="EE119:EE123" ca="1" si="2065">DI119/$DN119-EE$5/100000</f>
        <v>-1.6000000000000001E-4</v>
      </c>
      <c r="EF119" s="41">
        <f t="shared" ref="EF119:EF123" ca="1" si="2066">DJ119/$DN119-EF$5/100000</f>
        <v>-1.7000000000000001E-4</v>
      </c>
      <c r="EG119" s="41">
        <f t="shared" ref="EG119:EG123" ca="1" si="2067">DK119/$DN119-EG$5/100000</f>
        <v>-1.8000000000000001E-4</v>
      </c>
      <c r="EH119" s="41">
        <f t="shared" ref="EH119:EH123" ca="1" si="2068">DL119/$DN119-EH$5/100000</f>
        <v>-1.9000000000000001E-4</v>
      </c>
      <c r="EI119" s="41">
        <f t="shared" ref="EI119:EI123" ca="1" si="2069">DM119/$DN119-EI$5/100000</f>
        <v>-2.0000000000000001E-4</v>
      </c>
      <c r="EJ119" s="41">
        <f t="shared" ref="EJ119:EJ123" ca="1" si="2070">SUM(DP119:EI119)</f>
        <v>0.9978999999999999</v>
      </c>
      <c r="EL119" s="378">
        <f t="shared" ref="EL119:EL123" ca="1" si="2071">RANK(DP119,$DP119:$EI119)</f>
        <v>2</v>
      </c>
      <c r="EM119" s="378">
        <f t="shared" ref="EM119:EM123" ca="1" si="2072">RANK(DQ119,$DP119:$EI119)</f>
        <v>1</v>
      </c>
      <c r="EN119" s="378">
        <f t="shared" ref="EN119:EN123" ca="1" si="2073">RANK(DR119,$DP119:$EI119)</f>
        <v>4</v>
      </c>
      <c r="EO119" s="378">
        <f t="shared" ref="EO119:EO123" ca="1" si="2074">RANK(DS119,$DP119:$EI119)</f>
        <v>3</v>
      </c>
      <c r="EP119" s="378">
        <f t="shared" ref="EP119:EP123" ca="1" si="2075">RANK(DT119,$DP119:$EI119)</f>
        <v>5</v>
      </c>
      <c r="EQ119" s="378">
        <f t="shared" ref="EQ119:EQ123" ca="1" si="2076">RANK(DU119,$DP119:$EI119)</f>
        <v>6</v>
      </c>
      <c r="ER119" s="378">
        <f t="shared" ref="ER119:ER123" ca="1" si="2077">RANK(DV119,$DP119:$EI119)</f>
        <v>7</v>
      </c>
      <c r="ES119" s="378">
        <f t="shared" ref="ES119:ES123" ca="1" si="2078">RANK(DW119,$DP119:$EI119)</f>
        <v>8</v>
      </c>
      <c r="ET119" s="378">
        <f t="shared" ref="ET119:ET123" ca="1" si="2079">RANK(DX119,$DP119:$EI119)</f>
        <v>9</v>
      </c>
      <c r="EU119" s="378">
        <f t="shared" ref="EU119:EU123" ca="1" si="2080">RANK(DY119,$DP119:$EI119)</f>
        <v>10</v>
      </c>
      <c r="EV119" s="378">
        <f t="shared" ref="EV119:EV123" ca="1" si="2081">RANK(DZ119,$DP119:$EI119)</f>
        <v>11</v>
      </c>
      <c r="EW119" s="378">
        <f t="shared" ref="EW119:EW123" ca="1" si="2082">RANK(EA119,$DP119:$EI119)</f>
        <v>12</v>
      </c>
      <c r="EX119" s="378">
        <f t="shared" ref="EX119:EX123" ca="1" si="2083">RANK(EB119,$DP119:$EI119)</f>
        <v>13</v>
      </c>
      <c r="EY119" s="378">
        <f t="shared" ref="EY119:EY123" ca="1" si="2084">RANK(EC119,$DP119:$EI119)</f>
        <v>14</v>
      </c>
      <c r="EZ119" s="378">
        <f t="shared" ref="EZ119:EZ123" ca="1" si="2085">RANK(ED119,$DP119:$EI119)</f>
        <v>15</v>
      </c>
      <c r="FA119" s="378">
        <f t="shared" ref="FA119:FA123" ca="1" si="2086">RANK(EE119,$DP119:$EI119)</f>
        <v>16</v>
      </c>
      <c r="FB119" s="378">
        <f t="shared" ref="FB119:FB123" ca="1" si="2087">RANK(EF119,$DP119:$EI119)</f>
        <v>17</v>
      </c>
      <c r="FC119" s="378">
        <f t="shared" ref="FC119:FC123" ca="1" si="2088">RANK(EG119,$DP119:$EI119)</f>
        <v>18</v>
      </c>
      <c r="FD119" s="378">
        <f t="shared" ref="FD119:FD123" ca="1" si="2089">RANK(EH119,$DP119:$EI119)</f>
        <v>19</v>
      </c>
      <c r="FE119" s="378">
        <f t="shared" ref="FE119:FE123" ca="1" si="2090">RANK(EI119,$DP119:$EI119)</f>
        <v>20</v>
      </c>
      <c r="FG119" s="378">
        <f t="shared" ref="FG119:FV130" ca="1" si="2091">MATCH(FG$5,$EL119:$FE119,0)</f>
        <v>2</v>
      </c>
      <c r="FH119" s="378">
        <f t="shared" ca="1" si="2091"/>
        <v>1</v>
      </c>
      <c r="FI119" s="378">
        <f t="shared" ca="1" si="2091"/>
        <v>4</v>
      </c>
      <c r="FJ119" s="378">
        <f t="shared" ca="1" si="2091"/>
        <v>3</v>
      </c>
      <c r="FK119" s="378">
        <f t="shared" ca="1" si="2091"/>
        <v>5</v>
      </c>
      <c r="FL119" s="378">
        <f t="shared" ca="1" si="2091"/>
        <v>6</v>
      </c>
      <c r="FM119" s="378">
        <f t="shared" ca="1" si="2091"/>
        <v>7</v>
      </c>
      <c r="FN119" s="378">
        <f t="shared" ca="1" si="2091"/>
        <v>8</v>
      </c>
      <c r="FO119" s="378">
        <f t="shared" ca="1" si="2091"/>
        <v>9</v>
      </c>
      <c r="FP119" s="378">
        <f t="shared" ca="1" si="2091"/>
        <v>10</v>
      </c>
      <c r="FQ119" s="378">
        <f t="shared" ca="1" si="2091"/>
        <v>11</v>
      </c>
      <c r="FR119" s="378">
        <f t="shared" ca="1" si="2091"/>
        <v>12</v>
      </c>
      <c r="FS119" s="378">
        <f t="shared" ca="1" si="2091"/>
        <v>13</v>
      </c>
      <c r="FT119" s="378">
        <f t="shared" ca="1" si="2091"/>
        <v>14</v>
      </c>
      <c r="FU119" s="378">
        <f t="shared" ca="1" si="2091"/>
        <v>15</v>
      </c>
      <c r="FV119" s="378">
        <f t="shared" ca="1" si="2091"/>
        <v>16</v>
      </c>
      <c r="FW119" s="378">
        <f t="shared" ref="FW119:FZ130" ca="1" si="2092">MATCH(FW$5,$EL119:$FE119,0)</f>
        <v>17</v>
      </c>
      <c r="FX119" s="378">
        <f t="shared" ca="1" si="2092"/>
        <v>18</v>
      </c>
      <c r="FY119" s="378">
        <f t="shared" ca="1" si="2092"/>
        <v>19</v>
      </c>
      <c r="FZ119" s="378">
        <f t="shared" ca="1" si="2092"/>
        <v>20</v>
      </c>
      <c r="GB119" s="275" t="str">
        <f t="shared" ref="GB119:GB123" ca="1" si="2093">IF(GB$5&lt;=$BV119,INDEX($Y119:$BL119,1,FG119*2-1)&amp;" ("&amp;TEXT(INDEX($DP119:$EI119,1,FG119),"0%")&amp;")","")</f>
        <v>Source System Inclusion / Integration (45%)</v>
      </c>
      <c r="GC119" s="231" t="str">
        <f t="shared" ref="GC119:GC123" ca="1" si="2094">IF(GC$5&lt;=$BV119,"; "&amp;INDEX($Y119:$BL119,1,FH119*2-1)&amp;" ("&amp;TEXT(INDEX($DP119:$EI119,1,FH119),"0%")&amp;")","")</f>
        <v>; BI Applications (30%)</v>
      </c>
      <c r="GD119" s="231" t="str">
        <f t="shared" ref="GD119:GD123" ca="1" si="2095">IF(GD$5&lt;=$BV119,"; "&amp;INDEX($Y119:$BL119,1,FI119*2-1)&amp;" ("&amp;TEXT(INDEX($DP119:$EI119,1,FI119),"0%")&amp;")","")</f>
        <v>; Enhance BI Platform (20%)</v>
      </c>
      <c r="GE119" s="231" t="str">
        <f t="shared" ref="GE119:GE123" ca="1" si="2096">IF(GE$5&lt;=$BV119,"; "&amp;INDEX($Y119:$BL119,1,FJ119*2-1)&amp;" ("&amp;TEXT(INDEX($DP119:$EI119,1,FJ119),"0%")&amp;")","")</f>
        <v/>
      </c>
      <c r="GF119" s="231" t="str">
        <f t="shared" ref="GF119:GF123" ca="1" si="2097">IF(GF$5&lt;=$BV119,"; "&amp;INDEX($Y119:$BL119,1,FK119*2-1)&amp;" ("&amp;TEXT(INDEX($DP119:$EI119,1,FK119),"0%")&amp;")","")</f>
        <v/>
      </c>
      <c r="GG119" s="231" t="str">
        <f t="shared" ref="GG119:GG123" ca="1" si="2098">IF(GG$5&lt;=$BV119,"; "&amp;INDEX($Y119:$BL119,1,FL119*2-1)&amp;" ("&amp;TEXT(INDEX($DP119:$EI119,1,FL119),"0%")&amp;")","")</f>
        <v/>
      </c>
      <c r="GH119" s="231" t="str">
        <f t="shared" ref="GH119:GH123" ca="1" si="2099">IF(GH$5&lt;=$BV119,"; "&amp;INDEX($Y119:$BL119,1,FM119*2-1)&amp;" ("&amp;TEXT(INDEX($DP119:$EI119,1,FM119),"0%")&amp;")","")</f>
        <v/>
      </c>
      <c r="GI119" s="231" t="str">
        <f t="shared" ref="GI119:GI123" ca="1" si="2100">IF(GI$5&lt;=$BV119,"; "&amp;INDEX($Y119:$BL119,1,FN119*2-1)&amp;" ("&amp;TEXT(INDEX($DP119:$EI119,1,FN119),"0%")&amp;")","")</f>
        <v/>
      </c>
      <c r="GJ119" s="231" t="str">
        <f t="shared" ref="GJ119:GJ123" ca="1" si="2101">IF(GJ$5&lt;=$BV119,"; "&amp;INDEX($Y119:$BL119,1,FO119*2-1)&amp;" ("&amp;TEXT(INDEX($DP119:$EI119,1,FO119),"0%")&amp;")","")</f>
        <v/>
      </c>
      <c r="GK119" s="231" t="str">
        <f t="shared" ref="GK119:GK123" ca="1" si="2102">IF(GK$5&lt;=$BV119,"; "&amp;INDEX($Y119:$BL119,1,FP119*2-1)&amp;" ("&amp;TEXT(INDEX($DP119:$EI119,1,FP119),"0%")&amp;")","")</f>
        <v/>
      </c>
      <c r="GL119" s="231" t="str">
        <f t="shared" ref="GL119:GL123" ca="1" si="2103">IF(GL$5&lt;=$BV119,"; "&amp;INDEX($Y119:$BL119,1,FQ119*2-1)&amp;" ("&amp;TEXT(INDEX($DP119:$EI119,1,FQ119),"0%")&amp;")","")</f>
        <v/>
      </c>
      <c r="GM119" s="231" t="str">
        <f t="shared" ref="GM119:GM123" ca="1" si="2104">IF(GM$5&lt;=$BV119,"; "&amp;INDEX($Y119:$BL119,1,FR119*2-1)&amp;" ("&amp;TEXT(INDEX($DP119:$EI119,1,FR119),"0%")&amp;")","")</f>
        <v/>
      </c>
      <c r="GN119" s="231" t="str">
        <f t="shared" ref="GN119:GN123" ca="1" si="2105">IF(GN$5&lt;=$BV119,"; "&amp;INDEX($Y119:$BL119,1,FS119*2-1)&amp;" ("&amp;TEXT(INDEX($DP119:$EI119,1,FS119),"0%")&amp;")","")</f>
        <v/>
      </c>
      <c r="GO119" s="231" t="str">
        <f t="shared" ref="GO119:GO123" ca="1" si="2106">IF(GO$5&lt;=$BV119,"; "&amp;INDEX($Y119:$BL119,1,FT119*2-1)&amp;" ("&amp;TEXT(INDEX($DP119:$EI119,1,FT119),"0%")&amp;")","")</f>
        <v/>
      </c>
      <c r="GP119" s="231" t="str">
        <f t="shared" ref="GP119:GP123" ca="1" si="2107">IF(GP$5&lt;=$BV119,"; "&amp;INDEX($Y119:$BL119,1,FU119*2-1)&amp;" ("&amp;TEXT(INDEX($DP119:$EI119,1,FU119),"0%")&amp;")","")</f>
        <v/>
      </c>
      <c r="GQ119" s="231" t="str">
        <f t="shared" ref="GQ119:GQ123" ca="1" si="2108">IF(GQ$5&lt;=$BV119,"; "&amp;INDEX($Y119:$BL119,1,FV119*2-1)&amp;" ("&amp;TEXT(INDEX($DP119:$EI119,1,FV119),"0%")&amp;")","")</f>
        <v/>
      </c>
      <c r="GR119" s="231" t="str">
        <f t="shared" ref="GR119:GR123" ca="1" si="2109">IF(GR$5&lt;=$BV119,"; "&amp;INDEX($Y119:$BL119,1,FW119*2-1)&amp;" ("&amp;TEXT(INDEX($DP119:$EI119,1,FW119),"0%")&amp;")","")</f>
        <v/>
      </c>
      <c r="GS119" s="231" t="str">
        <f t="shared" ref="GS119:GS123" ca="1" si="2110">IF(GS$5&lt;=$BV119,"; "&amp;INDEX($Y119:$BL119,1,FX119*2-1)&amp;" ("&amp;TEXT(INDEX($DP119:$EI119,1,FX119),"0%")&amp;")","")</f>
        <v/>
      </c>
      <c r="GT119" s="231" t="str">
        <f t="shared" ref="GT119:GT123" ca="1" si="2111">IF(GT$5&lt;=$BV119,"; "&amp;INDEX($Y119:$BL119,1,FY119*2-1)&amp;" ("&amp;TEXT(INDEX($DP119:$EI119,1,FY119),"0%")&amp;")","")</f>
        <v/>
      </c>
      <c r="GU119" s="231" t="str">
        <f t="shared" ref="GU119:GU123" ca="1" si="2112">IF(GU$5&lt;=$BV119,"; "&amp;INDEX($Y119:$BL119,1,FZ119*2-1)&amp;" ("&amp;TEXT(INDEX($DP119:$EI119,1,FZ119),"0%")&amp;")","")</f>
        <v/>
      </c>
      <c r="GW119" s="377">
        <f ca="1">IF(ISERROR(OFFSET(Initiatives!$D$1,E119-1,$CB$3)),,OFFSET(Initiatives!$D$1,E119-1,$CB$3))</f>
        <v>0.34166666666666662</v>
      </c>
      <c r="GX119" s="377">
        <f ca="1">IF(ISERROR(OFFSET(Initiatives!$D$1,F119-1,$CB$3)),,OFFSET(Initiatives!$D$1,F119-1,$CB$3))</f>
        <v>0.43181818181818177</v>
      </c>
      <c r="GY119" s="377">
        <f ca="1">IF(ISERROR(OFFSET(Initiatives!$D$1,G119-1,$CB$3)),,OFFSET(Initiatives!$D$1,G119-1,$CB$3))</f>
        <v>0.77</v>
      </c>
      <c r="GZ119" s="377">
        <f ca="1">IF(ISERROR(OFFSET(Initiatives!$D$1,H119-1,$CB$3)),,OFFSET(Initiatives!$D$1,H119-1,$CB$3))</f>
        <v>0.25</v>
      </c>
      <c r="HA119" s="377">
        <f ca="1">IF(ISERROR(OFFSET(Initiatives!$D$1,I119-1,$CB$3)),,OFFSET(Initiatives!$D$1,I119-1,$CB$3))</f>
        <v>0</v>
      </c>
      <c r="HB119" s="377">
        <f ca="1">IF(ISERROR(OFFSET(Initiatives!$D$1,J119-1,$CB$3)),,OFFSET(Initiatives!$D$1,J119-1,$CB$3))</f>
        <v>0</v>
      </c>
      <c r="HC119" s="377">
        <f ca="1">IF(ISERROR(OFFSET(Initiatives!$D$1,K119-1,$CB$3)),,OFFSET(Initiatives!$D$1,K119-1,$CB$3))</f>
        <v>0</v>
      </c>
      <c r="HD119" s="377">
        <f ca="1">IF(ISERROR(OFFSET(Initiatives!$D$1,L119-1,$CB$3)),,OFFSET(Initiatives!$D$1,L119-1,$CB$3))</f>
        <v>0</v>
      </c>
      <c r="HE119" s="377">
        <f ca="1">IF(ISERROR(OFFSET(Initiatives!$D$1,M119-1,$CB$3)),,OFFSET(Initiatives!$D$1,M119-1,$CB$3))</f>
        <v>0</v>
      </c>
      <c r="HF119" s="377">
        <f ca="1">IF(ISERROR(OFFSET(Initiatives!$D$1,N119-1,$CB$3)),,OFFSET(Initiatives!$D$1,N119-1,$CB$3))</f>
        <v>0</v>
      </c>
      <c r="HG119" s="377">
        <f ca="1">IF(ISERROR(OFFSET(Initiatives!$D$1,O119-1,$CB$3)),,OFFSET(Initiatives!$D$1,O119-1,$CB$3))</f>
        <v>0</v>
      </c>
      <c r="HH119" s="377">
        <f ca="1">IF(ISERROR(OFFSET(Initiatives!$D$1,P119-1,$CB$3)),,OFFSET(Initiatives!$D$1,P119-1,$CB$3))</f>
        <v>0</v>
      </c>
      <c r="HI119" s="377">
        <f ca="1">IF(ISERROR(OFFSET(Initiatives!$D$1,Q119-1,$CB$3)),,OFFSET(Initiatives!$D$1,Q119-1,$CB$3))</f>
        <v>0</v>
      </c>
      <c r="HJ119" s="377">
        <f ca="1">IF(ISERROR(OFFSET(Initiatives!$D$1,R119-1,$CB$3)),,OFFSET(Initiatives!$D$1,R119-1,$CB$3))</f>
        <v>0</v>
      </c>
      <c r="HK119" s="377">
        <f ca="1">IF(ISERROR(OFFSET(Initiatives!$D$1,S119-1,$CB$3)),,OFFSET(Initiatives!$D$1,S119-1,$CB$3))</f>
        <v>0</v>
      </c>
      <c r="HL119" s="377">
        <f ca="1">IF(ISERROR(OFFSET(Initiatives!$D$1,T119-1,$CB$3)),,OFFSET(Initiatives!$D$1,T119-1,$CB$3))</f>
        <v>0</v>
      </c>
      <c r="HM119" s="377">
        <f ca="1">IF(ISERROR(OFFSET(Initiatives!$D$1,U119-1,$CB$3)),,OFFSET(Initiatives!$D$1,U119-1,$CB$3))</f>
        <v>0</v>
      </c>
      <c r="HN119" s="377">
        <f ca="1">IF(ISERROR(OFFSET(Initiatives!$D$1,V119-1,$CB$3)),,OFFSET(Initiatives!$D$1,V119-1,$CB$3))</f>
        <v>0</v>
      </c>
      <c r="HO119" s="377">
        <f ca="1">IF(ISERROR(OFFSET(Initiatives!$D$1,W119-1,$CB$3)),,OFFSET(Initiatives!$D$1,W119-1,$CB$3))</f>
        <v>0</v>
      </c>
      <c r="HP119" s="377">
        <f ca="1">IF(ISERROR(OFFSET(Initiatives!$D$1,X119-1,$CB$3)),,OFFSET(Initiatives!$D$1,X119-1,$CB$3))</f>
        <v>0</v>
      </c>
      <c r="HR119" s="41">
        <f ca="1">GW119*Z119/$BN119</f>
        <v>8.9130047260664078E-2</v>
      </c>
      <c r="HS119" s="41">
        <f ca="1">GX119*AB119/$BN119</f>
        <v>0.16897159735669132</v>
      </c>
      <c r="HT119" s="41">
        <f ca="1">GY119*AD119/$BN119</f>
        <v>0.16739057656271061</v>
      </c>
      <c r="HU119" s="41">
        <f ca="1">GZ119*AF119/$BN119</f>
        <v>3.2608553875852715E-2</v>
      </c>
      <c r="HV119" s="41">
        <f ca="1">HA119*AH119/$BN119</f>
        <v>0</v>
      </c>
      <c r="HW119" s="41">
        <f ca="1">HB119*AJ119/$BN119</f>
        <v>0</v>
      </c>
      <c r="HX119" s="41">
        <f ca="1">HC119*AL119/$BN119</f>
        <v>0</v>
      </c>
      <c r="HY119" s="41">
        <f ca="1">HD119*AN119/$BN119</f>
        <v>0</v>
      </c>
      <c r="HZ119" s="41">
        <f ca="1">HE119*AP119/$BN119</f>
        <v>0</v>
      </c>
      <c r="IA119" s="41">
        <f ca="1">HF119*AR119/$BN119</f>
        <v>0</v>
      </c>
      <c r="IB119" s="41">
        <f ca="1">HG119*AT119/$BN119</f>
        <v>0</v>
      </c>
      <c r="IC119" s="41">
        <f ca="1">HH119*AV119/$BN119</f>
        <v>0</v>
      </c>
      <c r="ID119" s="41">
        <f ca="1">HI119*AX119/$BN119</f>
        <v>0</v>
      </c>
      <c r="IE119" s="41">
        <f ca="1">HJ119*BZ119/$BN119</f>
        <v>0</v>
      </c>
      <c r="IF119" s="41">
        <f ca="1">HK119*BB119/$BN119</f>
        <v>0</v>
      </c>
      <c r="IG119" s="41">
        <f ca="1">HL119*BD119/$BN119</f>
        <v>0</v>
      </c>
      <c r="IH119" s="41">
        <f ca="1">HM119*BF119/$BN119</f>
        <v>0</v>
      </c>
      <c r="II119" s="41">
        <f ca="1">HN119*BH119/$BN119</f>
        <v>0</v>
      </c>
      <c r="IJ119" s="41">
        <f ca="1">HO119*BJ119/$BN119</f>
        <v>0</v>
      </c>
      <c r="IK119" s="41">
        <f ca="1">HP119*BL119/$BN119</f>
        <v>0</v>
      </c>
      <c r="IL119" s="41">
        <f ca="1">SUM(HR119:IK119)</f>
        <v>0.45810077505591873</v>
      </c>
    </row>
    <row r="120" spans="1:246" s="409" customFormat="1" ht="12" hidden="1" customHeight="1">
      <c r="B120" s="373"/>
      <c r="C120" s="443" t="str">
        <f>Maturity!B6</f>
        <v>Which best describes the status of your group's BI/DW IMPLEMENTATION?</v>
      </c>
      <c r="D120" s="404">
        <f t="shared" ca="1" si="2023"/>
        <v>0.39677326865890916</v>
      </c>
      <c r="E120" s="374">
        <f>ROW(Initiatives!$A$170)</f>
        <v>170</v>
      </c>
      <c r="F120" s="374">
        <f>ROW(Initiatives!$A$176)</f>
        <v>176</v>
      </c>
      <c r="G120" s="374">
        <f>ROW(Initiatives!$A$183)</f>
        <v>183</v>
      </c>
      <c r="H120" s="374">
        <f>ROW(Initiatives!$A$189)</f>
        <v>189</v>
      </c>
      <c r="I120" s="374"/>
      <c r="J120" s="374"/>
      <c r="K120" s="374"/>
      <c r="L120" s="374"/>
      <c r="M120" s="374"/>
      <c r="N120" s="374"/>
      <c r="O120" s="374" t="s">
        <v>975</v>
      </c>
      <c r="P120" s="374" t="s">
        <v>975</v>
      </c>
      <c r="Q120" s="374" t="s">
        <v>975</v>
      </c>
      <c r="R120" s="374" t="s">
        <v>975</v>
      </c>
      <c r="S120" s="374" t="s">
        <v>975</v>
      </c>
      <c r="T120" s="374" t="s">
        <v>975</v>
      </c>
      <c r="U120" s="374" t="s">
        <v>975</v>
      </c>
      <c r="V120" s="374" t="s">
        <v>975</v>
      </c>
      <c r="W120" s="374" t="s">
        <v>975</v>
      </c>
      <c r="X120" s="374" t="s">
        <v>975</v>
      </c>
      <c r="Y120" s="392" t="str">
        <f ca="1">OFFSET(Initiatives!$D$1,E120-1,$BS$3)</f>
        <v>BI Applications</v>
      </c>
      <c r="Z120" s="375">
        <v>5</v>
      </c>
      <c r="AA120" s="392" t="str">
        <f ca="1">OFFSET(Initiatives!$D$1,F120-1,$BS$3)</f>
        <v>Source System Inclusion / Integration</v>
      </c>
      <c r="AB120" s="375">
        <v>5</v>
      </c>
      <c r="AC120" s="392" t="str">
        <f ca="1">OFFSET(Initiatives!$D$1,G120-1,$BS$3)</f>
        <v>Enhance DW Platform</v>
      </c>
      <c r="AD120" s="375">
        <v>5</v>
      </c>
      <c r="AE120" s="392" t="str">
        <f ca="1">OFFSET(Initiatives!$D$1,H120-1,$BS$3)</f>
        <v>Enhance BI Platform</v>
      </c>
      <c r="AF120" s="375">
        <v>5</v>
      </c>
      <c r="AG120" s="392" t="e">
        <f ca="1">OFFSET(Initiatives!$D$1,I120-1,$BS$3)</f>
        <v>#REF!</v>
      </c>
      <c r="AH120" s="375"/>
      <c r="AI120" s="392" t="e">
        <f ca="1">OFFSET(Initiatives!$D$1,J120-1,$BS$3)</f>
        <v>#REF!</v>
      </c>
      <c r="AJ120" s="375"/>
      <c r="AK120" s="392" t="e">
        <f ca="1">OFFSET(Initiatives!$D$1,K120-1,$BS$3)</f>
        <v>#REF!</v>
      </c>
      <c r="AL120" s="375"/>
      <c r="AM120" s="392" t="e">
        <f ca="1">OFFSET(Initiatives!$D$1,L120-1,$BS$3)</f>
        <v>#REF!</v>
      </c>
      <c r="AN120" s="375"/>
      <c r="AO120" s="392" t="e">
        <f ca="1">OFFSET(Initiatives!$D$1,M120-1,$BS$3)</f>
        <v>#REF!</v>
      </c>
      <c r="AP120" s="375"/>
      <c r="AQ120" s="392" t="e">
        <f ca="1">OFFSET(Initiatives!$D$1,N120-1,$BS$3)</f>
        <v>#REF!</v>
      </c>
      <c r="AR120" s="375"/>
      <c r="AS120" s="392" t="e">
        <f ca="1">OFFSET(Initiatives!$D$1,O120-1,$BS$3)</f>
        <v>#VALUE!</v>
      </c>
      <c r="AT120" s="375"/>
      <c r="AU120" s="392" t="e">
        <f ca="1">OFFSET(Initiatives!$D$1,P120-1,$BS$3)</f>
        <v>#VALUE!</v>
      </c>
      <c r="AV120" s="375"/>
      <c r="AW120" s="392" t="e">
        <f ca="1">OFFSET(Initiatives!$D$1,Q120-1,$BS$3)</f>
        <v>#VALUE!</v>
      </c>
      <c r="AX120" s="375"/>
      <c r="AY120" s="392" t="e">
        <f ca="1">OFFSET(Initiatives!$D$1,R120-1,$BS$3)</f>
        <v>#VALUE!</v>
      </c>
      <c r="AZ120" s="375"/>
      <c r="BA120" s="392" t="e">
        <f ca="1">OFFSET(Initiatives!$D$1,S120-1,$BS$3)</f>
        <v>#VALUE!</v>
      </c>
      <c r="BB120" s="375"/>
      <c r="BC120" s="392" t="e">
        <f ca="1">OFFSET(Initiatives!$D$1,T120-1,$BS$3)</f>
        <v>#VALUE!</v>
      </c>
      <c r="BD120" s="375"/>
      <c r="BE120" s="392" t="e">
        <f ca="1">OFFSET(Initiatives!$D$1,U120-1,$BS$3)</f>
        <v>#VALUE!</v>
      </c>
      <c r="BF120" s="375"/>
      <c r="BG120" s="392" t="e">
        <f ca="1">OFFSET(Initiatives!$D$1,V120-1,$BS$3)</f>
        <v>#VALUE!</v>
      </c>
      <c r="BH120" s="375"/>
      <c r="BI120" s="392" t="e">
        <f ca="1">OFFSET(Initiatives!$D$1,W120-1,$BS$3)</f>
        <v>#VALUE!</v>
      </c>
      <c r="BJ120" s="375"/>
      <c r="BK120" s="392" t="e">
        <f ca="1">OFFSET(Initiatives!$D$1,X120-1,$BS$3)</f>
        <v>#VALUE!</v>
      </c>
      <c r="BL120" s="375"/>
      <c r="BN120" s="101">
        <f t="shared" si="2024"/>
        <v>20.0001</v>
      </c>
      <c r="BP120" s="231" t="str">
        <f t="shared" ca="1" si="2025"/>
        <v>Enhance BI Platform (38%); BI Applications (29%); Source System Inclusion / Integration (29%)</v>
      </c>
      <c r="BQ120" s="338">
        <v>0.01</v>
      </c>
      <c r="BR120" s="40">
        <f t="shared" ca="1" si="2026"/>
        <v>4</v>
      </c>
      <c r="BS120" s="274">
        <v>0.05</v>
      </c>
      <c r="BT120" s="40">
        <f t="shared" ca="1" si="2027"/>
        <v>3</v>
      </c>
      <c r="BU120" s="376">
        <v>7</v>
      </c>
      <c r="BV120" s="40">
        <f t="shared" ca="1" si="2028"/>
        <v>3</v>
      </c>
      <c r="BY120" s="377">
        <f ca="1">IF(ISERROR(OFFSET(Initiatives!$D$1,E120-1,$BY$3)),,OFFSET(Initiatives!$D$1,E120-1,$BY$3))</f>
        <v>0.45555555555555544</v>
      </c>
      <c r="BZ120" s="377">
        <f ca="1">IF(ISERROR(OFFSET(Initiatives!$D$1,F120-1,$BY$3)),,OFFSET(Initiatives!$D$1,F120-1,$BY$3))</f>
        <v>0.45454545454545436</v>
      </c>
      <c r="CA120" s="377">
        <f ca="1">IF(ISERROR(OFFSET(Initiatives!$D$1,G120-1,$BY$3)),,OFFSET(Initiatives!$D$1,G120-1,$BY$3))</f>
        <v>7.7000000000000179E-2</v>
      </c>
      <c r="CB120" s="377">
        <f ca="1">IF(ISERROR(OFFSET(Initiatives!$D$1,H120-1,$BY$3)),,OFFSET(Initiatives!$D$1,H120-1,$BY$3))</f>
        <v>0.6</v>
      </c>
      <c r="CC120" s="377">
        <f ca="1">IF(ISERROR(OFFSET(Initiatives!$D$1,I120-1,$BY$3)),,OFFSET(Initiatives!$D$1,I120-1,$BY$3))</f>
        <v>0</v>
      </c>
      <c r="CD120" s="377">
        <f ca="1">IF(ISERROR(OFFSET(Initiatives!$D$1,J120-1,$BY$3)),,OFFSET(Initiatives!$D$1,J120-1,$BY$3))</f>
        <v>0</v>
      </c>
      <c r="CE120" s="377">
        <f ca="1">IF(ISERROR(OFFSET(Initiatives!$D$1,K120-1,$BY$3)),,OFFSET(Initiatives!$D$1,K120-1,$BY$3))</f>
        <v>0</v>
      </c>
      <c r="CF120" s="377">
        <f ca="1">IF(ISERROR(OFFSET(Initiatives!$D$1,L120-1,$BY$3)),,OFFSET(Initiatives!$D$1,L120-1,$BY$3))</f>
        <v>0</v>
      </c>
      <c r="CG120" s="377">
        <f ca="1">IF(ISERROR(OFFSET(Initiatives!$D$1,M120-1,$BY$3)),,OFFSET(Initiatives!$D$1,M120-1,$BY$3))</f>
        <v>0</v>
      </c>
      <c r="CH120" s="377">
        <f ca="1">IF(ISERROR(OFFSET(Initiatives!$D$1,N120-1,$BY$3)),,OFFSET(Initiatives!$D$1,N120-1,$BY$3))</f>
        <v>0</v>
      </c>
      <c r="CI120" s="377">
        <f ca="1">IF(ISERROR(OFFSET(Initiatives!$D$1,O120-1,$BY$3)),,OFFSET(Initiatives!$D$1,O120-1,$BY$3))</f>
        <v>0</v>
      </c>
      <c r="CJ120" s="377">
        <f ca="1">IF(ISERROR(OFFSET(Initiatives!$D$1,P120-1,$BY$3)),,OFFSET(Initiatives!$D$1,P120-1,$BY$3))</f>
        <v>0</v>
      </c>
      <c r="CK120" s="377">
        <f ca="1">IF(ISERROR(OFFSET(Initiatives!$D$1,Q120-1,$BY$3)),,OFFSET(Initiatives!$D$1,Q120-1,$BY$3))</f>
        <v>0</v>
      </c>
      <c r="CL120" s="377">
        <f ca="1">IF(ISERROR(OFFSET(Initiatives!$D$1,R120-1,$BY$3)),,OFFSET(Initiatives!$D$1,R120-1,$BY$3))</f>
        <v>0</v>
      </c>
      <c r="CM120" s="377">
        <f ca="1">IF(ISERROR(OFFSET(Initiatives!$D$1,S120-1,$BY$3)),,OFFSET(Initiatives!$D$1,S120-1,$BY$3))</f>
        <v>0</v>
      </c>
      <c r="CN120" s="377">
        <f ca="1">IF(ISERROR(OFFSET(Initiatives!$D$1,T120-1,$BY$3)),,OFFSET(Initiatives!$D$1,T120-1,$BY$3))</f>
        <v>0</v>
      </c>
      <c r="CO120" s="377">
        <f ca="1">IF(ISERROR(OFFSET(Initiatives!$D$1,U120-1,$BY$3)),,OFFSET(Initiatives!$D$1,U120-1,$BY$3))</f>
        <v>0</v>
      </c>
      <c r="CP120" s="377">
        <f ca="1">IF(ISERROR(OFFSET(Initiatives!$D$1,V120-1,$BY$3)),,OFFSET(Initiatives!$D$1,V120-1,$BY$3))</f>
        <v>0</v>
      </c>
      <c r="CQ120" s="377">
        <f ca="1">IF(ISERROR(OFFSET(Initiatives!$D$1,W120-1,$BY$3)),,OFFSET(Initiatives!$D$1,W120-1,$BY$3))</f>
        <v>0</v>
      </c>
      <c r="CR120" s="377">
        <f ca="1">IF(ISERROR(OFFSET(Initiatives!$D$1,X120-1,$BY$3)),,OFFSET(Initiatives!$D$1,X120-1,$BY$3))</f>
        <v>0</v>
      </c>
      <c r="CT120" s="41">
        <f t="shared" ca="1" si="2029"/>
        <v>0.11388831944729162</v>
      </c>
      <c r="CU120" s="41">
        <f t="shared" ca="1" si="2030"/>
        <v>0.11363579545738629</v>
      </c>
      <c r="CV120" s="41">
        <f t="shared" ca="1" si="2031"/>
        <v>1.9249903750481294E-2</v>
      </c>
      <c r="CW120" s="41">
        <f t="shared" ca="1" si="2032"/>
        <v>0.14999925000374997</v>
      </c>
      <c r="CX120" s="41">
        <f t="shared" ca="1" si="2033"/>
        <v>0</v>
      </c>
      <c r="CY120" s="41">
        <f t="shared" ca="1" si="2034"/>
        <v>0</v>
      </c>
      <c r="CZ120" s="41">
        <f t="shared" ca="1" si="2035"/>
        <v>0</v>
      </c>
      <c r="DA120" s="41">
        <f t="shared" ca="1" si="2036"/>
        <v>0</v>
      </c>
      <c r="DB120" s="41">
        <f t="shared" ca="1" si="2037"/>
        <v>0</v>
      </c>
      <c r="DC120" s="41">
        <f t="shared" ca="1" si="2038"/>
        <v>0</v>
      </c>
      <c r="DD120" s="41">
        <f t="shared" ca="1" si="2039"/>
        <v>0</v>
      </c>
      <c r="DE120" s="41">
        <f t="shared" ca="1" si="2040"/>
        <v>0</v>
      </c>
      <c r="DF120" s="41">
        <f t="shared" ca="1" si="2041"/>
        <v>0</v>
      </c>
      <c r="DG120" s="41">
        <f t="shared" ca="1" si="2042"/>
        <v>0</v>
      </c>
      <c r="DH120" s="41">
        <f t="shared" ca="1" si="2043"/>
        <v>0</v>
      </c>
      <c r="DI120" s="41">
        <f t="shared" ca="1" si="2044"/>
        <v>0</v>
      </c>
      <c r="DJ120" s="41">
        <f t="shared" ca="1" si="2045"/>
        <v>0</v>
      </c>
      <c r="DK120" s="41">
        <f t="shared" ca="1" si="2046"/>
        <v>0</v>
      </c>
      <c r="DL120" s="41">
        <f t="shared" ca="1" si="2047"/>
        <v>0</v>
      </c>
      <c r="DM120" s="41">
        <f t="shared" ca="1" si="2048"/>
        <v>0</v>
      </c>
      <c r="DN120" s="41">
        <f t="shared" ca="1" si="2049"/>
        <v>0.39677326865890916</v>
      </c>
      <c r="DP120" s="41">
        <f t="shared" ca="1" si="2050"/>
        <v>0.28702627094696509</v>
      </c>
      <c r="DQ120" s="41">
        <f t="shared" ca="1" si="2051"/>
        <v>0.28637982688721564</v>
      </c>
      <c r="DR120" s="41">
        <f t="shared" ca="1" si="2052"/>
        <v>4.8486130674694469E-2</v>
      </c>
      <c r="DS120" s="41">
        <f t="shared" ca="1" si="2053"/>
        <v>0.37800777149112486</v>
      </c>
      <c r="DT120" s="41">
        <f t="shared" ca="1" si="2054"/>
        <v>-5.0000000000000002E-5</v>
      </c>
      <c r="DU120" s="41">
        <f t="shared" ca="1" si="2055"/>
        <v>-6.0000000000000002E-5</v>
      </c>
      <c r="DV120" s="41">
        <f t="shared" ca="1" si="2056"/>
        <v>-6.9999999999999994E-5</v>
      </c>
      <c r="DW120" s="41">
        <f t="shared" ca="1" si="2057"/>
        <v>-8.0000000000000007E-5</v>
      </c>
      <c r="DX120" s="41">
        <f t="shared" ca="1" si="2058"/>
        <v>-9.0000000000000006E-5</v>
      </c>
      <c r="DY120" s="41">
        <f t="shared" ca="1" si="2059"/>
        <v>-1E-4</v>
      </c>
      <c r="DZ120" s="41">
        <f t="shared" ca="1" si="2060"/>
        <v>-1.1E-4</v>
      </c>
      <c r="EA120" s="41">
        <f t="shared" ca="1" si="2061"/>
        <v>-1.2E-4</v>
      </c>
      <c r="EB120" s="41">
        <f t="shared" ca="1" si="2062"/>
        <v>-1.2999999999999999E-4</v>
      </c>
      <c r="EC120" s="41">
        <f t="shared" ca="1" si="2063"/>
        <v>-1.3999999999999999E-4</v>
      </c>
      <c r="ED120" s="41">
        <f t="shared" ca="1" si="2064"/>
        <v>-1.4999999999999999E-4</v>
      </c>
      <c r="EE120" s="41">
        <f t="shared" ca="1" si="2065"/>
        <v>-1.6000000000000001E-4</v>
      </c>
      <c r="EF120" s="41">
        <f t="shared" ca="1" si="2066"/>
        <v>-1.7000000000000001E-4</v>
      </c>
      <c r="EG120" s="41">
        <f t="shared" ca="1" si="2067"/>
        <v>-1.8000000000000001E-4</v>
      </c>
      <c r="EH120" s="41">
        <f t="shared" ca="1" si="2068"/>
        <v>-1.9000000000000001E-4</v>
      </c>
      <c r="EI120" s="41">
        <f t="shared" ca="1" si="2069"/>
        <v>-2.0000000000000001E-4</v>
      </c>
      <c r="EJ120" s="41">
        <f t="shared" ca="1" si="2070"/>
        <v>0.99790000000000001</v>
      </c>
      <c r="EL120" s="378">
        <f t="shared" ca="1" si="2071"/>
        <v>2</v>
      </c>
      <c r="EM120" s="378">
        <f t="shared" ca="1" si="2072"/>
        <v>3</v>
      </c>
      <c r="EN120" s="378">
        <f t="shared" ca="1" si="2073"/>
        <v>4</v>
      </c>
      <c r="EO120" s="378">
        <f t="shared" ca="1" si="2074"/>
        <v>1</v>
      </c>
      <c r="EP120" s="378">
        <f t="shared" ca="1" si="2075"/>
        <v>5</v>
      </c>
      <c r="EQ120" s="378">
        <f t="shared" ca="1" si="2076"/>
        <v>6</v>
      </c>
      <c r="ER120" s="378">
        <f t="shared" ca="1" si="2077"/>
        <v>7</v>
      </c>
      <c r="ES120" s="378">
        <f t="shared" ca="1" si="2078"/>
        <v>8</v>
      </c>
      <c r="ET120" s="378">
        <f t="shared" ca="1" si="2079"/>
        <v>9</v>
      </c>
      <c r="EU120" s="378">
        <f t="shared" ca="1" si="2080"/>
        <v>10</v>
      </c>
      <c r="EV120" s="378">
        <f t="shared" ca="1" si="2081"/>
        <v>11</v>
      </c>
      <c r="EW120" s="378">
        <f t="shared" ca="1" si="2082"/>
        <v>12</v>
      </c>
      <c r="EX120" s="378">
        <f t="shared" ca="1" si="2083"/>
        <v>13</v>
      </c>
      <c r="EY120" s="378">
        <f t="shared" ca="1" si="2084"/>
        <v>14</v>
      </c>
      <c r="EZ120" s="378">
        <f t="shared" ca="1" si="2085"/>
        <v>15</v>
      </c>
      <c r="FA120" s="378">
        <f t="shared" ca="1" si="2086"/>
        <v>16</v>
      </c>
      <c r="FB120" s="378">
        <f t="shared" ca="1" si="2087"/>
        <v>17</v>
      </c>
      <c r="FC120" s="378">
        <f t="shared" ca="1" si="2088"/>
        <v>18</v>
      </c>
      <c r="FD120" s="378">
        <f t="shared" ca="1" si="2089"/>
        <v>19</v>
      </c>
      <c r="FE120" s="378">
        <f t="shared" ca="1" si="2090"/>
        <v>20</v>
      </c>
      <c r="FG120" s="378">
        <f t="shared" ca="1" si="2091"/>
        <v>4</v>
      </c>
      <c r="FH120" s="378">
        <f t="shared" ca="1" si="2091"/>
        <v>1</v>
      </c>
      <c r="FI120" s="378">
        <f t="shared" ca="1" si="2091"/>
        <v>2</v>
      </c>
      <c r="FJ120" s="378">
        <f t="shared" ca="1" si="2091"/>
        <v>3</v>
      </c>
      <c r="FK120" s="378">
        <f t="shared" ca="1" si="2091"/>
        <v>5</v>
      </c>
      <c r="FL120" s="378">
        <f t="shared" ca="1" si="2091"/>
        <v>6</v>
      </c>
      <c r="FM120" s="378">
        <f t="shared" ca="1" si="2091"/>
        <v>7</v>
      </c>
      <c r="FN120" s="378">
        <f t="shared" ca="1" si="2091"/>
        <v>8</v>
      </c>
      <c r="FO120" s="378">
        <f t="shared" ca="1" si="2091"/>
        <v>9</v>
      </c>
      <c r="FP120" s="378">
        <f t="shared" ca="1" si="2091"/>
        <v>10</v>
      </c>
      <c r="FQ120" s="378">
        <f t="shared" ca="1" si="2091"/>
        <v>11</v>
      </c>
      <c r="FR120" s="378">
        <f t="shared" ca="1" si="2091"/>
        <v>12</v>
      </c>
      <c r="FS120" s="378">
        <f t="shared" ca="1" si="2091"/>
        <v>13</v>
      </c>
      <c r="FT120" s="378">
        <f t="shared" ca="1" si="2091"/>
        <v>14</v>
      </c>
      <c r="FU120" s="378">
        <f t="shared" ca="1" si="2091"/>
        <v>15</v>
      </c>
      <c r="FV120" s="378">
        <f t="shared" ca="1" si="2091"/>
        <v>16</v>
      </c>
      <c r="FW120" s="378">
        <f t="shared" ca="1" si="2092"/>
        <v>17</v>
      </c>
      <c r="FX120" s="378">
        <f t="shared" ca="1" si="2092"/>
        <v>18</v>
      </c>
      <c r="FY120" s="378">
        <f t="shared" ca="1" si="2092"/>
        <v>19</v>
      </c>
      <c r="FZ120" s="378">
        <f t="shared" ca="1" si="2092"/>
        <v>20</v>
      </c>
      <c r="GB120" s="275" t="str">
        <f t="shared" ca="1" si="2093"/>
        <v>Enhance BI Platform (38%)</v>
      </c>
      <c r="GC120" s="231" t="str">
        <f t="shared" ca="1" si="2094"/>
        <v>; BI Applications (29%)</v>
      </c>
      <c r="GD120" s="231" t="str">
        <f t="shared" ca="1" si="2095"/>
        <v>; Source System Inclusion / Integration (29%)</v>
      </c>
      <c r="GE120" s="231" t="str">
        <f t="shared" ca="1" si="2096"/>
        <v/>
      </c>
      <c r="GF120" s="231" t="str">
        <f t="shared" ca="1" si="2097"/>
        <v/>
      </c>
      <c r="GG120" s="231" t="str">
        <f t="shared" ca="1" si="2098"/>
        <v/>
      </c>
      <c r="GH120" s="231" t="str">
        <f t="shared" ca="1" si="2099"/>
        <v/>
      </c>
      <c r="GI120" s="231" t="str">
        <f t="shared" ca="1" si="2100"/>
        <v/>
      </c>
      <c r="GJ120" s="231" t="str">
        <f t="shared" ca="1" si="2101"/>
        <v/>
      </c>
      <c r="GK120" s="231" t="str">
        <f t="shared" ca="1" si="2102"/>
        <v/>
      </c>
      <c r="GL120" s="231" t="str">
        <f t="shared" ca="1" si="2103"/>
        <v/>
      </c>
      <c r="GM120" s="231" t="str">
        <f t="shared" ca="1" si="2104"/>
        <v/>
      </c>
      <c r="GN120" s="231" t="str">
        <f t="shared" ca="1" si="2105"/>
        <v/>
      </c>
      <c r="GO120" s="231" t="str">
        <f t="shared" ca="1" si="2106"/>
        <v/>
      </c>
      <c r="GP120" s="231" t="str">
        <f t="shared" ca="1" si="2107"/>
        <v/>
      </c>
      <c r="GQ120" s="231" t="str">
        <f t="shared" ca="1" si="2108"/>
        <v/>
      </c>
      <c r="GR120" s="231" t="str">
        <f t="shared" ca="1" si="2109"/>
        <v/>
      </c>
      <c r="GS120" s="231" t="str">
        <f t="shared" ca="1" si="2110"/>
        <v/>
      </c>
      <c r="GT120" s="231" t="str">
        <f t="shared" ca="1" si="2111"/>
        <v/>
      </c>
      <c r="GU120" s="231" t="str">
        <f t="shared" ca="1" si="2112"/>
        <v/>
      </c>
      <c r="GW120" s="377">
        <f ca="1">IF(ISERROR(OFFSET(Initiatives!$D$1,E120-1,$CB$3)),,OFFSET(Initiatives!$D$1,E120-1,$CB$3))</f>
        <v>0.34166666666666662</v>
      </c>
      <c r="GX120" s="377">
        <f ca="1">IF(ISERROR(OFFSET(Initiatives!$D$1,F120-1,$CB$3)),,OFFSET(Initiatives!$D$1,F120-1,$CB$3))</f>
        <v>0.43181818181818177</v>
      </c>
      <c r="GY120" s="377">
        <f ca="1">IF(ISERROR(OFFSET(Initiatives!$D$1,G120-1,$CB$3)),,OFFSET(Initiatives!$D$1,G120-1,$CB$3))</f>
        <v>0.77</v>
      </c>
      <c r="GZ120" s="377">
        <f ca="1">IF(ISERROR(OFFSET(Initiatives!$D$1,H120-1,$CB$3)),,OFFSET(Initiatives!$D$1,H120-1,$CB$3))</f>
        <v>0.25</v>
      </c>
      <c r="HA120" s="377">
        <f ca="1">IF(ISERROR(OFFSET(Initiatives!$D$1,I120-1,$CB$3)),,OFFSET(Initiatives!$D$1,I120-1,$CB$3))</f>
        <v>0</v>
      </c>
      <c r="HB120" s="377">
        <f ca="1">IF(ISERROR(OFFSET(Initiatives!$D$1,J120-1,$CB$3)),,OFFSET(Initiatives!$D$1,J120-1,$CB$3))</f>
        <v>0</v>
      </c>
      <c r="HC120" s="377">
        <f ca="1">IF(ISERROR(OFFSET(Initiatives!$D$1,K120-1,$CB$3)),,OFFSET(Initiatives!$D$1,K120-1,$CB$3))</f>
        <v>0</v>
      </c>
      <c r="HD120" s="377">
        <f ca="1">IF(ISERROR(OFFSET(Initiatives!$D$1,L120-1,$CB$3)),,OFFSET(Initiatives!$D$1,L120-1,$CB$3))</f>
        <v>0</v>
      </c>
      <c r="HE120" s="377">
        <f ca="1">IF(ISERROR(OFFSET(Initiatives!$D$1,M120-1,$CB$3)),,OFFSET(Initiatives!$D$1,M120-1,$CB$3))</f>
        <v>0</v>
      </c>
      <c r="HF120" s="377">
        <f ca="1">IF(ISERROR(OFFSET(Initiatives!$D$1,N120-1,$CB$3)),,OFFSET(Initiatives!$D$1,N120-1,$CB$3))</f>
        <v>0</v>
      </c>
      <c r="HG120" s="377">
        <f ca="1">IF(ISERROR(OFFSET(Initiatives!$D$1,O120-1,$CB$3)),,OFFSET(Initiatives!$D$1,O120-1,$CB$3))</f>
        <v>0</v>
      </c>
      <c r="HH120" s="377">
        <f ca="1">IF(ISERROR(OFFSET(Initiatives!$D$1,P120-1,$CB$3)),,OFFSET(Initiatives!$D$1,P120-1,$CB$3))</f>
        <v>0</v>
      </c>
      <c r="HI120" s="377">
        <f ca="1">IF(ISERROR(OFFSET(Initiatives!$D$1,Q120-1,$CB$3)),,OFFSET(Initiatives!$D$1,Q120-1,$CB$3))</f>
        <v>0</v>
      </c>
      <c r="HJ120" s="377">
        <f ca="1">IF(ISERROR(OFFSET(Initiatives!$D$1,R120-1,$CB$3)),,OFFSET(Initiatives!$D$1,R120-1,$CB$3))</f>
        <v>0</v>
      </c>
      <c r="HK120" s="377">
        <f ca="1">IF(ISERROR(OFFSET(Initiatives!$D$1,S120-1,$CB$3)),,OFFSET(Initiatives!$D$1,S120-1,$CB$3))</f>
        <v>0</v>
      </c>
      <c r="HL120" s="377">
        <f ca="1">IF(ISERROR(OFFSET(Initiatives!$D$1,T120-1,$CB$3)),,OFFSET(Initiatives!$D$1,T120-1,$CB$3))</f>
        <v>0</v>
      </c>
      <c r="HM120" s="377">
        <f ca="1">IF(ISERROR(OFFSET(Initiatives!$D$1,U120-1,$CB$3)),,OFFSET(Initiatives!$D$1,U120-1,$CB$3))</f>
        <v>0</v>
      </c>
      <c r="HN120" s="377">
        <f ca="1">IF(ISERROR(OFFSET(Initiatives!$D$1,V120-1,$CB$3)),,OFFSET(Initiatives!$D$1,V120-1,$CB$3))</f>
        <v>0</v>
      </c>
      <c r="HO120" s="377">
        <f ca="1">IF(ISERROR(OFFSET(Initiatives!$D$1,W120-1,$CB$3)),,OFFSET(Initiatives!$D$1,W120-1,$CB$3))</f>
        <v>0</v>
      </c>
      <c r="HP120" s="377">
        <f ca="1">IF(ISERROR(OFFSET(Initiatives!$D$1,X120-1,$CB$3)),,OFFSET(Initiatives!$D$1,X120-1,$CB$3))</f>
        <v>0</v>
      </c>
      <c r="HR120" s="41">
        <f t="shared" ref="HR120:HR123" ca="1" si="2113">GW120*Z120/$BN120</f>
        <v>8.541623958546872E-2</v>
      </c>
      <c r="HS120" s="41">
        <f t="shared" ref="HS120:HS123" ca="1" si="2114">GX120*AB120/$BN120</f>
        <v>0.10795400568451702</v>
      </c>
      <c r="HT120" s="41">
        <f t="shared" ref="HT120:HT123" ca="1" si="2115">GY120*AD120/$BN120</f>
        <v>0.19249903750481248</v>
      </c>
      <c r="HU120" s="41">
        <f t="shared" ref="HU120:HU123" ca="1" si="2116">GZ120*AF120/$BN120</f>
        <v>6.2499687501562491E-2</v>
      </c>
      <c r="HV120" s="41">
        <f t="shared" ref="HV120:HV123" ca="1" si="2117">HA120*AH120/$BN120</f>
        <v>0</v>
      </c>
      <c r="HW120" s="41">
        <f t="shared" ref="HW120:HW123" ca="1" si="2118">HB120*AJ120/$BN120</f>
        <v>0</v>
      </c>
      <c r="HX120" s="41">
        <f t="shared" ref="HX120:HX123" ca="1" si="2119">HC120*AL120/$BN120</f>
        <v>0</v>
      </c>
      <c r="HY120" s="41">
        <f t="shared" ref="HY120:HY123" ca="1" si="2120">HD120*AN120/$BN120</f>
        <v>0</v>
      </c>
      <c r="HZ120" s="41">
        <f t="shared" ref="HZ120:HZ123" ca="1" si="2121">HE120*AP120/$BN120</f>
        <v>0</v>
      </c>
      <c r="IA120" s="41">
        <f t="shared" ref="IA120:IA123" ca="1" si="2122">HF120*AR120/$BN120</f>
        <v>0</v>
      </c>
      <c r="IB120" s="41">
        <f t="shared" ref="IB120:IB123" ca="1" si="2123">HG120*AT120/$BN120</f>
        <v>0</v>
      </c>
      <c r="IC120" s="41">
        <f t="shared" ref="IC120:IC123" ca="1" si="2124">HH120*AV120/$BN120</f>
        <v>0</v>
      </c>
      <c r="ID120" s="41">
        <f t="shared" ref="ID120:ID123" ca="1" si="2125">HI120*AX120/$BN120</f>
        <v>0</v>
      </c>
      <c r="IE120" s="41">
        <f t="shared" ref="IE120:IE123" ca="1" si="2126">HJ120*BZ120/$BN120</f>
        <v>0</v>
      </c>
      <c r="IF120" s="41">
        <f t="shared" ref="IF120:IF123" ca="1" si="2127">HK120*BB120/$BN120</f>
        <v>0</v>
      </c>
      <c r="IG120" s="41">
        <f t="shared" ref="IG120:IG123" ca="1" si="2128">HL120*BD120/$BN120</f>
        <v>0</v>
      </c>
      <c r="IH120" s="41">
        <f t="shared" ref="IH120:IH123" ca="1" si="2129">HM120*BF120/$BN120</f>
        <v>0</v>
      </c>
      <c r="II120" s="41">
        <f t="shared" ref="II120:II123" ca="1" si="2130">HN120*BH120/$BN120</f>
        <v>0</v>
      </c>
      <c r="IJ120" s="41">
        <f t="shared" ref="IJ120:IJ123" ca="1" si="2131">HO120*BJ120/$BN120</f>
        <v>0</v>
      </c>
      <c r="IK120" s="41">
        <f t="shared" ref="IK120:IK123" ca="1" si="2132">HP120*BL120/$BN120</f>
        <v>0</v>
      </c>
      <c r="IL120" s="41">
        <f t="shared" ref="IL120:IL123" ca="1" si="2133">SUM(HR120:IK120)</f>
        <v>0.44836897027636075</v>
      </c>
    </row>
    <row r="121" spans="1:246" s="409" customFormat="1" ht="12" hidden="1" customHeight="1">
      <c r="B121" s="373"/>
      <c r="C121" s="443" t="str">
        <f>Maturity!B7</f>
        <v>What portion of your organization's DEPARTMENTS OR FUNCTIONAL AREAS is supported by a centralized BI/DW environment?</v>
      </c>
      <c r="D121" s="404">
        <f t="shared" ca="1" si="2023"/>
        <v>0.40259030883068381</v>
      </c>
      <c r="E121" s="374">
        <f>ROW(Initiatives!$A$170)</f>
        <v>170</v>
      </c>
      <c r="F121" s="374">
        <f>ROW(Initiatives!$A$176)</f>
        <v>176</v>
      </c>
      <c r="G121" s="374">
        <f>ROW(Initiatives!$A$183)</f>
        <v>183</v>
      </c>
      <c r="H121" s="374">
        <f>ROW(Initiatives!$A$189)</f>
        <v>189</v>
      </c>
      <c r="I121" s="374"/>
      <c r="J121" s="374"/>
      <c r="K121" s="374"/>
      <c r="L121" s="374"/>
      <c r="M121" s="374"/>
      <c r="N121" s="374"/>
      <c r="O121" s="374" t="s">
        <v>975</v>
      </c>
      <c r="P121" s="374" t="s">
        <v>975</v>
      </c>
      <c r="Q121" s="374" t="s">
        <v>975</v>
      </c>
      <c r="R121" s="374" t="s">
        <v>975</v>
      </c>
      <c r="S121" s="374" t="s">
        <v>975</v>
      </c>
      <c r="T121" s="374" t="s">
        <v>975</v>
      </c>
      <c r="U121" s="374" t="s">
        <v>975</v>
      </c>
      <c r="V121" s="374" t="s">
        <v>975</v>
      </c>
      <c r="W121" s="374" t="s">
        <v>975</v>
      </c>
      <c r="X121" s="374" t="s">
        <v>975</v>
      </c>
      <c r="Y121" s="392" t="str">
        <f ca="1">OFFSET(Initiatives!$D$1,E121-1,$BS$3)</f>
        <v>BI Applications</v>
      </c>
      <c r="Z121" s="375">
        <v>7</v>
      </c>
      <c r="AA121" s="392" t="str">
        <f ca="1">OFFSET(Initiatives!$D$1,F121-1,$BS$3)</f>
        <v>Source System Inclusion / Integration</v>
      </c>
      <c r="AB121" s="375">
        <v>9</v>
      </c>
      <c r="AC121" s="392" t="str">
        <f ca="1">OFFSET(Initiatives!$D$1,G121-1,$BS$3)</f>
        <v>Enhance DW Platform</v>
      </c>
      <c r="AD121" s="375">
        <v>5</v>
      </c>
      <c r="AE121" s="392" t="str">
        <f ca="1">OFFSET(Initiatives!$D$1,H121-1,$BS$3)</f>
        <v>Enhance BI Platform</v>
      </c>
      <c r="AF121" s="375">
        <v>4</v>
      </c>
      <c r="AG121" s="392" t="e">
        <f ca="1">OFFSET(Initiatives!$D$1,I121-1,$BS$3)</f>
        <v>#REF!</v>
      </c>
      <c r="AH121" s="375"/>
      <c r="AI121" s="392" t="e">
        <f ca="1">OFFSET(Initiatives!$D$1,J121-1,$BS$3)</f>
        <v>#REF!</v>
      </c>
      <c r="AJ121" s="375"/>
      <c r="AK121" s="392" t="e">
        <f ca="1">OFFSET(Initiatives!$D$1,K121-1,$BS$3)</f>
        <v>#REF!</v>
      </c>
      <c r="AL121" s="375"/>
      <c r="AM121" s="392" t="e">
        <f ca="1">OFFSET(Initiatives!$D$1,L121-1,$BS$3)</f>
        <v>#REF!</v>
      </c>
      <c r="AN121" s="375"/>
      <c r="AO121" s="392" t="e">
        <f ca="1">OFFSET(Initiatives!$D$1,M121-1,$BS$3)</f>
        <v>#REF!</v>
      </c>
      <c r="AP121" s="375"/>
      <c r="AQ121" s="392" t="e">
        <f ca="1">OFFSET(Initiatives!$D$1,N121-1,$BS$3)</f>
        <v>#REF!</v>
      </c>
      <c r="AR121" s="375"/>
      <c r="AS121" s="392" t="e">
        <f ca="1">OFFSET(Initiatives!$D$1,O121-1,$BS$3)</f>
        <v>#VALUE!</v>
      </c>
      <c r="AT121" s="375"/>
      <c r="AU121" s="392" t="e">
        <f ca="1">OFFSET(Initiatives!$D$1,P121-1,$BS$3)</f>
        <v>#VALUE!</v>
      </c>
      <c r="AV121" s="375"/>
      <c r="AW121" s="392" t="e">
        <f ca="1">OFFSET(Initiatives!$D$1,Q121-1,$BS$3)</f>
        <v>#VALUE!</v>
      </c>
      <c r="AX121" s="375"/>
      <c r="AY121" s="392" t="e">
        <f ca="1">OFFSET(Initiatives!$D$1,R121-1,$BS$3)</f>
        <v>#VALUE!</v>
      </c>
      <c r="AZ121" s="375"/>
      <c r="BA121" s="392" t="e">
        <f ca="1">OFFSET(Initiatives!$D$1,S121-1,$BS$3)</f>
        <v>#VALUE!</v>
      </c>
      <c r="BB121" s="375"/>
      <c r="BC121" s="392" t="e">
        <f ca="1">OFFSET(Initiatives!$D$1,T121-1,$BS$3)</f>
        <v>#VALUE!</v>
      </c>
      <c r="BD121" s="375"/>
      <c r="BE121" s="392" t="e">
        <f ca="1">OFFSET(Initiatives!$D$1,U121-1,$BS$3)</f>
        <v>#VALUE!</v>
      </c>
      <c r="BF121" s="375"/>
      <c r="BG121" s="392" t="e">
        <f ca="1">OFFSET(Initiatives!$D$1,V121-1,$BS$3)</f>
        <v>#VALUE!</v>
      </c>
      <c r="BH121" s="375"/>
      <c r="BI121" s="392" t="e">
        <f ca="1">OFFSET(Initiatives!$D$1,W121-1,$BS$3)</f>
        <v>#VALUE!</v>
      </c>
      <c r="BJ121" s="375"/>
      <c r="BK121" s="392" t="e">
        <f ca="1">OFFSET(Initiatives!$D$1,X121-1,$BS$3)</f>
        <v>#VALUE!</v>
      </c>
      <c r="BL121" s="375"/>
      <c r="BN121" s="101">
        <f t="shared" si="2024"/>
        <v>25.0001</v>
      </c>
      <c r="BP121" s="231" t="str">
        <f t="shared" ca="1" si="2025"/>
        <v>Source System Inclusion / Integration (41%); BI Applications (32%); Enhance BI Platform (24%)</v>
      </c>
      <c r="BQ121" s="338">
        <v>0.01</v>
      </c>
      <c r="BR121" s="40">
        <f t="shared" ca="1" si="2026"/>
        <v>4</v>
      </c>
      <c r="BS121" s="274">
        <v>0.05</v>
      </c>
      <c r="BT121" s="40">
        <f t="shared" ca="1" si="2027"/>
        <v>3</v>
      </c>
      <c r="BU121" s="376">
        <v>7</v>
      </c>
      <c r="BV121" s="40">
        <f t="shared" ca="1" si="2028"/>
        <v>3</v>
      </c>
      <c r="BY121" s="377">
        <f ca="1">IF(ISERROR(OFFSET(Initiatives!$D$1,E121-1,$BY$3)),,OFFSET(Initiatives!$D$1,E121-1,$BY$3))</f>
        <v>0.45555555555555544</v>
      </c>
      <c r="BZ121" s="377">
        <f ca="1">IF(ISERROR(OFFSET(Initiatives!$D$1,F121-1,$BY$3)),,OFFSET(Initiatives!$D$1,F121-1,$BY$3))</f>
        <v>0.45454545454545436</v>
      </c>
      <c r="CA121" s="377">
        <f ca="1">IF(ISERROR(OFFSET(Initiatives!$D$1,G121-1,$BY$3)),,OFFSET(Initiatives!$D$1,G121-1,$BY$3))</f>
        <v>7.7000000000000179E-2</v>
      </c>
      <c r="CB121" s="377">
        <f ca="1">IF(ISERROR(OFFSET(Initiatives!$D$1,H121-1,$BY$3)),,OFFSET(Initiatives!$D$1,H121-1,$BY$3))</f>
        <v>0.6</v>
      </c>
      <c r="CC121" s="377">
        <f ca="1">IF(ISERROR(OFFSET(Initiatives!$D$1,I121-1,$BY$3)),,OFFSET(Initiatives!$D$1,I121-1,$BY$3))</f>
        <v>0</v>
      </c>
      <c r="CD121" s="377">
        <f ca="1">IF(ISERROR(OFFSET(Initiatives!$D$1,J121-1,$BY$3)),,OFFSET(Initiatives!$D$1,J121-1,$BY$3))</f>
        <v>0</v>
      </c>
      <c r="CE121" s="377">
        <f ca="1">IF(ISERROR(OFFSET(Initiatives!$D$1,K121-1,$BY$3)),,OFFSET(Initiatives!$D$1,K121-1,$BY$3))</f>
        <v>0</v>
      </c>
      <c r="CF121" s="377">
        <f ca="1">IF(ISERROR(OFFSET(Initiatives!$D$1,L121-1,$BY$3)),,OFFSET(Initiatives!$D$1,L121-1,$BY$3))</f>
        <v>0</v>
      </c>
      <c r="CG121" s="377">
        <f ca="1">IF(ISERROR(OFFSET(Initiatives!$D$1,M121-1,$BY$3)),,OFFSET(Initiatives!$D$1,M121-1,$BY$3))</f>
        <v>0</v>
      </c>
      <c r="CH121" s="377">
        <f ca="1">IF(ISERROR(OFFSET(Initiatives!$D$1,N121-1,$BY$3)),,OFFSET(Initiatives!$D$1,N121-1,$BY$3))</f>
        <v>0</v>
      </c>
      <c r="CI121" s="377">
        <f ca="1">IF(ISERROR(OFFSET(Initiatives!$D$1,O121-1,$BY$3)),,OFFSET(Initiatives!$D$1,O121-1,$BY$3))</f>
        <v>0</v>
      </c>
      <c r="CJ121" s="377">
        <f ca="1">IF(ISERROR(OFFSET(Initiatives!$D$1,P121-1,$BY$3)),,OFFSET(Initiatives!$D$1,P121-1,$BY$3))</f>
        <v>0</v>
      </c>
      <c r="CK121" s="377">
        <f ca="1">IF(ISERROR(OFFSET(Initiatives!$D$1,Q121-1,$BY$3)),,OFFSET(Initiatives!$D$1,Q121-1,$BY$3))</f>
        <v>0</v>
      </c>
      <c r="CL121" s="377">
        <f ca="1">IF(ISERROR(OFFSET(Initiatives!$D$1,R121-1,$BY$3)),,OFFSET(Initiatives!$D$1,R121-1,$BY$3))</f>
        <v>0</v>
      </c>
      <c r="CM121" s="377">
        <f ca="1">IF(ISERROR(OFFSET(Initiatives!$D$1,S121-1,$BY$3)),,OFFSET(Initiatives!$D$1,S121-1,$BY$3))</f>
        <v>0</v>
      </c>
      <c r="CN121" s="377">
        <f ca="1">IF(ISERROR(OFFSET(Initiatives!$D$1,T121-1,$BY$3)),,OFFSET(Initiatives!$D$1,T121-1,$BY$3))</f>
        <v>0</v>
      </c>
      <c r="CO121" s="377">
        <f ca="1">IF(ISERROR(OFFSET(Initiatives!$D$1,U121-1,$BY$3)),,OFFSET(Initiatives!$D$1,U121-1,$BY$3))</f>
        <v>0</v>
      </c>
      <c r="CP121" s="377">
        <f ca="1">IF(ISERROR(OFFSET(Initiatives!$D$1,V121-1,$BY$3)),,OFFSET(Initiatives!$D$1,V121-1,$BY$3))</f>
        <v>0</v>
      </c>
      <c r="CQ121" s="377">
        <f ca="1">IF(ISERROR(OFFSET(Initiatives!$D$1,W121-1,$BY$3)),,OFFSET(Initiatives!$D$1,W121-1,$BY$3))</f>
        <v>0</v>
      </c>
      <c r="CR121" s="377">
        <f ca="1">IF(ISERROR(OFFSET(Initiatives!$D$1,X121-1,$BY$3)),,OFFSET(Initiatives!$D$1,X121-1,$BY$3))</f>
        <v>0</v>
      </c>
      <c r="CT121" s="41">
        <f t="shared" ca="1" si="2029"/>
        <v>0.12755504533537418</v>
      </c>
      <c r="CU121" s="41">
        <f t="shared" ca="1" si="2030"/>
        <v>0.16363570909352718</v>
      </c>
      <c r="CV121" s="41">
        <f t="shared" ca="1" si="2031"/>
        <v>1.5399938400246435E-2</v>
      </c>
      <c r="CW121" s="41">
        <f t="shared" ca="1" si="2032"/>
        <v>9.599961600153599E-2</v>
      </c>
      <c r="CX121" s="41">
        <f t="shared" ca="1" si="2033"/>
        <v>0</v>
      </c>
      <c r="CY121" s="41">
        <f t="shared" ca="1" si="2034"/>
        <v>0</v>
      </c>
      <c r="CZ121" s="41">
        <f t="shared" ca="1" si="2035"/>
        <v>0</v>
      </c>
      <c r="DA121" s="41">
        <f t="shared" ca="1" si="2036"/>
        <v>0</v>
      </c>
      <c r="DB121" s="41">
        <f t="shared" ca="1" si="2037"/>
        <v>0</v>
      </c>
      <c r="DC121" s="41">
        <f t="shared" ca="1" si="2038"/>
        <v>0</v>
      </c>
      <c r="DD121" s="41">
        <f t="shared" ca="1" si="2039"/>
        <v>0</v>
      </c>
      <c r="DE121" s="41">
        <f t="shared" ca="1" si="2040"/>
        <v>0</v>
      </c>
      <c r="DF121" s="41">
        <f t="shared" ca="1" si="2041"/>
        <v>0</v>
      </c>
      <c r="DG121" s="41">
        <f t="shared" ca="1" si="2042"/>
        <v>0</v>
      </c>
      <c r="DH121" s="41">
        <f t="shared" ca="1" si="2043"/>
        <v>0</v>
      </c>
      <c r="DI121" s="41">
        <f t="shared" ca="1" si="2044"/>
        <v>0</v>
      </c>
      <c r="DJ121" s="41">
        <f t="shared" ca="1" si="2045"/>
        <v>0</v>
      </c>
      <c r="DK121" s="41">
        <f t="shared" ca="1" si="2046"/>
        <v>0</v>
      </c>
      <c r="DL121" s="41">
        <f t="shared" ca="1" si="2047"/>
        <v>0</v>
      </c>
      <c r="DM121" s="41">
        <f t="shared" ca="1" si="2048"/>
        <v>0</v>
      </c>
      <c r="DN121" s="41">
        <f t="shared" ca="1" si="2049"/>
        <v>0.40259030883068381</v>
      </c>
      <c r="DP121" s="41">
        <f t="shared" ca="1" si="2050"/>
        <v>0.31682585654571632</v>
      </c>
      <c r="DQ121" s="41">
        <f t="shared" ca="1" si="2051"/>
        <v>0.40643714887873006</v>
      </c>
      <c r="DR121" s="41">
        <f t="shared" ca="1" si="2052"/>
        <v>3.8222133900031707E-2</v>
      </c>
      <c r="DS121" s="41">
        <f t="shared" ca="1" si="2053"/>
        <v>0.23841486067552176</v>
      </c>
      <c r="DT121" s="41">
        <f t="shared" ca="1" si="2054"/>
        <v>-5.0000000000000002E-5</v>
      </c>
      <c r="DU121" s="41">
        <f t="shared" ca="1" si="2055"/>
        <v>-6.0000000000000002E-5</v>
      </c>
      <c r="DV121" s="41">
        <f t="shared" ca="1" si="2056"/>
        <v>-6.9999999999999994E-5</v>
      </c>
      <c r="DW121" s="41">
        <f t="shared" ca="1" si="2057"/>
        <v>-8.0000000000000007E-5</v>
      </c>
      <c r="DX121" s="41">
        <f t="shared" ca="1" si="2058"/>
        <v>-9.0000000000000006E-5</v>
      </c>
      <c r="DY121" s="41">
        <f t="shared" ca="1" si="2059"/>
        <v>-1E-4</v>
      </c>
      <c r="DZ121" s="41">
        <f t="shared" ca="1" si="2060"/>
        <v>-1.1E-4</v>
      </c>
      <c r="EA121" s="41">
        <f t="shared" ca="1" si="2061"/>
        <v>-1.2E-4</v>
      </c>
      <c r="EB121" s="41">
        <f t="shared" ca="1" si="2062"/>
        <v>-1.2999999999999999E-4</v>
      </c>
      <c r="EC121" s="41">
        <f t="shared" ca="1" si="2063"/>
        <v>-1.3999999999999999E-4</v>
      </c>
      <c r="ED121" s="41">
        <f t="shared" ca="1" si="2064"/>
        <v>-1.4999999999999999E-4</v>
      </c>
      <c r="EE121" s="41">
        <f t="shared" ca="1" si="2065"/>
        <v>-1.6000000000000001E-4</v>
      </c>
      <c r="EF121" s="41">
        <f t="shared" ca="1" si="2066"/>
        <v>-1.7000000000000001E-4</v>
      </c>
      <c r="EG121" s="41">
        <f t="shared" ca="1" si="2067"/>
        <v>-1.8000000000000001E-4</v>
      </c>
      <c r="EH121" s="41">
        <f t="shared" ca="1" si="2068"/>
        <v>-1.9000000000000001E-4</v>
      </c>
      <c r="EI121" s="41">
        <f t="shared" ca="1" si="2069"/>
        <v>-2.0000000000000001E-4</v>
      </c>
      <c r="EJ121" s="41">
        <f t="shared" ca="1" si="2070"/>
        <v>0.9978999999999999</v>
      </c>
      <c r="EL121" s="378">
        <f t="shared" ca="1" si="2071"/>
        <v>2</v>
      </c>
      <c r="EM121" s="378">
        <f t="shared" ca="1" si="2072"/>
        <v>1</v>
      </c>
      <c r="EN121" s="378">
        <f t="shared" ca="1" si="2073"/>
        <v>4</v>
      </c>
      <c r="EO121" s="378">
        <f t="shared" ca="1" si="2074"/>
        <v>3</v>
      </c>
      <c r="EP121" s="378">
        <f t="shared" ca="1" si="2075"/>
        <v>5</v>
      </c>
      <c r="EQ121" s="378">
        <f t="shared" ca="1" si="2076"/>
        <v>6</v>
      </c>
      <c r="ER121" s="378">
        <f t="shared" ca="1" si="2077"/>
        <v>7</v>
      </c>
      <c r="ES121" s="378">
        <f t="shared" ca="1" si="2078"/>
        <v>8</v>
      </c>
      <c r="ET121" s="378">
        <f t="shared" ca="1" si="2079"/>
        <v>9</v>
      </c>
      <c r="EU121" s="378">
        <f t="shared" ca="1" si="2080"/>
        <v>10</v>
      </c>
      <c r="EV121" s="378">
        <f t="shared" ca="1" si="2081"/>
        <v>11</v>
      </c>
      <c r="EW121" s="378">
        <f t="shared" ca="1" si="2082"/>
        <v>12</v>
      </c>
      <c r="EX121" s="378">
        <f t="shared" ca="1" si="2083"/>
        <v>13</v>
      </c>
      <c r="EY121" s="378">
        <f t="shared" ca="1" si="2084"/>
        <v>14</v>
      </c>
      <c r="EZ121" s="378">
        <f t="shared" ca="1" si="2085"/>
        <v>15</v>
      </c>
      <c r="FA121" s="378">
        <f t="shared" ca="1" si="2086"/>
        <v>16</v>
      </c>
      <c r="FB121" s="378">
        <f t="shared" ca="1" si="2087"/>
        <v>17</v>
      </c>
      <c r="FC121" s="378">
        <f t="shared" ca="1" si="2088"/>
        <v>18</v>
      </c>
      <c r="FD121" s="378">
        <f t="shared" ca="1" si="2089"/>
        <v>19</v>
      </c>
      <c r="FE121" s="378">
        <f t="shared" ca="1" si="2090"/>
        <v>20</v>
      </c>
      <c r="FG121" s="378">
        <f t="shared" ca="1" si="2091"/>
        <v>2</v>
      </c>
      <c r="FH121" s="378">
        <f t="shared" ca="1" si="2091"/>
        <v>1</v>
      </c>
      <c r="FI121" s="378">
        <f t="shared" ca="1" si="2091"/>
        <v>4</v>
      </c>
      <c r="FJ121" s="378">
        <f t="shared" ca="1" si="2091"/>
        <v>3</v>
      </c>
      <c r="FK121" s="378">
        <f t="shared" ca="1" si="2091"/>
        <v>5</v>
      </c>
      <c r="FL121" s="378">
        <f t="shared" ca="1" si="2091"/>
        <v>6</v>
      </c>
      <c r="FM121" s="378">
        <f t="shared" ca="1" si="2091"/>
        <v>7</v>
      </c>
      <c r="FN121" s="378">
        <f t="shared" ca="1" si="2091"/>
        <v>8</v>
      </c>
      <c r="FO121" s="378">
        <f t="shared" ca="1" si="2091"/>
        <v>9</v>
      </c>
      <c r="FP121" s="378">
        <f t="shared" ca="1" si="2091"/>
        <v>10</v>
      </c>
      <c r="FQ121" s="378">
        <f t="shared" ca="1" si="2091"/>
        <v>11</v>
      </c>
      <c r="FR121" s="378">
        <f t="shared" ca="1" si="2091"/>
        <v>12</v>
      </c>
      <c r="FS121" s="378">
        <f t="shared" ca="1" si="2091"/>
        <v>13</v>
      </c>
      <c r="FT121" s="378">
        <f t="shared" ca="1" si="2091"/>
        <v>14</v>
      </c>
      <c r="FU121" s="378">
        <f t="shared" ca="1" si="2091"/>
        <v>15</v>
      </c>
      <c r="FV121" s="378">
        <f t="shared" ca="1" si="2091"/>
        <v>16</v>
      </c>
      <c r="FW121" s="378">
        <f t="shared" ca="1" si="2092"/>
        <v>17</v>
      </c>
      <c r="FX121" s="378">
        <f t="shared" ca="1" si="2092"/>
        <v>18</v>
      </c>
      <c r="FY121" s="378">
        <f t="shared" ca="1" si="2092"/>
        <v>19</v>
      </c>
      <c r="FZ121" s="378">
        <f t="shared" ca="1" si="2092"/>
        <v>20</v>
      </c>
      <c r="GB121" s="275" t="str">
        <f t="shared" ca="1" si="2093"/>
        <v>Source System Inclusion / Integration (41%)</v>
      </c>
      <c r="GC121" s="231" t="str">
        <f t="shared" ca="1" si="2094"/>
        <v>; BI Applications (32%)</v>
      </c>
      <c r="GD121" s="231" t="str">
        <f t="shared" ca="1" si="2095"/>
        <v>; Enhance BI Platform (24%)</v>
      </c>
      <c r="GE121" s="231" t="str">
        <f t="shared" ca="1" si="2096"/>
        <v/>
      </c>
      <c r="GF121" s="231" t="str">
        <f t="shared" ca="1" si="2097"/>
        <v/>
      </c>
      <c r="GG121" s="231" t="str">
        <f t="shared" ca="1" si="2098"/>
        <v/>
      </c>
      <c r="GH121" s="231" t="str">
        <f t="shared" ca="1" si="2099"/>
        <v/>
      </c>
      <c r="GI121" s="231" t="str">
        <f t="shared" ca="1" si="2100"/>
        <v/>
      </c>
      <c r="GJ121" s="231" t="str">
        <f t="shared" ca="1" si="2101"/>
        <v/>
      </c>
      <c r="GK121" s="231" t="str">
        <f t="shared" ca="1" si="2102"/>
        <v/>
      </c>
      <c r="GL121" s="231" t="str">
        <f t="shared" ca="1" si="2103"/>
        <v/>
      </c>
      <c r="GM121" s="231" t="str">
        <f t="shared" ca="1" si="2104"/>
        <v/>
      </c>
      <c r="GN121" s="231" t="str">
        <f t="shared" ca="1" si="2105"/>
        <v/>
      </c>
      <c r="GO121" s="231" t="str">
        <f t="shared" ca="1" si="2106"/>
        <v/>
      </c>
      <c r="GP121" s="231" t="str">
        <f t="shared" ca="1" si="2107"/>
        <v/>
      </c>
      <c r="GQ121" s="231" t="str">
        <f t="shared" ca="1" si="2108"/>
        <v/>
      </c>
      <c r="GR121" s="231" t="str">
        <f t="shared" ca="1" si="2109"/>
        <v/>
      </c>
      <c r="GS121" s="231" t="str">
        <f t="shared" ca="1" si="2110"/>
        <v/>
      </c>
      <c r="GT121" s="231" t="str">
        <f t="shared" ca="1" si="2111"/>
        <v/>
      </c>
      <c r="GU121" s="231" t="str">
        <f t="shared" ca="1" si="2112"/>
        <v/>
      </c>
      <c r="GW121" s="377">
        <f ca="1">IF(ISERROR(OFFSET(Initiatives!$D$1,E121-1,$CB$3)),,OFFSET(Initiatives!$D$1,E121-1,$CB$3))</f>
        <v>0.34166666666666662</v>
      </c>
      <c r="GX121" s="377">
        <f ca="1">IF(ISERROR(OFFSET(Initiatives!$D$1,F121-1,$CB$3)),,OFFSET(Initiatives!$D$1,F121-1,$CB$3))</f>
        <v>0.43181818181818177</v>
      </c>
      <c r="GY121" s="377">
        <f ca="1">IF(ISERROR(OFFSET(Initiatives!$D$1,G121-1,$CB$3)),,OFFSET(Initiatives!$D$1,G121-1,$CB$3))</f>
        <v>0.77</v>
      </c>
      <c r="GZ121" s="377">
        <f ca="1">IF(ISERROR(OFFSET(Initiatives!$D$1,H121-1,$CB$3)),,OFFSET(Initiatives!$D$1,H121-1,$CB$3))</f>
        <v>0.25</v>
      </c>
      <c r="HA121" s="377">
        <f ca="1">IF(ISERROR(OFFSET(Initiatives!$D$1,I121-1,$CB$3)),,OFFSET(Initiatives!$D$1,I121-1,$CB$3))</f>
        <v>0</v>
      </c>
      <c r="HB121" s="377">
        <f ca="1">IF(ISERROR(OFFSET(Initiatives!$D$1,J121-1,$CB$3)),,OFFSET(Initiatives!$D$1,J121-1,$CB$3))</f>
        <v>0</v>
      </c>
      <c r="HC121" s="377">
        <f ca="1">IF(ISERROR(OFFSET(Initiatives!$D$1,K121-1,$CB$3)),,OFFSET(Initiatives!$D$1,K121-1,$CB$3))</f>
        <v>0</v>
      </c>
      <c r="HD121" s="377">
        <f ca="1">IF(ISERROR(OFFSET(Initiatives!$D$1,L121-1,$CB$3)),,OFFSET(Initiatives!$D$1,L121-1,$CB$3))</f>
        <v>0</v>
      </c>
      <c r="HE121" s="377">
        <f ca="1">IF(ISERROR(OFFSET(Initiatives!$D$1,M121-1,$CB$3)),,OFFSET(Initiatives!$D$1,M121-1,$CB$3))</f>
        <v>0</v>
      </c>
      <c r="HF121" s="377">
        <f ca="1">IF(ISERROR(OFFSET(Initiatives!$D$1,N121-1,$CB$3)),,OFFSET(Initiatives!$D$1,N121-1,$CB$3))</f>
        <v>0</v>
      </c>
      <c r="HG121" s="377">
        <f ca="1">IF(ISERROR(OFFSET(Initiatives!$D$1,O121-1,$CB$3)),,OFFSET(Initiatives!$D$1,O121-1,$CB$3))</f>
        <v>0</v>
      </c>
      <c r="HH121" s="377">
        <f ca="1">IF(ISERROR(OFFSET(Initiatives!$D$1,P121-1,$CB$3)),,OFFSET(Initiatives!$D$1,P121-1,$CB$3))</f>
        <v>0</v>
      </c>
      <c r="HI121" s="377">
        <f ca="1">IF(ISERROR(OFFSET(Initiatives!$D$1,Q121-1,$CB$3)),,OFFSET(Initiatives!$D$1,Q121-1,$CB$3))</f>
        <v>0</v>
      </c>
      <c r="HJ121" s="377">
        <f ca="1">IF(ISERROR(OFFSET(Initiatives!$D$1,R121-1,$CB$3)),,OFFSET(Initiatives!$D$1,R121-1,$CB$3))</f>
        <v>0</v>
      </c>
      <c r="HK121" s="377">
        <f ca="1">IF(ISERROR(OFFSET(Initiatives!$D$1,S121-1,$CB$3)),,OFFSET(Initiatives!$D$1,S121-1,$CB$3))</f>
        <v>0</v>
      </c>
      <c r="HL121" s="377">
        <f ca="1">IF(ISERROR(OFFSET(Initiatives!$D$1,T121-1,$CB$3)),,OFFSET(Initiatives!$D$1,T121-1,$CB$3))</f>
        <v>0</v>
      </c>
      <c r="HM121" s="377">
        <f ca="1">IF(ISERROR(OFFSET(Initiatives!$D$1,U121-1,$CB$3)),,OFFSET(Initiatives!$D$1,U121-1,$CB$3))</f>
        <v>0</v>
      </c>
      <c r="HN121" s="377">
        <f ca="1">IF(ISERROR(OFFSET(Initiatives!$D$1,V121-1,$CB$3)),,OFFSET(Initiatives!$D$1,V121-1,$CB$3))</f>
        <v>0</v>
      </c>
      <c r="HO121" s="377">
        <f ca="1">IF(ISERROR(OFFSET(Initiatives!$D$1,W121-1,$CB$3)),,OFFSET(Initiatives!$D$1,W121-1,$CB$3))</f>
        <v>0</v>
      </c>
      <c r="HP121" s="377">
        <f ca="1">IF(ISERROR(OFFSET(Initiatives!$D$1,X121-1,$CB$3)),,OFFSET(Initiatives!$D$1,X121-1,$CB$3))</f>
        <v>0</v>
      </c>
      <c r="HR121" s="41">
        <f t="shared" ca="1" si="2113"/>
        <v>9.5666284001530641E-2</v>
      </c>
      <c r="HS121" s="41">
        <f t="shared" ca="1" si="2114"/>
        <v>0.15545392363885088</v>
      </c>
      <c r="HT121" s="41">
        <f t="shared" ca="1" si="2115"/>
        <v>0.15399938400246399</v>
      </c>
      <c r="HU121" s="41">
        <f t="shared" ca="1" si="2116"/>
        <v>3.9999840000639997E-2</v>
      </c>
      <c r="HV121" s="41">
        <f t="shared" ca="1" si="2117"/>
        <v>0</v>
      </c>
      <c r="HW121" s="41">
        <f t="shared" ca="1" si="2118"/>
        <v>0</v>
      </c>
      <c r="HX121" s="41">
        <f t="shared" ca="1" si="2119"/>
        <v>0</v>
      </c>
      <c r="HY121" s="41">
        <f t="shared" ca="1" si="2120"/>
        <v>0</v>
      </c>
      <c r="HZ121" s="41">
        <f t="shared" ca="1" si="2121"/>
        <v>0</v>
      </c>
      <c r="IA121" s="41">
        <f t="shared" ca="1" si="2122"/>
        <v>0</v>
      </c>
      <c r="IB121" s="41">
        <f t="shared" ca="1" si="2123"/>
        <v>0</v>
      </c>
      <c r="IC121" s="41">
        <f t="shared" ca="1" si="2124"/>
        <v>0</v>
      </c>
      <c r="ID121" s="41">
        <f t="shared" ca="1" si="2125"/>
        <v>0</v>
      </c>
      <c r="IE121" s="41">
        <f t="shared" ca="1" si="2126"/>
        <v>0</v>
      </c>
      <c r="IF121" s="41">
        <f t="shared" ca="1" si="2127"/>
        <v>0</v>
      </c>
      <c r="IG121" s="41">
        <f t="shared" ca="1" si="2128"/>
        <v>0</v>
      </c>
      <c r="IH121" s="41">
        <f t="shared" ca="1" si="2129"/>
        <v>0</v>
      </c>
      <c r="II121" s="41">
        <f t="shared" ca="1" si="2130"/>
        <v>0</v>
      </c>
      <c r="IJ121" s="41">
        <f t="shared" ca="1" si="2131"/>
        <v>0</v>
      </c>
      <c r="IK121" s="41">
        <f t="shared" ca="1" si="2132"/>
        <v>0</v>
      </c>
      <c r="IL121" s="41">
        <f t="shared" ca="1" si="2133"/>
        <v>0.4451194316434855</v>
      </c>
    </row>
    <row r="122" spans="1:246" s="409" customFormat="1" ht="12" hidden="1" customHeight="1">
      <c r="B122" s="373"/>
      <c r="C122" s="443" t="str">
        <f>Maturity!B8</f>
        <v xml:space="preserve">What percent of desired/beneficial BI APPLICATIONS have been deployed/adopted?    A BI/DW application consists of a distinct set of related reports, dashboards, briefing books, or scorecards designed to support a specific set of tasks within a business domain or process, such as revenue management, customer churn analysis, supplier performance management, etc. </v>
      </c>
      <c r="D122" s="404">
        <f t="shared" ca="1" si="2023"/>
        <v>0.45555049388340119</v>
      </c>
      <c r="E122" s="374">
        <f>ROW(Initiatives!$A$170)</f>
        <v>170</v>
      </c>
      <c r="F122" s="374">
        <f>ROW(Initiatives!$A$176)</f>
        <v>176</v>
      </c>
      <c r="G122" s="374">
        <f>ROW(Initiatives!$A$183)</f>
        <v>183</v>
      </c>
      <c r="H122" s="374">
        <f>ROW(Initiatives!$A$189)</f>
        <v>189</v>
      </c>
      <c r="I122" s="374"/>
      <c r="J122" s="374"/>
      <c r="K122" s="374"/>
      <c r="L122" s="374"/>
      <c r="M122" s="374"/>
      <c r="N122" s="374"/>
      <c r="O122" s="374" t="s">
        <v>975</v>
      </c>
      <c r="P122" s="374" t="s">
        <v>975</v>
      </c>
      <c r="Q122" s="374" t="s">
        <v>975</v>
      </c>
      <c r="R122" s="374" t="s">
        <v>975</v>
      </c>
      <c r="S122" s="374" t="s">
        <v>975</v>
      </c>
      <c r="T122" s="374" t="s">
        <v>975</v>
      </c>
      <c r="U122" s="374" t="s">
        <v>975</v>
      </c>
      <c r="V122" s="374" t="s">
        <v>975</v>
      </c>
      <c r="W122" s="374" t="s">
        <v>975</v>
      </c>
      <c r="X122" s="374" t="s">
        <v>975</v>
      </c>
      <c r="Y122" s="392" t="str">
        <f ca="1">OFFSET(Initiatives!$D$1,E122-1,$BS$3)</f>
        <v>BI Applications</v>
      </c>
      <c r="Z122" s="375">
        <v>9</v>
      </c>
      <c r="AA122" s="392" t="str">
        <f ca="1">OFFSET(Initiatives!$D$1,F122-1,$BS$3)</f>
        <v>Source System Inclusion / Integration</v>
      </c>
      <c r="AB122" s="375">
        <v>0</v>
      </c>
      <c r="AC122" s="392" t="str">
        <f ca="1">OFFSET(Initiatives!$D$1,G122-1,$BS$3)</f>
        <v>Enhance DW Platform</v>
      </c>
      <c r="AD122" s="375">
        <v>0</v>
      </c>
      <c r="AE122" s="392" t="str">
        <f ca="1">OFFSET(Initiatives!$D$1,H122-1,$BS$3)</f>
        <v>Enhance BI Platform</v>
      </c>
      <c r="AF122" s="375">
        <v>0</v>
      </c>
      <c r="AG122" s="392" t="e">
        <f ca="1">OFFSET(Initiatives!$D$1,I122-1,$BS$3)</f>
        <v>#REF!</v>
      </c>
      <c r="AH122" s="375"/>
      <c r="AI122" s="392" t="e">
        <f ca="1">OFFSET(Initiatives!$D$1,J122-1,$BS$3)</f>
        <v>#REF!</v>
      </c>
      <c r="AJ122" s="375"/>
      <c r="AK122" s="392" t="e">
        <f ca="1">OFFSET(Initiatives!$D$1,K122-1,$BS$3)</f>
        <v>#REF!</v>
      </c>
      <c r="AL122" s="375"/>
      <c r="AM122" s="392" t="e">
        <f ca="1">OFFSET(Initiatives!$D$1,L122-1,$BS$3)</f>
        <v>#REF!</v>
      </c>
      <c r="AN122" s="375"/>
      <c r="AO122" s="392" t="e">
        <f ca="1">OFFSET(Initiatives!$D$1,M122-1,$BS$3)</f>
        <v>#REF!</v>
      </c>
      <c r="AP122" s="375"/>
      <c r="AQ122" s="392" t="e">
        <f ca="1">OFFSET(Initiatives!$D$1,N122-1,$BS$3)</f>
        <v>#REF!</v>
      </c>
      <c r="AR122" s="375"/>
      <c r="AS122" s="392" t="e">
        <f ca="1">OFFSET(Initiatives!$D$1,O122-1,$BS$3)</f>
        <v>#VALUE!</v>
      </c>
      <c r="AT122" s="375"/>
      <c r="AU122" s="392" t="e">
        <f ca="1">OFFSET(Initiatives!$D$1,P122-1,$BS$3)</f>
        <v>#VALUE!</v>
      </c>
      <c r="AV122" s="375"/>
      <c r="AW122" s="392" t="e">
        <f ca="1">OFFSET(Initiatives!$D$1,Q122-1,$BS$3)</f>
        <v>#VALUE!</v>
      </c>
      <c r="AX122" s="375"/>
      <c r="AY122" s="392" t="e">
        <f ca="1">OFFSET(Initiatives!$D$1,R122-1,$BS$3)</f>
        <v>#VALUE!</v>
      </c>
      <c r="AZ122" s="375"/>
      <c r="BA122" s="392" t="e">
        <f ca="1">OFFSET(Initiatives!$D$1,S122-1,$BS$3)</f>
        <v>#VALUE!</v>
      </c>
      <c r="BB122" s="375"/>
      <c r="BC122" s="392" t="e">
        <f ca="1">OFFSET(Initiatives!$D$1,T122-1,$BS$3)</f>
        <v>#VALUE!</v>
      </c>
      <c r="BD122" s="375"/>
      <c r="BE122" s="392" t="e">
        <f ca="1">OFFSET(Initiatives!$D$1,U122-1,$BS$3)</f>
        <v>#VALUE!</v>
      </c>
      <c r="BF122" s="375"/>
      <c r="BG122" s="392" t="e">
        <f ca="1">OFFSET(Initiatives!$D$1,V122-1,$BS$3)</f>
        <v>#VALUE!</v>
      </c>
      <c r="BH122" s="375"/>
      <c r="BI122" s="392" t="e">
        <f ca="1">OFFSET(Initiatives!$D$1,W122-1,$BS$3)</f>
        <v>#VALUE!</v>
      </c>
      <c r="BJ122" s="375"/>
      <c r="BK122" s="392" t="e">
        <f ca="1">OFFSET(Initiatives!$D$1,X122-1,$BS$3)</f>
        <v>#VALUE!</v>
      </c>
      <c r="BL122" s="375"/>
      <c r="BN122" s="101">
        <f t="shared" si="2024"/>
        <v>9.0000999999999998</v>
      </c>
      <c r="BP122" s="231" t="str">
        <f t="shared" ca="1" si="2025"/>
        <v>BI Applications (100%)</v>
      </c>
      <c r="BQ122" s="338">
        <v>0.01</v>
      </c>
      <c r="BR122" s="40">
        <f t="shared" ca="1" si="2026"/>
        <v>1</v>
      </c>
      <c r="BS122" s="274">
        <v>0.05</v>
      </c>
      <c r="BT122" s="40">
        <f t="shared" ca="1" si="2027"/>
        <v>1</v>
      </c>
      <c r="BU122" s="376">
        <v>7</v>
      </c>
      <c r="BV122" s="40">
        <f t="shared" ca="1" si="2028"/>
        <v>1</v>
      </c>
      <c r="BY122" s="377">
        <f ca="1">IF(ISERROR(OFFSET(Initiatives!$D$1,E122-1,$BY$3)),,OFFSET(Initiatives!$D$1,E122-1,$BY$3))</f>
        <v>0.45555555555555544</v>
      </c>
      <c r="BZ122" s="377">
        <f ca="1">IF(ISERROR(OFFSET(Initiatives!$D$1,F122-1,$BY$3)),,OFFSET(Initiatives!$D$1,F122-1,$BY$3))</f>
        <v>0.45454545454545436</v>
      </c>
      <c r="CA122" s="377">
        <f ca="1">IF(ISERROR(OFFSET(Initiatives!$D$1,G122-1,$BY$3)),,OFFSET(Initiatives!$D$1,G122-1,$BY$3))</f>
        <v>7.7000000000000179E-2</v>
      </c>
      <c r="CB122" s="377">
        <f ca="1">IF(ISERROR(OFFSET(Initiatives!$D$1,H122-1,$BY$3)),,OFFSET(Initiatives!$D$1,H122-1,$BY$3))</f>
        <v>0.6</v>
      </c>
      <c r="CC122" s="377">
        <f ca="1">IF(ISERROR(OFFSET(Initiatives!$D$1,I122-1,$BY$3)),,OFFSET(Initiatives!$D$1,I122-1,$BY$3))</f>
        <v>0</v>
      </c>
      <c r="CD122" s="377">
        <f ca="1">IF(ISERROR(OFFSET(Initiatives!$D$1,J122-1,$BY$3)),,OFFSET(Initiatives!$D$1,J122-1,$BY$3))</f>
        <v>0</v>
      </c>
      <c r="CE122" s="377">
        <f ca="1">IF(ISERROR(OFFSET(Initiatives!$D$1,K122-1,$BY$3)),,OFFSET(Initiatives!$D$1,K122-1,$BY$3))</f>
        <v>0</v>
      </c>
      <c r="CF122" s="377">
        <f ca="1">IF(ISERROR(OFFSET(Initiatives!$D$1,L122-1,$BY$3)),,OFFSET(Initiatives!$D$1,L122-1,$BY$3))</f>
        <v>0</v>
      </c>
      <c r="CG122" s="377">
        <f ca="1">IF(ISERROR(OFFSET(Initiatives!$D$1,M122-1,$BY$3)),,OFFSET(Initiatives!$D$1,M122-1,$BY$3))</f>
        <v>0</v>
      </c>
      <c r="CH122" s="377">
        <f ca="1">IF(ISERROR(OFFSET(Initiatives!$D$1,N122-1,$BY$3)),,OFFSET(Initiatives!$D$1,N122-1,$BY$3))</f>
        <v>0</v>
      </c>
      <c r="CI122" s="377">
        <f ca="1">IF(ISERROR(OFFSET(Initiatives!$D$1,O122-1,$BY$3)),,OFFSET(Initiatives!$D$1,O122-1,$BY$3))</f>
        <v>0</v>
      </c>
      <c r="CJ122" s="377">
        <f ca="1">IF(ISERROR(OFFSET(Initiatives!$D$1,P122-1,$BY$3)),,OFFSET(Initiatives!$D$1,P122-1,$BY$3))</f>
        <v>0</v>
      </c>
      <c r="CK122" s="377">
        <f ca="1">IF(ISERROR(OFFSET(Initiatives!$D$1,Q122-1,$BY$3)),,OFFSET(Initiatives!$D$1,Q122-1,$BY$3))</f>
        <v>0</v>
      </c>
      <c r="CL122" s="377">
        <f ca="1">IF(ISERROR(OFFSET(Initiatives!$D$1,R122-1,$BY$3)),,OFFSET(Initiatives!$D$1,R122-1,$BY$3))</f>
        <v>0</v>
      </c>
      <c r="CM122" s="377">
        <f ca="1">IF(ISERROR(OFFSET(Initiatives!$D$1,S122-1,$BY$3)),,OFFSET(Initiatives!$D$1,S122-1,$BY$3))</f>
        <v>0</v>
      </c>
      <c r="CN122" s="377">
        <f ca="1">IF(ISERROR(OFFSET(Initiatives!$D$1,T122-1,$BY$3)),,OFFSET(Initiatives!$D$1,T122-1,$BY$3))</f>
        <v>0</v>
      </c>
      <c r="CO122" s="377">
        <f ca="1">IF(ISERROR(OFFSET(Initiatives!$D$1,U122-1,$BY$3)),,OFFSET(Initiatives!$D$1,U122-1,$BY$3))</f>
        <v>0</v>
      </c>
      <c r="CP122" s="377">
        <f ca="1">IF(ISERROR(OFFSET(Initiatives!$D$1,V122-1,$BY$3)),,OFFSET(Initiatives!$D$1,V122-1,$BY$3))</f>
        <v>0</v>
      </c>
      <c r="CQ122" s="377">
        <f ca="1">IF(ISERROR(OFFSET(Initiatives!$D$1,W122-1,$BY$3)),,OFFSET(Initiatives!$D$1,W122-1,$BY$3))</f>
        <v>0</v>
      </c>
      <c r="CR122" s="377">
        <f ca="1">IF(ISERROR(OFFSET(Initiatives!$D$1,X122-1,$BY$3)),,OFFSET(Initiatives!$D$1,X122-1,$BY$3))</f>
        <v>0</v>
      </c>
      <c r="CT122" s="41">
        <f t="shared" ca="1" si="2029"/>
        <v>0.45555049388340119</v>
      </c>
      <c r="CU122" s="41">
        <f t="shared" ca="1" si="2030"/>
        <v>0</v>
      </c>
      <c r="CV122" s="41">
        <f t="shared" ca="1" si="2031"/>
        <v>0</v>
      </c>
      <c r="CW122" s="41">
        <f t="shared" ca="1" si="2032"/>
        <v>0</v>
      </c>
      <c r="CX122" s="41">
        <f t="shared" ca="1" si="2033"/>
        <v>0</v>
      </c>
      <c r="CY122" s="41">
        <f t="shared" ca="1" si="2034"/>
        <v>0</v>
      </c>
      <c r="CZ122" s="41">
        <f t="shared" ca="1" si="2035"/>
        <v>0</v>
      </c>
      <c r="DA122" s="41">
        <f t="shared" ca="1" si="2036"/>
        <v>0</v>
      </c>
      <c r="DB122" s="41">
        <f t="shared" ca="1" si="2037"/>
        <v>0</v>
      </c>
      <c r="DC122" s="41">
        <f t="shared" ca="1" si="2038"/>
        <v>0</v>
      </c>
      <c r="DD122" s="41">
        <f t="shared" ca="1" si="2039"/>
        <v>0</v>
      </c>
      <c r="DE122" s="41">
        <f t="shared" ca="1" si="2040"/>
        <v>0</v>
      </c>
      <c r="DF122" s="41">
        <f t="shared" ca="1" si="2041"/>
        <v>0</v>
      </c>
      <c r="DG122" s="41">
        <f t="shared" ca="1" si="2042"/>
        <v>0</v>
      </c>
      <c r="DH122" s="41">
        <f t="shared" ca="1" si="2043"/>
        <v>0</v>
      </c>
      <c r="DI122" s="41">
        <f t="shared" ca="1" si="2044"/>
        <v>0</v>
      </c>
      <c r="DJ122" s="41">
        <f t="shared" ca="1" si="2045"/>
        <v>0</v>
      </c>
      <c r="DK122" s="41">
        <f t="shared" ca="1" si="2046"/>
        <v>0</v>
      </c>
      <c r="DL122" s="41">
        <f t="shared" ca="1" si="2047"/>
        <v>0</v>
      </c>
      <c r="DM122" s="41">
        <f t="shared" ca="1" si="2048"/>
        <v>0</v>
      </c>
      <c r="DN122" s="41">
        <f t="shared" ca="1" si="2049"/>
        <v>0.45555049388340119</v>
      </c>
      <c r="DP122" s="41">
        <f t="shared" ca="1" si="2050"/>
        <v>0.99999000000000005</v>
      </c>
      <c r="DQ122" s="41">
        <f t="shared" ca="1" si="2051"/>
        <v>-2.0000000000000002E-5</v>
      </c>
      <c r="DR122" s="41">
        <f t="shared" ca="1" si="2052"/>
        <v>-3.0000000000000001E-5</v>
      </c>
      <c r="DS122" s="41">
        <f t="shared" ca="1" si="2053"/>
        <v>-4.0000000000000003E-5</v>
      </c>
      <c r="DT122" s="41">
        <f t="shared" ca="1" si="2054"/>
        <v>-5.0000000000000002E-5</v>
      </c>
      <c r="DU122" s="41">
        <f t="shared" ca="1" si="2055"/>
        <v>-6.0000000000000002E-5</v>
      </c>
      <c r="DV122" s="41">
        <f t="shared" ca="1" si="2056"/>
        <v>-6.9999999999999994E-5</v>
      </c>
      <c r="DW122" s="41">
        <f t="shared" ca="1" si="2057"/>
        <v>-8.0000000000000007E-5</v>
      </c>
      <c r="DX122" s="41">
        <f t="shared" ca="1" si="2058"/>
        <v>-9.0000000000000006E-5</v>
      </c>
      <c r="DY122" s="41">
        <f t="shared" ca="1" si="2059"/>
        <v>-1E-4</v>
      </c>
      <c r="DZ122" s="41">
        <f t="shared" ca="1" si="2060"/>
        <v>-1.1E-4</v>
      </c>
      <c r="EA122" s="41">
        <f t="shared" ca="1" si="2061"/>
        <v>-1.2E-4</v>
      </c>
      <c r="EB122" s="41">
        <f t="shared" ca="1" si="2062"/>
        <v>-1.2999999999999999E-4</v>
      </c>
      <c r="EC122" s="41">
        <f t="shared" ca="1" si="2063"/>
        <v>-1.3999999999999999E-4</v>
      </c>
      <c r="ED122" s="41">
        <f t="shared" ca="1" si="2064"/>
        <v>-1.4999999999999999E-4</v>
      </c>
      <c r="EE122" s="41">
        <f t="shared" ca="1" si="2065"/>
        <v>-1.6000000000000001E-4</v>
      </c>
      <c r="EF122" s="41">
        <f t="shared" ca="1" si="2066"/>
        <v>-1.7000000000000001E-4</v>
      </c>
      <c r="EG122" s="41">
        <f t="shared" ca="1" si="2067"/>
        <v>-1.8000000000000001E-4</v>
      </c>
      <c r="EH122" s="41">
        <f t="shared" ca="1" si="2068"/>
        <v>-1.9000000000000001E-4</v>
      </c>
      <c r="EI122" s="41">
        <f t="shared" ca="1" si="2069"/>
        <v>-2.0000000000000001E-4</v>
      </c>
      <c r="EJ122" s="41">
        <f t="shared" ca="1" si="2070"/>
        <v>0.99790000000000001</v>
      </c>
      <c r="EL122" s="378">
        <f t="shared" ca="1" si="2071"/>
        <v>1</v>
      </c>
      <c r="EM122" s="378">
        <f t="shared" ca="1" si="2072"/>
        <v>2</v>
      </c>
      <c r="EN122" s="378">
        <f t="shared" ca="1" si="2073"/>
        <v>3</v>
      </c>
      <c r="EO122" s="378">
        <f t="shared" ca="1" si="2074"/>
        <v>4</v>
      </c>
      <c r="EP122" s="378">
        <f t="shared" ca="1" si="2075"/>
        <v>5</v>
      </c>
      <c r="EQ122" s="378">
        <f t="shared" ca="1" si="2076"/>
        <v>6</v>
      </c>
      <c r="ER122" s="378">
        <f t="shared" ca="1" si="2077"/>
        <v>7</v>
      </c>
      <c r="ES122" s="378">
        <f t="shared" ca="1" si="2078"/>
        <v>8</v>
      </c>
      <c r="ET122" s="378">
        <f t="shared" ca="1" si="2079"/>
        <v>9</v>
      </c>
      <c r="EU122" s="378">
        <f t="shared" ca="1" si="2080"/>
        <v>10</v>
      </c>
      <c r="EV122" s="378">
        <f t="shared" ca="1" si="2081"/>
        <v>11</v>
      </c>
      <c r="EW122" s="378">
        <f t="shared" ca="1" si="2082"/>
        <v>12</v>
      </c>
      <c r="EX122" s="378">
        <f t="shared" ca="1" si="2083"/>
        <v>13</v>
      </c>
      <c r="EY122" s="378">
        <f t="shared" ca="1" si="2084"/>
        <v>14</v>
      </c>
      <c r="EZ122" s="378">
        <f t="shared" ca="1" si="2085"/>
        <v>15</v>
      </c>
      <c r="FA122" s="378">
        <f t="shared" ca="1" si="2086"/>
        <v>16</v>
      </c>
      <c r="FB122" s="378">
        <f t="shared" ca="1" si="2087"/>
        <v>17</v>
      </c>
      <c r="FC122" s="378">
        <f t="shared" ca="1" si="2088"/>
        <v>18</v>
      </c>
      <c r="FD122" s="378">
        <f t="shared" ca="1" si="2089"/>
        <v>19</v>
      </c>
      <c r="FE122" s="378">
        <f t="shared" ca="1" si="2090"/>
        <v>20</v>
      </c>
      <c r="FG122" s="378">
        <f t="shared" ca="1" si="2091"/>
        <v>1</v>
      </c>
      <c r="FH122" s="378">
        <f t="shared" ca="1" si="2091"/>
        <v>2</v>
      </c>
      <c r="FI122" s="378">
        <f t="shared" ca="1" si="2091"/>
        <v>3</v>
      </c>
      <c r="FJ122" s="378">
        <f t="shared" ca="1" si="2091"/>
        <v>4</v>
      </c>
      <c r="FK122" s="378">
        <f t="shared" ca="1" si="2091"/>
        <v>5</v>
      </c>
      <c r="FL122" s="378">
        <f t="shared" ca="1" si="2091"/>
        <v>6</v>
      </c>
      <c r="FM122" s="378">
        <f t="shared" ca="1" si="2091"/>
        <v>7</v>
      </c>
      <c r="FN122" s="378">
        <f t="shared" ca="1" si="2091"/>
        <v>8</v>
      </c>
      <c r="FO122" s="378">
        <f t="shared" ca="1" si="2091"/>
        <v>9</v>
      </c>
      <c r="FP122" s="378">
        <f t="shared" ca="1" si="2091"/>
        <v>10</v>
      </c>
      <c r="FQ122" s="378">
        <f t="shared" ca="1" si="2091"/>
        <v>11</v>
      </c>
      <c r="FR122" s="378">
        <f t="shared" ca="1" si="2091"/>
        <v>12</v>
      </c>
      <c r="FS122" s="378">
        <f t="shared" ca="1" si="2091"/>
        <v>13</v>
      </c>
      <c r="FT122" s="378">
        <f t="shared" ca="1" si="2091"/>
        <v>14</v>
      </c>
      <c r="FU122" s="378">
        <f t="shared" ca="1" si="2091"/>
        <v>15</v>
      </c>
      <c r="FV122" s="378">
        <f t="shared" ca="1" si="2091"/>
        <v>16</v>
      </c>
      <c r="FW122" s="378">
        <f t="shared" ca="1" si="2092"/>
        <v>17</v>
      </c>
      <c r="FX122" s="378">
        <f t="shared" ca="1" si="2092"/>
        <v>18</v>
      </c>
      <c r="FY122" s="378">
        <f t="shared" ca="1" si="2092"/>
        <v>19</v>
      </c>
      <c r="FZ122" s="378">
        <f t="shared" ca="1" si="2092"/>
        <v>20</v>
      </c>
      <c r="GB122" s="275" t="str">
        <f t="shared" ca="1" si="2093"/>
        <v>BI Applications (100%)</v>
      </c>
      <c r="GC122" s="231" t="str">
        <f t="shared" ca="1" si="2094"/>
        <v/>
      </c>
      <c r="GD122" s="231" t="str">
        <f t="shared" ca="1" si="2095"/>
        <v/>
      </c>
      <c r="GE122" s="231" t="str">
        <f t="shared" ca="1" si="2096"/>
        <v/>
      </c>
      <c r="GF122" s="231" t="str">
        <f t="shared" ca="1" si="2097"/>
        <v/>
      </c>
      <c r="GG122" s="231" t="str">
        <f t="shared" ca="1" si="2098"/>
        <v/>
      </c>
      <c r="GH122" s="231" t="str">
        <f t="shared" ca="1" si="2099"/>
        <v/>
      </c>
      <c r="GI122" s="231" t="str">
        <f t="shared" ca="1" si="2100"/>
        <v/>
      </c>
      <c r="GJ122" s="231" t="str">
        <f t="shared" ca="1" si="2101"/>
        <v/>
      </c>
      <c r="GK122" s="231" t="str">
        <f t="shared" ca="1" si="2102"/>
        <v/>
      </c>
      <c r="GL122" s="231" t="str">
        <f t="shared" ca="1" si="2103"/>
        <v/>
      </c>
      <c r="GM122" s="231" t="str">
        <f t="shared" ca="1" si="2104"/>
        <v/>
      </c>
      <c r="GN122" s="231" t="str">
        <f t="shared" ca="1" si="2105"/>
        <v/>
      </c>
      <c r="GO122" s="231" t="str">
        <f t="shared" ca="1" si="2106"/>
        <v/>
      </c>
      <c r="GP122" s="231" t="str">
        <f t="shared" ca="1" si="2107"/>
        <v/>
      </c>
      <c r="GQ122" s="231" t="str">
        <f t="shared" ca="1" si="2108"/>
        <v/>
      </c>
      <c r="GR122" s="231" t="str">
        <f t="shared" ca="1" si="2109"/>
        <v/>
      </c>
      <c r="GS122" s="231" t="str">
        <f t="shared" ca="1" si="2110"/>
        <v/>
      </c>
      <c r="GT122" s="231" t="str">
        <f t="shared" ca="1" si="2111"/>
        <v/>
      </c>
      <c r="GU122" s="231" t="str">
        <f t="shared" ca="1" si="2112"/>
        <v/>
      </c>
      <c r="GW122" s="377">
        <f ca="1">IF(ISERROR(OFFSET(Initiatives!$D$1,E122-1,$CB$3)),,OFFSET(Initiatives!$D$1,E122-1,$CB$3))</f>
        <v>0.34166666666666662</v>
      </c>
      <c r="GX122" s="377">
        <f ca="1">IF(ISERROR(OFFSET(Initiatives!$D$1,F122-1,$CB$3)),,OFFSET(Initiatives!$D$1,F122-1,$CB$3))</f>
        <v>0.43181818181818177</v>
      </c>
      <c r="GY122" s="377">
        <f ca="1">IF(ISERROR(OFFSET(Initiatives!$D$1,G122-1,$CB$3)),,OFFSET(Initiatives!$D$1,G122-1,$CB$3))</f>
        <v>0.77</v>
      </c>
      <c r="GZ122" s="377">
        <f ca="1">IF(ISERROR(OFFSET(Initiatives!$D$1,H122-1,$CB$3)),,OFFSET(Initiatives!$D$1,H122-1,$CB$3))</f>
        <v>0.25</v>
      </c>
      <c r="HA122" s="377">
        <f ca="1">IF(ISERROR(OFFSET(Initiatives!$D$1,I122-1,$CB$3)),,OFFSET(Initiatives!$D$1,I122-1,$CB$3))</f>
        <v>0</v>
      </c>
      <c r="HB122" s="377">
        <f ca="1">IF(ISERROR(OFFSET(Initiatives!$D$1,J122-1,$CB$3)),,OFFSET(Initiatives!$D$1,J122-1,$CB$3))</f>
        <v>0</v>
      </c>
      <c r="HC122" s="377">
        <f ca="1">IF(ISERROR(OFFSET(Initiatives!$D$1,K122-1,$CB$3)),,OFFSET(Initiatives!$D$1,K122-1,$CB$3))</f>
        <v>0</v>
      </c>
      <c r="HD122" s="377">
        <f ca="1">IF(ISERROR(OFFSET(Initiatives!$D$1,L122-1,$CB$3)),,OFFSET(Initiatives!$D$1,L122-1,$CB$3))</f>
        <v>0</v>
      </c>
      <c r="HE122" s="377">
        <f ca="1">IF(ISERROR(OFFSET(Initiatives!$D$1,M122-1,$CB$3)),,OFFSET(Initiatives!$D$1,M122-1,$CB$3))</f>
        <v>0</v>
      </c>
      <c r="HF122" s="377">
        <f ca="1">IF(ISERROR(OFFSET(Initiatives!$D$1,N122-1,$CB$3)),,OFFSET(Initiatives!$D$1,N122-1,$CB$3))</f>
        <v>0</v>
      </c>
      <c r="HG122" s="377">
        <f ca="1">IF(ISERROR(OFFSET(Initiatives!$D$1,O122-1,$CB$3)),,OFFSET(Initiatives!$D$1,O122-1,$CB$3))</f>
        <v>0</v>
      </c>
      <c r="HH122" s="377">
        <f ca="1">IF(ISERROR(OFFSET(Initiatives!$D$1,P122-1,$CB$3)),,OFFSET(Initiatives!$D$1,P122-1,$CB$3))</f>
        <v>0</v>
      </c>
      <c r="HI122" s="377">
        <f ca="1">IF(ISERROR(OFFSET(Initiatives!$D$1,Q122-1,$CB$3)),,OFFSET(Initiatives!$D$1,Q122-1,$CB$3))</f>
        <v>0</v>
      </c>
      <c r="HJ122" s="377">
        <f ca="1">IF(ISERROR(OFFSET(Initiatives!$D$1,R122-1,$CB$3)),,OFFSET(Initiatives!$D$1,R122-1,$CB$3))</f>
        <v>0</v>
      </c>
      <c r="HK122" s="377">
        <f ca="1">IF(ISERROR(OFFSET(Initiatives!$D$1,S122-1,$CB$3)),,OFFSET(Initiatives!$D$1,S122-1,$CB$3))</f>
        <v>0</v>
      </c>
      <c r="HL122" s="377">
        <f ca="1">IF(ISERROR(OFFSET(Initiatives!$D$1,T122-1,$CB$3)),,OFFSET(Initiatives!$D$1,T122-1,$CB$3))</f>
        <v>0</v>
      </c>
      <c r="HM122" s="377">
        <f ca="1">IF(ISERROR(OFFSET(Initiatives!$D$1,U122-1,$CB$3)),,OFFSET(Initiatives!$D$1,U122-1,$CB$3))</f>
        <v>0</v>
      </c>
      <c r="HN122" s="377">
        <f ca="1">IF(ISERROR(OFFSET(Initiatives!$D$1,V122-1,$CB$3)),,OFFSET(Initiatives!$D$1,V122-1,$CB$3))</f>
        <v>0</v>
      </c>
      <c r="HO122" s="377">
        <f ca="1">IF(ISERROR(OFFSET(Initiatives!$D$1,W122-1,$CB$3)),,OFFSET(Initiatives!$D$1,W122-1,$CB$3))</f>
        <v>0</v>
      </c>
      <c r="HP122" s="377">
        <f ca="1">IF(ISERROR(OFFSET(Initiatives!$D$1,X122-1,$CB$3)),,OFFSET(Initiatives!$D$1,X122-1,$CB$3))</f>
        <v>0</v>
      </c>
      <c r="HR122" s="41">
        <f t="shared" ca="1" si="2113"/>
        <v>0.34166287041255095</v>
      </c>
      <c r="HS122" s="41">
        <f t="shared" ca="1" si="2114"/>
        <v>0</v>
      </c>
      <c r="HT122" s="41">
        <f t="shared" ca="1" si="2115"/>
        <v>0</v>
      </c>
      <c r="HU122" s="41">
        <f t="shared" ca="1" si="2116"/>
        <v>0</v>
      </c>
      <c r="HV122" s="41">
        <f t="shared" ca="1" si="2117"/>
        <v>0</v>
      </c>
      <c r="HW122" s="41">
        <f t="shared" ca="1" si="2118"/>
        <v>0</v>
      </c>
      <c r="HX122" s="41">
        <f t="shared" ca="1" si="2119"/>
        <v>0</v>
      </c>
      <c r="HY122" s="41">
        <f t="shared" ca="1" si="2120"/>
        <v>0</v>
      </c>
      <c r="HZ122" s="41">
        <f t="shared" ca="1" si="2121"/>
        <v>0</v>
      </c>
      <c r="IA122" s="41">
        <f t="shared" ca="1" si="2122"/>
        <v>0</v>
      </c>
      <c r="IB122" s="41">
        <f t="shared" ca="1" si="2123"/>
        <v>0</v>
      </c>
      <c r="IC122" s="41">
        <f t="shared" ca="1" si="2124"/>
        <v>0</v>
      </c>
      <c r="ID122" s="41">
        <f t="shared" ca="1" si="2125"/>
        <v>0</v>
      </c>
      <c r="IE122" s="41">
        <f t="shared" ca="1" si="2126"/>
        <v>0</v>
      </c>
      <c r="IF122" s="41">
        <f t="shared" ca="1" si="2127"/>
        <v>0</v>
      </c>
      <c r="IG122" s="41">
        <f t="shared" ca="1" si="2128"/>
        <v>0</v>
      </c>
      <c r="IH122" s="41">
        <f t="shared" ca="1" si="2129"/>
        <v>0</v>
      </c>
      <c r="II122" s="41">
        <f t="shared" ca="1" si="2130"/>
        <v>0</v>
      </c>
      <c r="IJ122" s="41">
        <f t="shared" ca="1" si="2131"/>
        <v>0</v>
      </c>
      <c r="IK122" s="41">
        <f t="shared" ca="1" si="2132"/>
        <v>0</v>
      </c>
      <c r="IL122" s="41">
        <f t="shared" ca="1" si="2133"/>
        <v>0.34166287041255095</v>
      </c>
    </row>
    <row r="123" spans="1:246" s="409" customFormat="1" ht="12" hidden="1" customHeight="1">
      <c r="B123" s="373"/>
      <c r="C123" s="443" t="str">
        <f>Maturity!B9</f>
        <v>What percentage of ALL EMPLOYEES that your group is charged with supporting either use your group's BI/DW environment or consume its output?</v>
      </c>
      <c r="D123" s="404">
        <f t="shared" ca="1" si="2023"/>
        <v>0.39545963496309172</v>
      </c>
      <c r="E123" s="374">
        <f>ROW(Initiatives!$A$170)</f>
        <v>170</v>
      </c>
      <c r="F123" s="374">
        <f>ROW(Initiatives!$A$176)</f>
        <v>176</v>
      </c>
      <c r="G123" s="374">
        <f>ROW(Initiatives!$A$183)</f>
        <v>183</v>
      </c>
      <c r="H123" s="374">
        <f>ROW(Initiatives!$A$189)</f>
        <v>189</v>
      </c>
      <c r="I123" s="374"/>
      <c r="J123" s="374"/>
      <c r="K123" s="374"/>
      <c r="L123" s="374"/>
      <c r="M123" s="374"/>
      <c r="N123" s="374"/>
      <c r="O123" s="374" t="s">
        <v>975</v>
      </c>
      <c r="P123" s="374" t="s">
        <v>975</v>
      </c>
      <c r="Q123" s="374" t="s">
        <v>975</v>
      </c>
      <c r="R123" s="374" t="s">
        <v>975</v>
      </c>
      <c r="S123" s="374" t="s">
        <v>975</v>
      </c>
      <c r="T123" s="374" t="s">
        <v>975</v>
      </c>
      <c r="U123" s="374" t="s">
        <v>975</v>
      </c>
      <c r="V123" s="374" t="s">
        <v>975</v>
      </c>
      <c r="W123" s="374" t="s">
        <v>975</v>
      </c>
      <c r="X123" s="374" t="s">
        <v>975</v>
      </c>
      <c r="Y123" s="392" t="str">
        <f ca="1">OFFSET(Initiatives!$D$1,E123-1,$BS$3)</f>
        <v>BI Applications</v>
      </c>
      <c r="Z123" s="375">
        <v>6</v>
      </c>
      <c r="AA123" s="392" t="str">
        <f ca="1">OFFSET(Initiatives!$D$1,F123-1,$BS$3)</f>
        <v>Source System Inclusion / Integration</v>
      </c>
      <c r="AB123" s="375">
        <v>7</v>
      </c>
      <c r="AC123" s="392" t="str">
        <f ca="1">OFFSET(Initiatives!$D$1,G123-1,$BS$3)</f>
        <v>Enhance DW Platform</v>
      </c>
      <c r="AD123" s="375">
        <v>5</v>
      </c>
      <c r="AE123" s="392" t="str">
        <f ca="1">OFFSET(Initiatives!$D$1,H123-1,$BS$3)</f>
        <v>Enhance BI Platform</v>
      </c>
      <c r="AF123" s="375">
        <v>4</v>
      </c>
      <c r="AG123" s="392" t="e">
        <f ca="1">OFFSET(Initiatives!$D$1,I123-1,$BS$3)</f>
        <v>#REF!</v>
      </c>
      <c r="AH123" s="375"/>
      <c r="AI123" s="392" t="e">
        <f ca="1">OFFSET(Initiatives!$D$1,J123-1,$BS$3)</f>
        <v>#REF!</v>
      </c>
      <c r="AJ123" s="375"/>
      <c r="AK123" s="392" t="e">
        <f ca="1">OFFSET(Initiatives!$D$1,K123-1,$BS$3)</f>
        <v>#REF!</v>
      </c>
      <c r="AL123" s="375"/>
      <c r="AM123" s="392" t="e">
        <f ca="1">OFFSET(Initiatives!$D$1,L123-1,$BS$3)</f>
        <v>#REF!</v>
      </c>
      <c r="AN123" s="375"/>
      <c r="AO123" s="392" t="e">
        <f ca="1">OFFSET(Initiatives!$D$1,M123-1,$BS$3)</f>
        <v>#REF!</v>
      </c>
      <c r="AP123" s="375"/>
      <c r="AQ123" s="392" t="e">
        <f ca="1">OFFSET(Initiatives!$D$1,N123-1,$BS$3)</f>
        <v>#REF!</v>
      </c>
      <c r="AR123" s="375"/>
      <c r="AS123" s="392" t="e">
        <f ca="1">OFFSET(Initiatives!$D$1,O123-1,$BS$3)</f>
        <v>#VALUE!</v>
      </c>
      <c r="AT123" s="375"/>
      <c r="AU123" s="392" t="e">
        <f ca="1">OFFSET(Initiatives!$D$1,P123-1,$BS$3)</f>
        <v>#VALUE!</v>
      </c>
      <c r="AV123" s="375"/>
      <c r="AW123" s="392" t="e">
        <f ca="1">OFFSET(Initiatives!$D$1,Q123-1,$BS$3)</f>
        <v>#VALUE!</v>
      </c>
      <c r="AX123" s="375"/>
      <c r="AY123" s="392" t="e">
        <f ca="1">OFFSET(Initiatives!$D$1,R123-1,$BS$3)</f>
        <v>#VALUE!</v>
      </c>
      <c r="AZ123" s="375"/>
      <c r="BA123" s="392" t="e">
        <f ca="1">OFFSET(Initiatives!$D$1,S123-1,$BS$3)</f>
        <v>#VALUE!</v>
      </c>
      <c r="BB123" s="375"/>
      <c r="BC123" s="392" t="e">
        <f ca="1">OFFSET(Initiatives!$D$1,T123-1,$BS$3)</f>
        <v>#VALUE!</v>
      </c>
      <c r="BD123" s="375"/>
      <c r="BE123" s="392" t="e">
        <f ca="1">OFFSET(Initiatives!$D$1,U123-1,$BS$3)</f>
        <v>#VALUE!</v>
      </c>
      <c r="BF123" s="375"/>
      <c r="BG123" s="392" t="e">
        <f ca="1">OFFSET(Initiatives!$D$1,V123-1,$BS$3)</f>
        <v>#VALUE!</v>
      </c>
      <c r="BH123" s="375"/>
      <c r="BI123" s="392" t="e">
        <f ca="1">OFFSET(Initiatives!$D$1,W123-1,$BS$3)</f>
        <v>#VALUE!</v>
      </c>
      <c r="BJ123" s="375"/>
      <c r="BK123" s="392" t="e">
        <f ca="1">OFFSET(Initiatives!$D$1,X123-1,$BS$3)</f>
        <v>#VALUE!</v>
      </c>
      <c r="BL123" s="375"/>
      <c r="BN123" s="101">
        <f t="shared" si="2024"/>
        <v>22.0001</v>
      </c>
      <c r="BP123" s="231" t="str">
        <f t="shared" ca="1" si="2025"/>
        <v>Source System Inclusion / Integration (37%); BI Applications (31%); Enhance BI Platform (28%)</v>
      </c>
      <c r="BQ123" s="338">
        <v>0.01</v>
      </c>
      <c r="BR123" s="40">
        <f t="shared" ca="1" si="2026"/>
        <v>4</v>
      </c>
      <c r="BS123" s="274">
        <v>0.05</v>
      </c>
      <c r="BT123" s="40">
        <f t="shared" ca="1" si="2027"/>
        <v>3</v>
      </c>
      <c r="BU123" s="376">
        <v>7</v>
      </c>
      <c r="BV123" s="40">
        <f t="shared" ca="1" si="2028"/>
        <v>3</v>
      </c>
      <c r="BY123" s="377">
        <f ca="1">IF(ISERROR(OFFSET(Initiatives!$D$1,E123-1,$BY$3)),,OFFSET(Initiatives!$D$1,E123-1,$BY$3))</f>
        <v>0.45555555555555544</v>
      </c>
      <c r="BZ123" s="377">
        <f ca="1">IF(ISERROR(OFFSET(Initiatives!$D$1,F123-1,$BY$3)),,OFFSET(Initiatives!$D$1,F123-1,$BY$3))</f>
        <v>0.45454545454545436</v>
      </c>
      <c r="CA123" s="377">
        <f ca="1">IF(ISERROR(OFFSET(Initiatives!$D$1,G123-1,$BY$3)),,OFFSET(Initiatives!$D$1,G123-1,$BY$3))</f>
        <v>7.7000000000000179E-2</v>
      </c>
      <c r="CB123" s="377">
        <f ca="1">IF(ISERROR(OFFSET(Initiatives!$D$1,H123-1,$BY$3)),,OFFSET(Initiatives!$D$1,H123-1,$BY$3))</f>
        <v>0.6</v>
      </c>
      <c r="CC123" s="377">
        <f ca="1">IF(ISERROR(OFFSET(Initiatives!$D$1,I123-1,$BY$3)),,OFFSET(Initiatives!$D$1,I123-1,$BY$3))</f>
        <v>0</v>
      </c>
      <c r="CD123" s="377">
        <f ca="1">IF(ISERROR(OFFSET(Initiatives!$D$1,J123-1,$BY$3)),,OFFSET(Initiatives!$D$1,J123-1,$BY$3))</f>
        <v>0</v>
      </c>
      <c r="CE123" s="377">
        <f ca="1">IF(ISERROR(OFFSET(Initiatives!$D$1,K123-1,$BY$3)),,OFFSET(Initiatives!$D$1,K123-1,$BY$3))</f>
        <v>0</v>
      </c>
      <c r="CF123" s="377">
        <f ca="1">IF(ISERROR(OFFSET(Initiatives!$D$1,L123-1,$BY$3)),,OFFSET(Initiatives!$D$1,L123-1,$BY$3))</f>
        <v>0</v>
      </c>
      <c r="CG123" s="377">
        <f ca="1">IF(ISERROR(OFFSET(Initiatives!$D$1,M123-1,$BY$3)),,OFFSET(Initiatives!$D$1,M123-1,$BY$3))</f>
        <v>0</v>
      </c>
      <c r="CH123" s="377">
        <f ca="1">IF(ISERROR(OFFSET(Initiatives!$D$1,N123-1,$BY$3)),,OFFSET(Initiatives!$D$1,N123-1,$BY$3))</f>
        <v>0</v>
      </c>
      <c r="CI123" s="377">
        <f ca="1">IF(ISERROR(OFFSET(Initiatives!$D$1,O123-1,$BY$3)),,OFFSET(Initiatives!$D$1,O123-1,$BY$3))</f>
        <v>0</v>
      </c>
      <c r="CJ123" s="377">
        <f ca="1">IF(ISERROR(OFFSET(Initiatives!$D$1,P123-1,$BY$3)),,OFFSET(Initiatives!$D$1,P123-1,$BY$3))</f>
        <v>0</v>
      </c>
      <c r="CK123" s="377">
        <f ca="1">IF(ISERROR(OFFSET(Initiatives!$D$1,Q123-1,$BY$3)),,OFFSET(Initiatives!$D$1,Q123-1,$BY$3))</f>
        <v>0</v>
      </c>
      <c r="CL123" s="377">
        <f ca="1">IF(ISERROR(OFFSET(Initiatives!$D$1,R123-1,$BY$3)),,OFFSET(Initiatives!$D$1,R123-1,$BY$3))</f>
        <v>0</v>
      </c>
      <c r="CM123" s="377">
        <f ca="1">IF(ISERROR(OFFSET(Initiatives!$D$1,S123-1,$BY$3)),,OFFSET(Initiatives!$D$1,S123-1,$BY$3))</f>
        <v>0</v>
      </c>
      <c r="CN123" s="377">
        <f ca="1">IF(ISERROR(OFFSET(Initiatives!$D$1,T123-1,$BY$3)),,OFFSET(Initiatives!$D$1,T123-1,$BY$3))</f>
        <v>0</v>
      </c>
      <c r="CO123" s="377">
        <f ca="1">IF(ISERROR(OFFSET(Initiatives!$D$1,U123-1,$BY$3)),,OFFSET(Initiatives!$D$1,U123-1,$BY$3))</f>
        <v>0</v>
      </c>
      <c r="CP123" s="377">
        <f ca="1">IF(ISERROR(OFFSET(Initiatives!$D$1,V123-1,$BY$3)),,OFFSET(Initiatives!$D$1,V123-1,$BY$3))</f>
        <v>0</v>
      </c>
      <c r="CQ123" s="377">
        <f ca="1">IF(ISERROR(OFFSET(Initiatives!$D$1,W123-1,$BY$3)),,OFFSET(Initiatives!$D$1,W123-1,$BY$3))</f>
        <v>0</v>
      </c>
      <c r="CR123" s="377">
        <f ca="1">IF(ISERROR(OFFSET(Initiatives!$D$1,X123-1,$BY$3)),,OFFSET(Initiatives!$D$1,X123-1,$BY$3))</f>
        <v>0</v>
      </c>
      <c r="CT123" s="41">
        <f t="shared" ca="1" si="2029"/>
        <v>0.12424185950669918</v>
      </c>
      <c r="CU123" s="41">
        <f t="shared" ca="1" si="2030"/>
        <v>0.14462744177609105</v>
      </c>
      <c r="CV123" s="41">
        <f t="shared" ca="1" si="2031"/>
        <v>1.7499920454907066E-2</v>
      </c>
      <c r="CW123" s="41">
        <f t="shared" ca="1" si="2032"/>
        <v>0.10909041322539442</v>
      </c>
      <c r="CX123" s="41">
        <f t="shared" ca="1" si="2033"/>
        <v>0</v>
      </c>
      <c r="CY123" s="41">
        <f t="shared" ca="1" si="2034"/>
        <v>0</v>
      </c>
      <c r="CZ123" s="41">
        <f t="shared" ca="1" si="2035"/>
        <v>0</v>
      </c>
      <c r="DA123" s="41">
        <f t="shared" ca="1" si="2036"/>
        <v>0</v>
      </c>
      <c r="DB123" s="41">
        <f t="shared" ca="1" si="2037"/>
        <v>0</v>
      </c>
      <c r="DC123" s="41">
        <f t="shared" ca="1" si="2038"/>
        <v>0</v>
      </c>
      <c r="DD123" s="41">
        <f t="shared" ca="1" si="2039"/>
        <v>0</v>
      </c>
      <c r="DE123" s="41">
        <f t="shared" ca="1" si="2040"/>
        <v>0</v>
      </c>
      <c r="DF123" s="41">
        <f t="shared" ca="1" si="2041"/>
        <v>0</v>
      </c>
      <c r="DG123" s="41">
        <f t="shared" ca="1" si="2042"/>
        <v>0</v>
      </c>
      <c r="DH123" s="41">
        <f t="shared" ca="1" si="2043"/>
        <v>0</v>
      </c>
      <c r="DI123" s="41">
        <f t="shared" ca="1" si="2044"/>
        <v>0</v>
      </c>
      <c r="DJ123" s="41">
        <f t="shared" ca="1" si="2045"/>
        <v>0</v>
      </c>
      <c r="DK123" s="41">
        <f t="shared" ca="1" si="2046"/>
        <v>0</v>
      </c>
      <c r="DL123" s="41">
        <f t="shared" ca="1" si="2047"/>
        <v>0</v>
      </c>
      <c r="DM123" s="41">
        <f t="shared" ca="1" si="2048"/>
        <v>0</v>
      </c>
      <c r="DN123" s="41">
        <f t="shared" ca="1" si="2049"/>
        <v>0.39545963496309172</v>
      </c>
      <c r="DP123" s="41">
        <f t="shared" ca="1" si="2050"/>
        <v>0.31416077375872931</v>
      </c>
      <c r="DQ123" s="41">
        <f t="shared" ca="1" si="2051"/>
        <v>0.36569985858832121</v>
      </c>
      <c r="DR123" s="41">
        <f t="shared" ca="1" si="2052"/>
        <v>4.4222102889186994E-2</v>
      </c>
      <c r="DS123" s="41">
        <f t="shared" ca="1" si="2053"/>
        <v>0.27581726476376239</v>
      </c>
      <c r="DT123" s="41">
        <f t="shared" ca="1" si="2054"/>
        <v>-5.0000000000000002E-5</v>
      </c>
      <c r="DU123" s="41">
        <f t="shared" ca="1" si="2055"/>
        <v>-6.0000000000000002E-5</v>
      </c>
      <c r="DV123" s="41">
        <f t="shared" ca="1" si="2056"/>
        <v>-6.9999999999999994E-5</v>
      </c>
      <c r="DW123" s="41">
        <f t="shared" ca="1" si="2057"/>
        <v>-8.0000000000000007E-5</v>
      </c>
      <c r="DX123" s="41">
        <f t="shared" ca="1" si="2058"/>
        <v>-9.0000000000000006E-5</v>
      </c>
      <c r="DY123" s="41">
        <f t="shared" ca="1" si="2059"/>
        <v>-1E-4</v>
      </c>
      <c r="DZ123" s="41">
        <f t="shared" ca="1" si="2060"/>
        <v>-1.1E-4</v>
      </c>
      <c r="EA123" s="41">
        <f t="shared" ca="1" si="2061"/>
        <v>-1.2E-4</v>
      </c>
      <c r="EB123" s="41">
        <f t="shared" ca="1" si="2062"/>
        <v>-1.2999999999999999E-4</v>
      </c>
      <c r="EC123" s="41">
        <f t="shared" ca="1" si="2063"/>
        <v>-1.3999999999999999E-4</v>
      </c>
      <c r="ED123" s="41">
        <f t="shared" ca="1" si="2064"/>
        <v>-1.4999999999999999E-4</v>
      </c>
      <c r="EE123" s="41">
        <f t="shared" ca="1" si="2065"/>
        <v>-1.6000000000000001E-4</v>
      </c>
      <c r="EF123" s="41">
        <f t="shared" ca="1" si="2066"/>
        <v>-1.7000000000000001E-4</v>
      </c>
      <c r="EG123" s="41">
        <f t="shared" ca="1" si="2067"/>
        <v>-1.8000000000000001E-4</v>
      </c>
      <c r="EH123" s="41">
        <f t="shared" ca="1" si="2068"/>
        <v>-1.9000000000000001E-4</v>
      </c>
      <c r="EI123" s="41">
        <f t="shared" ca="1" si="2069"/>
        <v>-2.0000000000000001E-4</v>
      </c>
      <c r="EJ123" s="41">
        <f t="shared" ca="1" si="2070"/>
        <v>0.99790000000000001</v>
      </c>
      <c r="EL123" s="378">
        <f t="shared" ca="1" si="2071"/>
        <v>2</v>
      </c>
      <c r="EM123" s="378">
        <f t="shared" ca="1" si="2072"/>
        <v>1</v>
      </c>
      <c r="EN123" s="378">
        <f t="shared" ca="1" si="2073"/>
        <v>4</v>
      </c>
      <c r="EO123" s="378">
        <f t="shared" ca="1" si="2074"/>
        <v>3</v>
      </c>
      <c r="EP123" s="378">
        <f t="shared" ca="1" si="2075"/>
        <v>5</v>
      </c>
      <c r="EQ123" s="378">
        <f t="shared" ca="1" si="2076"/>
        <v>6</v>
      </c>
      <c r="ER123" s="378">
        <f t="shared" ca="1" si="2077"/>
        <v>7</v>
      </c>
      <c r="ES123" s="378">
        <f t="shared" ca="1" si="2078"/>
        <v>8</v>
      </c>
      <c r="ET123" s="378">
        <f t="shared" ca="1" si="2079"/>
        <v>9</v>
      </c>
      <c r="EU123" s="378">
        <f t="shared" ca="1" si="2080"/>
        <v>10</v>
      </c>
      <c r="EV123" s="378">
        <f t="shared" ca="1" si="2081"/>
        <v>11</v>
      </c>
      <c r="EW123" s="378">
        <f t="shared" ca="1" si="2082"/>
        <v>12</v>
      </c>
      <c r="EX123" s="378">
        <f t="shared" ca="1" si="2083"/>
        <v>13</v>
      </c>
      <c r="EY123" s="378">
        <f t="shared" ca="1" si="2084"/>
        <v>14</v>
      </c>
      <c r="EZ123" s="378">
        <f t="shared" ca="1" si="2085"/>
        <v>15</v>
      </c>
      <c r="FA123" s="378">
        <f t="shared" ca="1" si="2086"/>
        <v>16</v>
      </c>
      <c r="FB123" s="378">
        <f t="shared" ca="1" si="2087"/>
        <v>17</v>
      </c>
      <c r="FC123" s="378">
        <f t="shared" ca="1" si="2088"/>
        <v>18</v>
      </c>
      <c r="FD123" s="378">
        <f t="shared" ca="1" si="2089"/>
        <v>19</v>
      </c>
      <c r="FE123" s="378">
        <f t="shared" ca="1" si="2090"/>
        <v>20</v>
      </c>
      <c r="FG123" s="378">
        <f t="shared" ca="1" si="2091"/>
        <v>2</v>
      </c>
      <c r="FH123" s="378">
        <f t="shared" ca="1" si="2091"/>
        <v>1</v>
      </c>
      <c r="FI123" s="378">
        <f t="shared" ca="1" si="2091"/>
        <v>4</v>
      </c>
      <c r="FJ123" s="378">
        <f t="shared" ca="1" si="2091"/>
        <v>3</v>
      </c>
      <c r="FK123" s="378">
        <f t="shared" ca="1" si="2091"/>
        <v>5</v>
      </c>
      <c r="FL123" s="378">
        <f t="shared" ca="1" si="2091"/>
        <v>6</v>
      </c>
      <c r="FM123" s="378">
        <f t="shared" ca="1" si="2091"/>
        <v>7</v>
      </c>
      <c r="FN123" s="378">
        <f t="shared" ca="1" si="2091"/>
        <v>8</v>
      </c>
      <c r="FO123" s="378">
        <f t="shared" ca="1" si="2091"/>
        <v>9</v>
      </c>
      <c r="FP123" s="378">
        <f t="shared" ca="1" si="2091"/>
        <v>10</v>
      </c>
      <c r="FQ123" s="378">
        <f t="shared" ca="1" si="2091"/>
        <v>11</v>
      </c>
      <c r="FR123" s="378">
        <f t="shared" ca="1" si="2091"/>
        <v>12</v>
      </c>
      <c r="FS123" s="378">
        <f t="shared" ca="1" si="2091"/>
        <v>13</v>
      </c>
      <c r="FT123" s="378">
        <f t="shared" ca="1" si="2091"/>
        <v>14</v>
      </c>
      <c r="FU123" s="378">
        <f t="shared" ca="1" si="2091"/>
        <v>15</v>
      </c>
      <c r="FV123" s="378">
        <f t="shared" ca="1" si="2091"/>
        <v>16</v>
      </c>
      <c r="FW123" s="378">
        <f t="shared" ca="1" si="2092"/>
        <v>17</v>
      </c>
      <c r="FX123" s="378">
        <f t="shared" ca="1" si="2092"/>
        <v>18</v>
      </c>
      <c r="FY123" s="378">
        <f t="shared" ca="1" si="2092"/>
        <v>19</v>
      </c>
      <c r="FZ123" s="378">
        <f t="shared" ca="1" si="2092"/>
        <v>20</v>
      </c>
      <c r="GB123" s="275" t="str">
        <f t="shared" ca="1" si="2093"/>
        <v>Source System Inclusion / Integration (37%)</v>
      </c>
      <c r="GC123" s="231" t="str">
        <f t="shared" ca="1" si="2094"/>
        <v>; BI Applications (31%)</v>
      </c>
      <c r="GD123" s="231" t="str">
        <f t="shared" ca="1" si="2095"/>
        <v>; Enhance BI Platform (28%)</v>
      </c>
      <c r="GE123" s="231" t="str">
        <f t="shared" ca="1" si="2096"/>
        <v/>
      </c>
      <c r="GF123" s="231" t="str">
        <f t="shared" ca="1" si="2097"/>
        <v/>
      </c>
      <c r="GG123" s="231" t="str">
        <f t="shared" ca="1" si="2098"/>
        <v/>
      </c>
      <c r="GH123" s="231" t="str">
        <f t="shared" ca="1" si="2099"/>
        <v/>
      </c>
      <c r="GI123" s="231" t="str">
        <f t="shared" ca="1" si="2100"/>
        <v/>
      </c>
      <c r="GJ123" s="231" t="str">
        <f t="shared" ca="1" si="2101"/>
        <v/>
      </c>
      <c r="GK123" s="231" t="str">
        <f t="shared" ca="1" si="2102"/>
        <v/>
      </c>
      <c r="GL123" s="231" t="str">
        <f t="shared" ca="1" si="2103"/>
        <v/>
      </c>
      <c r="GM123" s="231" t="str">
        <f t="shared" ca="1" si="2104"/>
        <v/>
      </c>
      <c r="GN123" s="231" t="str">
        <f t="shared" ca="1" si="2105"/>
        <v/>
      </c>
      <c r="GO123" s="231" t="str">
        <f t="shared" ca="1" si="2106"/>
        <v/>
      </c>
      <c r="GP123" s="231" t="str">
        <f t="shared" ca="1" si="2107"/>
        <v/>
      </c>
      <c r="GQ123" s="231" t="str">
        <f t="shared" ca="1" si="2108"/>
        <v/>
      </c>
      <c r="GR123" s="231" t="str">
        <f t="shared" ca="1" si="2109"/>
        <v/>
      </c>
      <c r="GS123" s="231" t="str">
        <f t="shared" ca="1" si="2110"/>
        <v/>
      </c>
      <c r="GT123" s="231" t="str">
        <f t="shared" ca="1" si="2111"/>
        <v/>
      </c>
      <c r="GU123" s="231" t="str">
        <f t="shared" ca="1" si="2112"/>
        <v/>
      </c>
      <c r="GW123" s="377">
        <f ca="1">IF(ISERROR(OFFSET(Initiatives!$D$1,E123-1,$CB$3)),,OFFSET(Initiatives!$D$1,E123-1,$CB$3))</f>
        <v>0.34166666666666662</v>
      </c>
      <c r="GX123" s="377">
        <f ca="1">IF(ISERROR(OFFSET(Initiatives!$D$1,F123-1,$CB$3)),,OFFSET(Initiatives!$D$1,F123-1,$CB$3))</f>
        <v>0.43181818181818177</v>
      </c>
      <c r="GY123" s="377">
        <f ca="1">IF(ISERROR(OFFSET(Initiatives!$D$1,G123-1,$CB$3)),,OFFSET(Initiatives!$D$1,G123-1,$CB$3))</f>
        <v>0.77</v>
      </c>
      <c r="GZ123" s="377">
        <f ca="1">IF(ISERROR(OFFSET(Initiatives!$D$1,H123-1,$CB$3)),,OFFSET(Initiatives!$D$1,H123-1,$CB$3))</f>
        <v>0.25</v>
      </c>
      <c r="HA123" s="377">
        <f ca="1">IF(ISERROR(OFFSET(Initiatives!$D$1,I123-1,$CB$3)),,OFFSET(Initiatives!$D$1,I123-1,$CB$3))</f>
        <v>0</v>
      </c>
      <c r="HB123" s="377">
        <f ca="1">IF(ISERROR(OFFSET(Initiatives!$D$1,J123-1,$CB$3)),,OFFSET(Initiatives!$D$1,J123-1,$CB$3))</f>
        <v>0</v>
      </c>
      <c r="HC123" s="377">
        <f ca="1">IF(ISERROR(OFFSET(Initiatives!$D$1,K123-1,$CB$3)),,OFFSET(Initiatives!$D$1,K123-1,$CB$3))</f>
        <v>0</v>
      </c>
      <c r="HD123" s="377">
        <f ca="1">IF(ISERROR(OFFSET(Initiatives!$D$1,L123-1,$CB$3)),,OFFSET(Initiatives!$D$1,L123-1,$CB$3))</f>
        <v>0</v>
      </c>
      <c r="HE123" s="377">
        <f ca="1">IF(ISERROR(OFFSET(Initiatives!$D$1,M123-1,$CB$3)),,OFFSET(Initiatives!$D$1,M123-1,$CB$3))</f>
        <v>0</v>
      </c>
      <c r="HF123" s="377">
        <f ca="1">IF(ISERROR(OFFSET(Initiatives!$D$1,N123-1,$CB$3)),,OFFSET(Initiatives!$D$1,N123-1,$CB$3))</f>
        <v>0</v>
      </c>
      <c r="HG123" s="377">
        <f ca="1">IF(ISERROR(OFFSET(Initiatives!$D$1,O123-1,$CB$3)),,OFFSET(Initiatives!$D$1,O123-1,$CB$3))</f>
        <v>0</v>
      </c>
      <c r="HH123" s="377">
        <f ca="1">IF(ISERROR(OFFSET(Initiatives!$D$1,P123-1,$CB$3)),,OFFSET(Initiatives!$D$1,P123-1,$CB$3))</f>
        <v>0</v>
      </c>
      <c r="HI123" s="377">
        <f ca="1">IF(ISERROR(OFFSET(Initiatives!$D$1,Q123-1,$CB$3)),,OFFSET(Initiatives!$D$1,Q123-1,$CB$3))</f>
        <v>0</v>
      </c>
      <c r="HJ123" s="377">
        <f ca="1">IF(ISERROR(OFFSET(Initiatives!$D$1,R123-1,$CB$3)),,OFFSET(Initiatives!$D$1,R123-1,$CB$3))</f>
        <v>0</v>
      </c>
      <c r="HK123" s="377">
        <f ca="1">IF(ISERROR(OFFSET(Initiatives!$D$1,S123-1,$CB$3)),,OFFSET(Initiatives!$D$1,S123-1,$CB$3))</f>
        <v>0</v>
      </c>
      <c r="HL123" s="377">
        <f ca="1">IF(ISERROR(OFFSET(Initiatives!$D$1,T123-1,$CB$3)),,OFFSET(Initiatives!$D$1,T123-1,$CB$3))</f>
        <v>0</v>
      </c>
      <c r="HM123" s="377">
        <f ca="1">IF(ISERROR(OFFSET(Initiatives!$D$1,U123-1,$CB$3)),,OFFSET(Initiatives!$D$1,U123-1,$CB$3))</f>
        <v>0</v>
      </c>
      <c r="HN123" s="377">
        <f ca="1">IF(ISERROR(OFFSET(Initiatives!$D$1,V123-1,$CB$3)),,OFFSET(Initiatives!$D$1,V123-1,$CB$3))</f>
        <v>0</v>
      </c>
      <c r="HO123" s="377">
        <f ca="1">IF(ISERROR(OFFSET(Initiatives!$D$1,W123-1,$CB$3)),,OFFSET(Initiatives!$D$1,W123-1,$CB$3))</f>
        <v>0</v>
      </c>
      <c r="HP123" s="377">
        <f ca="1">IF(ISERROR(OFFSET(Initiatives!$D$1,X123-1,$CB$3)),,OFFSET(Initiatives!$D$1,X123-1,$CB$3))</f>
        <v>0</v>
      </c>
      <c r="HR123" s="41">
        <f t="shared" ca="1" si="2113"/>
        <v>9.3181394630024408E-2</v>
      </c>
      <c r="HS123" s="41">
        <f t="shared" ca="1" si="2114"/>
        <v>0.13739606968728654</v>
      </c>
      <c r="HT123" s="41">
        <f t="shared" ca="1" si="2115"/>
        <v>0.17499920454907023</v>
      </c>
      <c r="HU123" s="41">
        <f t="shared" ca="1" si="2116"/>
        <v>4.5454338843914345E-2</v>
      </c>
      <c r="HV123" s="41">
        <f t="shared" ca="1" si="2117"/>
        <v>0</v>
      </c>
      <c r="HW123" s="41">
        <f t="shared" ca="1" si="2118"/>
        <v>0</v>
      </c>
      <c r="HX123" s="41">
        <f t="shared" ca="1" si="2119"/>
        <v>0</v>
      </c>
      <c r="HY123" s="41">
        <f t="shared" ca="1" si="2120"/>
        <v>0</v>
      </c>
      <c r="HZ123" s="41">
        <f t="shared" ca="1" si="2121"/>
        <v>0</v>
      </c>
      <c r="IA123" s="41">
        <f t="shared" ca="1" si="2122"/>
        <v>0</v>
      </c>
      <c r="IB123" s="41">
        <f t="shared" ca="1" si="2123"/>
        <v>0</v>
      </c>
      <c r="IC123" s="41">
        <f t="shared" ca="1" si="2124"/>
        <v>0</v>
      </c>
      <c r="ID123" s="41">
        <f t="shared" ca="1" si="2125"/>
        <v>0</v>
      </c>
      <c r="IE123" s="41">
        <f t="shared" ca="1" si="2126"/>
        <v>0</v>
      </c>
      <c r="IF123" s="41">
        <f t="shared" ca="1" si="2127"/>
        <v>0</v>
      </c>
      <c r="IG123" s="41">
        <f t="shared" ca="1" si="2128"/>
        <v>0</v>
      </c>
      <c r="IH123" s="41">
        <f t="shared" ca="1" si="2129"/>
        <v>0</v>
      </c>
      <c r="II123" s="41">
        <f t="shared" ca="1" si="2130"/>
        <v>0</v>
      </c>
      <c r="IJ123" s="41">
        <f t="shared" ca="1" si="2131"/>
        <v>0</v>
      </c>
      <c r="IK123" s="41">
        <f t="shared" ca="1" si="2132"/>
        <v>0</v>
      </c>
      <c r="IL123" s="41">
        <f t="shared" ca="1" si="2133"/>
        <v>0.45103100771029558</v>
      </c>
    </row>
    <row r="124" spans="1:246" hidden="1">
      <c r="A124" s="409"/>
      <c r="B124" s="409"/>
      <c r="C124" s="409"/>
      <c r="D124" s="409"/>
    </row>
    <row r="125" spans="1:246" s="409" customFormat="1" ht="15" hidden="1">
      <c r="B125" s="6" t="str">
        <f>Maturity!A11</f>
        <v>Sponsorship</v>
      </c>
      <c r="BP125" s="29"/>
    </row>
    <row r="126" spans="1:246" s="409" customFormat="1" ht="13.5" hidden="1" customHeight="1">
      <c r="B126" s="373"/>
      <c r="C126" s="81" t="str">
        <f>Maturity!B12</f>
        <v>Which best describes the SPONSOR of your BI/DW group?</v>
      </c>
      <c r="D126" s="404">
        <f t="shared" ref="D126:D130" ca="1" si="2134">DN126</f>
        <v>0.20616494862542817</v>
      </c>
      <c r="E126" s="374">
        <f>ROW(Initiatives!$A$100)</f>
        <v>100</v>
      </c>
      <c r="F126" s="374">
        <f>ROW(Initiatives!$A$101)</f>
        <v>101</v>
      </c>
      <c r="G126" s="374">
        <f>ROW(Initiatives!$A$170)</f>
        <v>170</v>
      </c>
      <c r="H126" s="374">
        <f>ROW(Initiatives!$A$176)</f>
        <v>176</v>
      </c>
      <c r="I126" s="374">
        <f>ROW(Initiatives!$A$183)</f>
        <v>183</v>
      </c>
      <c r="J126" s="374">
        <f>ROW(Initiatives!$A$189)</f>
        <v>189</v>
      </c>
      <c r="K126" s="374">
        <f>ROW(Initiatives!$A$178)</f>
        <v>178</v>
      </c>
      <c r="L126" s="374"/>
      <c r="M126" s="374"/>
      <c r="N126" s="374"/>
      <c r="O126" s="374" t="s">
        <v>975</v>
      </c>
      <c r="P126" s="374" t="s">
        <v>975</v>
      </c>
      <c r="Q126" s="374" t="s">
        <v>975</v>
      </c>
      <c r="R126" s="374" t="s">
        <v>975</v>
      </c>
      <c r="S126" s="374" t="s">
        <v>975</v>
      </c>
      <c r="T126" s="374" t="s">
        <v>975</v>
      </c>
      <c r="U126" s="374" t="s">
        <v>975</v>
      </c>
      <c r="V126" s="374" t="s">
        <v>975</v>
      </c>
      <c r="W126" s="374" t="s">
        <v>975</v>
      </c>
      <c r="X126" s="374" t="s">
        <v>975</v>
      </c>
      <c r="Y126" s="392" t="str">
        <f ca="1">OFFSET(Initiatives!$D$1,E126-1,$BS$3)</f>
        <v>Governance</v>
      </c>
      <c r="Z126" s="375">
        <v>8</v>
      </c>
      <c r="AA126" s="392" t="str">
        <f ca="1">OFFSET(Initiatives!$D$1,F126-1,$BS$3)</f>
        <v>Architecture</v>
      </c>
      <c r="AB126" s="375"/>
      <c r="AC126" s="392" t="str">
        <f ca="1">OFFSET(Initiatives!$D$1,G126-1,$BS$3)</f>
        <v>BI Applications</v>
      </c>
      <c r="AD126" s="375"/>
      <c r="AE126" s="392" t="str">
        <f ca="1">OFFSET(Initiatives!$D$1,H126-1,$BS$3)</f>
        <v>Source System Inclusion / Integration</v>
      </c>
      <c r="AF126" s="375"/>
      <c r="AG126" s="392" t="str">
        <f ca="1">OFFSET(Initiatives!$D$1,I126-1,$BS$3)</f>
        <v>Enhance DW Platform</v>
      </c>
      <c r="AH126" s="375">
        <v>2</v>
      </c>
      <c r="AI126" s="392" t="str">
        <f ca="1">OFFSET(Initiatives!$D$1,J126-1,$BS$3)</f>
        <v>Enhance BI Platform</v>
      </c>
      <c r="AJ126" s="375">
        <v>2</v>
      </c>
      <c r="AK126" s="392" t="str">
        <f ca="1">OFFSET(Initiatives!$D$1,K126-1,$BS$3)</f>
        <v>Architecture Standards &amp; Adherence</v>
      </c>
      <c r="AL126" s="375"/>
      <c r="AM126" s="392" t="e">
        <f ca="1">OFFSET(Initiatives!$D$1,L126-1,$BS$3)</f>
        <v>#REF!</v>
      </c>
      <c r="AN126" s="375"/>
      <c r="AO126" s="392" t="e">
        <f ca="1">OFFSET(Initiatives!$D$1,M126-1,$BS$3)</f>
        <v>#REF!</v>
      </c>
      <c r="AP126" s="375"/>
      <c r="AQ126" s="392" t="e">
        <f ca="1">OFFSET(Initiatives!$D$1,N126-1,$BS$3)</f>
        <v>#REF!</v>
      </c>
      <c r="AR126" s="375"/>
      <c r="AS126" s="392" t="e">
        <f ca="1">OFFSET(Initiatives!$D$1,O126-1,$BS$3)</f>
        <v>#VALUE!</v>
      </c>
      <c r="AT126" s="375"/>
      <c r="AU126" s="392" t="e">
        <f ca="1">OFFSET(Initiatives!$D$1,P126-1,$BS$3)</f>
        <v>#VALUE!</v>
      </c>
      <c r="AV126" s="375"/>
      <c r="AW126" s="392" t="e">
        <f ca="1">OFFSET(Initiatives!$D$1,Q126-1,$BS$3)</f>
        <v>#VALUE!</v>
      </c>
      <c r="AX126" s="375"/>
      <c r="AY126" s="392" t="e">
        <f ca="1">OFFSET(Initiatives!$D$1,R126-1,$BS$3)</f>
        <v>#VALUE!</v>
      </c>
      <c r="AZ126" s="375"/>
      <c r="BA126" s="392" t="e">
        <f ca="1">OFFSET(Initiatives!$D$1,S126-1,$BS$3)</f>
        <v>#VALUE!</v>
      </c>
      <c r="BB126" s="375"/>
      <c r="BC126" s="392" t="e">
        <f ca="1">OFFSET(Initiatives!$D$1,T126-1,$BS$3)</f>
        <v>#VALUE!</v>
      </c>
      <c r="BD126" s="375"/>
      <c r="BE126" s="392" t="e">
        <f ca="1">OFFSET(Initiatives!$D$1,U126-1,$BS$3)</f>
        <v>#VALUE!</v>
      </c>
      <c r="BF126" s="375"/>
      <c r="BG126" s="392" t="e">
        <f ca="1">OFFSET(Initiatives!$D$1,V126-1,$BS$3)</f>
        <v>#VALUE!</v>
      </c>
      <c r="BH126" s="375"/>
      <c r="BI126" s="392" t="e">
        <f ca="1">OFFSET(Initiatives!$D$1,W126-1,$BS$3)</f>
        <v>#VALUE!</v>
      </c>
      <c r="BJ126" s="375"/>
      <c r="BK126" s="392" t="e">
        <f ca="1">OFFSET(Initiatives!$D$1,X126-1,$BS$3)</f>
        <v>#VALUE!</v>
      </c>
      <c r="BL126" s="375"/>
      <c r="BN126" s="101">
        <f t="shared" ref="BN126:BN130" si="2135">SUM(Z126,AB126,AD126,AF126,AH126,AJ126,AL126,AN126,AP126,AR126,AT126,AV126,AX126,AZ126,BB126,BD126,BF126,BH126,BJ126,BL126)+0.0001</f>
        <v>12.0001</v>
      </c>
      <c r="BP126" s="231" t="str">
        <f t="shared" ref="BP126:BP130" ca="1" si="2136">CONCATENATE(GB126,GC126,GD126,GE126,GF126,GG126,GH126,GI126,GJ126,GK126,GL126,GM126,GN126,GO126,GP126,GQ126,GR126,GS126,GT126,GU126)</f>
        <v>Enhance BI Platform (48%); Governance (45%); Enhance DW Platform (6%)</v>
      </c>
      <c r="BQ126" s="338">
        <v>0.01</v>
      </c>
      <c r="BR126" s="40">
        <f t="shared" ref="BR126:BR130" ca="1" si="2137">COUNTIF(CT126:DM126,"&gt;"&amp;BQ126)</f>
        <v>3</v>
      </c>
      <c r="BS126" s="274">
        <v>0.05</v>
      </c>
      <c r="BT126" s="40">
        <f t="shared" ref="BT126:BT130" ca="1" si="2138">COUNTIF(DP126:EI126,"&gt;"&amp;BS126)</f>
        <v>3</v>
      </c>
      <c r="BU126" s="376">
        <v>7</v>
      </c>
      <c r="BV126" s="40">
        <f t="shared" ref="BV126:BV130" ca="1" si="2139">MIN(BR126,BT126,BU126)</f>
        <v>3</v>
      </c>
      <c r="BY126" s="377">
        <f ca="1">IF(ISERROR(OFFSET(Initiatives!$D$1,E126-1,$BY$3)),,OFFSET(Initiatives!$D$1,E126-1,$BY$3))</f>
        <v>0.14000000000000001</v>
      </c>
      <c r="BZ126" s="377">
        <f ca="1">IF(ISERROR(OFFSET(Initiatives!$D$1,F126-1,$BY$3)),,OFFSET(Initiatives!$D$1,F126-1,$BY$3))</f>
        <v>0.14000000000000001</v>
      </c>
      <c r="CA126" s="377">
        <f ca="1">IF(ISERROR(OFFSET(Initiatives!$D$1,G126-1,$BY$3)),,OFFSET(Initiatives!$D$1,G126-1,$BY$3))</f>
        <v>0.45555555555555544</v>
      </c>
      <c r="CB126" s="377">
        <f ca="1">IF(ISERROR(OFFSET(Initiatives!$D$1,H126-1,$BY$3)),,OFFSET(Initiatives!$D$1,H126-1,$BY$3))</f>
        <v>0.45454545454545436</v>
      </c>
      <c r="CC126" s="377">
        <f ca="1">IF(ISERROR(OFFSET(Initiatives!$D$1,I126-1,$BY$3)),,OFFSET(Initiatives!$D$1,I126-1,$BY$3))</f>
        <v>7.7000000000000179E-2</v>
      </c>
      <c r="CD126" s="377">
        <f ca="1">IF(ISERROR(OFFSET(Initiatives!$D$1,J126-1,$BY$3)),,OFFSET(Initiatives!$D$1,J126-1,$BY$3))</f>
        <v>0.6</v>
      </c>
      <c r="CE126" s="377">
        <f ca="1">IF(ISERROR(OFFSET(Initiatives!$D$1,K126-1,$BY$3)),,OFFSET(Initiatives!$D$1,K126-1,$BY$3))</f>
        <v>0.14000000000000012</v>
      </c>
      <c r="CF126" s="377">
        <f ca="1">IF(ISERROR(OFFSET(Initiatives!$D$1,L126-1,$BY$3)),,OFFSET(Initiatives!$D$1,L126-1,$BY$3))</f>
        <v>0</v>
      </c>
      <c r="CG126" s="377">
        <f ca="1">IF(ISERROR(OFFSET(Initiatives!$D$1,M126-1,$BY$3)),,OFFSET(Initiatives!$D$1,M126-1,$BY$3))</f>
        <v>0</v>
      </c>
      <c r="CH126" s="377">
        <f ca="1">IF(ISERROR(OFFSET(Initiatives!$D$1,N126-1,$BY$3)),,OFFSET(Initiatives!$D$1,N126-1,$BY$3))</f>
        <v>0</v>
      </c>
      <c r="CI126" s="377">
        <f ca="1">IF(ISERROR(OFFSET(Initiatives!$D$1,O126-1,$BY$3)),,OFFSET(Initiatives!$D$1,O126-1,$BY$3))</f>
        <v>0</v>
      </c>
      <c r="CJ126" s="377">
        <f ca="1">IF(ISERROR(OFFSET(Initiatives!$D$1,P126-1,$BY$3)),,OFFSET(Initiatives!$D$1,P126-1,$BY$3))</f>
        <v>0</v>
      </c>
      <c r="CK126" s="377">
        <f ca="1">IF(ISERROR(OFFSET(Initiatives!$D$1,Q126-1,$BY$3)),,OFFSET(Initiatives!$D$1,Q126-1,$BY$3))</f>
        <v>0</v>
      </c>
      <c r="CL126" s="377">
        <f ca="1">IF(ISERROR(OFFSET(Initiatives!$D$1,R126-1,$BY$3)),,OFFSET(Initiatives!$D$1,R126-1,$BY$3))</f>
        <v>0</v>
      </c>
      <c r="CM126" s="377">
        <f ca="1">IF(ISERROR(OFFSET(Initiatives!$D$1,S126-1,$BY$3)),,OFFSET(Initiatives!$D$1,S126-1,$BY$3))</f>
        <v>0</v>
      </c>
      <c r="CN126" s="377">
        <f ca="1">IF(ISERROR(OFFSET(Initiatives!$D$1,T126-1,$BY$3)),,OFFSET(Initiatives!$D$1,T126-1,$BY$3))</f>
        <v>0</v>
      </c>
      <c r="CO126" s="377">
        <f ca="1">IF(ISERROR(OFFSET(Initiatives!$D$1,U126-1,$BY$3)),,OFFSET(Initiatives!$D$1,U126-1,$BY$3))</f>
        <v>0</v>
      </c>
      <c r="CP126" s="377">
        <f ca="1">IF(ISERROR(OFFSET(Initiatives!$D$1,V126-1,$BY$3)),,OFFSET(Initiatives!$D$1,V126-1,$BY$3))</f>
        <v>0</v>
      </c>
      <c r="CQ126" s="377">
        <f ca="1">IF(ISERROR(OFFSET(Initiatives!$D$1,W126-1,$BY$3)),,OFFSET(Initiatives!$D$1,W126-1,$BY$3))</f>
        <v>0</v>
      </c>
      <c r="CR126" s="377">
        <f ca="1">IF(ISERROR(OFFSET(Initiatives!$D$1,X126-1,$BY$3)),,OFFSET(Initiatives!$D$1,X126-1,$BY$3))</f>
        <v>0</v>
      </c>
      <c r="CT126" s="41">
        <f t="shared" ref="CT126:CT130" ca="1" si="2140">BY126*Z126/$BN126</f>
        <v>9.3332555562036998E-2</v>
      </c>
      <c r="CU126" s="41">
        <f t="shared" ref="CU126:CU130" ca="1" si="2141">BZ126*AB126/$BN126</f>
        <v>0</v>
      </c>
      <c r="CV126" s="41">
        <f t="shared" ref="CV126:CV130" ca="1" si="2142">CA126*AD126/$BN126</f>
        <v>0</v>
      </c>
      <c r="CW126" s="41">
        <f t="shared" ref="CW126:CW130" ca="1" si="2143">CB126*AF126/$BN126</f>
        <v>0</v>
      </c>
      <c r="CX126" s="41">
        <f t="shared" ref="CX126:CX130" ca="1" si="2144">CC126*AH126/$BN126</f>
        <v>1.2833226389780116E-2</v>
      </c>
      <c r="CY126" s="41">
        <f t="shared" ref="CY126:CY130" ca="1" si="2145">CD126*AJ126/$BN126</f>
        <v>9.9999166673611056E-2</v>
      </c>
      <c r="CZ126" s="41">
        <f t="shared" ref="CZ126:CZ130" ca="1" si="2146">CE126*AL126/$BN126</f>
        <v>0</v>
      </c>
      <c r="DA126" s="41">
        <f t="shared" ref="DA126:DA130" ca="1" si="2147">CF126*AN126/$BN126</f>
        <v>0</v>
      </c>
      <c r="DB126" s="41">
        <f t="shared" ref="DB126:DB130" ca="1" si="2148">CG126*AP126/$BN126</f>
        <v>0</v>
      </c>
      <c r="DC126" s="41">
        <f t="shared" ref="DC126:DC130" ca="1" si="2149">CH126*AR126/$BN126</f>
        <v>0</v>
      </c>
      <c r="DD126" s="41">
        <f t="shared" ref="DD126:DD130" ca="1" si="2150">CI126*AT126/$BN126</f>
        <v>0</v>
      </c>
      <c r="DE126" s="41">
        <f t="shared" ref="DE126:DE130" ca="1" si="2151">CJ126*AV126/$BN126</f>
        <v>0</v>
      </c>
      <c r="DF126" s="41">
        <f t="shared" ref="DF126:DF130" ca="1" si="2152">CK126*AX126/$BN126</f>
        <v>0</v>
      </c>
      <c r="DG126" s="41">
        <f t="shared" ref="DG126:DG130" ca="1" si="2153">CL126*AZ126/$BN126</f>
        <v>0</v>
      </c>
      <c r="DH126" s="41">
        <f t="shared" ref="DH126:DH130" ca="1" si="2154">CM126*BB126/$BN126</f>
        <v>0</v>
      </c>
      <c r="DI126" s="41">
        <f t="shared" ref="DI126:DI130" ca="1" si="2155">CN126*BD126/$BN126</f>
        <v>0</v>
      </c>
      <c r="DJ126" s="41">
        <f t="shared" ref="DJ126:DJ130" ca="1" si="2156">CO126*BF126/$BN126</f>
        <v>0</v>
      </c>
      <c r="DK126" s="41">
        <f t="shared" ref="DK126:DK130" ca="1" si="2157">CP126*BH126/$BN126</f>
        <v>0</v>
      </c>
      <c r="DL126" s="41">
        <f t="shared" ref="DL126:DL130" ca="1" si="2158">CQ126*BJ126/$BN126</f>
        <v>0</v>
      </c>
      <c r="DM126" s="41">
        <f t="shared" ref="DM126:DM130" ca="1" si="2159">CR126*BL126/$BN126</f>
        <v>0</v>
      </c>
      <c r="DN126" s="41">
        <f t="shared" ref="DN126:DN130" ca="1" si="2160">SUM(CT126:DM126)</f>
        <v>0.20616494862542817</v>
      </c>
      <c r="DP126" s="41">
        <f t="shared" ref="DP126:DP130" ca="1" si="2161">CT126/$DN126-DP$5/100000</f>
        <v>0.45269816491511716</v>
      </c>
      <c r="DQ126" s="41">
        <f t="shared" ref="DQ126:DQ130" ca="1" si="2162">CU126/$DN126-DQ$5/100000</f>
        <v>-2.0000000000000002E-5</v>
      </c>
      <c r="DR126" s="41">
        <f t="shared" ref="DR126:DR130" ca="1" si="2163">CV126/$DN126-DR$5/100000</f>
        <v>-3.0000000000000001E-5</v>
      </c>
      <c r="DS126" s="41">
        <f t="shared" ref="DS126:DS130" ca="1" si="2164">CW126/$DN126-DS$5/100000</f>
        <v>-4.0000000000000003E-5</v>
      </c>
      <c r="DT126" s="41">
        <f t="shared" ref="DT126:DT130" ca="1" si="2165">CX126/$DN126-DT$5/100000</f>
        <v>6.2197372675828748E-2</v>
      </c>
      <c r="DU126" s="41">
        <f t="shared" ref="DU126:DU130" ca="1" si="2166">CY126/$DN126-DU$5/100000</f>
        <v>0.48498446240905407</v>
      </c>
      <c r="DV126" s="41">
        <f t="shared" ref="DV126:DV130" ca="1" si="2167">CZ126/$DN126-DV$5/100000</f>
        <v>-6.9999999999999994E-5</v>
      </c>
      <c r="DW126" s="41">
        <f t="shared" ref="DW126:DW130" ca="1" si="2168">DA126/$DN126-DW$5/100000</f>
        <v>-8.0000000000000007E-5</v>
      </c>
      <c r="DX126" s="41">
        <f t="shared" ref="DX126:DX130" ca="1" si="2169">DB126/$DN126-DX$5/100000</f>
        <v>-9.0000000000000006E-5</v>
      </c>
      <c r="DY126" s="41">
        <f t="shared" ref="DY126:DY130" ca="1" si="2170">DC126/$DN126-DY$5/100000</f>
        <v>-1E-4</v>
      </c>
      <c r="DZ126" s="41">
        <f t="shared" ref="DZ126:DZ130" ca="1" si="2171">DD126/$DN126-DZ$5/100000</f>
        <v>-1.1E-4</v>
      </c>
      <c r="EA126" s="41">
        <f t="shared" ref="EA126:EA130" ca="1" si="2172">DE126/$DN126-EA$5/100000</f>
        <v>-1.2E-4</v>
      </c>
      <c r="EB126" s="41">
        <f t="shared" ref="EB126:EB130" ca="1" si="2173">DF126/$DN126-EB$5/100000</f>
        <v>-1.2999999999999999E-4</v>
      </c>
      <c r="EC126" s="41">
        <f t="shared" ref="EC126:EC130" ca="1" si="2174">DG126/$DN126-EC$5/100000</f>
        <v>-1.3999999999999999E-4</v>
      </c>
      <c r="ED126" s="41">
        <f t="shared" ref="ED126:ED130" ca="1" si="2175">DH126/$DN126-ED$5/100000</f>
        <v>-1.4999999999999999E-4</v>
      </c>
      <c r="EE126" s="41">
        <f t="shared" ref="EE126:EE130" ca="1" si="2176">DI126/$DN126-EE$5/100000</f>
        <v>-1.6000000000000001E-4</v>
      </c>
      <c r="EF126" s="41">
        <f t="shared" ref="EF126:EF130" ca="1" si="2177">DJ126/$DN126-EF$5/100000</f>
        <v>-1.7000000000000001E-4</v>
      </c>
      <c r="EG126" s="41">
        <f t="shared" ref="EG126:EG130" ca="1" si="2178">DK126/$DN126-EG$5/100000</f>
        <v>-1.8000000000000001E-4</v>
      </c>
      <c r="EH126" s="41">
        <f t="shared" ref="EH126:EH130" ca="1" si="2179">DL126/$DN126-EH$5/100000</f>
        <v>-1.9000000000000001E-4</v>
      </c>
      <c r="EI126" s="41">
        <f t="shared" ref="EI126:EI130" ca="1" si="2180">DM126/$DN126-EI$5/100000</f>
        <v>-2.0000000000000001E-4</v>
      </c>
      <c r="EJ126" s="41">
        <f t="shared" ref="EJ126:EJ130" ca="1" si="2181">SUM(DP126:EI126)</f>
        <v>0.9978999999999999</v>
      </c>
      <c r="EL126" s="378">
        <f t="shared" ref="EL126:EL130" ca="1" si="2182">RANK(DP126,$DP126:$EI126)</f>
        <v>2</v>
      </c>
      <c r="EM126" s="378">
        <f t="shared" ref="EM126:EM130" ca="1" si="2183">RANK(DQ126,$DP126:$EI126)</f>
        <v>4</v>
      </c>
      <c r="EN126" s="378">
        <f t="shared" ref="EN126:EN130" ca="1" si="2184">RANK(DR126,$DP126:$EI126)</f>
        <v>5</v>
      </c>
      <c r="EO126" s="378">
        <f t="shared" ref="EO126:EO130" ca="1" si="2185">RANK(DS126,$DP126:$EI126)</f>
        <v>6</v>
      </c>
      <c r="EP126" s="378">
        <f t="shared" ref="EP126:EP130" ca="1" si="2186">RANK(DT126,$DP126:$EI126)</f>
        <v>3</v>
      </c>
      <c r="EQ126" s="378">
        <f t="shared" ref="EQ126:EQ130" ca="1" si="2187">RANK(DU126,$DP126:$EI126)</f>
        <v>1</v>
      </c>
      <c r="ER126" s="378">
        <f t="shared" ref="ER126:ER130" ca="1" si="2188">RANK(DV126,$DP126:$EI126)</f>
        <v>7</v>
      </c>
      <c r="ES126" s="378">
        <f t="shared" ref="ES126:ES130" ca="1" si="2189">RANK(DW126,$DP126:$EI126)</f>
        <v>8</v>
      </c>
      <c r="ET126" s="378">
        <f t="shared" ref="ET126:ET130" ca="1" si="2190">RANK(DX126,$DP126:$EI126)</f>
        <v>9</v>
      </c>
      <c r="EU126" s="378">
        <f t="shared" ref="EU126:EU130" ca="1" si="2191">RANK(DY126,$DP126:$EI126)</f>
        <v>10</v>
      </c>
      <c r="EV126" s="378">
        <f t="shared" ref="EV126:EV130" ca="1" si="2192">RANK(DZ126,$DP126:$EI126)</f>
        <v>11</v>
      </c>
      <c r="EW126" s="378">
        <f t="shared" ref="EW126:EW130" ca="1" si="2193">RANK(EA126,$DP126:$EI126)</f>
        <v>12</v>
      </c>
      <c r="EX126" s="378">
        <f t="shared" ref="EX126:EX130" ca="1" si="2194">RANK(EB126,$DP126:$EI126)</f>
        <v>13</v>
      </c>
      <c r="EY126" s="378">
        <f t="shared" ref="EY126:EY130" ca="1" si="2195">RANK(EC126,$DP126:$EI126)</f>
        <v>14</v>
      </c>
      <c r="EZ126" s="378">
        <f t="shared" ref="EZ126:EZ130" ca="1" si="2196">RANK(ED126,$DP126:$EI126)</f>
        <v>15</v>
      </c>
      <c r="FA126" s="378">
        <f t="shared" ref="FA126:FA130" ca="1" si="2197">RANK(EE126,$DP126:$EI126)</f>
        <v>16</v>
      </c>
      <c r="FB126" s="378">
        <f t="shared" ref="FB126:FB130" ca="1" si="2198">RANK(EF126,$DP126:$EI126)</f>
        <v>17</v>
      </c>
      <c r="FC126" s="378">
        <f t="shared" ref="FC126:FC130" ca="1" si="2199">RANK(EG126,$DP126:$EI126)</f>
        <v>18</v>
      </c>
      <c r="FD126" s="378">
        <f t="shared" ref="FD126:FD130" ca="1" si="2200">RANK(EH126,$DP126:$EI126)</f>
        <v>19</v>
      </c>
      <c r="FE126" s="378">
        <f t="shared" ref="FE126:FE130" ca="1" si="2201">RANK(EI126,$DP126:$EI126)</f>
        <v>20</v>
      </c>
      <c r="FG126" s="378">
        <f t="shared" ca="1" si="2091"/>
        <v>6</v>
      </c>
      <c r="FH126" s="378">
        <f t="shared" ca="1" si="2091"/>
        <v>1</v>
      </c>
      <c r="FI126" s="378">
        <f t="shared" ca="1" si="2091"/>
        <v>5</v>
      </c>
      <c r="FJ126" s="378">
        <f t="shared" ca="1" si="2091"/>
        <v>2</v>
      </c>
      <c r="FK126" s="378">
        <f t="shared" ca="1" si="2091"/>
        <v>3</v>
      </c>
      <c r="FL126" s="378">
        <f t="shared" ca="1" si="2091"/>
        <v>4</v>
      </c>
      <c r="FM126" s="378">
        <f t="shared" ca="1" si="2091"/>
        <v>7</v>
      </c>
      <c r="FN126" s="378">
        <f t="shared" ca="1" si="2091"/>
        <v>8</v>
      </c>
      <c r="FO126" s="378">
        <f t="shared" ca="1" si="2091"/>
        <v>9</v>
      </c>
      <c r="FP126" s="378">
        <f t="shared" ca="1" si="2091"/>
        <v>10</v>
      </c>
      <c r="FQ126" s="378">
        <f t="shared" ca="1" si="2091"/>
        <v>11</v>
      </c>
      <c r="FR126" s="378">
        <f t="shared" ca="1" si="2091"/>
        <v>12</v>
      </c>
      <c r="FS126" s="378">
        <f t="shared" ca="1" si="2091"/>
        <v>13</v>
      </c>
      <c r="FT126" s="378">
        <f t="shared" ca="1" si="2091"/>
        <v>14</v>
      </c>
      <c r="FU126" s="378">
        <f t="shared" ca="1" si="2091"/>
        <v>15</v>
      </c>
      <c r="FV126" s="378">
        <f t="shared" ca="1" si="2091"/>
        <v>16</v>
      </c>
      <c r="FW126" s="378">
        <f t="shared" ca="1" si="2092"/>
        <v>17</v>
      </c>
      <c r="FX126" s="378">
        <f t="shared" ca="1" si="2092"/>
        <v>18</v>
      </c>
      <c r="FY126" s="378">
        <f t="shared" ca="1" si="2092"/>
        <v>19</v>
      </c>
      <c r="FZ126" s="378">
        <f t="shared" ca="1" si="2092"/>
        <v>20</v>
      </c>
      <c r="GB126" s="275" t="str">
        <f t="shared" ref="GB126:GB130" ca="1" si="2202">IF(GB$5&lt;=$BV126,INDEX($Y126:$BL126,1,FG126*2-1)&amp;" ("&amp;TEXT(INDEX($DP126:$EI126,1,FG126),"0%")&amp;")","")</f>
        <v>Enhance BI Platform (48%)</v>
      </c>
      <c r="GC126" s="231" t="str">
        <f t="shared" ref="GC126:GC130" ca="1" si="2203">IF(GC$5&lt;=$BV126,"; "&amp;INDEX($Y126:$BL126,1,FH126*2-1)&amp;" ("&amp;TEXT(INDEX($DP126:$EI126,1,FH126),"0%")&amp;")","")</f>
        <v>; Governance (45%)</v>
      </c>
      <c r="GD126" s="231" t="str">
        <f t="shared" ref="GD126:GD130" ca="1" si="2204">IF(GD$5&lt;=$BV126,"; "&amp;INDEX($Y126:$BL126,1,FI126*2-1)&amp;" ("&amp;TEXT(INDEX($DP126:$EI126,1,FI126),"0%")&amp;")","")</f>
        <v>; Enhance DW Platform (6%)</v>
      </c>
      <c r="GE126" s="231" t="str">
        <f t="shared" ref="GE126:GE130" ca="1" si="2205">IF(GE$5&lt;=$BV126,"; "&amp;INDEX($Y126:$BL126,1,FJ126*2-1)&amp;" ("&amp;TEXT(INDEX($DP126:$EI126,1,FJ126),"0%")&amp;")","")</f>
        <v/>
      </c>
      <c r="GF126" s="231" t="str">
        <f t="shared" ref="GF126:GF130" ca="1" si="2206">IF(GF$5&lt;=$BV126,"; "&amp;INDEX($Y126:$BL126,1,FK126*2-1)&amp;" ("&amp;TEXT(INDEX($DP126:$EI126,1,FK126),"0%")&amp;")","")</f>
        <v/>
      </c>
      <c r="GG126" s="231" t="str">
        <f t="shared" ref="GG126:GG130" ca="1" si="2207">IF(GG$5&lt;=$BV126,"; "&amp;INDEX($Y126:$BL126,1,FL126*2-1)&amp;" ("&amp;TEXT(INDEX($DP126:$EI126,1,FL126),"0%")&amp;")","")</f>
        <v/>
      </c>
      <c r="GH126" s="231" t="str">
        <f t="shared" ref="GH126:GH130" ca="1" si="2208">IF(GH$5&lt;=$BV126,"; "&amp;INDEX($Y126:$BL126,1,FM126*2-1)&amp;" ("&amp;TEXT(INDEX($DP126:$EI126,1,FM126),"0%")&amp;")","")</f>
        <v/>
      </c>
      <c r="GI126" s="231" t="str">
        <f t="shared" ref="GI126:GI130" ca="1" si="2209">IF(GI$5&lt;=$BV126,"; "&amp;INDEX($Y126:$BL126,1,FN126*2-1)&amp;" ("&amp;TEXT(INDEX($DP126:$EI126,1,FN126),"0%")&amp;")","")</f>
        <v/>
      </c>
      <c r="GJ126" s="231" t="str">
        <f t="shared" ref="GJ126:GJ130" ca="1" si="2210">IF(GJ$5&lt;=$BV126,"; "&amp;INDEX($Y126:$BL126,1,FO126*2-1)&amp;" ("&amp;TEXT(INDEX($DP126:$EI126,1,FO126),"0%")&amp;")","")</f>
        <v/>
      </c>
      <c r="GK126" s="231" t="str">
        <f t="shared" ref="GK126:GK130" ca="1" si="2211">IF(GK$5&lt;=$BV126,"; "&amp;INDEX($Y126:$BL126,1,FP126*2-1)&amp;" ("&amp;TEXT(INDEX($DP126:$EI126,1,FP126),"0%")&amp;")","")</f>
        <v/>
      </c>
      <c r="GL126" s="231" t="str">
        <f t="shared" ref="GL126:GL130" ca="1" si="2212">IF(GL$5&lt;=$BV126,"; "&amp;INDEX($Y126:$BL126,1,FQ126*2-1)&amp;" ("&amp;TEXT(INDEX($DP126:$EI126,1,FQ126),"0%")&amp;")","")</f>
        <v/>
      </c>
      <c r="GM126" s="231" t="str">
        <f t="shared" ref="GM126:GM130" ca="1" si="2213">IF(GM$5&lt;=$BV126,"; "&amp;INDEX($Y126:$BL126,1,FR126*2-1)&amp;" ("&amp;TEXT(INDEX($DP126:$EI126,1,FR126),"0%")&amp;")","")</f>
        <v/>
      </c>
      <c r="GN126" s="231" t="str">
        <f t="shared" ref="GN126:GN130" ca="1" si="2214">IF(GN$5&lt;=$BV126,"; "&amp;INDEX($Y126:$BL126,1,FS126*2-1)&amp;" ("&amp;TEXT(INDEX($DP126:$EI126,1,FS126),"0%")&amp;")","")</f>
        <v/>
      </c>
      <c r="GO126" s="231" t="str">
        <f t="shared" ref="GO126:GO130" ca="1" si="2215">IF(GO$5&lt;=$BV126,"; "&amp;INDEX($Y126:$BL126,1,FT126*2-1)&amp;" ("&amp;TEXT(INDEX($DP126:$EI126,1,FT126),"0%")&amp;")","")</f>
        <v/>
      </c>
      <c r="GP126" s="231" t="str">
        <f t="shared" ref="GP126:GP130" ca="1" si="2216">IF(GP$5&lt;=$BV126,"; "&amp;INDEX($Y126:$BL126,1,FU126*2-1)&amp;" ("&amp;TEXT(INDEX($DP126:$EI126,1,FU126),"0%")&amp;")","")</f>
        <v/>
      </c>
      <c r="GQ126" s="231" t="str">
        <f t="shared" ref="GQ126:GQ130" ca="1" si="2217">IF(GQ$5&lt;=$BV126,"; "&amp;INDEX($Y126:$BL126,1,FV126*2-1)&amp;" ("&amp;TEXT(INDEX($DP126:$EI126,1,FV126),"0%")&amp;")","")</f>
        <v/>
      </c>
      <c r="GR126" s="231" t="str">
        <f t="shared" ref="GR126:GR130" ca="1" si="2218">IF(GR$5&lt;=$BV126,"; "&amp;INDEX($Y126:$BL126,1,FW126*2-1)&amp;" ("&amp;TEXT(INDEX($DP126:$EI126,1,FW126),"0%")&amp;")","")</f>
        <v/>
      </c>
      <c r="GS126" s="231" t="str">
        <f t="shared" ref="GS126:GS130" ca="1" si="2219">IF(GS$5&lt;=$BV126,"; "&amp;INDEX($Y126:$BL126,1,FX126*2-1)&amp;" ("&amp;TEXT(INDEX($DP126:$EI126,1,FX126),"0%")&amp;")","")</f>
        <v/>
      </c>
      <c r="GT126" s="231" t="str">
        <f t="shared" ref="GT126:GT130" ca="1" si="2220">IF(GT$5&lt;=$BV126,"; "&amp;INDEX($Y126:$BL126,1,FY126*2-1)&amp;" ("&amp;TEXT(INDEX($DP126:$EI126,1,FY126),"0%")&amp;")","")</f>
        <v/>
      </c>
      <c r="GU126" s="231" t="str">
        <f t="shared" ref="GU126:GU130" ca="1" si="2221">IF(GU$5&lt;=$BV126,"; "&amp;INDEX($Y126:$BL126,1,FZ126*2-1)&amp;" ("&amp;TEXT(INDEX($DP126:$EI126,1,FZ126),"0%")&amp;")","")</f>
        <v/>
      </c>
      <c r="GW126" s="377">
        <f ca="1">IF(ISERROR(OFFSET(Initiatives!$D$1,E126-1,$CB$3)),,OFFSET(Initiatives!$D$1,E126-1,$CB$3))</f>
        <v>0.65</v>
      </c>
      <c r="GX126" s="377">
        <f ca="1">IF(ISERROR(OFFSET(Initiatives!$D$1,F126-1,$CB$3)),,OFFSET(Initiatives!$D$1,F126-1,$CB$3))</f>
        <v>0.65</v>
      </c>
      <c r="GY126" s="377">
        <f ca="1">IF(ISERROR(OFFSET(Initiatives!$D$1,G126-1,$CB$3)),,OFFSET(Initiatives!$D$1,G126-1,$CB$3))</f>
        <v>0.34166666666666662</v>
      </c>
      <c r="GZ126" s="377">
        <f ca="1">IF(ISERROR(OFFSET(Initiatives!$D$1,H126-1,$CB$3)),,OFFSET(Initiatives!$D$1,H126-1,$CB$3))</f>
        <v>0.43181818181818177</v>
      </c>
      <c r="HA126" s="377">
        <f ca="1">IF(ISERROR(OFFSET(Initiatives!$D$1,I126-1,$CB$3)),,OFFSET(Initiatives!$D$1,I126-1,$CB$3))</f>
        <v>0.77</v>
      </c>
      <c r="HB126" s="377">
        <f ca="1">IF(ISERROR(OFFSET(Initiatives!$D$1,J126-1,$CB$3)),,OFFSET(Initiatives!$D$1,J126-1,$CB$3))</f>
        <v>0.25</v>
      </c>
      <c r="HC126" s="377">
        <f ca="1">IF(ISERROR(OFFSET(Initiatives!$D$1,K126-1,$CB$3)),,OFFSET(Initiatives!$D$1,K126-1,$CB$3))</f>
        <v>0.65</v>
      </c>
      <c r="HD126" s="377">
        <f ca="1">IF(ISERROR(OFFSET(Initiatives!$D$1,L126-1,$CB$3)),,OFFSET(Initiatives!$D$1,L126-1,$CB$3))</f>
        <v>0</v>
      </c>
      <c r="HE126" s="377">
        <f ca="1">IF(ISERROR(OFFSET(Initiatives!$D$1,M126-1,$CB$3)),,OFFSET(Initiatives!$D$1,M126-1,$CB$3))</f>
        <v>0</v>
      </c>
      <c r="HF126" s="377">
        <f ca="1">IF(ISERROR(OFFSET(Initiatives!$D$1,N126-1,$CB$3)),,OFFSET(Initiatives!$D$1,N126-1,$CB$3))</f>
        <v>0</v>
      </c>
      <c r="HG126" s="377">
        <f ca="1">IF(ISERROR(OFFSET(Initiatives!$D$1,O126-1,$CB$3)),,OFFSET(Initiatives!$D$1,O126-1,$CB$3))</f>
        <v>0</v>
      </c>
      <c r="HH126" s="377">
        <f ca="1">IF(ISERROR(OFFSET(Initiatives!$D$1,P126-1,$CB$3)),,OFFSET(Initiatives!$D$1,P126-1,$CB$3))</f>
        <v>0</v>
      </c>
      <c r="HI126" s="377">
        <f ca="1">IF(ISERROR(OFFSET(Initiatives!$D$1,Q126-1,$CB$3)),,OFFSET(Initiatives!$D$1,Q126-1,$CB$3))</f>
        <v>0</v>
      </c>
      <c r="HJ126" s="377">
        <f ca="1">IF(ISERROR(OFFSET(Initiatives!$D$1,R126-1,$CB$3)),,OFFSET(Initiatives!$D$1,R126-1,$CB$3))</f>
        <v>0</v>
      </c>
      <c r="HK126" s="377">
        <f ca="1">IF(ISERROR(OFFSET(Initiatives!$D$1,S126-1,$CB$3)),,OFFSET(Initiatives!$D$1,S126-1,$CB$3))</f>
        <v>0</v>
      </c>
      <c r="HL126" s="377">
        <f ca="1">IF(ISERROR(OFFSET(Initiatives!$D$1,T126-1,$CB$3)),,OFFSET(Initiatives!$D$1,T126-1,$CB$3))</f>
        <v>0</v>
      </c>
      <c r="HM126" s="377">
        <f ca="1">IF(ISERROR(OFFSET(Initiatives!$D$1,U126-1,$CB$3)),,OFFSET(Initiatives!$D$1,U126-1,$CB$3))</f>
        <v>0</v>
      </c>
      <c r="HN126" s="377">
        <f ca="1">IF(ISERROR(OFFSET(Initiatives!$D$1,V126-1,$CB$3)),,OFFSET(Initiatives!$D$1,V126-1,$CB$3))</f>
        <v>0</v>
      </c>
      <c r="HO126" s="377">
        <f ca="1">IF(ISERROR(OFFSET(Initiatives!$D$1,W126-1,$CB$3)),,OFFSET(Initiatives!$D$1,W126-1,$CB$3))</f>
        <v>0</v>
      </c>
      <c r="HP126" s="377">
        <f ca="1">IF(ISERROR(OFFSET(Initiatives!$D$1,X126-1,$CB$3)),,OFFSET(Initiatives!$D$1,X126-1,$CB$3))</f>
        <v>0</v>
      </c>
      <c r="HR126" s="41">
        <f t="shared" ref="HR126:HR130" ca="1" si="2222">GW126*Z126/$BN126</f>
        <v>0.43332972225231459</v>
      </c>
      <c r="HS126" s="41">
        <f t="shared" ref="HS126:HS130" ca="1" si="2223">GX126*AB126/$BN126</f>
        <v>0</v>
      </c>
      <c r="HT126" s="41">
        <f t="shared" ref="HT126:HT130" ca="1" si="2224">GY126*AD126/$BN126</f>
        <v>0</v>
      </c>
      <c r="HU126" s="41">
        <f t="shared" ref="HU126:HU130" ca="1" si="2225">GZ126*AF126/$BN126</f>
        <v>0</v>
      </c>
      <c r="HV126" s="41">
        <f t="shared" ref="HV126:HV130" ca="1" si="2226">HA126*AH126/$BN126</f>
        <v>0.12833226389780086</v>
      </c>
      <c r="HW126" s="41">
        <f t="shared" ref="HW126:HW130" ca="1" si="2227">HB126*AJ126/$BN126</f>
        <v>4.1666319447337938E-2</v>
      </c>
      <c r="HX126" s="41">
        <f t="shared" ref="HX126:HX130" ca="1" si="2228">HC126*AL126/$BN126</f>
        <v>0</v>
      </c>
      <c r="HY126" s="41">
        <f t="shared" ref="HY126:HY130" ca="1" si="2229">HD126*AN126/$BN126</f>
        <v>0</v>
      </c>
      <c r="HZ126" s="41">
        <f t="shared" ref="HZ126:HZ130" ca="1" si="2230">HE126*AP126/$BN126</f>
        <v>0</v>
      </c>
      <c r="IA126" s="41">
        <f t="shared" ref="IA126:IA130" ca="1" si="2231">HF126*AR126/$BN126</f>
        <v>0</v>
      </c>
      <c r="IB126" s="41">
        <f t="shared" ref="IB126:IB130" ca="1" si="2232">HG126*AT126/$BN126</f>
        <v>0</v>
      </c>
      <c r="IC126" s="41">
        <f t="shared" ref="IC126:IC130" ca="1" si="2233">HH126*AV126/$BN126</f>
        <v>0</v>
      </c>
      <c r="ID126" s="41">
        <f t="shared" ref="ID126:ID130" ca="1" si="2234">HI126*AX126/$BN126</f>
        <v>0</v>
      </c>
      <c r="IE126" s="41">
        <f t="shared" ref="IE126:IE130" ca="1" si="2235">HJ126*BZ126/$BN126</f>
        <v>0</v>
      </c>
      <c r="IF126" s="41">
        <f t="shared" ref="IF126:IF130" ca="1" si="2236">HK126*BB126/$BN126</f>
        <v>0</v>
      </c>
      <c r="IG126" s="41">
        <f t="shared" ref="IG126:IG130" ca="1" si="2237">HL126*BD126/$BN126</f>
        <v>0</v>
      </c>
      <c r="IH126" s="41">
        <f t="shared" ref="IH126:IH130" ca="1" si="2238">HM126*BF126/$BN126</f>
        <v>0</v>
      </c>
      <c r="II126" s="41">
        <f t="shared" ref="II126:II130" ca="1" si="2239">HN126*BH126/$BN126</f>
        <v>0</v>
      </c>
      <c r="IJ126" s="41">
        <f t="shared" ref="IJ126:IJ130" ca="1" si="2240">HO126*BJ126/$BN126</f>
        <v>0</v>
      </c>
      <c r="IK126" s="41">
        <f t="shared" ref="IK126:IK130" ca="1" si="2241">HP126*BL126/$BN126</f>
        <v>0</v>
      </c>
      <c r="IL126" s="41">
        <f t="shared" ref="IL126:IL130" ca="1" si="2242">SUM(HR126:IK126)</f>
        <v>0.60332830559745332</v>
      </c>
    </row>
    <row r="127" spans="1:246" s="409" customFormat="1" ht="13.5" hidden="1" customHeight="1">
      <c r="B127" s="373"/>
      <c r="C127" s="81" t="str">
        <f>Maturity!B13</f>
        <v>Which best describes how EXECUTIVES perceive the PURPOSE of your group's BI/DW environment?</v>
      </c>
      <c r="D127" s="404">
        <f t="shared" ca="1" si="2134"/>
        <v>0.39677326865890916</v>
      </c>
      <c r="E127" s="374">
        <f>ROW(Initiatives!$A$170)</f>
        <v>170</v>
      </c>
      <c r="F127" s="374">
        <f>ROW(Initiatives!$A$176)</f>
        <v>176</v>
      </c>
      <c r="G127" s="374">
        <f>ROW(Initiatives!$A$183)</f>
        <v>183</v>
      </c>
      <c r="H127" s="374">
        <f>ROW(Initiatives!$A$189)</f>
        <v>189</v>
      </c>
      <c r="I127" s="374"/>
      <c r="J127" s="374"/>
      <c r="K127" s="374"/>
      <c r="L127" s="374"/>
      <c r="M127" s="374"/>
      <c r="N127" s="374"/>
      <c r="O127" s="374" t="s">
        <v>975</v>
      </c>
      <c r="P127" s="374" t="s">
        <v>975</v>
      </c>
      <c r="Q127" s="374" t="s">
        <v>975</v>
      </c>
      <c r="R127" s="374" t="s">
        <v>975</v>
      </c>
      <c r="S127" s="374" t="s">
        <v>975</v>
      </c>
      <c r="T127" s="374" t="s">
        <v>975</v>
      </c>
      <c r="U127" s="374" t="s">
        <v>975</v>
      </c>
      <c r="V127" s="374" t="s">
        <v>975</v>
      </c>
      <c r="W127" s="374" t="s">
        <v>975</v>
      </c>
      <c r="X127" s="374" t="s">
        <v>975</v>
      </c>
      <c r="Y127" s="392" t="str">
        <f ca="1">OFFSET(Initiatives!$D$1,E127-1,$BS$3)</f>
        <v>BI Applications</v>
      </c>
      <c r="Z127" s="375">
        <v>5</v>
      </c>
      <c r="AA127" s="392" t="str">
        <f ca="1">OFFSET(Initiatives!$D$1,F127-1,$BS$3)</f>
        <v>Source System Inclusion / Integration</v>
      </c>
      <c r="AB127" s="375">
        <v>5</v>
      </c>
      <c r="AC127" s="392" t="str">
        <f ca="1">OFFSET(Initiatives!$D$1,G127-1,$BS$3)</f>
        <v>Enhance DW Platform</v>
      </c>
      <c r="AD127" s="375">
        <v>5</v>
      </c>
      <c r="AE127" s="392" t="str">
        <f ca="1">OFFSET(Initiatives!$D$1,H127-1,$BS$3)</f>
        <v>Enhance BI Platform</v>
      </c>
      <c r="AF127" s="375">
        <v>5</v>
      </c>
      <c r="AG127" s="392" t="e">
        <f ca="1">OFFSET(Initiatives!$D$1,I127-1,$BS$3)</f>
        <v>#REF!</v>
      </c>
      <c r="AH127" s="375"/>
      <c r="AI127" s="392" t="e">
        <f ca="1">OFFSET(Initiatives!$D$1,J127-1,$BS$3)</f>
        <v>#REF!</v>
      </c>
      <c r="AJ127" s="375"/>
      <c r="AK127" s="392" t="e">
        <f ca="1">OFFSET(Initiatives!$D$1,K127-1,$BS$3)</f>
        <v>#REF!</v>
      </c>
      <c r="AL127" s="375"/>
      <c r="AM127" s="392" t="e">
        <f ca="1">OFFSET(Initiatives!$D$1,L127-1,$BS$3)</f>
        <v>#REF!</v>
      </c>
      <c r="AN127" s="375"/>
      <c r="AO127" s="392" t="e">
        <f ca="1">OFFSET(Initiatives!$D$1,M127-1,$BS$3)</f>
        <v>#REF!</v>
      </c>
      <c r="AP127" s="375"/>
      <c r="AQ127" s="392" t="e">
        <f ca="1">OFFSET(Initiatives!$D$1,N127-1,$BS$3)</f>
        <v>#REF!</v>
      </c>
      <c r="AR127" s="375"/>
      <c r="AS127" s="392" t="e">
        <f ca="1">OFFSET(Initiatives!$D$1,O127-1,$BS$3)</f>
        <v>#VALUE!</v>
      </c>
      <c r="AT127" s="375"/>
      <c r="AU127" s="392" t="e">
        <f ca="1">OFFSET(Initiatives!$D$1,P127-1,$BS$3)</f>
        <v>#VALUE!</v>
      </c>
      <c r="AV127" s="375"/>
      <c r="AW127" s="392" t="e">
        <f ca="1">OFFSET(Initiatives!$D$1,Q127-1,$BS$3)</f>
        <v>#VALUE!</v>
      </c>
      <c r="AX127" s="375"/>
      <c r="AY127" s="392" t="e">
        <f ca="1">OFFSET(Initiatives!$D$1,R127-1,$BS$3)</f>
        <v>#VALUE!</v>
      </c>
      <c r="AZ127" s="375"/>
      <c r="BA127" s="392" t="e">
        <f ca="1">OFFSET(Initiatives!$D$1,S127-1,$BS$3)</f>
        <v>#VALUE!</v>
      </c>
      <c r="BB127" s="375"/>
      <c r="BC127" s="392" t="e">
        <f ca="1">OFFSET(Initiatives!$D$1,T127-1,$BS$3)</f>
        <v>#VALUE!</v>
      </c>
      <c r="BD127" s="375"/>
      <c r="BE127" s="392" t="e">
        <f ca="1">OFFSET(Initiatives!$D$1,U127-1,$BS$3)</f>
        <v>#VALUE!</v>
      </c>
      <c r="BF127" s="375"/>
      <c r="BG127" s="392" t="e">
        <f ca="1">OFFSET(Initiatives!$D$1,V127-1,$BS$3)</f>
        <v>#VALUE!</v>
      </c>
      <c r="BH127" s="375"/>
      <c r="BI127" s="392" t="e">
        <f ca="1">OFFSET(Initiatives!$D$1,W127-1,$BS$3)</f>
        <v>#VALUE!</v>
      </c>
      <c r="BJ127" s="375"/>
      <c r="BK127" s="392" t="e">
        <f ca="1">OFFSET(Initiatives!$D$1,X127-1,$BS$3)</f>
        <v>#VALUE!</v>
      </c>
      <c r="BL127" s="375"/>
      <c r="BN127" s="101">
        <f t="shared" si="2135"/>
        <v>20.0001</v>
      </c>
      <c r="BP127" s="231" t="str">
        <f t="shared" ca="1" si="2136"/>
        <v>Enhance BI Platform (38%); BI Applications (29%); Source System Inclusion / Integration (29%)</v>
      </c>
      <c r="BQ127" s="338">
        <v>0.01</v>
      </c>
      <c r="BR127" s="40">
        <f t="shared" ca="1" si="2137"/>
        <v>4</v>
      </c>
      <c r="BS127" s="274">
        <v>0.05</v>
      </c>
      <c r="BT127" s="40">
        <f t="shared" ca="1" si="2138"/>
        <v>3</v>
      </c>
      <c r="BU127" s="376">
        <v>7</v>
      </c>
      <c r="BV127" s="40">
        <f t="shared" ca="1" si="2139"/>
        <v>3</v>
      </c>
      <c r="BY127" s="377">
        <f ca="1">IF(ISERROR(OFFSET(Initiatives!$D$1,E127-1,$BY$3)),,OFFSET(Initiatives!$D$1,E127-1,$BY$3))</f>
        <v>0.45555555555555544</v>
      </c>
      <c r="BZ127" s="377">
        <f ca="1">IF(ISERROR(OFFSET(Initiatives!$D$1,F127-1,$BY$3)),,OFFSET(Initiatives!$D$1,F127-1,$BY$3))</f>
        <v>0.45454545454545436</v>
      </c>
      <c r="CA127" s="377">
        <f ca="1">IF(ISERROR(OFFSET(Initiatives!$D$1,G127-1,$BY$3)),,OFFSET(Initiatives!$D$1,G127-1,$BY$3))</f>
        <v>7.7000000000000179E-2</v>
      </c>
      <c r="CB127" s="377">
        <f ca="1">IF(ISERROR(OFFSET(Initiatives!$D$1,H127-1,$BY$3)),,OFFSET(Initiatives!$D$1,H127-1,$BY$3))</f>
        <v>0.6</v>
      </c>
      <c r="CC127" s="377">
        <f ca="1">IF(ISERROR(OFFSET(Initiatives!$D$1,I127-1,$BY$3)),,OFFSET(Initiatives!$D$1,I127-1,$BY$3))</f>
        <v>0</v>
      </c>
      <c r="CD127" s="377">
        <f ca="1">IF(ISERROR(OFFSET(Initiatives!$D$1,J127-1,$BY$3)),,OFFSET(Initiatives!$D$1,J127-1,$BY$3))</f>
        <v>0</v>
      </c>
      <c r="CE127" s="377">
        <f ca="1">IF(ISERROR(OFFSET(Initiatives!$D$1,K127-1,$BY$3)),,OFFSET(Initiatives!$D$1,K127-1,$BY$3))</f>
        <v>0</v>
      </c>
      <c r="CF127" s="377">
        <f ca="1">IF(ISERROR(OFFSET(Initiatives!$D$1,L127-1,$BY$3)),,OFFSET(Initiatives!$D$1,L127-1,$BY$3))</f>
        <v>0</v>
      </c>
      <c r="CG127" s="377">
        <f ca="1">IF(ISERROR(OFFSET(Initiatives!$D$1,M127-1,$BY$3)),,OFFSET(Initiatives!$D$1,M127-1,$BY$3))</f>
        <v>0</v>
      </c>
      <c r="CH127" s="377">
        <f ca="1">IF(ISERROR(OFFSET(Initiatives!$D$1,N127-1,$BY$3)),,OFFSET(Initiatives!$D$1,N127-1,$BY$3))</f>
        <v>0</v>
      </c>
      <c r="CI127" s="377">
        <f ca="1">IF(ISERROR(OFFSET(Initiatives!$D$1,O127-1,$BY$3)),,OFFSET(Initiatives!$D$1,O127-1,$BY$3))</f>
        <v>0</v>
      </c>
      <c r="CJ127" s="377">
        <f ca="1">IF(ISERROR(OFFSET(Initiatives!$D$1,P127-1,$BY$3)),,OFFSET(Initiatives!$D$1,P127-1,$BY$3))</f>
        <v>0</v>
      </c>
      <c r="CK127" s="377">
        <f ca="1">IF(ISERROR(OFFSET(Initiatives!$D$1,Q127-1,$BY$3)),,OFFSET(Initiatives!$D$1,Q127-1,$BY$3))</f>
        <v>0</v>
      </c>
      <c r="CL127" s="377">
        <f ca="1">IF(ISERROR(OFFSET(Initiatives!$D$1,R127-1,$BY$3)),,OFFSET(Initiatives!$D$1,R127-1,$BY$3))</f>
        <v>0</v>
      </c>
      <c r="CM127" s="377">
        <f ca="1">IF(ISERROR(OFFSET(Initiatives!$D$1,S127-1,$BY$3)),,OFFSET(Initiatives!$D$1,S127-1,$BY$3))</f>
        <v>0</v>
      </c>
      <c r="CN127" s="377">
        <f ca="1">IF(ISERROR(OFFSET(Initiatives!$D$1,T127-1,$BY$3)),,OFFSET(Initiatives!$D$1,T127-1,$BY$3))</f>
        <v>0</v>
      </c>
      <c r="CO127" s="377">
        <f ca="1">IF(ISERROR(OFFSET(Initiatives!$D$1,U127-1,$BY$3)),,OFFSET(Initiatives!$D$1,U127-1,$BY$3))</f>
        <v>0</v>
      </c>
      <c r="CP127" s="377">
        <f ca="1">IF(ISERROR(OFFSET(Initiatives!$D$1,V127-1,$BY$3)),,OFFSET(Initiatives!$D$1,V127-1,$BY$3))</f>
        <v>0</v>
      </c>
      <c r="CQ127" s="377">
        <f ca="1">IF(ISERROR(OFFSET(Initiatives!$D$1,W127-1,$BY$3)),,OFFSET(Initiatives!$D$1,W127-1,$BY$3))</f>
        <v>0</v>
      </c>
      <c r="CR127" s="377">
        <f ca="1">IF(ISERROR(OFFSET(Initiatives!$D$1,X127-1,$BY$3)),,OFFSET(Initiatives!$D$1,X127-1,$BY$3))</f>
        <v>0</v>
      </c>
      <c r="CT127" s="41">
        <f t="shared" ca="1" si="2140"/>
        <v>0.11388831944729162</v>
      </c>
      <c r="CU127" s="41">
        <f t="shared" ca="1" si="2141"/>
        <v>0.11363579545738629</v>
      </c>
      <c r="CV127" s="41">
        <f t="shared" ca="1" si="2142"/>
        <v>1.9249903750481294E-2</v>
      </c>
      <c r="CW127" s="41">
        <f t="shared" ca="1" si="2143"/>
        <v>0.14999925000374997</v>
      </c>
      <c r="CX127" s="41">
        <f t="shared" ca="1" si="2144"/>
        <v>0</v>
      </c>
      <c r="CY127" s="41">
        <f t="shared" ca="1" si="2145"/>
        <v>0</v>
      </c>
      <c r="CZ127" s="41">
        <f t="shared" ca="1" si="2146"/>
        <v>0</v>
      </c>
      <c r="DA127" s="41">
        <f t="shared" ca="1" si="2147"/>
        <v>0</v>
      </c>
      <c r="DB127" s="41">
        <f t="shared" ca="1" si="2148"/>
        <v>0</v>
      </c>
      <c r="DC127" s="41">
        <f t="shared" ca="1" si="2149"/>
        <v>0</v>
      </c>
      <c r="DD127" s="41">
        <f t="shared" ca="1" si="2150"/>
        <v>0</v>
      </c>
      <c r="DE127" s="41">
        <f t="shared" ca="1" si="2151"/>
        <v>0</v>
      </c>
      <c r="DF127" s="41">
        <f t="shared" ca="1" si="2152"/>
        <v>0</v>
      </c>
      <c r="DG127" s="41">
        <f t="shared" ca="1" si="2153"/>
        <v>0</v>
      </c>
      <c r="DH127" s="41">
        <f t="shared" ca="1" si="2154"/>
        <v>0</v>
      </c>
      <c r="DI127" s="41">
        <f t="shared" ca="1" si="2155"/>
        <v>0</v>
      </c>
      <c r="DJ127" s="41">
        <f t="shared" ca="1" si="2156"/>
        <v>0</v>
      </c>
      <c r="DK127" s="41">
        <f t="shared" ca="1" si="2157"/>
        <v>0</v>
      </c>
      <c r="DL127" s="41">
        <f t="shared" ca="1" si="2158"/>
        <v>0</v>
      </c>
      <c r="DM127" s="41">
        <f t="shared" ca="1" si="2159"/>
        <v>0</v>
      </c>
      <c r="DN127" s="41">
        <f t="shared" ca="1" si="2160"/>
        <v>0.39677326865890916</v>
      </c>
      <c r="DP127" s="41">
        <f t="shared" ca="1" si="2161"/>
        <v>0.28702627094696509</v>
      </c>
      <c r="DQ127" s="41">
        <f t="shared" ca="1" si="2162"/>
        <v>0.28637982688721564</v>
      </c>
      <c r="DR127" s="41">
        <f t="shared" ca="1" si="2163"/>
        <v>4.8486130674694469E-2</v>
      </c>
      <c r="DS127" s="41">
        <f t="shared" ca="1" si="2164"/>
        <v>0.37800777149112486</v>
      </c>
      <c r="DT127" s="41">
        <f t="shared" ca="1" si="2165"/>
        <v>-5.0000000000000002E-5</v>
      </c>
      <c r="DU127" s="41">
        <f t="shared" ca="1" si="2166"/>
        <v>-6.0000000000000002E-5</v>
      </c>
      <c r="DV127" s="41">
        <f t="shared" ca="1" si="2167"/>
        <v>-6.9999999999999994E-5</v>
      </c>
      <c r="DW127" s="41">
        <f t="shared" ca="1" si="2168"/>
        <v>-8.0000000000000007E-5</v>
      </c>
      <c r="DX127" s="41">
        <f t="shared" ca="1" si="2169"/>
        <v>-9.0000000000000006E-5</v>
      </c>
      <c r="DY127" s="41">
        <f t="shared" ca="1" si="2170"/>
        <v>-1E-4</v>
      </c>
      <c r="DZ127" s="41">
        <f t="shared" ca="1" si="2171"/>
        <v>-1.1E-4</v>
      </c>
      <c r="EA127" s="41">
        <f t="shared" ca="1" si="2172"/>
        <v>-1.2E-4</v>
      </c>
      <c r="EB127" s="41">
        <f t="shared" ca="1" si="2173"/>
        <v>-1.2999999999999999E-4</v>
      </c>
      <c r="EC127" s="41">
        <f t="shared" ca="1" si="2174"/>
        <v>-1.3999999999999999E-4</v>
      </c>
      <c r="ED127" s="41">
        <f t="shared" ca="1" si="2175"/>
        <v>-1.4999999999999999E-4</v>
      </c>
      <c r="EE127" s="41">
        <f t="shared" ca="1" si="2176"/>
        <v>-1.6000000000000001E-4</v>
      </c>
      <c r="EF127" s="41">
        <f t="shared" ca="1" si="2177"/>
        <v>-1.7000000000000001E-4</v>
      </c>
      <c r="EG127" s="41">
        <f t="shared" ca="1" si="2178"/>
        <v>-1.8000000000000001E-4</v>
      </c>
      <c r="EH127" s="41">
        <f t="shared" ca="1" si="2179"/>
        <v>-1.9000000000000001E-4</v>
      </c>
      <c r="EI127" s="41">
        <f t="shared" ca="1" si="2180"/>
        <v>-2.0000000000000001E-4</v>
      </c>
      <c r="EJ127" s="41">
        <f t="shared" ca="1" si="2181"/>
        <v>0.99790000000000001</v>
      </c>
      <c r="EL127" s="378">
        <f t="shared" ca="1" si="2182"/>
        <v>2</v>
      </c>
      <c r="EM127" s="378">
        <f t="shared" ca="1" si="2183"/>
        <v>3</v>
      </c>
      <c r="EN127" s="378">
        <f t="shared" ca="1" si="2184"/>
        <v>4</v>
      </c>
      <c r="EO127" s="378">
        <f t="shared" ca="1" si="2185"/>
        <v>1</v>
      </c>
      <c r="EP127" s="378">
        <f t="shared" ca="1" si="2186"/>
        <v>5</v>
      </c>
      <c r="EQ127" s="378">
        <f t="shared" ca="1" si="2187"/>
        <v>6</v>
      </c>
      <c r="ER127" s="378">
        <f t="shared" ca="1" si="2188"/>
        <v>7</v>
      </c>
      <c r="ES127" s="378">
        <f t="shared" ca="1" si="2189"/>
        <v>8</v>
      </c>
      <c r="ET127" s="378">
        <f t="shared" ca="1" si="2190"/>
        <v>9</v>
      </c>
      <c r="EU127" s="378">
        <f t="shared" ca="1" si="2191"/>
        <v>10</v>
      </c>
      <c r="EV127" s="378">
        <f t="shared" ca="1" si="2192"/>
        <v>11</v>
      </c>
      <c r="EW127" s="378">
        <f t="shared" ca="1" si="2193"/>
        <v>12</v>
      </c>
      <c r="EX127" s="378">
        <f t="shared" ca="1" si="2194"/>
        <v>13</v>
      </c>
      <c r="EY127" s="378">
        <f t="shared" ca="1" si="2195"/>
        <v>14</v>
      </c>
      <c r="EZ127" s="378">
        <f t="shared" ca="1" si="2196"/>
        <v>15</v>
      </c>
      <c r="FA127" s="378">
        <f t="shared" ca="1" si="2197"/>
        <v>16</v>
      </c>
      <c r="FB127" s="378">
        <f t="shared" ca="1" si="2198"/>
        <v>17</v>
      </c>
      <c r="FC127" s="378">
        <f t="shared" ca="1" si="2199"/>
        <v>18</v>
      </c>
      <c r="FD127" s="378">
        <f t="shared" ca="1" si="2200"/>
        <v>19</v>
      </c>
      <c r="FE127" s="378">
        <f t="shared" ca="1" si="2201"/>
        <v>20</v>
      </c>
      <c r="FG127" s="378">
        <f t="shared" ca="1" si="2091"/>
        <v>4</v>
      </c>
      <c r="FH127" s="378">
        <f t="shared" ca="1" si="2091"/>
        <v>1</v>
      </c>
      <c r="FI127" s="378">
        <f t="shared" ca="1" si="2091"/>
        <v>2</v>
      </c>
      <c r="FJ127" s="378">
        <f t="shared" ca="1" si="2091"/>
        <v>3</v>
      </c>
      <c r="FK127" s="378">
        <f t="shared" ca="1" si="2091"/>
        <v>5</v>
      </c>
      <c r="FL127" s="378">
        <f t="shared" ca="1" si="2091"/>
        <v>6</v>
      </c>
      <c r="FM127" s="378">
        <f t="shared" ca="1" si="2091"/>
        <v>7</v>
      </c>
      <c r="FN127" s="378">
        <f t="shared" ca="1" si="2091"/>
        <v>8</v>
      </c>
      <c r="FO127" s="378">
        <f t="shared" ca="1" si="2091"/>
        <v>9</v>
      </c>
      <c r="FP127" s="378">
        <f t="shared" ca="1" si="2091"/>
        <v>10</v>
      </c>
      <c r="FQ127" s="378">
        <f t="shared" ca="1" si="2091"/>
        <v>11</v>
      </c>
      <c r="FR127" s="378">
        <f t="shared" ca="1" si="2091"/>
        <v>12</v>
      </c>
      <c r="FS127" s="378">
        <f t="shared" ca="1" si="2091"/>
        <v>13</v>
      </c>
      <c r="FT127" s="378">
        <f t="shared" ca="1" si="2091"/>
        <v>14</v>
      </c>
      <c r="FU127" s="378">
        <f t="shared" ca="1" si="2091"/>
        <v>15</v>
      </c>
      <c r="FV127" s="378">
        <f t="shared" ca="1" si="2091"/>
        <v>16</v>
      </c>
      <c r="FW127" s="378">
        <f t="shared" ca="1" si="2092"/>
        <v>17</v>
      </c>
      <c r="FX127" s="378">
        <f t="shared" ca="1" si="2092"/>
        <v>18</v>
      </c>
      <c r="FY127" s="378">
        <f t="shared" ca="1" si="2092"/>
        <v>19</v>
      </c>
      <c r="FZ127" s="378">
        <f t="shared" ca="1" si="2092"/>
        <v>20</v>
      </c>
      <c r="GB127" s="275" t="str">
        <f t="shared" ca="1" si="2202"/>
        <v>Enhance BI Platform (38%)</v>
      </c>
      <c r="GC127" s="231" t="str">
        <f t="shared" ca="1" si="2203"/>
        <v>; BI Applications (29%)</v>
      </c>
      <c r="GD127" s="231" t="str">
        <f t="shared" ca="1" si="2204"/>
        <v>; Source System Inclusion / Integration (29%)</v>
      </c>
      <c r="GE127" s="231" t="str">
        <f t="shared" ca="1" si="2205"/>
        <v/>
      </c>
      <c r="GF127" s="231" t="str">
        <f t="shared" ca="1" si="2206"/>
        <v/>
      </c>
      <c r="GG127" s="231" t="str">
        <f t="shared" ca="1" si="2207"/>
        <v/>
      </c>
      <c r="GH127" s="231" t="str">
        <f t="shared" ca="1" si="2208"/>
        <v/>
      </c>
      <c r="GI127" s="231" t="str">
        <f t="shared" ca="1" si="2209"/>
        <v/>
      </c>
      <c r="GJ127" s="231" t="str">
        <f t="shared" ca="1" si="2210"/>
        <v/>
      </c>
      <c r="GK127" s="231" t="str">
        <f t="shared" ca="1" si="2211"/>
        <v/>
      </c>
      <c r="GL127" s="231" t="str">
        <f t="shared" ca="1" si="2212"/>
        <v/>
      </c>
      <c r="GM127" s="231" t="str">
        <f t="shared" ca="1" si="2213"/>
        <v/>
      </c>
      <c r="GN127" s="231" t="str">
        <f t="shared" ca="1" si="2214"/>
        <v/>
      </c>
      <c r="GO127" s="231" t="str">
        <f t="shared" ca="1" si="2215"/>
        <v/>
      </c>
      <c r="GP127" s="231" t="str">
        <f t="shared" ca="1" si="2216"/>
        <v/>
      </c>
      <c r="GQ127" s="231" t="str">
        <f t="shared" ca="1" si="2217"/>
        <v/>
      </c>
      <c r="GR127" s="231" t="str">
        <f t="shared" ca="1" si="2218"/>
        <v/>
      </c>
      <c r="GS127" s="231" t="str">
        <f t="shared" ca="1" si="2219"/>
        <v/>
      </c>
      <c r="GT127" s="231" t="str">
        <f t="shared" ca="1" si="2220"/>
        <v/>
      </c>
      <c r="GU127" s="231" t="str">
        <f t="shared" ca="1" si="2221"/>
        <v/>
      </c>
      <c r="GW127" s="377">
        <f ca="1">IF(ISERROR(OFFSET(Initiatives!$D$1,E127-1,$CB$3)),,OFFSET(Initiatives!$D$1,E127-1,$CB$3))</f>
        <v>0.34166666666666662</v>
      </c>
      <c r="GX127" s="377">
        <f ca="1">IF(ISERROR(OFFSET(Initiatives!$D$1,F127-1,$CB$3)),,OFFSET(Initiatives!$D$1,F127-1,$CB$3))</f>
        <v>0.43181818181818177</v>
      </c>
      <c r="GY127" s="377">
        <f ca="1">IF(ISERROR(OFFSET(Initiatives!$D$1,G127-1,$CB$3)),,OFFSET(Initiatives!$D$1,G127-1,$CB$3))</f>
        <v>0.77</v>
      </c>
      <c r="GZ127" s="377">
        <f ca="1">IF(ISERROR(OFFSET(Initiatives!$D$1,H127-1,$CB$3)),,OFFSET(Initiatives!$D$1,H127-1,$CB$3))</f>
        <v>0.25</v>
      </c>
      <c r="HA127" s="377">
        <f ca="1">IF(ISERROR(OFFSET(Initiatives!$D$1,I127-1,$CB$3)),,OFFSET(Initiatives!$D$1,I127-1,$CB$3))</f>
        <v>0</v>
      </c>
      <c r="HB127" s="377">
        <f ca="1">IF(ISERROR(OFFSET(Initiatives!$D$1,J127-1,$CB$3)),,OFFSET(Initiatives!$D$1,J127-1,$CB$3))</f>
        <v>0</v>
      </c>
      <c r="HC127" s="377">
        <f ca="1">IF(ISERROR(OFFSET(Initiatives!$D$1,K127-1,$CB$3)),,OFFSET(Initiatives!$D$1,K127-1,$CB$3))</f>
        <v>0</v>
      </c>
      <c r="HD127" s="377">
        <f ca="1">IF(ISERROR(OFFSET(Initiatives!$D$1,L127-1,$CB$3)),,OFFSET(Initiatives!$D$1,L127-1,$CB$3))</f>
        <v>0</v>
      </c>
      <c r="HE127" s="377">
        <f ca="1">IF(ISERROR(OFFSET(Initiatives!$D$1,M127-1,$CB$3)),,OFFSET(Initiatives!$D$1,M127-1,$CB$3))</f>
        <v>0</v>
      </c>
      <c r="HF127" s="377">
        <f ca="1">IF(ISERROR(OFFSET(Initiatives!$D$1,N127-1,$CB$3)),,OFFSET(Initiatives!$D$1,N127-1,$CB$3))</f>
        <v>0</v>
      </c>
      <c r="HG127" s="377">
        <f ca="1">IF(ISERROR(OFFSET(Initiatives!$D$1,O127-1,$CB$3)),,OFFSET(Initiatives!$D$1,O127-1,$CB$3))</f>
        <v>0</v>
      </c>
      <c r="HH127" s="377">
        <f ca="1">IF(ISERROR(OFFSET(Initiatives!$D$1,P127-1,$CB$3)),,OFFSET(Initiatives!$D$1,P127-1,$CB$3))</f>
        <v>0</v>
      </c>
      <c r="HI127" s="377">
        <f ca="1">IF(ISERROR(OFFSET(Initiatives!$D$1,Q127-1,$CB$3)),,OFFSET(Initiatives!$D$1,Q127-1,$CB$3))</f>
        <v>0</v>
      </c>
      <c r="HJ127" s="377">
        <f ca="1">IF(ISERROR(OFFSET(Initiatives!$D$1,R127-1,$CB$3)),,OFFSET(Initiatives!$D$1,R127-1,$CB$3))</f>
        <v>0</v>
      </c>
      <c r="HK127" s="377">
        <f ca="1">IF(ISERROR(OFFSET(Initiatives!$D$1,S127-1,$CB$3)),,OFFSET(Initiatives!$D$1,S127-1,$CB$3))</f>
        <v>0</v>
      </c>
      <c r="HL127" s="377">
        <f ca="1">IF(ISERROR(OFFSET(Initiatives!$D$1,T127-1,$CB$3)),,OFFSET(Initiatives!$D$1,T127-1,$CB$3))</f>
        <v>0</v>
      </c>
      <c r="HM127" s="377">
        <f ca="1">IF(ISERROR(OFFSET(Initiatives!$D$1,U127-1,$CB$3)),,OFFSET(Initiatives!$D$1,U127-1,$CB$3))</f>
        <v>0</v>
      </c>
      <c r="HN127" s="377">
        <f ca="1">IF(ISERROR(OFFSET(Initiatives!$D$1,V127-1,$CB$3)),,OFFSET(Initiatives!$D$1,V127-1,$CB$3))</f>
        <v>0</v>
      </c>
      <c r="HO127" s="377">
        <f ca="1">IF(ISERROR(OFFSET(Initiatives!$D$1,W127-1,$CB$3)),,OFFSET(Initiatives!$D$1,W127-1,$CB$3))</f>
        <v>0</v>
      </c>
      <c r="HP127" s="377">
        <f ca="1">IF(ISERROR(OFFSET(Initiatives!$D$1,X127-1,$CB$3)),,OFFSET(Initiatives!$D$1,X127-1,$CB$3))</f>
        <v>0</v>
      </c>
      <c r="HR127" s="41">
        <f t="shared" ca="1" si="2222"/>
        <v>8.541623958546872E-2</v>
      </c>
      <c r="HS127" s="41">
        <f t="shared" ca="1" si="2223"/>
        <v>0.10795400568451702</v>
      </c>
      <c r="HT127" s="41">
        <f t="shared" ca="1" si="2224"/>
        <v>0.19249903750481248</v>
      </c>
      <c r="HU127" s="41">
        <f t="shared" ca="1" si="2225"/>
        <v>6.2499687501562491E-2</v>
      </c>
      <c r="HV127" s="41">
        <f t="shared" ca="1" si="2226"/>
        <v>0</v>
      </c>
      <c r="HW127" s="41">
        <f t="shared" ca="1" si="2227"/>
        <v>0</v>
      </c>
      <c r="HX127" s="41">
        <f t="shared" ca="1" si="2228"/>
        <v>0</v>
      </c>
      <c r="HY127" s="41">
        <f t="shared" ca="1" si="2229"/>
        <v>0</v>
      </c>
      <c r="HZ127" s="41">
        <f t="shared" ca="1" si="2230"/>
        <v>0</v>
      </c>
      <c r="IA127" s="41">
        <f t="shared" ca="1" si="2231"/>
        <v>0</v>
      </c>
      <c r="IB127" s="41">
        <f t="shared" ca="1" si="2232"/>
        <v>0</v>
      </c>
      <c r="IC127" s="41">
        <f t="shared" ca="1" si="2233"/>
        <v>0</v>
      </c>
      <c r="ID127" s="41">
        <f t="shared" ca="1" si="2234"/>
        <v>0</v>
      </c>
      <c r="IE127" s="41">
        <f t="shared" ca="1" si="2235"/>
        <v>0</v>
      </c>
      <c r="IF127" s="41">
        <f t="shared" ca="1" si="2236"/>
        <v>0</v>
      </c>
      <c r="IG127" s="41">
        <f t="shared" ca="1" si="2237"/>
        <v>0</v>
      </c>
      <c r="IH127" s="41">
        <f t="shared" ca="1" si="2238"/>
        <v>0</v>
      </c>
      <c r="II127" s="41">
        <f t="shared" ca="1" si="2239"/>
        <v>0</v>
      </c>
      <c r="IJ127" s="41">
        <f t="shared" ca="1" si="2240"/>
        <v>0</v>
      </c>
      <c r="IK127" s="41">
        <f t="shared" ca="1" si="2241"/>
        <v>0</v>
      </c>
      <c r="IL127" s="41">
        <f t="shared" ca="1" si="2242"/>
        <v>0.44836897027636075</v>
      </c>
    </row>
    <row r="128" spans="1:246" s="409" customFormat="1" ht="13.5" hidden="1" customHeight="1">
      <c r="B128" s="373"/>
      <c r="C128" s="81" t="str">
        <f>Maturity!B14</f>
        <v xml:space="preserve">To what degree is your sponsor COMMITTED to the BI/DW program?    A committed sponsor evangelizes the BI/DW program to the entire company, secures funding, leads political interference, appoints a trusted advisor to oversee the project on a part-time basis, and sees the project through to completion (i.e., doesn't leave to pursue personal ambitions). </v>
      </c>
      <c r="D128" s="404">
        <f t="shared" ca="1" si="2134"/>
        <v>0.32340973962611025</v>
      </c>
      <c r="E128" s="374">
        <f>ROW(Initiatives!$A$170)</f>
        <v>170</v>
      </c>
      <c r="F128" s="374">
        <f>ROW(Initiatives!$A$176)</f>
        <v>176</v>
      </c>
      <c r="G128" s="374">
        <f>ROW(Initiatives!$A$183)</f>
        <v>183</v>
      </c>
      <c r="H128" s="374">
        <f>ROW(Initiatives!$A$189)</f>
        <v>189</v>
      </c>
      <c r="I128" s="374">
        <f>ROW(Initiatives!$A$100)</f>
        <v>100</v>
      </c>
      <c r="J128" s="374">
        <f>ROW(Initiatives!$A$101)</f>
        <v>101</v>
      </c>
      <c r="K128" s="374">
        <f>ROW(Initiatives!$A$178)</f>
        <v>178</v>
      </c>
      <c r="L128" s="374"/>
      <c r="M128" s="374"/>
      <c r="N128" s="374"/>
      <c r="O128" s="374" t="s">
        <v>975</v>
      </c>
      <c r="P128" s="374" t="s">
        <v>975</v>
      </c>
      <c r="Q128" s="374" t="s">
        <v>975</v>
      </c>
      <c r="R128" s="374" t="s">
        <v>975</v>
      </c>
      <c r="S128" s="374" t="s">
        <v>975</v>
      </c>
      <c r="T128" s="374" t="s">
        <v>975</v>
      </c>
      <c r="U128" s="374" t="s">
        <v>975</v>
      </c>
      <c r="V128" s="374" t="s">
        <v>975</v>
      </c>
      <c r="W128" s="374" t="s">
        <v>975</v>
      </c>
      <c r="X128" s="374" t="s">
        <v>975</v>
      </c>
      <c r="Y128" s="392" t="str">
        <f ca="1">OFFSET(Initiatives!$D$1,E128-1,$BS$3)</f>
        <v>BI Applications</v>
      </c>
      <c r="Z128" s="375">
        <v>5</v>
      </c>
      <c r="AA128" s="392" t="str">
        <f ca="1">OFFSET(Initiatives!$D$1,F128-1,$BS$3)</f>
        <v>Source System Inclusion / Integration</v>
      </c>
      <c r="AB128" s="375">
        <v>5</v>
      </c>
      <c r="AC128" s="392" t="str">
        <f ca="1">OFFSET(Initiatives!$D$1,G128-1,$BS$3)</f>
        <v>Enhance DW Platform</v>
      </c>
      <c r="AD128" s="375">
        <v>5</v>
      </c>
      <c r="AE128" s="392" t="str">
        <f ca="1">OFFSET(Initiatives!$D$1,H128-1,$BS$3)</f>
        <v>Enhance BI Platform</v>
      </c>
      <c r="AF128" s="375">
        <v>5</v>
      </c>
      <c r="AG128" s="392" t="str">
        <f ca="1">OFFSET(Initiatives!$D$1,I128-1,$BS$3)</f>
        <v>Governance</v>
      </c>
      <c r="AH128" s="375">
        <v>8</v>
      </c>
      <c r="AI128" s="392" t="str">
        <f ca="1">OFFSET(Initiatives!$D$1,J128-1,$BS$3)</f>
        <v>Architecture</v>
      </c>
      <c r="AJ128" s="375"/>
      <c r="AK128" s="392" t="str">
        <f ca="1">OFFSET(Initiatives!$D$1,K128-1,$BS$3)</f>
        <v>Architecture Standards &amp; Adherence</v>
      </c>
      <c r="AL128" s="375"/>
      <c r="AM128" s="392" t="e">
        <f ca="1">OFFSET(Initiatives!$D$1,L128-1,$BS$3)</f>
        <v>#REF!</v>
      </c>
      <c r="AN128" s="375"/>
      <c r="AO128" s="392" t="e">
        <f ca="1">OFFSET(Initiatives!$D$1,M128-1,$BS$3)</f>
        <v>#REF!</v>
      </c>
      <c r="AP128" s="375"/>
      <c r="AQ128" s="392" t="e">
        <f ca="1">OFFSET(Initiatives!$D$1,N128-1,$BS$3)</f>
        <v>#REF!</v>
      </c>
      <c r="AR128" s="375"/>
      <c r="AS128" s="392" t="e">
        <f ca="1">OFFSET(Initiatives!$D$1,O128-1,$BS$3)</f>
        <v>#VALUE!</v>
      </c>
      <c r="AT128" s="375"/>
      <c r="AU128" s="392" t="e">
        <f ca="1">OFFSET(Initiatives!$D$1,P128-1,$BS$3)</f>
        <v>#VALUE!</v>
      </c>
      <c r="AV128" s="375"/>
      <c r="AW128" s="392" t="e">
        <f ca="1">OFFSET(Initiatives!$D$1,Q128-1,$BS$3)</f>
        <v>#VALUE!</v>
      </c>
      <c r="AX128" s="375"/>
      <c r="AY128" s="392" t="e">
        <f ca="1">OFFSET(Initiatives!$D$1,R128-1,$BS$3)</f>
        <v>#VALUE!</v>
      </c>
      <c r="AZ128" s="375"/>
      <c r="BA128" s="392" t="e">
        <f ca="1">OFFSET(Initiatives!$D$1,S128-1,$BS$3)</f>
        <v>#VALUE!</v>
      </c>
      <c r="BB128" s="375"/>
      <c r="BC128" s="392" t="e">
        <f ca="1">OFFSET(Initiatives!$D$1,T128-1,$BS$3)</f>
        <v>#VALUE!</v>
      </c>
      <c r="BD128" s="375"/>
      <c r="BE128" s="392" t="e">
        <f ca="1">OFFSET(Initiatives!$D$1,U128-1,$BS$3)</f>
        <v>#VALUE!</v>
      </c>
      <c r="BF128" s="375"/>
      <c r="BG128" s="392" t="e">
        <f ca="1">OFFSET(Initiatives!$D$1,V128-1,$BS$3)</f>
        <v>#VALUE!</v>
      </c>
      <c r="BH128" s="375"/>
      <c r="BI128" s="392" t="e">
        <f ca="1">OFFSET(Initiatives!$D$1,W128-1,$BS$3)</f>
        <v>#VALUE!</v>
      </c>
      <c r="BJ128" s="375"/>
      <c r="BK128" s="392" t="e">
        <f ca="1">OFFSET(Initiatives!$D$1,X128-1,$BS$3)</f>
        <v>#VALUE!</v>
      </c>
      <c r="BL128" s="375"/>
      <c r="BN128" s="101">
        <f t="shared" si="2135"/>
        <v>28.0001</v>
      </c>
      <c r="BP128" s="231" t="str">
        <f t="shared" ca="1" si="2136"/>
        <v>Enhance BI Platform (33%); BI Applications (25%); Source System Inclusion / Integration (25%); Governance (12%)</v>
      </c>
      <c r="BQ128" s="338">
        <v>0.01</v>
      </c>
      <c r="BR128" s="40">
        <f t="shared" ca="1" si="2137"/>
        <v>5</v>
      </c>
      <c r="BS128" s="274">
        <v>0.05</v>
      </c>
      <c r="BT128" s="40">
        <f t="shared" ca="1" si="2138"/>
        <v>4</v>
      </c>
      <c r="BU128" s="376">
        <v>7</v>
      </c>
      <c r="BV128" s="40">
        <f t="shared" ca="1" si="2139"/>
        <v>4</v>
      </c>
      <c r="BY128" s="377">
        <f ca="1">IF(ISERROR(OFFSET(Initiatives!$D$1,E128-1,$BY$3)),,OFFSET(Initiatives!$D$1,E128-1,$BY$3))</f>
        <v>0.45555555555555544</v>
      </c>
      <c r="BZ128" s="377">
        <f ca="1">IF(ISERROR(OFFSET(Initiatives!$D$1,F128-1,$BY$3)),,OFFSET(Initiatives!$D$1,F128-1,$BY$3))</f>
        <v>0.45454545454545436</v>
      </c>
      <c r="CA128" s="377">
        <f ca="1">IF(ISERROR(OFFSET(Initiatives!$D$1,G128-1,$BY$3)),,OFFSET(Initiatives!$D$1,G128-1,$BY$3))</f>
        <v>7.7000000000000179E-2</v>
      </c>
      <c r="CB128" s="377">
        <f ca="1">IF(ISERROR(OFFSET(Initiatives!$D$1,H128-1,$BY$3)),,OFFSET(Initiatives!$D$1,H128-1,$BY$3))</f>
        <v>0.6</v>
      </c>
      <c r="CC128" s="377">
        <f ca="1">IF(ISERROR(OFFSET(Initiatives!$D$1,I128-1,$BY$3)),,OFFSET(Initiatives!$D$1,I128-1,$BY$3))</f>
        <v>0.14000000000000001</v>
      </c>
      <c r="CD128" s="377">
        <f ca="1">IF(ISERROR(OFFSET(Initiatives!$D$1,J128-1,$BY$3)),,OFFSET(Initiatives!$D$1,J128-1,$BY$3))</f>
        <v>0.14000000000000001</v>
      </c>
      <c r="CE128" s="377">
        <f ca="1">IF(ISERROR(OFFSET(Initiatives!$D$1,K128-1,$BY$3)),,OFFSET(Initiatives!$D$1,K128-1,$BY$3))</f>
        <v>0.14000000000000012</v>
      </c>
      <c r="CF128" s="377">
        <f ca="1">IF(ISERROR(OFFSET(Initiatives!$D$1,L128-1,$BY$3)),,OFFSET(Initiatives!$D$1,L128-1,$BY$3))</f>
        <v>0</v>
      </c>
      <c r="CG128" s="377">
        <f ca="1">IF(ISERROR(OFFSET(Initiatives!$D$1,M128-1,$BY$3)),,OFFSET(Initiatives!$D$1,M128-1,$BY$3))</f>
        <v>0</v>
      </c>
      <c r="CH128" s="377">
        <f ca="1">IF(ISERROR(OFFSET(Initiatives!$D$1,N128-1,$BY$3)),,OFFSET(Initiatives!$D$1,N128-1,$BY$3))</f>
        <v>0</v>
      </c>
      <c r="CI128" s="377">
        <f ca="1">IF(ISERROR(OFFSET(Initiatives!$D$1,O128-1,$BY$3)),,OFFSET(Initiatives!$D$1,O128-1,$BY$3))</f>
        <v>0</v>
      </c>
      <c r="CJ128" s="377">
        <f ca="1">IF(ISERROR(OFFSET(Initiatives!$D$1,P128-1,$BY$3)),,OFFSET(Initiatives!$D$1,P128-1,$BY$3))</f>
        <v>0</v>
      </c>
      <c r="CK128" s="377">
        <f ca="1">IF(ISERROR(OFFSET(Initiatives!$D$1,Q128-1,$BY$3)),,OFFSET(Initiatives!$D$1,Q128-1,$BY$3))</f>
        <v>0</v>
      </c>
      <c r="CL128" s="377">
        <f ca="1">IF(ISERROR(OFFSET(Initiatives!$D$1,R128-1,$BY$3)),,OFFSET(Initiatives!$D$1,R128-1,$BY$3))</f>
        <v>0</v>
      </c>
      <c r="CM128" s="377">
        <f ca="1">IF(ISERROR(OFFSET(Initiatives!$D$1,S128-1,$BY$3)),,OFFSET(Initiatives!$D$1,S128-1,$BY$3))</f>
        <v>0</v>
      </c>
      <c r="CN128" s="377">
        <f ca="1">IF(ISERROR(OFFSET(Initiatives!$D$1,T128-1,$BY$3)),,OFFSET(Initiatives!$D$1,T128-1,$BY$3))</f>
        <v>0</v>
      </c>
      <c r="CO128" s="377">
        <f ca="1">IF(ISERROR(OFFSET(Initiatives!$D$1,U128-1,$BY$3)),,OFFSET(Initiatives!$D$1,U128-1,$BY$3))</f>
        <v>0</v>
      </c>
      <c r="CP128" s="377">
        <f ca="1">IF(ISERROR(OFFSET(Initiatives!$D$1,V128-1,$BY$3)),,OFFSET(Initiatives!$D$1,V128-1,$BY$3))</f>
        <v>0</v>
      </c>
      <c r="CQ128" s="377">
        <f ca="1">IF(ISERROR(OFFSET(Initiatives!$D$1,W128-1,$BY$3)),,OFFSET(Initiatives!$D$1,W128-1,$BY$3))</f>
        <v>0</v>
      </c>
      <c r="CR128" s="377">
        <f ca="1">IF(ISERROR(OFFSET(Initiatives!$D$1,X128-1,$BY$3)),,OFFSET(Initiatives!$D$1,X128-1,$BY$3))</f>
        <v>0</v>
      </c>
      <c r="CT128" s="41">
        <f t="shared" ca="1" si="2140"/>
        <v>8.1348915817364129E-2</v>
      </c>
      <c r="CU128" s="41">
        <f t="shared" ca="1" si="2141"/>
        <v>8.1168541281183698E-2</v>
      </c>
      <c r="CV128" s="41">
        <f t="shared" ca="1" si="2142"/>
        <v>1.3749950893032556E-2</v>
      </c>
      <c r="CW128" s="41">
        <f t="shared" ca="1" si="2143"/>
        <v>0.10714247449116253</v>
      </c>
      <c r="CX128" s="41">
        <f t="shared" ca="1" si="2144"/>
        <v>3.9999857143367352E-2</v>
      </c>
      <c r="CY128" s="41">
        <f t="shared" ca="1" si="2145"/>
        <v>0</v>
      </c>
      <c r="CZ128" s="41">
        <f t="shared" ca="1" si="2146"/>
        <v>0</v>
      </c>
      <c r="DA128" s="41">
        <f t="shared" ca="1" si="2147"/>
        <v>0</v>
      </c>
      <c r="DB128" s="41">
        <f t="shared" ca="1" si="2148"/>
        <v>0</v>
      </c>
      <c r="DC128" s="41">
        <f t="shared" ca="1" si="2149"/>
        <v>0</v>
      </c>
      <c r="DD128" s="41">
        <f t="shared" ca="1" si="2150"/>
        <v>0</v>
      </c>
      <c r="DE128" s="41">
        <f t="shared" ca="1" si="2151"/>
        <v>0</v>
      </c>
      <c r="DF128" s="41">
        <f t="shared" ca="1" si="2152"/>
        <v>0</v>
      </c>
      <c r="DG128" s="41">
        <f t="shared" ca="1" si="2153"/>
        <v>0</v>
      </c>
      <c r="DH128" s="41">
        <f t="shared" ca="1" si="2154"/>
        <v>0</v>
      </c>
      <c r="DI128" s="41">
        <f t="shared" ca="1" si="2155"/>
        <v>0</v>
      </c>
      <c r="DJ128" s="41">
        <f t="shared" ca="1" si="2156"/>
        <v>0</v>
      </c>
      <c r="DK128" s="41">
        <f t="shared" ca="1" si="2157"/>
        <v>0</v>
      </c>
      <c r="DL128" s="41">
        <f t="shared" ca="1" si="2158"/>
        <v>0</v>
      </c>
      <c r="DM128" s="41">
        <f t="shared" ca="1" si="2159"/>
        <v>0</v>
      </c>
      <c r="DN128" s="41">
        <f t="shared" ca="1" si="2160"/>
        <v>0.32340973962611025</v>
      </c>
      <c r="DP128" s="41">
        <f t="shared" ca="1" si="2161"/>
        <v>0.25152514520437924</v>
      </c>
      <c r="DQ128" s="41">
        <f t="shared" ca="1" si="2162"/>
        <v>0.25095741760969098</v>
      </c>
      <c r="DR128" s="41">
        <f t="shared" ca="1" si="2163"/>
        <v>4.2485574543081765E-2</v>
      </c>
      <c r="DS128" s="41">
        <f t="shared" ca="1" si="2164"/>
        <v>0.33125019124479227</v>
      </c>
      <c r="DT128" s="41">
        <f t="shared" ca="1" si="2165"/>
        <v>0.12363167139805581</v>
      </c>
      <c r="DU128" s="41">
        <f t="shared" ca="1" si="2166"/>
        <v>-6.0000000000000002E-5</v>
      </c>
      <c r="DV128" s="41">
        <f t="shared" ca="1" si="2167"/>
        <v>-6.9999999999999994E-5</v>
      </c>
      <c r="DW128" s="41">
        <f t="shared" ca="1" si="2168"/>
        <v>-8.0000000000000007E-5</v>
      </c>
      <c r="DX128" s="41">
        <f t="shared" ca="1" si="2169"/>
        <v>-9.0000000000000006E-5</v>
      </c>
      <c r="DY128" s="41">
        <f t="shared" ca="1" si="2170"/>
        <v>-1E-4</v>
      </c>
      <c r="DZ128" s="41">
        <f t="shared" ca="1" si="2171"/>
        <v>-1.1E-4</v>
      </c>
      <c r="EA128" s="41">
        <f t="shared" ca="1" si="2172"/>
        <v>-1.2E-4</v>
      </c>
      <c r="EB128" s="41">
        <f t="shared" ca="1" si="2173"/>
        <v>-1.2999999999999999E-4</v>
      </c>
      <c r="EC128" s="41">
        <f t="shared" ca="1" si="2174"/>
        <v>-1.3999999999999999E-4</v>
      </c>
      <c r="ED128" s="41">
        <f t="shared" ca="1" si="2175"/>
        <v>-1.4999999999999999E-4</v>
      </c>
      <c r="EE128" s="41">
        <f t="shared" ca="1" si="2176"/>
        <v>-1.6000000000000001E-4</v>
      </c>
      <c r="EF128" s="41">
        <f t="shared" ca="1" si="2177"/>
        <v>-1.7000000000000001E-4</v>
      </c>
      <c r="EG128" s="41">
        <f t="shared" ca="1" si="2178"/>
        <v>-1.8000000000000001E-4</v>
      </c>
      <c r="EH128" s="41">
        <f t="shared" ca="1" si="2179"/>
        <v>-1.9000000000000001E-4</v>
      </c>
      <c r="EI128" s="41">
        <f t="shared" ca="1" si="2180"/>
        <v>-2.0000000000000001E-4</v>
      </c>
      <c r="EJ128" s="41">
        <f t="shared" ca="1" si="2181"/>
        <v>0.99790000000000012</v>
      </c>
      <c r="EL128" s="378">
        <f t="shared" ca="1" si="2182"/>
        <v>2</v>
      </c>
      <c r="EM128" s="378">
        <f t="shared" ca="1" si="2183"/>
        <v>3</v>
      </c>
      <c r="EN128" s="378">
        <f t="shared" ca="1" si="2184"/>
        <v>5</v>
      </c>
      <c r="EO128" s="378">
        <f t="shared" ca="1" si="2185"/>
        <v>1</v>
      </c>
      <c r="EP128" s="378">
        <f t="shared" ca="1" si="2186"/>
        <v>4</v>
      </c>
      <c r="EQ128" s="378">
        <f t="shared" ca="1" si="2187"/>
        <v>6</v>
      </c>
      <c r="ER128" s="378">
        <f t="shared" ca="1" si="2188"/>
        <v>7</v>
      </c>
      <c r="ES128" s="378">
        <f t="shared" ca="1" si="2189"/>
        <v>8</v>
      </c>
      <c r="ET128" s="378">
        <f t="shared" ca="1" si="2190"/>
        <v>9</v>
      </c>
      <c r="EU128" s="378">
        <f t="shared" ca="1" si="2191"/>
        <v>10</v>
      </c>
      <c r="EV128" s="378">
        <f t="shared" ca="1" si="2192"/>
        <v>11</v>
      </c>
      <c r="EW128" s="378">
        <f t="shared" ca="1" si="2193"/>
        <v>12</v>
      </c>
      <c r="EX128" s="378">
        <f t="shared" ca="1" si="2194"/>
        <v>13</v>
      </c>
      <c r="EY128" s="378">
        <f t="shared" ca="1" si="2195"/>
        <v>14</v>
      </c>
      <c r="EZ128" s="378">
        <f t="shared" ca="1" si="2196"/>
        <v>15</v>
      </c>
      <c r="FA128" s="378">
        <f t="shared" ca="1" si="2197"/>
        <v>16</v>
      </c>
      <c r="FB128" s="378">
        <f t="shared" ca="1" si="2198"/>
        <v>17</v>
      </c>
      <c r="FC128" s="378">
        <f t="shared" ca="1" si="2199"/>
        <v>18</v>
      </c>
      <c r="FD128" s="378">
        <f t="shared" ca="1" si="2200"/>
        <v>19</v>
      </c>
      <c r="FE128" s="378">
        <f t="shared" ca="1" si="2201"/>
        <v>20</v>
      </c>
      <c r="FG128" s="378">
        <f t="shared" ca="1" si="2091"/>
        <v>4</v>
      </c>
      <c r="FH128" s="378">
        <f t="shared" ca="1" si="2091"/>
        <v>1</v>
      </c>
      <c r="FI128" s="378">
        <f t="shared" ca="1" si="2091"/>
        <v>2</v>
      </c>
      <c r="FJ128" s="378">
        <f t="shared" ca="1" si="2091"/>
        <v>5</v>
      </c>
      <c r="FK128" s="378">
        <f t="shared" ca="1" si="2091"/>
        <v>3</v>
      </c>
      <c r="FL128" s="378">
        <f t="shared" ca="1" si="2091"/>
        <v>6</v>
      </c>
      <c r="FM128" s="378">
        <f t="shared" ca="1" si="2091"/>
        <v>7</v>
      </c>
      <c r="FN128" s="378">
        <f t="shared" ca="1" si="2091"/>
        <v>8</v>
      </c>
      <c r="FO128" s="378">
        <f t="shared" ca="1" si="2091"/>
        <v>9</v>
      </c>
      <c r="FP128" s="378">
        <f t="shared" ca="1" si="2091"/>
        <v>10</v>
      </c>
      <c r="FQ128" s="378">
        <f t="shared" ca="1" si="2091"/>
        <v>11</v>
      </c>
      <c r="FR128" s="378">
        <f t="shared" ca="1" si="2091"/>
        <v>12</v>
      </c>
      <c r="FS128" s="378">
        <f t="shared" ca="1" si="2091"/>
        <v>13</v>
      </c>
      <c r="FT128" s="378">
        <f t="shared" ca="1" si="2091"/>
        <v>14</v>
      </c>
      <c r="FU128" s="378">
        <f t="shared" ca="1" si="2091"/>
        <v>15</v>
      </c>
      <c r="FV128" s="378">
        <f t="shared" ca="1" si="2091"/>
        <v>16</v>
      </c>
      <c r="FW128" s="378">
        <f t="shared" ca="1" si="2092"/>
        <v>17</v>
      </c>
      <c r="FX128" s="378">
        <f t="shared" ca="1" si="2092"/>
        <v>18</v>
      </c>
      <c r="FY128" s="378">
        <f t="shared" ca="1" si="2092"/>
        <v>19</v>
      </c>
      <c r="FZ128" s="378">
        <f t="shared" ca="1" si="2092"/>
        <v>20</v>
      </c>
      <c r="GB128" s="275" t="str">
        <f t="shared" ca="1" si="2202"/>
        <v>Enhance BI Platform (33%)</v>
      </c>
      <c r="GC128" s="231" t="str">
        <f t="shared" ca="1" si="2203"/>
        <v>; BI Applications (25%)</v>
      </c>
      <c r="GD128" s="231" t="str">
        <f t="shared" ca="1" si="2204"/>
        <v>; Source System Inclusion / Integration (25%)</v>
      </c>
      <c r="GE128" s="231" t="str">
        <f t="shared" ca="1" si="2205"/>
        <v>; Governance (12%)</v>
      </c>
      <c r="GF128" s="231" t="str">
        <f t="shared" ca="1" si="2206"/>
        <v/>
      </c>
      <c r="GG128" s="231" t="str">
        <f t="shared" ca="1" si="2207"/>
        <v/>
      </c>
      <c r="GH128" s="231" t="str">
        <f t="shared" ca="1" si="2208"/>
        <v/>
      </c>
      <c r="GI128" s="231" t="str">
        <f t="shared" ca="1" si="2209"/>
        <v/>
      </c>
      <c r="GJ128" s="231" t="str">
        <f t="shared" ca="1" si="2210"/>
        <v/>
      </c>
      <c r="GK128" s="231" t="str">
        <f t="shared" ca="1" si="2211"/>
        <v/>
      </c>
      <c r="GL128" s="231" t="str">
        <f t="shared" ca="1" si="2212"/>
        <v/>
      </c>
      <c r="GM128" s="231" t="str">
        <f t="shared" ca="1" si="2213"/>
        <v/>
      </c>
      <c r="GN128" s="231" t="str">
        <f t="shared" ca="1" si="2214"/>
        <v/>
      </c>
      <c r="GO128" s="231" t="str">
        <f t="shared" ca="1" si="2215"/>
        <v/>
      </c>
      <c r="GP128" s="231" t="str">
        <f t="shared" ca="1" si="2216"/>
        <v/>
      </c>
      <c r="GQ128" s="231" t="str">
        <f t="shared" ca="1" si="2217"/>
        <v/>
      </c>
      <c r="GR128" s="231" t="str">
        <f t="shared" ca="1" si="2218"/>
        <v/>
      </c>
      <c r="GS128" s="231" t="str">
        <f t="shared" ca="1" si="2219"/>
        <v/>
      </c>
      <c r="GT128" s="231" t="str">
        <f t="shared" ca="1" si="2220"/>
        <v/>
      </c>
      <c r="GU128" s="231" t="str">
        <f t="shared" ca="1" si="2221"/>
        <v/>
      </c>
      <c r="GW128" s="377">
        <f ca="1">IF(ISERROR(OFFSET(Initiatives!$D$1,E128-1,$CB$3)),,OFFSET(Initiatives!$D$1,E128-1,$CB$3))</f>
        <v>0.34166666666666662</v>
      </c>
      <c r="GX128" s="377">
        <f ca="1">IF(ISERROR(OFFSET(Initiatives!$D$1,F128-1,$CB$3)),,OFFSET(Initiatives!$D$1,F128-1,$CB$3))</f>
        <v>0.43181818181818177</v>
      </c>
      <c r="GY128" s="377">
        <f ca="1">IF(ISERROR(OFFSET(Initiatives!$D$1,G128-1,$CB$3)),,OFFSET(Initiatives!$D$1,G128-1,$CB$3))</f>
        <v>0.77</v>
      </c>
      <c r="GZ128" s="377">
        <f ca="1">IF(ISERROR(OFFSET(Initiatives!$D$1,H128-1,$CB$3)),,OFFSET(Initiatives!$D$1,H128-1,$CB$3))</f>
        <v>0.25</v>
      </c>
      <c r="HA128" s="377">
        <f ca="1">IF(ISERROR(OFFSET(Initiatives!$D$1,I128-1,$CB$3)),,OFFSET(Initiatives!$D$1,I128-1,$CB$3))</f>
        <v>0.65</v>
      </c>
      <c r="HB128" s="377">
        <f ca="1">IF(ISERROR(OFFSET(Initiatives!$D$1,J128-1,$CB$3)),,OFFSET(Initiatives!$D$1,J128-1,$CB$3))</f>
        <v>0.65</v>
      </c>
      <c r="HC128" s="377">
        <f ca="1">IF(ISERROR(OFFSET(Initiatives!$D$1,K128-1,$CB$3)),,OFFSET(Initiatives!$D$1,K128-1,$CB$3))</f>
        <v>0.65</v>
      </c>
      <c r="HD128" s="377">
        <f ca="1">IF(ISERROR(OFFSET(Initiatives!$D$1,L128-1,$CB$3)),,OFFSET(Initiatives!$D$1,L128-1,$CB$3))</f>
        <v>0</v>
      </c>
      <c r="HE128" s="377">
        <f ca="1">IF(ISERROR(OFFSET(Initiatives!$D$1,M128-1,$CB$3)),,OFFSET(Initiatives!$D$1,M128-1,$CB$3))</f>
        <v>0</v>
      </c>
      <c r="HF128" s="377">
        <f ca="1">IF(ISERROR(OFFSET(Initiatives!$D$1,N128-1,$CB$3)),,OFFSET(Initiatives!$D$1,N128-1,$CB$3))</f>
        <v>0</v>
      </c>
      <c r="HG128" s="377">
        <f ca="1">IF(ISERROR(OFFSET(Initiatives!$D$1,O128-1,$CB$3)),,OFFSET(Initiatives!$D$1,O128-1,$CB$3))</f>
        <v>0</v>
      </c>
      <c r="HH128" s="377">
        <f ca="1">IF(ISERROR(OFFSET(Initiatives!$D$1,P128-1,$CB$3)),,OFFSET(Initiatives!$D$1,P128-1,$CB$3))</f>
        <v>0</v>
      </c>
      <c r="HI128" s="377">
        <f ca="1">IF(ISERROR(OFFSET(Initiatives!$D$1,Q128-1,$CB$3)),,OFFSET(Initiatives!$D$1,Q128-1,$CB$3))</f>
        <v>0</v>
      </c>
      <c r="HJ128" s="377">
        <f ca="1">IF(ISERROR(OFFSET(Initiatives!$D$1,R128-1,$CB$3)),,OFFSET(Initiatives!$D$1,R128-1,$CB$3))</f>
        <v>0</v>
      </c>
      <c r="HK128" s="377">
        <f ca="1">IF(ISERROR(OFFSET(Initiatives!$D$1,S128-1,$CB$3)),,OFFSET(Initiatives!$D$1,S128-1,$CB$3))</f>
        <v>0</v>
      </c>
      <c r="HL128" s="377">
        <f ca="1">IF(ISERROR(OFFSET(Initiatives!$D$1,T128-1,$CB$3)),,OFFSET(Initiatives!$D$1,T128-1,$CB$3))</f>
        <v>0</v>
      </c>
      <c r="HM128" s="377">
        <f ca="1">IF(ISERROR(OFFSET(Initiatives!$D$1,U128-1,$CB$3)),,OFFSET(Initiatives!$D$1,U128-1,$CB$3))</f>
        <v>0</v>
      </c>
      <c r="HN128" s="377">
        <f ca="1">IF(ISERROR(OFFSET(Initiatives!$D$1,V128-1,$CB$3)),,OFFSET(Initiatives!$D$1,V128-1,$CB$3))</f>
        <v>0</v>
      </c>
      <c r="HO128" s="377">
        <f ca="1">IF(ISERROR(OFFSET(Initiatives!$D$1,W128-1,$CB$3)),,OFFSET(Initiatives!$D$1,W128-1,$CB$3))</f>
        <v>0</v>
      </c>
      <c r="HP128" s="377">
        <f ca="1">IF(ISERROR(OFFSET(Initiatives!$D$1,X128-1,$CB$3)),,OFFSET(Initiatives!$D$1,X128-1,$CB$3))</f>
        <v>0</v>
      </c>
      <c r="HR128" s="41">
        <f t="shared" ca="1" si="2222"/>
        <v>6.10116868630231E-2</v>
      </c>
      <c r="HS128" s="41">
        <f t="shared" ca="1" si="2223"/>
        <v>7.7110114217124534E-2</v>
      </c>
      <c r="HT128" s="41">
        <f t="shared" ca="1" si="2224"/>
        <v>0.13749950893032525</v>
      </c>
      <c r="HU128" s="41">
        <f t="shared" ca="1" si="2225"/>
        <v>4.4642697704651055E-2</v>
      </c>
      <c r="HV128" s="41">
        <f t="shared" ca="1" si="2226"/>
        <v>0.1857136224513484</v>
      </c>
      <c r="HW128" s="41">
        <f t="shared" ca="1" si="2227"/>
        <v>0</v>
      </c>
      <c r="HX128" s="41">
        <f t="shared" ca="1" si="2228"/>
        <v>0</v>
      </c>
      <c r="HY128" s="41">
        <f t="shared" ca="1" si="2229"/>
        <v>0</v>
      </c>
      <c r="HZ128" s="41">
        <f t="shared" ca="1" si="2230"/>
        <v>0</v>
      </c>
      <c r="IA128" s="41">
        <f t="shared" ca="1" si="2231"/>
        <v>0</v>
      </c>
      <c r="IB128" s="41">
        <f t="shared" ca="1" si="2232"/>
        <v>0</v>
      </c>
      <c r="IC128" s="41">
        <f t="shared" ca="1" si="2233"/>
        <v>0</v>
      </c>
      <c r="ID128" s="41">
        <f t="shared" ca="1" si="2234"/>
        <v>0</v>
      </c>
      <c r="IE128" s="41">
        <f t="shared" ca="1" si="2235"/>
        <v>0</v>
      </c>
      <c r="IF128" s="41">
        <f t="shared" ca="1" si="2236"/>
        <v>0</v>
      </c>
      <c r="IG128" s="41">
        <f t="shared" ca="1" si="2237"/>
        <v>0</v>
      </c>
      <c r="IH128" s="41">
        <f t="shared" ca="1" si="2238"/>
        <v>0</v>
      </c>
      <c r="II128" s="41">
        <f t="shared" ca="1" si="2239"/>
        <v>0</v>
      </c>
      <c r="IJ128" s="41">
        <f t="shared" ca="1" si="2240"/>
        <v>0</v>
      </c>
      <c r="IK128" s="41">
        <f t="shared" ca="1" si="2241"/>
        <v>0</v>
      </c>
      <c r="IL128" s="41">
        <f t="shared" ca="1" si="2242"/>
        <v>0.50597763016647235</v>
      </c>
    </row>
    <row r="129" spans="1:246" s="409" customFormat="1" ht="13.5" hidden="1" customHeight="1">
      <c r="B129" s="373"/>
      <c r="C129" s="81" t="str">
        <f>Maturity!B15</f>
        <v>To what degree is the BI sponsor held ACCOUNTABLE for the outcome of the BI/DW solution?</v>
      </c>
      <c r="D129" s="404">
        <f t="shared" ca="1" si="2134"/>
        <v>0.24270888746566371</v>
      </c>
      <c r="E129" s="374">
        <f>ROW(Initiatives!$A$170)</f>
        <v>170</v>
      </c>
      <c r="F129" s="374">
        <f>ROW(Initiatives!$A$176)</f>
        <v>176</v>
      </c>
      <c r="G129" s="374">
        <f>ROW(Initiatives!$A$183)</f>
        <v>183</v>
      </c>
      <c r="H129" s="374">
        <f>ROW(Initiatives!$A$189)</f>
        <v>189</v>
      </c>
      <c r="I129" s="374">
        <f>ROW(Initiatives!$A$100)</f>
        <v>100</v>
      </c>
      <c r="J129" s="374">
        <f>ROW(Initiatives!$A$101)</f>
        <v>101</v>
      </c>
      <c r="K129" s="374">
        <f>ROW(Initiatives!$A$178)</f>
        <v>178</v>
      </c>
      <c r="L129" s="374"/>
      <c r="M129" s="374"/>
      <c r="N129" s="374"/>
      <c r="O129" s="374" t="s">
        <v>975</v>
      </c>
      <c r="P129" s="374" t="s">
        <v>975</v>
      </c>
      <c r="Q129" s="374" t="s">
        <v>975</v>
      </c>
      <c r="R129" s="374" t="s">
        <v>975</v>
      </c>
      <c r="S129" s="374" t="s">
        <v>975</v>
      </c>
      <c r="T129" s="374" t="s">
        <v>975</v>
      </c>
      <c r="U129" s="374" t="s">
        <v>975</v>
      </c>
      <c r="V129" s="374" t="s">
        <v>975</v>
      </c>
      <c r="W129" s="374" t="s">
        <v>975</v>
      </c>
      <c r="X129" s="374" t="s">
        <v>975</v>
      </c>
      <c r="Y129" s="392" t="str">
        <f ca="1">OFFSET(Initiatives!$D$1,E129-1,$BS$3)</f>
        <v>BI Applications</v>
      </c>
      <c r="Z129" s="375">
        <v>2</v>
      </c>
      <c r="AA129" s="392" t="str">
        <f ca="1">OFFSET(Initiatives!$D$1,F129-1,$BS$3)</f>
        <v>Source System Inclusion / Integration</v>
      </c>
      <c r="AB129" s="375">
        <v>2</v>
      </c>
      <c r="AC129" s="392" t="str">
        <f ca="1">OFFSET(Initiatives!$D$1,G129-1,$BS$3)</f>
        <v>Enhance DW Platform</v>
      </c>
      <c r="AD129" s="375">
        <v>2</v>
      </c>
      <c r="AE129" s="392" t="str">
        <f ca="1">OFFSET(Initiatives!$D$1,H129-1,$BS$3)</f>
        <v>Enhance BI Platform</v>
      </c>
      <c r="AF129" s="375">
        <v>2</v>
      </c>
      <c r="AG129" s="392" t="str">
        <f ca="1">OFFSET(Initiatives!$D$1,I129-1,$BS$3)</f>
        <v>Governance</v>
      </c>
      <c r="AH129" s="375">
        <v>9</v>
      </c>
      <c r="AI129" s="392" t="str">
        <f ca="1">OFFSET(Initiatives!$D$1,J129-1,$BS$3)</f>
        <v>Architecture</v>
      </c>
      <c r="AJ129" s="375">
        <v>3</v>
      </c>
      <c r="AK129" s="392" t="str">
        <f ca="1">OFFSET(Initiatives!$D$1,K129-1,$BS$3)</f>
        <v>Architecture Standards &amp; Adherence</v>
      </c>
      <c r="AL129" s="375"/>
      <c r="AM129" s="392" t="e">
        <f ca="1">OFFSET(Initiatives!$D$1,L129-1,$BS$3)</f>
        <v>#REF!</v>
      </c>
      <c r="AN129" s="375"/>
      <c r="AO129" s="392" t="e">
        <f ca="1">OFFSET(Initiatives!$D$1,M129-1,$BS$3)</f>
        <v>#REF!</v>
      </c>
      <c r="AP129" s="375"/>
      <c r="AQ129" s="392" t="e">
        <f ca="1">OFFSET(Initiatives!$D$1,N129-1,$BS$3)</f>
        <v>#REF!</v>
      </c>
      <c r="AR129" s="375"/>
      <c r="AS129" s="392" t="e">
        <f ca="1">OFFSET(Initiatives!$D$1,O129-1,$BS$3)</f>
        <v>#VALUE!</v>
      </c>
      <c r="AT129" s="375"/>
      <c r="AU129" s="392" t="e">
        <f ca="1">OFFSET(Initiatives!$D$1,P129-1,$BS$3)</f>
        <v>#VALUE!</v>
      </c>
      <c r="AV129" s="375"/>
      <c r="AW129" s="392" t="e">
        <f ca="1">OFFSET(Initiatives!$D$1,Q129-1,$BS$3)</f>
        <v>#VALUE!</v>
      </c>
      <c r="AX129" s="375"/>
      <c r="AY129" s="392" t="e">
        <f ca="1">OFFSET(Initiatives!$D$1,R129-1,$BS$3)</f>
        <v>#VALUE!</v>
      </c>
      <c r="AZ129" s="375"/>
      <c r="BA129" s="392" t="e">
        <f ca="1">OFFSET(Initiatives!$D$1,S129-1,$BS$3)</f>
        <v>#VALUE!</v>
      </c>
      <c r="BB129" s="375"/>
      <c r="BC129" s="392" t="e">
        <f ca="1">OFFSET(Initiatives!$D$1,T129-1,$BS$3)</f>
        <v>#VALUE!</v>
      </c>
      <c r="BD129" s="375"/>
      <c r="BE129" s="392" t="e">
        <f ca="1">OFFSET(Initiatives!$D$1,U129-1,$BS$3)</f>
        <v>#VALUE!</v>
      </c>
      <c r="BF129" s="375"/>
      <c r="BG129" s="392" t="e">
        <f ca="1">OFFSET(Initiatives!$D$1,V129-1,$BS$3)</f>
        <v>#VALUE!</v>
      </c>
      <c r="BH129" s="375"/>
      <c r="BI129" s="392" t="e">
        <f ca="1">OFFSET(Initiatives!$D$1,W129-1,$BS$3)</f>
        <v>#VALUE!</v>
      </c>
      <c r="BJ129" s="375"/>
      <c r="BK129" s="392" t="e">
        <f ca="1">OFFSET(Initiatives!$D$1,X129-1,$BS$3)</f>
        <v>#VALUE!</v>
      </c>
      <c r="BL129" s="375"/>
      <c r="BN129" s="101">
        <f t="shared" si="2135"/>
        <v>20.0001</v>
      </c>
      <c r="BP129" s="231" t="str">
        <f t="shared" ca="1" si="2136"/>
        <v>Governance (26%); Enhance BI Platform (25%); BI Applications (19%); Source System Inclusion / Integration (19%); Architecture (9%)</v>
      </c>
      <c r="BQ129" s="338">
        <v>0.01</v>
      </c>
      <c r="BR129" s="40">
        <f t="shared" ca="1" si="2137"/>
        <v>5</v>
      </c>
      <c r="BS129" s="274">
        <v>0.05</v>
      </c>
      <c r="BT129" s="40">
        <f t="shared" ca="1" si="2138"/>
        <v>5</v>
      </c>
      <c r="BU129" s="376">
        <v>7</v>
      </c>
      <c r="BV129" s="40">
        <f t="shared" ca="1" si="2139"/>
        <v>5</v>
      </c>
      <c r="BY129" s="377">
        <f ca="1">IF(ISERROR(OFFSET(Initiatives!$D$1,E129-1,$BY$3)),,OFFSET(Initiatives!$D$1,E129-1,$BY$3))</f>
        <v>0.45555555555555544</v>
      </c>
      <c r="BZ129" s="377">
        <f ca="1">IF(ISERROR(OFFSET(Initiatives!$D$1,F129-1,$BY$3)),,OFFSET(Initiatives!$D$1,F129-1,$BY$3))</f>
        <v>0.45454545454545436</v>
      </c>
      <c r="CA129" s="377">
        <f ca="1">IF(ISERROR(OFFSET(Initiatives!$D$1,G129-1,$BY$3)),,OFFSET(Initiatives!$D$1,G129-1,$BY$3))</f>
        <v>7.7000000000000179E-2</v>
      </c>
      <c r="CB129" s="377">
        <f ca="1">IF(ISERROR(OFFSET(Initiatives!$D$1,H129-1,$BY$3)),,OFFSET(Initiatives!$D$1,H129-1,$BY$3))</f>
        <v>0.6</v>
      </c>
      <c r="CC129" s="377">
        <f ca="1">IF(ISERROR(OFFSET(Initiatives!$D$1,I129-1,$BY$3)),,OFFSET(Initiatives!$D$1,I129-1,$BY$3))</f>
        <v>0.14000000000000001</v>
      </c>
      <c r="CD129" s="377">
        <f ca="1">IF(ISERROR(OFFSET(Initiatives!$D$1,J129-1,$BY$3)),,OFFSET(Initiatives!$D$1,J129-1,$BY$3))</f>
        <v>0.14000000000000001</v>
      </c>
      <c r="CE129" s="377">
        <f ca="1">IF(ISERROR(OFFSET(Initiatives!$D$1,K129-1,$BY$3)),,OFFSET(Initiatives!$D$1,K129-1,$BY$3))</f>
        <v>0.14000000000000012</v>
      </c>
      <c r="CF129" s="377">
        <f ca="1">IF(ISERROR(OFFSET(Initiatives!$D$1,L129-1,$BY$3)),,OFFSET(Initiatives!$D$1,L129-1,$BY$3))</f>
        <v>0</v>
      </c>
      <c r="CG129" s="377">
        <f ca="1">IF(ISERROR(OFFSET(Initiatives!$D$1,M129-1,$BY$3)),,OFFSET(Initiatives!$D$1,M129-1,$BY$3))</f>
        <v>0</v>
      </c>
      <c r="CH129" s="377">
        <f ca="1">IF(ISERROR(OFFSET(Initiatives!$D$1,N129-1,$BY$3)),,OFFSET(Initiatives!$D$1,N129-1,$BY$3))</f>
        <v>0</v>
      </c>
      <c r="CI129" s="377">
        <f ca="1">IF(ISERROR(OFFSET(Initiatives!$D$1,O129-1,$BY$3)),,OFFSET(Initiatives!$D$1,O129-1,$BY$3))</f>
        <v>0</v>
      </c>
      <c r="CJ129" s="377">
        <f ca="1">IF(ISERROR(OFFSET(Initiatives!$D$1,P129-1,$BY$3)),,OFFSET(Initiatives!$D$1,P129-1,$BY$3))</f>
        <v>0</v>
      </c>
      <c r="CK129" s="377">
        <f ca="1">IF(ISERROR(OFFSET(Initiatives!$D$1,Q129-1,$BY$3)),,OFFSET(Initiatives!$D$1,Q129-1,$BY$3))</f>
        <v>0</v>
      </c>
      <c r="CL129" s="377">
        <f ca="1">IF(ISERROR(OFFSET(Initiatives!$D$1,R129-1,$BY$3)),,OFFSET(Initiatives!$D$1,R129-1,$BY$3))</f>
        <v>0</v>
      </c>
      <c r="CM129" s="377">
        <f ca="1">IF(ISERROR(OFFSET(Initiatives!$D$1,S129-1,$BY$3)),,OFFSET(Initiatives!$D$1,S129-1,$BY$3))</f>
        <v>0</v>
      </c>
      <c r="CN129" s="377">
        <f ca="1">IF(ISERROR(OFFSET(Initiatives!$D$1,T129-1,$BY$3)),,OFFSET(Initiatives!$D$1,T129-1,$BY$3))</f>
        <v>0</v>
      </c>
      <c r="CO129" s="377">
        <f ca="1">IF(ISERROR(OFFSET(Initiatives!$D$1,U129-1,$BY$3)),,OFFSET(Initiatives!$D$1,U129-1,$BY$3))</f>
        <v>0</v>
      </c>
      <c r="CP129" s="377">
        <f ca="1">IF(ISERROR(OFFSET(Initiatives!$D$1,V129-1,$BY$3)),,OFFSET(Initiatives!$D$1,V129-1,$BY$3))</f>
        <v>0</v>
      </c>
      <c r="CQ129" s="377">
        <f ca="1">IF(ISERROR(OFFSET(Initiatives!$D$1,W129-1,$BY$3)),,OFFSET(Initiatives!$D$1,W129-1,$BY$3))</f>
        <v>0</v>
      </c>
      <c r="CR129" s="377">
        <f ca="1">IF(ISERROR(OFFSET(Initiatives!$D$1,X129-1,$BY$3)),,OFFSET(Initiatives!$D$1,X129-1,$BY$3))</f>
        <v>0</v>
      </c>
      <c r="CT129" s="41">
        <f t="shared" ca="1" si="2140"/>
        <v>4.5555327778916646E-2</v>
      </c>
      <c r="CU129" s="41">
        <f t="shared" ca="1" si="2141"/>
        <v>4.545431818295452E-2</v>
      </c>
      <c r="CV129" s="41">
        <f t="shared" ca="1" si="2142"/>
        <v>7.6999615001925167E-3</v>
      </c>
      <c r="CW129" s="41">
        <f t="shared" ca="1" si="2143"/>
        <v>5.9999700001499991E-2</v>
      </c>
      <c r="CX129" s="41">
        <f t="shared" ca="1" si="2144"/>
        <v>6.2999685001575004E-2</v>
      </c>
      <c r="CY129" s="41">
        <f t="shared" ca="1" si="2145"/>
        <v>2.0999895000525001E-2</v>
      </c>
      <c r="CZ129" s="41">
        <f t="shared" ca="1" si="2146"/>
        <v>0</v>
      </c>
      <c r="DA129" s="41">
        <f t="shared" ca="1" si="2147"/>
        <v>0</v>
      </c>
      <c r="DB129" s="41">
        <f t="shared" ca="1" si="2148"/>
        <v>0</v>
      </c>
      <c r="DC129" s="41">
        <f t="shared" ca="1" si="2149"/>
        <v>0</v>
      </c>
      <c r="DD129" s="41">
        <f t="shared" ca="1" si="2150"/>
        <v>0</v>
      </c>
      <c r="DE129" s="41">
        <f t="shared" ca="1" si="2151"/>
        <v>0</v>
      </c>
      <c r="DF129" s="41">
        <f t="shared" ca="1" si="2152"/>
        <v>0</v>
      </c>
      <c r="DG129" s="41">
        <f t="shared" ca="1" si="2153"/>
        <v>0</v>
      </c>
      <c r="DH129" s="41">
        <f t="shared" ca="1" si="2154"/>
        <v>0</v>
      </c>
      <c r="DI129" s="41">
        <f t="shared" ca="1" si="2155"/>
        <v>0</v>
      </c>
      <c r="DJ129" s="41">
        <f t="shared" ca="1" si="2156"/>
        <v>0</v>
      </c>
      <c r="DK129" s="41">
        <f t="shared" ca="1" si="2157"/>
        <v>0</v>
      </c>
      <c r="DL129" s="41">
        <f t="shared" ca="1" si="2158"/>
        <v>0</v>
      </c>
      <c r="DM129" s="41">
        <f t="shared" ca="1" si="2159"/>
        <v>0</v>
      </c>
      <c r="DN129" s="41">
        <f t="shared" ca="1" si="2160"/>
        <v>0.24270888746566371</v>
      </c>
      <c r="DP129" s="41">
        <f t="shared" ca="1" si="2161"/>
        <v>0.1876853425752133</v>
      </c>
      <c r="DQ129" s="41">
        <f t="shared" ca="1" si="2162"/>
        <v>0.1872591666493259</v>
      </c>
      <c r="DR129" s="41">
        <f t="shared" ca="1" si="2163"/>
        <v>3.1695090830395893E-2</v>
      </c>
      <c r="DS129" s="41">
        <f t="shared" ca="1" si="2164"/>
        <v>0.24716849997711027</v>
      </c>
      <c r="DT129" s="41">
        <f t="shared" ca="1" si="2165"/>
        <v>0.25951892497596585</v>
      </c>
      <c r="DU129" s="41">
        <f t="shared" ca="1" si="2166"/>
        <v>8.6462974991988614E-2</v>
      </c>
      <c r="DV129" s="41">
        <f t="shared" ca="1" si="2167"/>
        <v>-6.9999999999999994E-5</v>
      </c>
      <c r="DW129" s="41">
        <f t="shared" ca="1" si="2168"/>
        <v>-8.0000000000000007E-5</v>
      </c>
      <c r="DX129" s="41">
        <f t="shared" ca="1" si="2169"/>
        <v>-9.0000000000000006E-5</v>
      </c>
      <c r="DY129" s="41">
        <f t="shared" ca="1" si="2170"/>
        <v>-1E-4</v>
      </c>
      <c r="DZ129" s="41">
        <f t="shared" ca="1" si="2171"/>
        <v>-1.1E-4</v>
      </c>
      <c r="EA129" s="41">
        <f t="shared" ca="1" si="2172"/>
        <v>-1.2E-4</v>
      </c>
      <c r="EB129" s="41">
        <f t="shared" ca="1" si="2173"/>
        <v>-1.2999999999999999E-4</v>
      </c>
      <c r="EC129" s="41">
        <f t="shared" ca="1" si="2174"/>
        <v>-1.3999999999999999E-4</v>
      </c>
      <c r="ED129" s="41">
        <f t="shared" ca="1" si="2175"/>
        <v>-1.4999999999999999E-4</v>
      </c>
      <c r="EE129" s="41">
        <f t="shared" ca="1" si="2176"/>
        <v>-1.6000000000000001E-4</v>
      </c>
      <c r="EF129" s="41">
        <f t="shared" ca="1" si="2177"/>
        <v>-1.7000000000000001E-4</v>
      </c>
      <c r="EG129" s="41">
        <f t="shared" ca="1" si="2178"/>
        <v>-1.8000000000000001E-4</v>
      </c>
      <c r="EH129" s="41">
        <f t="shared" ca="1" si="2179"/>
        <v>-1.9000000000000001E-4</v>
      </c>
      <c r="EI129" s="41">
        <f t="shared" ca="1" si="2180"/>
        <v>-2.0000000000000001E-4</v>
      </c>
      <c r="EJ129" s="41">
        <f t="shared" ca="1" si="2181"/>
        <v>0.99789999999999979</v>
      </c>
      <c r="EL129" s="378">
        <f t="shared" ca="1" si="2182"/>
        <v>3</v>
      </c>
      <c r="EM129" s="378">
        <f t="shared" ca="1" si="2183"/>
        <v>4</v>
      </c>
      <c r="EN129" s="378">
        <f t="shared" ca="1" si="2184"/>
        <v>6</v>
      </c>
      <c r="EO129" s="378">
        <f t="shared" ca="1" si="2185"/>
        <v>2</v>
      </c>
      <c r="EP129" s="378">
        <f t="shared" ca="1" si="2186"/>
        <v>1</v>
      </c>
      <c r="EQ129" s="378">
        <f t="shared" ca="1" si="2187"/>
        <v>5</v>
      </c>
      <c r="ER129" s="378">
        <f t="shared" ca="1" si="2188"/>
        <v>7</v>
      </c>
      <c r="ES129" s="378">
        <f t="shared" ca="1" si="2189"/>
        <v>8</v>
      </c>
      <c r="ET129" s="378">
        <f t="shared" ca="1" si="2190"/>
        <v>9</v>
      </c>
      <c r="EU129" s="378">
        <f t="shared" ca="1" si="2191"/>
        <v>10</v>
      </c>
      <c r="EV129" s="378">
        <f t="shared" ca="1" si="2192"/>
        <v>11</v>
      </c>
      <c r="EW129" s="378">
        <f t="shared" ca="1" si="2193"/>
        <v>12</v>
      </c>
      <c r="EX129" s="378">
        <f t="shared" ca="1" si="2194"/>
        <v>13</v>
      </c>
      <c r="EY129" s="378">
        <f t="shared" ca="1" si="2195"/>
        <v>14</v>
      </c>
      <c r="EZ129" s="378">
        <f t="shared" ca="1" si="2196"/>
        <v>15</v>
      </c>
      <c r="FA129" s="378">
        <f t="shared" ca="1" si="2197"/>
        <v>16</v>
      </c>
      <c r="FB129" s="378">
        <f t="shared" ca="1" si="2198"/>
        <v>17</v>
      </c>
      <c r="FC129" s="378">
        <f t="shared" ca="1" si="2199"/>
        <v>18</v>
      </c>
      <c r="FD129" s="378">
        <f t="shared" ca="1" si="2200"/>
        <v>19</v>
      </c>
      <c r="FE129" s="378">
        <f t="shared" ca="1" si="2201"/>
        <v>20</v>
      </c>
      <c r="FG129" s="378">
        <f t="shared" ca="1" si="2091"/>
        <v>5</v>
      </c>
      <c r="FH129" s="378">
        <f t="shared" ca="1" si="2091"/>
        <v>4</v>
      </c>
      <c r="FI129" s="378">
        <f t="shared" ca="1" si="2091"/>
        <v>1</v>
      </c>
      <c r="FJ129" s="378">
        <f t="shared" ca="1" si="2091"/>
        <v>2</v>
      </c>
      <c r="FK129" s="378">
        <f t="shared" ca="1" si="2091"/>
        <v>6</v>
      </c>
      <c r="FL129" s="378">
        <f t="shared" ca="1" si="2091"/>
        <v>3</v>
      </c>
      <c r="FM129" s="378">
        <f t="shared" ca="1" si="2091"/>
        <v>7</v>
      </c>
      <c r="FN129" s="378">
        <f t="shared" ca="1" si="2091"/>
        <v>8</v>
      </c>
      <c r="FO129" s="378">
        <f t="shared" ca="1" si="2091"/>
        <v>9</v>
      </c>
      <c r="FP129" s="378">
        <f t="shared" ca="1" si="2091"/>
        <v>10</v>
      </c>
      <c r="FQ129" s="378">
        <f t="shared" ca="1" si="2091"/>
        <v>11</v>
      </c>
      <c r="FR129" s="378">
        <f t="shared" ca="1" si="2091"/>
        <v>12</v>
      </c>
      <c r="FS129" s="378">
        <f t="shared" ca="1" si="2091"/>
        <v>13</v>
      </c>
      <c r="FT129" s="378">
        <f t="shared" ca="1" si="2091"/>
        <v>14</v>
      </c>
      <c r="FU129" s="378">
        <f t="shared" ca="1" si="2091"/>
        <v>15</v>
      </c>
      <c r="FV129" s="378">
        <f t="shared" ca="1" si="2091"/>
        <v>16</v>
      </c>
      <c r="FW129" s="378">
        <f t="shared" ca="1" si="2092"/>
        <v>17</v>
      </c>
      <c r="FX129" s="378">
        <f t="shared" ca="1" si="2092"/>
        <v>18</v>
      </c>
      <c r="FY129" s="378">
        <f t="shared" ca="1" si="2092"/>
        <v>19</v>
      </c>
      <c r="FZ129" s="378">
        <f t="shared" ca="1" si="2092"/>
        <v>20</v>
      </c>
      <c r="GB129" s="275" t="str">
        <f t="shared" ca="1" si="2202"/>
        <v>Governance (26%)</v>
      </c>
      <c r="GC129" s="231" t="str">
        <f t="shared" ca="1" si="2203"/>
        <v>; Enhance BI Platform (25%)</v>
      </c>
      <c r="GD129" s="231" t="str">
        <f t="shared" ca="1" si="2204"/>
        <v>; BI Applications (19%)</v>
      </c>
      <c r="GE129" s="231" t="str">
        <f t="shared" ca="1" si="2205"/>
        <v>; Source System Inclusion / Integration (19%)</v>
      </c>
      <c r="GF129" s="231" t="str">
        <f t="shared" ca="1" si="2206"/>
        <v>; Architecture (9%)</v>
      </c>
      <c r="GG129" s="231" t="str">
        <f t="shared" ca="1" si="2207"/>
        <v/>
      </c>
      <c r="GH129" s="231" t="str">
        <f t="shared" ca="1" si="2208"/>
        <v/>
      </c>
      <c r="GI129" s="231" t="str">
        <f t="shared" ca="1" si="2209"/>
        <v/>
      </c>
      <c r="GJ129" s="231" t="str">
        <f t="shared" ca="1" si="2210"/>
        <v/>
      </c>
      <c r="GK129" s="231" t="str">
        <f t="shared" ca="1" si="2211"/>
        <v/>
      </c>
      <c r="GL129" s="231" t="str">
        <f t="shared" ca="1" si="2212"/>
        <v/>
      </c>
      <c r="GM129" s="231" t="str">
        <f t="shared" ca="1" si="2213"/>
        <v/>
      </c>
      <c r="GN129" s="231" t="str">
        <f t="shared" ca="1" si="2214"/>
        <v/>
      </c>
      <c r="GO129" s="231" t="str">
        <f t="shared" ca="1" si="2215"/>
        <v/>
      </c>
      <c r="GP129" s="231" t="str">
        <f t="shared" ca="1" si="2216"/>
        <v/>
      </c>
      <c r="GQ129" s="231" t="str">
        <f t="shared" ca="1" si="2217"/>
        <v/>
      </c>
      <c r="GR129" s="231" t="str">
        <f t="shared" ca="1" si="2218"/>
        <v/>
      </c>
      <c r="GS129" s="231" t="str">
        <f t="shared" ca="1" si="2219"/>
        <v/>
      </c>
      <c r="GT129" s="231" t="str">
        <f t="shared" ca="1" si="2220"/>
        <v/>
      </c>
      <c r="GU129" s="231" t="str">
        <f t="shared" ca="1" si="2221"/>
        <v/>
      </c>
      <c r="GW129" s="377">
        <f ca="1">IF(ISERROR(OFFSET(Initiatives!$D$1,E129-1,$CB$3)),,OFFSET(Initiatives!$D$1,E129-1,$CB$3))</f>
        <v>0.34166666666666662</v>
      </c>
      <c r="GX129" s="377">
        <f ca="1">IF(ISERROR(OFFSET(Initiatives!$D$1,F129-1,$CB$3)),,OFFSET(Initiatives!$D$1,F129-1,$CB$3))</f>
        <v>0.43181818181818177</v>
      </c>
      <c r="GY129" s="377">
        <f ca="1">IF(ISERROR(OFFSET(Initiatives!$D$1,G129-1,$CB$3)),,OFFSET(Initiatives!$D$1,G129-1,$CB$3))</f>
        <v>0.77</v>
      </c>
      <c r="GZ129" s="377">
        <f ca="1">IF(ISERROR(OFFSET(Initiatives!$D$1,H129-1,$CB$3)),,OFFSET(Initiatives!$D$1,H129-1,$CB$3))</f>
        <v>0.25</v>
      </c>
      <c r="HA129" s="377">
        <f ca="1">IF(ISERROR(OFFSET(Initiatives!$D$1,I129-1,$CB$3)),,OFFSET(Initiatives!$D$1,I129-1,$CB$3))</f>
        <v>0.65</v>
      </c>
      <c r="HB129" s="377">
        <f ca="1">IF(ISERROR(OFFSET(Initiatives!$D$1,J129-1,$CB$3)),,OFFSET(Initiatives!$D$1,J129-1,$CB$3))</f>
        <v>0.65</v>
      </c>
      <c r="HC129" s="377">
        <f ca="1">IF(ISERROR(OFFSET(Initiatives!$D$1,K129-1,$CB$3)),,OFFSET(Initiatives!$D$1,K129-1,$CB$3))</f>
        <v>0.65</v>
      </c>
      <c r="HD129" s="377">
        <f ca="1">IF(ISERROR(OFFSET(Initiatives!$D$1,L129-1,$CB$3)),,OFFSET(Initiatives!$D$1,L129-1,$CB$3))</f>
        <v>0</v>
      </c>
      <c r="HE129" s="377">
        <f ca="1">IF(ISERROR(OFFSET(Initiatives!$D$1,M129-1,$CB$3)),,OFFSET(Initiatives!$D$1,M129-1,$CB$3))</f>
        <v>0</v>
      </c>
      <c r="HF129" s="377">
        <f ca="1">IF(ISERROR(OFFSET(Initiatives!$D$1,N129-1,$CB$3)),,OFFSET(Initiatives!$D$1,N129-1,$CB$3))</f>
        <v>0</v>
      </c>
      <c r="HG129" s="377">
        <f ca="1">IF(ISERROR(OFFSET(Initiatives!$D$1,O129-1,$CB$3)),,OFFSET(Initiatives!$D$1,O129-1,$CB$3))</f>
        <v>0</v>
      </c>
      <c r="HH129" s="377">
        <f ca="1">IF(ISERROR(OFFSET(Initiatives!$D$1,P129-1,$CB$3)),,OFFSET(Initiatives!$D$1,P129-1,$CB$3))</f>
        <v>0</v>
      </c>
      <c r="HI129" s="377">
        <f ca="1">IF(ISERROR(OFFSET(Initiatives!$D$1,Q129-1,$CB$3)),,OFFSET(Initiatives!$D$1,Q129-1,$CB$3))</f>
        <v>0</v>
      </c>
      <c r="HJ129" s="377">
        <f ca="1">IF(ISERROR(OFFSET(Initiatives!$D$1,R129-1,$CB$3)),,OFFSET(Initiatives!$D$1,R129-1,$CB$3))</f>
        <v>0</v>
      </c>
      <c r="HK129" s="377">
        <f ca="1">IF(ISERROR(OFFSET(Initiatives!$D$1,S129-1,$CB$3)),,OFFSET(Initiatives!$D$1,S129-1,$CB$3))</f>
        <v>0</v>
      </c>
      <c r="HL129" s="377">
        <f ca="1">IF(ISERROR(OFFSET(Initiatives!$D$1,T129-1,$CB$3)),,OFFSET(Initiatives!$D$1,T129-1,$CB$3))</f>
        <v>0</v>
      </c>
      <c r="HM129" s="377">
        <f ca="1">IF(ISERROR(OFFSET(Initiatives!$D$1,U129-1,$CB$3)),,OFFSET(Initiatives!$D$1,U129-1,$CB$3))</f>
        <v>0</v>
      </c>
      <c r="HN129" s="377">
        <f ca="1">IF(ISERROR(OFFSET(Initiatives!$D$1,V129-1,$CB$3)),,OFFSET(Initiatives!$D$1,V129-1,$CB$3))</f>
        <v>0</v>
      </c>
      <c r="HO129" s="377">
        <f ca="1">IF(ISERROR(OFFSET(Initiatives!$D$1,W129-1,$CB$3)),,OFFSET(Initiatives!$D$1,W129-1,$CB$3))</f>
        <v>0</v>
      </c>
      <c r="HP129" s="377">
        <f ca="1">IF(ISERROR(OFFSET(Initiatives!$D$1,X129-1,$CB$3)),,OFFSET(Initiatives!$D$1,X129-1,$CB$3))</f>
        <v>0</v>
      </c>
      <c r="HR129" s="41">
        <f t="shared" ca="1" si="2222"/>
        <v>3.4166495834187488E-2</v>
      </c>
      <c r="HS129" s="41">
        <f t="shared" ca="1" si="2223"/>
        <v>4.318160227380681E-2</v>
      </c>
      <c r="HT129" s="41">
        <f t="shared" ca="1" si="2224"/>
        <v>7.6999615001924995E-2</v>
      </c>
      <c r="HU129" s="41">
        <f t="shared" ca="1" si="2225"/>
        <v>2.4999875000624998E-2</v>
      </c>
      <c r="HV129" s="41">
        <f t="shared" ca="1" si="2226"/>
        <v>0.29249853750731247</v>
      </c>
      <c r="HW129" s="41">
        <f t="shared" ca="1" si="2227"/>
        <v>9.7499512502437491E-2</v>
      </c>
      <c r="HX129" s="41">
        <f t="shared" ca="1" si="2228"/>
        <v>0</v>
      </c>
      <c r="HY129" s="41">
        <f t="shared" ca="1" si="2229"/>
        <v>0</v>
      </c>
      <c r="HZ129" s="41">
        <f t="shared" ca="1" si="2230"/>
        <v>0</v>
      </c>
      <c r="IA129" s="41">
        <f t="shared" ca="1" si="2231"/>
        <v>0</v>
      </c>
      <c r="IB129" s="41">
        <f t="shared" ca="1" si="2232"/>
        <v>0</v>
      </c>
      <c r="IC129" s="41">
        <f t="shared" ca="1" si="2233"/>
        <v>0</v>
      </c>
      <c r="ID129" s="41">
        <f t="shared" ca="1" si="2234"/>
        <v>0</v>
      </c>
      <c r="IE129" s="41">
        <f t="shared" ca="1" si="2235"/>
        <v>0</v>
      </c>
      <c r="IF129" s="41">
        <f t="shared" ca="1" si="2236"/>
        <v>0</v>
      </c>
      <c r="IG129" s="41">
        <f t="shared" ca="1" si="2237"/>
        <v>0</v>
      </c>
      <c r="IH129" s="41">
        <f t="shared" ca="1" si="2238"/>
        <v>0</v>
      </c>
      <c r="II129" s="41">
        <f t="shared" ca="1" si="2239"/>
        <v>0</v>
      </c>
      <c r="IJ129" s="41">
        <f t="shared" ca="1" si="2240"/>
        <v>0</v>
      </c>
      <c r="IK129" s="41">
        <f t="shared" ca="1" si="2241"/>
        <v>0</v>
      </c>
      <c r="IL129" s="41">
        <f t="shared" ca="1" si="2242"/>
        <v>0.56934563812029426</v>
      </c>
    </row>
    <row r="130" spans="1:246" s="409" customFormat="1" ht="13.5" hidden="1" customHeight="1">
      <c r="B130" s="373"/>
      <c r="C130" s="81" t="str">
        <f>Maturity!B16</f>
        <v>To what degree does the BI/DW program have PROCESSES in place to plan, prioritize, and adjust its BI/DW investments and resolve conflicts?</v>
      </c>
      <c r="D130" s="404">
        <f t="shared" ca="1" si="2134"/>
        <v>0.13999892308520706</v>
      </c>
      <c r="E130" s="374">
        <f>ROW(Initiatives!$A$170)</f>
        <v>170</v>
      </c>
      <c r="F130" s="374">
        <f>ROW(Initiatives!$A$176)</f>
        <v>176</v>
      </c>
      <c r="G130" s="374">
        <f>ROW(Initiatives!$A$183)</f>
        <v>183</v>
      </c>
      <c r="H130" s="374">
        <f>ROW(Initiatives!$A$189)</f>
        <v>189</v>
      </c>
      <c r="I130" s="374">
        <f>ROW(Initiatives!$A$100)</f>
        <v>100</v>
      </c>
      <c r="J130" s="374">
        <f>ROW(Initiatives!$A$101)</f>
        <v>101</v>
      </c>
      <c r="K130" s="374">
        <f>ROW(Initiatives!$A$178)</f>
        <v>178</v>
      </c>
      <c r="L130" s="374"/>
      <c r="M130" s="374"/>
      <c r="N130" s="374"/>
      <c r="O130" s="374" t="s">
        <v>975</v>
      </c>
      <c r="P130" s="374" t="s">
        <v>975</v>
      </c>
      <c r="Q130" s="374" t="s">
        <v>975</v>
      </c>
      <c r="R130" s="374" t="s">
        <v>975</v>
      </c>
      <c r="S130" s="374" t="s">
        <v>975</v>
      </c>
      <c r="T130" s="374" t="s">
        <v>975</v>
      </c>
      <c r="U130" s="374" t="s">
        <v>975</v>
      </c>
      <c r="V130" s="374" t="s">
        <v>975</v>
      </c>
      <c r="W130" s="374" t="s">
        <v>975</v>
      </c>
      <c r="X130" s="374" t="s">
        <v>975</v>
      </c>
      <c r="Y130" s="392" t="str">
        <f ca="1">OFFSET(Initiatives!$D$1,E130-1,$BS$3)</f>
        <v>BI Applications</v>
      </c>
      <c r="Z130" s="375">
        <v>0</v>
      </c>
      <c r="AA130" s="392" t="str">
        <f ca="1">OFFSET(Initiatives!$D$1,F130-1,$BS$3)</f>
        <v>Source System Inclusion / Integration</v>
      </c>
      <c r="AB130" s="375">
        <v>0</v>
      </c>
      <c r="AC130" s="392" t="str">
        <f ca="1">OFFSET(Initiatives!$D$1,G130-1,$BS$3)</f>
        <v>Enhance DW Platform</v>
      </c>
      <c r="AD130" s="375">
        <v>0</v>
      </c>
      <c r="AE130" s="392" t="str">
        <f ca="1">OFFSET(Initiatives!$D$1,H130-1,$BS$3)</f>
        <v>Enhance BI Platform</v>
      </c>
      <c r="AF130" s="375">
        <v>0</v>
      </c>
      <c r="AG130" s="392" t="str">
        <f ca="1">OFFSET(Initiatives!$D$1,I130-1,$BS$3)</f>
        <v>Governance</v>
      </c>
      <c r="AH130" s="375">
        <v>8</v>
      </c>
      <c r="AI130" s="392" t="str">
        <f ca="1">OFFSET(Initiatives!$D$1,J130-1,$BS$3)</f>
        <v>Architecture</v>
      </c>
      <c r="AJ130" s="375">
        <v>5</v>
      </c>
      <c r="AK130" s="392" t="str">
        <f ca="1">OFFSET(Initiatives!$D$1,K130-1,$BS$3)</f>
        <v>Architecture Standards &amp; Adherence</v>
      </c>
      <c r="AL130" s="375"/>
      <c r="AM130" s="392" t="e">
        <f ca="1">OFFSET(Initiatives!$D$1,L130-1,$BS$3)</f>
        <v>#REF!</v>
      </c>
      <c r="AN130" s="375"/>
      <c r="AO130" s="392" t="e">
        <f ca="1">OFFSET(Initiatives!$D$1,M130-1,$BS$3)</f>
        <v>#REF!</v>
      </c>
      <c r="AP130" s="375"/>
      <c r="AQ130" s="392" t="e">
        <f ca="1">OFFSET(Initiatives!$D$1,N130-1,$BS$3)</f>
        <v>#REF!</v>
      </c>
      <c r="AR130" s="375"/>
      <c r="AS130" s="392" t="e">
        <f ca="1">OFFSET(Initiatives!$D$1,O130-1,$BS$3)</f>
        <v>#VALUE!</v>
      </c>
      <c r="AT130" s="375"/>
      <c r="AU130" s="392" t="e">
        <f ca="1">OFFSET(Initiatives!$D$1,P130-1,$BS$3)</f>
        <v>#VALUE!</v>
      </c>
      <c r="AV130" s="375"/>
      <c r="AW130" s="392" t="e">
        <f ca="1">OFFSET(Initiatives!$D$1,Q130-1,$BS$3)</f>
        <v>#VALUE!</v>
      </c>
      <c r="AX130" s="375"/>
      <c r="AY130" s="392" t="e">
        <f ca="1">OFFSET(Initiatives!$D$1,R130-1,$BS$3)</f>
        <v>#VALUE!</v>
      </c>
      <c r="AZ130" s="375"/>
      <c r="BA130" s="392" t="e">
        <f ca="1">OFFSET(Initiatives!$D$1,S130-1,$BS$3)</f>
        <v>#VALUE!</v>
      </c>
      <c r="BB130" s="375"/>
      <c r="BC130" s="392" t="e">
        <f ca="1">OFFSET(Initiatives!$D$1,T130-1,$BS$3)</f>
        <v>#VALUE!</v>
      </c>
      <c r="BD130" s="375"/>
      <c r="BE130" s="392" t="e">
        <f ca="1">OFFSET(Initiatives!$D$1,U130-1,$BS$3)</f>
        <v>#VALUE!</v>
      </c>
      <c r="BF130" s="375"/>
      <c r="BG130" s="392" t="e">
        <f ca="1">OFFSET(Initiatives!$D$1,V130-1,$BS$3)</f>
        <v>#VALUE!</v>
      </c>
      <c r="BH130" s="375"/>
      <c r="BI130" s="392" t="e">
        <f ca="1">OFFSET(Initiatives!$D$1,W130-1,$BS$3)</f>
        <v>#VALUE!</v>
      </c>
      <c r="BJ130" s="375"/>
      <c r="BK130" s="392" t="e">
        <f ca="1">OFFSET(Initiatives!$D$1,X130-1,$BS$3)</f>
        <v>#VALUE!</v>
      </c>
      <c r="BL130" s="375"/>
      <c r="BN130" s="101">
        <f t="shared" si="2135"/>
        <v>13.0001</v>
      </c>
      <c r="BP130" s="231" t="str">
        <f t="shared" ca="1" si="2136"/>
        <v>Governance (62%); Architecture (38%)</v>
      </c>
      <c r="BQ130" s="338">
        <v>0.01</v>
      </c>
      <c r="BR130" s="40">
        <f t="shared" ca="1" si="2137"/>
        <v>2</v>
      </c>
      <c r="BS130" s="274">
        <v>0.05</v>
      </c>
      <c r="BT130" s="40">
        <f t="shared" ca="1" si="2138"/>
        <v>2</v>
      </c>
      <c r="BU130" s="376">
        <v>7</v>
      </c>
      <c r="BV130" s="40">
        <f t="shared" ca="1" si="2139"/>
        <v>2</v>
      </c>
      <c r="BY130" s="377">
        <f ca="1">IF(ISERROR(OFFSET(Initiatives!$D$1,E130-1,$BY$3)),,OFFSET(Initiatives!$D$1,E130-1,$BY$3))</f>
        <v>0.45555555555555544</v>
      </c>
      <c r="BZ130" s="377">
        <f ca="1">IF(ISERROR(OFFSET(Initiatives!$D$1,F130-1,$BY$3)),,OFFSET(Initiatives!$D$1,F130-1,$BY$3))</f>
        <v>0.45454545454545436</v>
      </c>
      <c r="CA130" s="377">
        <f ca="1">IF(ISERROR(OFFSET(Initiatives!$D$1,G130-1,$BY$3)),,OFFSET(Initiatives!$D$1,G130-1,$BY$3))</f>
        <v>7.7000000000000179E-2</v>
      </c>
      <c r="CB130" s="377">
        <f ca="1">IF(ISERROR(OFFSET(Initiatives!$D$1,H130-1,$BY$3)),,OFFSET(Initiatives!$D$1,H130-1,$BY$3))</f>
        <v>0.6</v>
      </c>
      <c r="CC130" s="377">
        <f ca="1">IF(ISERROR(OFFSET(Initiatives!$D$1,I130-1,$BY$3)),,OFFSET(Initiatives!$D$1,I130-1,$BY$3))</f>
        <v>0.14000000000000001</v>
      </c>
      <c r="CD130" s="377">
        <f ca="1">IF(ISERROR(OFFSET(Initiatives!$D$1,J130-1,$BY$3)),,OFFSET(Initiatives!$D$1,J130-1,$BY$3))</f>
        <v>0.14000000000000001</v>
      </c>
      <c r="CE130" s="377">
        <f ca="1">IF(ISERROR(OFFSET(Initiatives!$D$1,K130-1,$BY$3)),,OFFSET(Initiatives!$D$1,K130-1,$BY$3))</f>
        <v>0.14000000000000012</v>
      </c>
      <c r="CF130" s="377">
        <f ca="1">IF(ISERROR(OFFSET(Initiatives!$D$1,L130-1,$BY$3)),,OFFSET(Initiatives!$D$1,L130-1,$BY$3))</f>
        <v>0</v>
      </c>
      <c r="CG130" s="377">
        <f ca="1">IF(ISERROR(OFFSET(Initiatives!$D$1,M130-1,$BY$3)),,OFFSET(Initiatives!$D$1,M130-1,$BY$3))</f>
        <v>0</v>
      </c>
      <c r="CH130" s="377">
        <f ca="1">IF(ISERROR(OFFSET(Initiatives!$D$1,N130-1,$BY$3)),,OFFSET(Initiatives!$D$1,N130-1,$BY$3))</f>
        <v>0</v>
      </c>
      <c r="CI130" s="377">
        <f ca="1">IF(ISERROR(OFFSET(Initiatives!$D$1,O130-1,$BY$3)),,OFFSET(Initiatives!$D$1,O130-1,$BY$3))</f>
        <v>0</v>
      </c>
      <c r="CJ130" s="377">
        <f ca="1">IF(ISERROR(OFFSET(Initiatives!$D$1,P130-1,$BY$3)),,OFFSET(Initiatives!$D$1,P130-1,$BY$3))</f>
        <v>0</v>
      </c>
      <c r="CK130" s="377">
        <f ca="1">IF(ISERROR(OFFSET(Initiatives!$D$1,Q130-1,$BY$3)),,OFFSET(Initiatives!$D$1,Q130-1,$BY$3))</f>
        <v>0</v>
      </c>
      <c r="CL130" s="377">
        <f ca="1">IF(ISERROR(OFFSET(Initiatives!$D$1,R130-1,$BY$3)),,OFFSET(Initiatives!$D$1,R130-1,$BY$3))</f>
        <v>0</v>
      </c>
      <c r="CM130" s="377">
        <f ca="1">IF(ISERROR(OFFSET(Initiatives!$D$1,S130-1,$BY$3)),,OFFSET(Initiatives!$D$1,S130-1,$BY$3))</f>
        <v>0</v>
      </c>
      <c r="CN130" s="377">
        <f ca="1">IF(ISERROR(OFFSET(Initiatives!$D$1,T130-1,$BY$3)),,OFFSET(Initiatives!$D$1,T130-1,$BY$3))</f>
        <v>0</v>
      </c>
      <c r="CO130" s="377">
        <f ca="1">IF(ISERROR(OFFSET(Initiatives!$D$1,U130-1,$BY$3)),,OFFSET(Initiatives!$D$1,U130-1,$BY$3))</f>
        <v>0</v>
      </c>
      <c r="CP130" s="377">
        <f ca="1">IF(ISERROR(OFFSET(Initiatives!$D$1,V130-1,$BY$3)),,OFFSET(Initiatives!$D$1,V130-1,$BY$3))</f>
        <v>0</v>
      </c>
      <c r="CQ130" s="377">
        <f ca="1">IF(ISERROR(OFFSET(Initiatives!$D$1,W130-1,$BY$3)),,OFFSET(Initiatives!$D$1,W130-1,$BY$3))</f>
        <v>0</v>
      </c>
      <c r="CR130" s="377">
        <f ca="1">IF(ISERROR(OFFSET(Initiatives!$D$1,X130-1,$BY$3)),,OFFSET(Initiatives!$D$1,X130-1,$BY$3))</f>
        <v>0</v>
      </c>
      <c r="CT130" s="41">
        <f t="shared" ca="1" si="2140"/>
        <v>0</v>
      </c>
      <c r="CU130" s="41">
        <f t="shared" ca="1" si="2141"/>
        <v>0</v>
      </c>
      <c r="CV130" s="41">
        <f t="shared" ca="1" si="2142"/>
        <v>0</v>
      </c>
      <c r="CW130" s="41">
        <f t="shared" ca="1" si="2143"/>
        <v>0</v>
      </c>
      <c r="CX130" s="41">
        <f t="shared" ca="1" si="2144"/>
        <v>8.6153183437050487E-2</v>
      </c>
      <c r="CY130" s="41">
        <f t="shared" ca="1" si="2145"/>
        <v>5.384573964815656E-2</v>
      </c>
      <c r="CZ130" s="41">
        <f t="shared" ca="1" si="2146"/>
        <v>0</v>
      </c>
      <c r="DA130" s="41">
        <f t="shared" ca="1" si="2147"/>
        <v>0</v>
      </c>
      <c r="DB130" s="41">
        <f t="shared" ca="1" si="2148"/>
        <v>0</v>
      </c>
      <c r="DC130" s="41">
        <f t="shared" ca="1" si="2149"/>
        <v>0</v>
      </c>
      <c r="DD130" s="41">
        <f t="shared" ca="1" si="2150"/>
        <v>0</v>
      </c>
      <c r="DE130" s="41">
        <f t="shared" ca="1" si="2151"/>
        <v>0</v>
      </c>
      <c r="DF130" s="41">
        <f t="shared" ca="1" si="2152"/>
        <v>0</v>
      </c>
      <c r="DG130" s="41">
        <f t="shared" ca="1" si="2153"/>
        <v>0</v>
      </c>
      <c r="DH130" s="41">
        <f t="shared" ca="1" si="2154"/>
        <v>0</v>
      </c>
      <c r="DI130" s="41">
        <f t="shared" ca="1" si="2155"/>
        <v>0</v>
      </c>
      <c r="DJ130" s="41">
        <f t="shared" ca="1" si="2156"/>
        <v>0</v>
      </c>
      <c r="DK130" s="41">
        <f t="shared" ca="1" si="2157"/>
        <v>0</v>
      </c>
      <c r="DL130" s="41">
        <f t="shared" ca="1" si="2158"/>
        <v>0</v>
      </c>
      <c r="DM130" s="41">
        <f t="shared" ca="1" si="2159"/>
        <v>0</v>
      </c>
      <c r="DN130" s="41">
        <f t="shared" ca="1" si="2160"/>
        <v>0.13999892308520706</v>
      </c>
      <c r="DP130" s="41">
        <f t="shared" ca="1" si="2161"/>
        <v>-1.0000000000000001E-5</v>
      </c>
      <c r="DQ130" s="41">
        <f t="shared" ca="1" si="2162"/>
        <v>-2.0000000000000002E-5</v>
      </c>
      <c r="DR130" s="41">
        <f t="shared" ca="1" si="2163"/>
        <v>-3.0000000000000001E-5</v>
      </c>
      <c r="DS130" s="41">
        <f t="shared" ca="1" si="2164"/>
        <v>-4.0000000000000003E-5</v>
      </c>
      <c r="DT130" s="41">
        <f t="shared" ca="1" si="2165"/>
        <v>0.61533461538461531</v>
      </c>
      <c r="DU130" s="41">
        <f t="shared" ca="1" si="2166"/>
        <v>0.38455538461538458</v>
      </c>
      <c r="DV130" s="41">
        <f t="shared" ca="1" si="2167"/>
        <v>-6.9999999999999994E-5</v>
      </c>
      <c r="DW130" s="41">
        <f t="shared" ca="1" si="2168"/>
        <v>-8.0000000000000007E-5</v>
      </c>
      <c r="DX130" s="41">
        <f t="shared" ca="1" si="2169"/>
        <v>-9.0000000000000006E-5</v>
      </c>
      <c r="DY130" s="41">
        <f t="shared" ca="1" si="2170"/>
        <v>-1E-4</v>
      </c>
      <c r="DZ130" s="41">
        <f t="shared" ca="1" si="2171"/>
        <v>-1.1E-4</v>
      </c>
      <c r="EA130" s="41">
        <f t="shared" ca="1" si="2172"/>
        <v>-1.2E-4</v>
      </c>
      <c r="EB130" s="41">
        <f t="shared" ca="1" si="2173"/>
        <v>-1.2999999999999999E-4</v>
      </c>
      <c r="EC130" s="41">
        <f t="shared" ca="1" si="2174"/>
        <v>-1.3999999999999999E-4</v>
      </c>
      <c r="ED130" s="41">
        <f t="shared" ca="1" si="2175"/>
        <v>-1.4999999999999999E-4</v>
      </c>
      <c r="EE130" s="41">
        <f t="shared" ca="1" si="2176"/>
        <v>-1.6000000000000001E-4</v>
      </c>
      <c r="EF130" s="41">
        <f t="shared" ca="1" si="2177"/>
        <v>-1.7000000000000001E-4</v>
      </c>
      <c r="EG130" s="41">
        <f t="shared" ca="1" si="2178"/>
        <v>-1.8000000000000001E-4</v>
      </c>
      <c r="EH130" s="41">
        <f t="shared" ca="1" si="2179"/>
        <v>-1.9000000000000001E-4</v>
      </c>
      <c r="EI130" s="41">
        <f t="shared" ca="1" si="2180"/>
        <v>-2.0000000000000001E-4</v>
      </c>
      <c r="EJ130" s="41">
        <f t="shared" ca="1" si="2181"/>
        <v>0.9978999999999999</v>
      </c>
      <c r="EL130" s="378">
        <f t="shared" ca="1" si="2182"/>
        <v>3</v>
      </c>
      <c r="EM130" s="378">
        <f t="shared" ca="1" si="2183"/>
        <v>4</v>
      </c>
      <c r="EN130" s="378">
        <f t="shared" ca="1" si="2184"/>
        <v>5</v>
      </c>
      <c r="EO130" s="378">
        <f t="shared" ca="1" si="2185"/>
        <v>6</v>
      </c>
      <c r="EP130" s="378">
        <f t="shared" ca="1" si="2186"/>
        <v>1</v>
      </c>
      <c r="EQ130" s="378">
        <f t="shared" ca="1" si="2187"/>
        <v>2</v>
      </c>
      <c r="ER130" s="378">
        <f t="shared" ca="1" si="2188"/>
        <v>7</v>
      </c>
      <c r="ES130" s="378">
        <f t="shared" ca="1" si="2189"/>
        <v>8</v>
      </c>
      <c r="ET130" s="378">
        <f t="shared" ca="1" si="2190"/>
        <v>9</v>
      </c>
      <c r="EU130" s="378">
        <f t="shared" ca="1" si="2191"/>
        <v>10</v>
      </c>
      <c r="EV130" s="378">
        <f t="shared" ca="1" si="2192"/>
        <v>11</v>
      </c>
      <c r="EW130" s="378">
        <f t="shared" ca="1" si="2193"/>
        <v>12</v>
      </c>
      <c r="EX130" s="378">
        <f t="shared" ca="1" si="2194"/>
        <v>13</v>
      </c>
      <c r="EY130" s="378">
        <f t="shared" ca="1" si="2195"/>
        <v>14</v>
      </c>
      <c r="EZ130" s="378">
        <f t="shared" ca="1" si="2196"/>
        <v>15</v>
      </c>
      <c r="FA130" s="378">
        <f t="shared" ca="1" si="2197"/>
        <v>16</v>
      </c>
      <c r="FB130" s="378">
        <f t="shared" ca="1" si="2198"/>
        <v>17</v>
      </c>
      <c r="FC130" s="378">
        <f t="shared" ca="1" si="2199"/>
        <v>18</v>
      </c>
      <c r="FD130" s="378">
        <f t="shared" ca="1" si="2200"/>
        <v>19</v>
      </c>
      <c r="FE130" s="378">
        <f t="shared" ca="1" si="2201"/>
        <v>20</v>
      </c>
      <c r="FG130" s="378">
        <f t="shared" ca="1" si="2091"/>
        <v>5</v>
      </c>
      <c r="FH130" s="378">
        <f t="shared" ca="1" si="2091"/>
        <v>6</v>
      </c>
      <c r="FI130" s="378">
        <f t="shared" ca="1" si="2091"/>
        <v>1</v>
      </c>
      <c r="FJ130" s="378">
        <f t="shared" ca="1" si="2091"/>
        <v>2</v>
      </c>
      <c r="FK130" s="378">
        <f t="shared" ca="1" si="2091"/>
        <v>3</v>
      </c>
      <c r="FL130" s="378">
        <f t="shared" ca="1" si="2091"/>
        <v>4</v>
      </c>
      <c r="FM130" s="378">
        <f t="shared" ca="1" si="2091"/>
        <v>7</v>
      </c>
      <c r="FN130" s="378">
        <f t="shared" ca="1" si="2091"/>
        <v>8</v>
      </c>
      <c r="FO130" s="378">
        <f t="shared" ca="1" si="2091"/>
        <v>9</v>
      </c>
      <c r="FP130" s="378">
        <f t="shared" ca="1" si="2091"/>
        <v>10</v>
      </c>
      <c r="FQ130" s="378">
        <f t="shared" ca="1" si="2091"/>
        <v>11</v>
      </c>
      <c r="FR130" s="378">
        <f t="shared" ca="1" si="2091"/>
        <v>12</v>
      </c>
      <c r="FS130" s="378">
        <f t="shared" ca="1" si="2091"/>
        <v>13</v>
      </c>
      <c r="FT130" s="378">
        <f t="shared" ca="1" si="2091"/>
        <v>14</v>
      </c>
      <c r="FU130" s="378">
        <f t="shared" ca="1" si="2091"/>
        <v>15</v>
      </c>
      <c r="FV130" s="378">
        <f t="shared" ca="1" si="2091"/>
        <v>16</v>
      </c>
      <c r="FW130" s="378">
        <f t="shared" ca="1" si="2092"/>
        <v>17</v>
      </c>
      <c r="FX130" s="378">
        <f t="shared" ca="1" si="2092"/>
        <v>18</v>
      </c>
      <c r="FY130" s="378">
        <f t="shared" ca="1" si="2092"/>
        <v>19</v>
      </c>
      <c r="FZ130" s="378">
        <f t="shared" ca="1" si="2092"/>
        <v>20</v>
      </c>
      <c r="GB130" s="275" t="str">
        <f t="shared" ca="1" si="2202"/>
        <v>Governance (62%)</v>
      </c>
      <c r="GC130" s="231" t="str">
        <f t="shared" ca="1" si="2203"/>
        <v>; Architecture (38%)</v>
      </c>
      <c r="GD130" s="231" t="str">
        <f t="shared" ca="1" si="2204"/>
        <v/>
      </c>
      <c r="GE130" s="231" t="str">
        <f t="shared" ca="1" si="2205"/>
        <v/>
      </c>
      <c r="GF130" s="231" t="str">
        <f t="shared" ca="1" si="2206"/>
        <v/>
      </c>
      <c r="GG130" s="231" t="str">
        <f t="shared" ca="1" si="2207"/>
        <v/>
      </c>
      <c r="GH130" s="231" t="str">
        <f t="shared" ca="1" si="2208"/>
        <v/>
      </c>
      <c r="GI130" s="231" t="str">
        <f t="shared" ca="1" si="2209"/>
        <v/>
      </c>
      <c r="GJ130" s="231" t="str">
        <f t="shared" ca="1" si="2210"/>
        <v/>
      </c>
      <c r="GK130" s="231" t="str">
        <f t="shared" ca="1" si="2211"/>
        <v/>
      </c>
      <c r="GL130" s="231" t="str">
        <f t="shared" ca="1" si="2212"/>
        <v/>
      </c>
      <c r="GM130" s="231" t="str">
        <f t="shared" ca="1" si="2213"/>
        <v/>
      </c>
      <c r="GN130" s="231" t="str">
        <f t="shared" ca="1" si="2214"/>
        <v/>
      </c>
      <c r="GO130" s="231" t="str">
        <f t="shared" ca="1" si="2215"/>
        <v/>
      </c>
      <c r="GP130" s="231" t="str">
        <f t="shared" ca="1" si="2216"/>
        <v/>
      </c>
      <c r="GQ130" s="231" t="str">
        <f t="shared" ca="1" si="2217"/>
        <v/>
      </c>
      <c r="GR130" s="231" t="str">
        <f t="shared" ca="1" si="2218"/>
        <v/>
      </c>
      <c r="GS130" s="231" t="str">
        <f t="shared" ca="1" si="2219"/>
        <v/>
      </c>
      <c r="GT130" s="231" t="str">
        <f t="shared" ca="1" si="2220"/>
        <v/>
      </c>
      <c r="GU130" s="231" t="str">
        <f t="shared" ca="1" si="2221"/>
        <v/>
      </c>
      <c r="GW130" s="377">
        <f ca="1">IF(ISERROR(OFFSET(Initiatives!$D$1,E130-1,$CB$3)),,OFFSET(Initiatives!$D$1,E130-1,$CB$3))</f>
        <v>0.34166666666666662</v>
      </c>
      <c r="GX130" s="377">
        <f ca="1">IF(ISERROR(OFFSET(Initiatives!$D$1,F130-1,$CB$3)),,OFFSET(Initiatives!$D$1,F130-1,$CB$3))</f>
        <v>0.43181818181818177</v>
      </c>
      <c r="GY130" s="377">
        <f ca="1">IF(ISERROR(OFFSET(Initiatives!$D$1,G130-1,$CB$3)),,OFFSET(Initiatives!$D$1,G130-1,$CB$3))</f>
        <v>0.77</v>
      </c>
      <c r="GZ130" s="377">
        <f ca="1">IF(ISERROR(OFFSET(Initiatives!$D$1,H130-1,$CB$3)),,OFFSET(Initiatives!$D$1,H130-1,$CB$3))</f>
        <v>0.25</v>
      </c>
      <c r="HA130" s="377">
        <f ca="1">IF(ISERROR(OFFSET(Initiatives!$D$1,I130-1,$CB$3)),,OFFSET(Initiatives!$D$1,I130-1,$CB$3))</f>
        <v>0.65</v>
      </c>
      <c r="HB130" s="377">
        <f ca="1">IF(ISERROR(OFFSET(Initiatives!$D$1,J130-1,$CB$3)),,OFFSET(Initiatives!$D$1,J130-1,$CB$3))</f>
        <v>0.65</v>
      </c>
      <c r="HC130" s="377">
        <f ca="1">IF(ISERROR(OFFSET(Initiatives!$D$1,K130-1,$CB$3)),,OFFSET(Initiatives!$D$1,K130-1,$CB$3))</f>
        <v>0.65</v>
      </c>
      <c r="HD130" s="377">
        <f ca="1">IF(ISERROR(OFFSET(Initiatives!$D$1,L130-1,$CB$3)),,OFFSET(Initiatives!$D$1,L130-1,$CB$3))</f>
        <v>0</v>
      </c>
      <c r="HE130" s="377">
        <f ca="1">IF(ISERROR(OFFSET(Initiatives!$D$1,M130-1,$CB$3)),,OFFSET(Initiatives!$D$1,M130-1,$CB$3))</f>
        <v>0</v>
      </c>
      <c r="HF130" s="377">
        <f ca="1">IF(ISERROR(OFFSET(Initiatives!$D$1,N130-1,$CB$3)),,OFFSET(Initiatives!$D$1,N130-1,$CB$3))</f>
        <v>0</v>
      </c>
      <c r="HG130" s="377">
        <f ca="1">IF(ISERROR(OFFSET(Initiatives!$D$1,O130-1,$CB$3)),,OFFSET(Initiatives!$D$1,O130-1,$CB$3))</f>
        <v>0</v>
      </c>
      <c r="HH130" s="377">
        <f ca="1">IF(ISERROR(OFFSET(Initiatives!$D$1,P130-1,$CB$3)),,OFFSET(Initiatives!$D$1,P130-1,$CB$3))</f>
        <v>0</v>
      </c>
      <c r="HI130" s="377">
        <f ca="1">IF(ISERROR(OFFSET(Initiatives!$D$1,Q130-1,$CB$3)),,OFFSET(Initiatives!$D$1,Q130-1,$CB$3))</f>
        <v>0</v>
      </c>
      <c r="HJ130" s="377">
        <f ca="1">IF(ISERROR(OFFSET(Initiatives!$D$1,R130-1,$CB$3)),,OFFSET(Initiatives!$D$1,R130-1,$CB$3))</f>
        <v>0</v>
      </c>
      <c r="HK130" s="377">
        <f ca="1">IF(ISERROR(OFFSET(Initiatives!$D$1,S130-1,$CB$3)),,OFFSET(Initiatives!$D$1,S130-1,$CB$3))</f>
        <v>0</v>
      </c>
      <c r="HL130" s="377">
        <f ca="1">IF(ISERROR(OFFSET(Initiatives!$D$1,T130-1,$CB$3)),,OFFSET(Initiatives!$D$1,T130-1,$CB$3))</f>
        <v>0</v>
      </c>
      <c r="HM130" s="377">
        <f ca="1">IF(ISERROR(OFFSET(Initiatives!$D$1,U130-1,$CB$3)),,OFFSET(Initiatives!$D$1,U130-1,$CB$3))</f>
        <v>0</v>
      </c>
      <c r="HN130" s="377">
        <f ca="1">IF(ISERROR(OFFSET(Initiatives!$D$1,V130-1,$CB$3)),,OFFSET(Initiatives!$D$1,V130-1,$CB$3))</f>
        <v>0</v>
      </c>
      <c r="HO130" s="377">
        <f ca="1">IF(ISERROR(OFFSET(Initiatives!$D$1,W130-1,$CB$3)),,OFFSET(Initiatives!$D$1,W130-1,$CB$3))</f>
        <v>0</v>
      </c>
      <c r="HP130" s="377">
        <f ca="1">IF(ISERROR(OFFSET(Initiatives!$D$1,X130-1,$CB$3)),,OFFSET(Initiatives!$D$1,X130-1,$CB$3))</f>
        <v>0</v>
      </c>
      <c r="HR130" s="41">
        <f t="shared" ca="1" si="2222"/>
        <v>0</v>
      </c>
      <c r="HS130" s="41">
        <f t="shared" ca="1" si="2223"/>
        <v>0</v>
      </c>
      <c r="HT130" s="41">
        <f t="shared" ca="1" si="2224"/>
        <v>0</v>
      </c>
      <c r="HU130" s="41">
        <f t="shared" ca="1" si="2225"/>
        <v>0</v>
      </c>
      <c r="HV130" s="41">
        <f t="shared" ca="1" si="2226"/>
        <v>0.39999692310059154</v>
      </c>
      <c r="HW130" s="41">
        <f t="shared" ca="1" si="2227"/>
        <v>0.24999807693786971</v>
      </c>
      <c r="HX130" s="41">
        <f t="shared" ca="1" si="2228"/>
        <v>0</v>
      </c>
      <c r="HY130" s="41">
        <f t="shared" ca="1" si="2229"/>
        <v>0</v>
      </c>
      <c r="HZ130" s="41">
        <f t="shared" ca="1" si="2230"/>
        <v>0</v>
      </c>
      <c r="IA130" s="41">
        <f t="shared" ca="1" si="2231"/>
        <v>0</v>
      </c>
      <c r="IB130" s="41">
        <f t="shared" ca="1" si="2232"/>
        <v>0</v>
      </c>
      <c r="IC130" s="41">
        <f t="shared" ca="1" si="2233"/>
        <v>0</v>
      </c>
      <c r="ID130" s="41">
        <f t="shared" ca="1" si="2234"/>
        <v>0</v>
      </c>
      <c r="IE130" s="41">
        <f t="shared" ca="1" si="2235"/>
        <v>0</v>
      </c>
      <c r="IF130" s="41">
        <f t="shared" ca="1" si="2236"/>
        <v>0</v>
      </c>
      <c r="IG130" s="41">
        <f t="shared" ca="1" si="2237"/>
        <v>0</v>
      </c>
      <c r="IH130" s="41">
        <f t="shared" ca="1" si="2238"/>
        <v>0</v>
      </c>
      <c r="II130" s="41">
        <f t="shared" ca="1" si="2239"/>
        <v>0</v>
      </c>
      <c r="IJ130" s="41">
        <f t="shared" ca="1" si="2240"/>
        <v>0</v>
      </c>
      <c r="IK130" s="41">
        <f t="shared" ca="1" si="2241"/>
        <v>0</v>
      </c>
      <c r="IL130" s="41">
        <f t="shared" ca="1" si="2242"/>
        <v>0.64999500003846122</v>
      </c>
    </row>
    <row r="131" spans="1:246" s="386" customFormat="1" hidden="1">
      <c r="A131" s="409"/>
      <c r="B131" s="409"/>
      <c r="C131" s="409"/>
      <c r="D131" s="409"/>
      <c r="BP131" s="29"/>
    </row>
    <row r="132" spans="1:246" s="409" customFormat="1" ht="15" hidden="1">
      <c r="B132" s="6" t="str">
        <f>Maturity!A18</f>
        <v>Funding</v>
      </c>
      <c r="BP132" s="29"/>
    </row>
    <row r="133" spans="1:246" s="409" customFormat="1" ht="15" hidden="1" customHeight="1">
      <c r="B133" s="373"/>
      <c r="C133" s="81" t="str">
        <f>Maturity!B19</f>
        <v>How easy is it to get FUNDING for your group's annual BI/DW budget?</v>
      </c>
      <c r="D133" s="404">
        <f t="shared" ref="D133:D137" ca="1" si="2243">DN133</f>
        <v>0.33751812687278315</v>
      </c>
      <c r="E133" s="374">
        <f>ROW(Initiatives!$A$170)</f>
        <v>170</v>
      </c>
      <c r="F133" s="374">
        <f>ROW(Initiatives!$A$176)</f>
        <v>176</v>
      </c>
      <c r="G133" s="374">
        <f>ROW(Initiatives!$A$183)</f>
        <v>183</v>
      </c>
      <c r="H133" s="374">
        <f>ROW(Initiatives!$A$189)</f>
        <v>189</v>
      </c>
      <c r="I133" s="374">
        <f>ROW(Initiatives!$A$100)</f>
        <v>100</v>
      </c>
      <c r="J133" s="374">
        <f>ROW(Initiatives!$A$101)</f>
        <v>101</v>
      </c>
      <c r="K133" s="374">
        <f>ROW(Initiatives!$A$178)</f>
        <v>178</v>
      </c>
      <c r="L133" s="374"/>
      <c r="M133" s="374"/>
      <c r="N133" s="374"/>
      <c r="O133" s="374" t="s">
        <v>975</v>
      </c>
      <c r="P133" s="374" t="s">
        <v>975</v>
      </c>
      <c r="Q133" s="374" t="s">
        <v>975</v>
      </c>
      <c r="R133" s="374" t="s">
        <v>975</v>
      </c>
      <c r="S133" s="374" t="s">
        <v>975</v>
      </c>
      <c r="T133" s="374" t="s">
        <v>975</v>
      </c>
      <c r="U133" s="374" t="s">
        <v>975</v>
      </c>
      <c r="V133" s="374" t="s">
        <v>975</v>
      </c>
      <c r="W133" s="374" t="s">
        <v>975</v>
      </c>
      <c r="X133" s="374" t="s">
        <v>975</v>
      </c>
      <c r="Y133" s="392" t="str">
        <f ca="1">OFFSET(Initiatives!$D$1,E133-1,$BS$3)</f>
        <v>BI Applications</v>
      </c>
      <c r="Z133" s="375">
        <v>5</v>
      </c>
      <c r="AA133" s="392" t="str">
        <f ca="1">OFFSET(Initiatives!$D$1,F133-1,$BS$3)</f>
        <v>Source System Inclusion / Integration</v>
      </c>
      <c r="AB133" s="375">
        <v>5</v>
      </c>
      <c r="AC133" s="392" t="str">
        <f ca="1">OFFSET(Initiatives!$D$1,G133-1,$BS$3)</f>
        <v>Enhance DW Platform</v>
      </c>
      <c r="AD133" s="375">
        <v>5</v>
      </c>
      <c r="AE133" s="392" t="str">
        <f ca="1">OFFSET(Initiatives!$D$1,H133-1,$BS$3)</f>
        <v>Enhance BI Platform</v>
      </c>
      <c r="AF133" s="375">
        <v>5</v>
      </c>
      <c r="AG133" s="392" t="str">
        <f ca="1">OFFSET(Initiatives!$D$1,I133-1,$BS$3)</f>
        <v>Governance</v>
      </c>
      <c r="AH133" s="375">
        <v>6</v>
      </c>
      <c r="AI133" s="392" t="str">
        <f ca="1">OFFSET(Initiatives!$D$1,J133-1,$BS$3)</f>
        <v>Architecture</v>
      </c>
      <c r="AJ133" s="375"/>
      <c r="AK133" s="392" t="str">
        <f ca="1">OFFSET(Initiatives!$D$1,K133-1,$BS$3)</f>
        <v>Architecture Standards &amp; Adherence</v>
      </c>
      <c r="AL133" s="375"/>
      <c r="AM133" s="392" t="e">
        <f ca="1">OFFSET(Initiatives!$D$1,L133-1,$BS$3)</f>
        <v>#REF!</v>
      </c>
      <c r="AN133" s="375"/>
      <c r="AO133" s="392" t="e">
        <f ca="1">OFFSET(Initiatives!$D$1,M133-1,$BS$3)</f>
        <v>#REF!</v>
      </c>
      <c r="AP133" s="375"/>
      <c r="AQ133" s="392" t="e">
        <f ca="1">OFFSET(Initiatives!$D$1,N133-1,$BS$3)</f>
        <v>#REF!</v>
      </c>
      <c r="AR133" s="375"/>
      <c r="AS133" s="392" t="e">
        <f ca="1">OFFSET(Initiatives!$D$1,O133-1,$BS$3)</f>
        <v>#VALUE!</v>
      </c>
      <c r="AT133" s="375"/>
      <c r="AU133" s="392" t="e">
        <f ca="1">OFFSET(Initiatives!$D$1,P133-1,$BS$3)</f>
        <v>#VALUE!</v>
      </c>
      <c r="AV133" s="375"/>
      <c r="AW133" s="392" t="e">
        <f ca="1">OFFSET(Initiatives!$D$1,Q133-1,$BS$3)</f>
        <v>#VALUE!</v>
      </c>
      <c r="AX133" s="375"/>
      <c r="AY133" s="392" t="e">
        <f ca="1">OFFSET(Initiatives!$D$1,R133-1,$BS$3)</f>
        <v>#VALUE!</v>
      </c>
      <c r="AZ133" s="375"/>
      <c r="BA133" s="392" t="e">
        <f ca="1">OFFSET(Initiatives!$D$1,S133-1,$BS$3)</f>
        <v>#VALUE!</v>
      </c>
      <c r="BB133" s="375"/>
      <c r="BC133" s="392" t="e">
        <f ca="1">OFFSET(Initiatives!$D$1,T133-1,$BS$3)</f>
        <v>#VALUE!</v>
      </c>
      <c r="BD133" s="375"/>
      <c r="BE133" s="392" t="e">
        <f ca="1">OFFSET(Initiatives!$D$1,U133-1,$BS$3)</f>
        <v>#VALUE!</v>
      </c>
      <c r="BF133" s="375"/>
      <c r="BG133" s="392" t="e">
        <f ca="1">OFFSET(Initiatives!$D$1,V133-1,$BS$3)</f>
        <v>#VALUE!</v>
      </c>
      <c r="BH133" s="375"/>
      <c r="BI133" s="392" t="e">
        <f ca="1">OFFSET(Initiatives!$D$1,W133-1,$BS$3)</f>
        <v>#VALUE!</v>
      </c>
      <c r="BJ133" s="375"/>
      <c r="BK133" s="392" t="e">
        <f ca="1">OFFSET(Initiatives!$D$1,X133-1,$BS$3)</f>
        <v>#VALUE!</v>
      </c>
      <c r="BL133" s="375"/>
      <c r="BN133" s="101">
        <f t="shared" ref="BN133:BN137" si="2244">SUM(Z133,AB133,AD133,AF133,AH133,AJ133,AL133,AN133,AP133,AR133,AT133,AV133,AX133,AZ133,BB133,BD133,BF133,BH133,BJ133,BL133)+0.0001</f>
        <v>26.0001</v>
      </c>
      <c r="BP133" s="231" t="str">
        <f t="shared" ref="BP133:BP137" ca="1" si="2245">CONCATENATE(GB133,GC133,GD133,GE133,GF133,GG133,GH133,GI133,GJ133,GK133,GL133,GM133,GN133,GO133,GP133,GQ133,GR133,GS133,GT133,GU133)</f>
        <v>Enhance BI Platform (34%); BI Applications (26%); Source System Inclusion / Integration (26%); Governance (10%)</v>
      </c>
      <c r="BQ133" s="338">
        <v>0.01</v>
      </c>
      <c r="BR133" s="40">
        <f t="shared" ref="BR133:BR137" ca="1" si="2246">COUNTIF(CT133:DM133,"&gt;"&amp;BQ133)</f>
        <v>5</v>
      </c>
      <c r="BS133" s="274">
        <v>0.05</v>
      </c>
      <c r="BT133" s="40">
        <f t="shared" ref="BT133:BT137" ca="1" si="2247">COUNTIF(DP133:EI133,"&gt;"&amp;BS133)</f>
        <v>4</v>
      </c>
      <c r="BU133" s="376">
        <v>7</v>
      </c>
      <c r="BV133" s="40">
        <f t="shared" ref="BV133:BV137" ca="1" si="2248">MIN(BR133,BT133,BU133)</f>
        <v>4</v>
      </c>
      <c r="BY133" s="377">
        <f ca="1">IF(ISERROR(OFFSET(Initiatives!$D$1,E133-1,$BY$3)),,OFFSET(Initiatives!$D$1,E133-1,$BY$3))</f>
        <v>0.45555555555555544</v>
      </c>
      <c r="BZ133" s="377">
        <f ca="1">IF(ISERROR(OFFSET(Initiatives!$D$1,F133-1,$BY$3)),,OFFSET(Initiatives!$D$1,F133-1,$BY$3))</f>
        <v>0.45454545454545436</v>
      </c>
      <c r="CA133" s="377">
        <f ca="1">IF(ISERROR(OFFSET(Initiatives!$D$1,G133-1,$BY$3)),,OFFSET(Initiatives!$D$1,G133-1,$BY$3))</f>
        <v>7.7000000000000179E-2</v>
      </c>
      <c r="CB133" s="377">
        <f ca="1">IF(ISERROR(OFFSET(Initiatives!$D$1,H133-1,$BY$3)),,OFFSET(Initiatives!$D$1,H133-1,$BY$3))</f>
        <v>0.6</v>
      </c>
      <c r="CC133" s="377">
        <f ca="1">IF(ISERROR(OFFSET(Initiatives!$D$1,I133-1,$BY$3)),,OFFSET(Initiatives!$D$1,I133-1,$BY$3))</f>
        <v>0.14000000000000001</v>
      </c>
      <c r="CD133" s="377">
        <f ca="1">IF(ISERROR(OFFSET(Initiatives!$D$1,J133-1,$BY$3)),,OFFSET(Initiatives!$D$1,J133-1,$BY$3))</f>
        <v>0.14000000000000001</v>
      </c>
      <c r="CE133" s="377">
        <f ca="1">IF(ISERROR(OFFSET(Initiatives!$D$1,K133-1,$BY$3)),,OFFSET(Initiatives!$D$1,K133-1,$BY$3))</f>
        <v>0.14000000000000012</v>
      </c>
      <c r="CF133" s="377">
        <f ca="1">IF(ISERROR(OFFSET(Initiatives!$D$1,L133-1,$BY$3)),,OFFSET(Initiatives!$D$1,L133-1,$BY$3))</f>
        <v>0</v>
      </c>
      <c r="CG133" s="377">
        <f ca="1">IF(ISERROR(OFFSET(Initiatives!$D$1,M133-1,$BY$3)),,OFFSET(Initiatives!$D$1,M133-1,$BY$3))</f>
        <v>0</v>
      </c>
      <c r="CH133" s="377">
        <f ca="1">IF(ISERROR(OFFSET(Initiatives!$D$1,N133-1,$BY$3)),,OFFSET(Initiatives!$D$1,N133-1,$BY$3))</f>
        <v>0</v>
      </c>
      <c r="CI133" s="377">
        <f ca="1">IF(ISERROR(OFFSET(Initiatives!$D$1,O133-1,$BY$3)),,OFFSET(Initiatives!$D$1,O133-1,$BY$3))</f>
        <v>0</v>
      </c>
      <c r="CJ133" s="377">
        <f ca="1">IF(ISERROR(OFFSET(Initiatives!$D$1,P133-1,$BY$3)),,OFFSET(Initiatives!$D$1,P133-1,$BY$3))</f>
        <v>0</v>
      </c>
      <c r="CK133" s="377">
        <f ca="1">IF(ISERROR(OFFSET(Initiatives!$D$1,Q133-1,$BY$3)),,OFFSET(Initiatives!$D$1,Q133-1,$BY$3))</f>
        <v>0</v>
      </c>
      <c r="CL133" s="377">
        <f ca="1">IF(ISERROR(OFFSET(Initiatives!$D$1,R133-1,$BY$3)),,OFFSET(Initiatives!$D$1,R133-1,$BY$3))</f>
        <v>0</v>
      </c>
      <c r="CM133" s="377">
        <f ca="1">IF(ISERROR(OFFSET(Initiatives!$D$1,S133-1,$BY$3)),,OFFSET(Initiatives!$D$1,S133-1,$BY$3))</f>
        <v>0</v>
      </c>
      <c r="CN133" s="377">
        <f ca="1">IF(ISERROR(OFFSET(Initiatives!$D$1,T133-1,$BY$3)),,OFFSET(Initiatives!$D$1,T133-1,$BY$3))</f>
        <v>0</v>
      </c>
      <c r="CO133" s="377">
        <f ca="1">IF(ISERROR(OFFSET(Initiatives!$D$1,U133-1,$BY$3)),,OFFSET(Initiatives!$D$1,U133-1,$BY$3))</f>
        <v>0</v>
      </c>
      <c r="CP133" s="377">
        <f ca="1">IF(ISERROR(OFFSET(Initiatives!$D$1,V133-1,$BY$3)),,OFFSET(Initiatives!$D$1,V133-1,$BY$3))</f>
        <v>0</v>
      </c>
      <c r="CQ133" s="377">
        <f ca="1">IF(ISERROR(OFFSET(Initiatives!$D$1,W133-1,$BY$3)),,OFFSET(Initiatives!$D$1,W133-1,$BY$3))</f>
        <v>0</v>
      </c>
      <c r="CR133" s="377">
        <f ca="1">IF(ISERROR(OFFSET(Initiatives!$D$1,X133-1,$BY$3)),,OFFSET(Initiatives!$D$1,X133-1,$BY$3))</f>
        <v>0</v>
      </c>
      <c r="CT133" s="41">
        <f t="shared" ref="CT133:CT137" ca="1" si="2249">BY133*Z133/$BN133</f>
        <v>8.7606500658758135E-2</v>
      </c>
      <c r="CU133" s="41">
        <f t="shared" ref="CU133:CU137" ca="1" si="2250">BZ133*AB133/$BN133</f>
        <v>8.7412251211621175E-2</v>
      </c>
      <c r="CV133" s="41">
        <f t="shared" ref="CV133:CV137" ca="1" si="2251">CA133*AD133/$BN133</f>
        <v>1.4807635355248669E-2</v>
      </c>
      <c r="CW133" s="41">
        <f t="shared" ref="CW133:CW137" ca="1" si="2252">CB133*AF133/$BN133</f>
        <v>0.11538417159934</v>
      </c>
      <c r="CX133" s="41">
        <f t="shared" ref="CX133:CX137" ca="1" si="2253">CC133*AH133/$BN133</f>
        <v>3.2307568047815205E-2</v>
      </c>
      <c r="CY133" s="41">
        <f t="shared" ref="CY133:CY137" ca="1" si="2254">CD133*AJ133/$BN133</f>
        <v>0</v>
      </c>
      <c r="CZ133" s="41">
        <f t="shared" ref="CZ133:CZ137" ca="1" si="2255">CE133*AL133/$BN133</f>
        <v>0</v>
      </c>
      <c r="DA133" s="41">
        <f t="shared" ref="DA133:DA137" ca="1" si="2256">CF133*AN133/$BN133</f>
        <v>0</v>
      </c>
      <c r="DB133" s="41">
        <f t="shared" ref="DB133:DB137" ca="1" si="2257">CG133*AP133/$BN133</f>
        <v>0</v>
      </c>
      <c r="DC133" s="41">
        <f t="shared" ref="DC133:DC137" ca="1" si="2258">CH133*AR133/$BN133</f>
        <v>0</v>
      </c>
      <c r="DD133" s="41">
        <f t="shared" ref="DD133:DD137" ca="1" si="2259">CI133*AT133/$BN133</f>
        <v>0</v>
      </c>
      <c r="DE133" s="41">
        <f t="shared" ref="DE133:DE137" ca="1" si="2260">CJ133*AV133/$BN133</f>
        <v>0</v>
      </c>
      <c r="DF133" s="41">
        <f t="shared" ref="DF133:DF137" ca="1" si="2261">CK133*AX133/$BN133</f>
        <v>0</v>
      </c>
      <c r="DG133" s="41">
        <f t="shared" ref="DG133:DG137" ca="1" si="2262">CL133*AZ133/$BN133</f>
        <v>0</v>
      </c>
      <c r="DH133" s="41">
        <f t="shared" ref="DH133:DH137" ca="1" si="2263">CM133*BB133/$BN133</f>
        <v>0</v>
      </c>
      <c r="DI133" s="41">
        <f t="shared" ref="DI133:DI137" ca="1" si="2264">CN133*BD133/$BN133</f>
        <v>0</v>
      </c>
      <c r="DJ133" s="41">
        <f t="shared" ref="DJ133:DJ137" ca="1" si="2265">CO133*BF133/$BN133</f>
        <v>0</v>
      </c>
      <c r="DK133" s="41">
        <f t="shared" ref="DK133:DK137" ca="1" si="2266">CP133*BH133/$BN133</f>
        <v>0</v>
      </c>
      <c r="DL133" s="41">
        <f t="shared" ref="DL133:DL137" ca="1" si="2267">CQ133*BJ133/$BN133</f>
        <v>0</v>
      </c>
      <c r="DM133" s="41">
        <f t="shared" ref="DM133:DM137" ca="1" si="2268">CR133*BL133/$BN133</f>
        <v>0</v>
      </c>
      <c r="DN133" s="41">
        <f t="shared" ref="DN133:DN137" ca="1" si="2269">SUM(CT133:DM133)</f>
        <v>0.33751812687278315</v>
      </c>
      <c r="DP133" s="41">
        <f t="shared" ref="DP133:DP137" ca="1" si="2270">CT133/$DN133-DP$5/100000</f>
        <v>0.25955087594601595</v>
      </c>
      <c r="DQ133" s="41">
        <f t="shared" ref="DQ133:DQ137" ca="1" si="2271">CU133/$DN133-DQ$5/100000</f>
        <v>0.25896535293948364</v>
      </c>
      <c r="DR133" s="41">
        <f t="shared" ref="DR133:DR137" ca="1" si="2272">CV133/$DN133-DR$5/100000</f>
        <v>4.3842118787948657E-2</v>
      </c>
      <c r="DS133" s="41">
        <f t="shared" ref="DS133:DS137" ca="1" si="2273">CW133/$DN133-DS$5/100000</f>
        <v>0.34182066588011861</v>
      </c>
      <c r="DT133" s="41">
        <f t="shared" ref="DT133:DT137" ca="1" si="2274">CX133/$DN133-DT$5/100000</f>
        <v>9.5670986446433223E-2</v>
      </c>
      <c r="DU133" s="41">
        <f t="shared" ref="DU133:DU137" ca="1" si="2275">CY133/$DN133-DU$5/100000</f>
        <v>-6.0000000000000002E-5</v>
      </c>
      <c r="DV133" s="41">
        <f t="shared" ref="DV133:DV137" ca="1" si="2276">CZ133/$DN133-DV$5/100000</f>
        <v>-6.9999999999999994E-5</v>
      </c>
      <c r="DW133" s="41">
        <f t="shared" ref="DW133:DW137" ca="1" si="2277">DA133/$DN133-DW$5/100000</f>
        <v>-8.0000000000000007E-5</v>
      </c>
      <c r="DX133" s="41">
        <f t="shared" ref="DX133:DX137" ca="1" si="2278">DB133/$DN133-DX$5/100000</f>
        <v>-9.0000000000000006E-5</v>
      </c>
      <c r="DY133" s="41">
        <f t="shared" ref="DY133:DY137" ca="1" si="2279">DC133/$DN133-DY$5/100000</f>
        <v>-1E-4</v>
      </c>
      <c r="DZ133" s="41">
        <f t="shared" ref="DZ133:DZ137" ca="1" si="2280">DD133/$DN133-DZ$5/100000</f>
        <v>-1.1E-4</v>
      </c>
      <c r="EA133" s="41">
        <f t="shared" ref="EA133:EA137" ca="1" si="2281">DE133/$DN133-EA$5/100000</f>
        <v>-1.2E-4</v>
      </c>
      <c r="EB133" s="41">
        <f t="shared" ref="EB133:EB137" ca="1" si="2282">DF133/$DN133-EB$5/100000</f>
        <v>-1.2999999999999999E-4</v>
      </c>
      <c r="EC133" s="41">
        <f t="shared" ref="EC133:EC137" ca="1" si="2283">DG133/$DN133-EC$5/100000</f>
        <v>-1.3999999999999999E-4</v>
      </c>
      <c r="ED133" s="41">
        <f t="shared" ref="ED133:ED137" ca="1" si="2284">DH133/$DN133-ED$5/100000</f>
        <v>-1.4999999999999999E-4</v>
      </c>
      <c r="EE133" s="41">
        <f t="shared" ref="EE133:EE137" ca="1" si="2285">DI133/$DN133-EE$5/100000</f>
        <v>-1.6000000000000001E-4</v>
      </c>
      <c r="EF133" s="41">
        <f t="shared" ref="EF133:EF137" ca="1" si="2286">DJ133/$DN133-EF$5/100000</f>
        <v>-1.7000000000000001E-4</v>
      </c>
      <c r="EG133" s="41">
        <f t="shared" ref="EG133:EG137" ca="1" si="2287">DK133/$DN133-EG$5/100000</f>
        <v>-1.8000000000000001E-4</v>
      </c>
      <c r="EH133" s="41">
        <f t="shared" ref="EH133:EH137" ca="1" si="2288">DL133/$DN133-EH$5/100000</f>
        <v>-1.9000000000000001E-4</v>
      </c>
      <c r="EI133" s="41">
        <f t="shared" ref="EI133:EI137" ca="1" si="2289">DM133/$DN133-EI$5/100000</f>
        <v>-2.0000000000000001E-4</v>
      </c>
      <c r="EJ133" s="41">
        <f t="shared" ref="EJ133:EJ137" ca="1" si="2290">SUM(DP133:EI133)</f>
        <v>0.99790000000000012</v>
      </c>
      <c r="EL133" s="378">
        <f t="shared" ref="EL133:EL137" ca="1" si="2291">RANK(DP133,$DP133:$EI133)</f>
        <v>2</v>
      </c>
      <c r="EM133" s="378">
        <f t="shared" ref="EM133:EM137" ca="1" si="2292">RANK(DQ133,$DP133:$EI133)</f>
        <v>3</v>
      </c>
      <c r="EN133" s="378">
        <f t="shared" ref="EN133:EN137" ca="1" si="2293">RANK(DR133,$DP133:$EI133)</f>
        <v>5</v>
      </c>
      <c r="EO133" s="378">
        <f t="shared" ref="EO133:EO137" ca="1" si="2294">RANK(DS133,$DP133:$EI133)</f>
        <v>1</v>
      </c>
      <c r="EP133" s="378">
        <f t="shared" ref="EP133:EP137" ca="1" si="2295">RANK(DT133,$DP133:$EI133)</f>
        <v>4</v>
      </c>
      <c r="EQ133" s="378">
        <f t="shared" ref="EQ133:EQ137" ca="1" si="2296">RANK(DU133,$DP133:$EI133)</f>
        <v>6</v>
      </c>
      <c r="ER133" s="378">
        <f t="shared" ref="ER133:ER137" ca="1" si="2297">RANK(DV133,$DP133:$EI133)</f>
        <v>7</v>
      </c>
      <c r="ES133" s="378">
        <f t="shared" ref="ES133:ES137" ca="1" si="2298">RANK(DW133,$DP133:$EI133)</f>
        <v>8</v>
      </c>
      <c r="ET133" s="378">
        <f t="shared" ref="ET133:ET137" ca="1" si="2299">RANK(DX133,$DP133:$EI133)</f>
        <v>9</v>
      </c>
      <c r="EU133" s="378">
        <f t="shared" ref="EU133:EU137" ca="1" si="2300">RANK(DY133,$DP133:$EI133)</f>
        <v>10</v>
      </c>
      <c r="EV133" s="378">
        <f t="shared" ref="EV133:EV137" ca="1" si="2301">RANK(DZ133,$DP133:$EI133)</f>
        <v>11</v>
      </c>
      <c r="EW133" s="378">
        <f t="shared" ref="EW133:EW137" ca="1" si="2302">RANK(EA133,$DP133:$EI133)</f>
        <v>12</v>
      </c>
      <c r="EX133" s="378">
        <f t="shared" ref="EX133:EX137" ca="1" si="2303">RANK(EB133,$DP133:$EI133)</f>
        <v>13</v>
      </c>
      <c r="EY133" s="378">
        <f t="shared" ref="EY133:EY137" ca="1" si="2304">RANK(EC133,$DP133:$EI133)</f>
        <v>14</v>
      </c>
      <c r="EZ133" s="378">
        <f t="shared" ref="EZ133:EZ137" ca="1" si="2305">RANK(ED133,$DP133:$EI133)</f>
        <v>15</v>
      </c>
      <c r="FA133" s="378">
        <f t="shared" ref="FA133:FA137" ca="1" si="2306">RANK(EE133,$DP133:$EI133)</f>
        <v>16</v>
      </c>
      <c r="FB133" s="378">
        <f t="shared" ref="FB133:FB137" ca="1" si="2307">RANK(EF133,$DP133:$EI133)</f>
        <v>17</v>
      </c>
      <c r="FC133" s="378">
        <f t="shared" ref="FC133:FC137" ca="1" si="2308">RANK(EG133,$DP133:$EI133)</f>
        <v>18</v>
      </c>
      <c r="FD133" s="378">
        <f t="shared" ref="FD133:FD137" ca="1" si="2309">RANK(EH133,$DP133:$EI133)</f>
        <v>19</v>
      </c>
      <c r="FE133" s="378">
        <f t="shared" ref="FE133:FE137" ca="1" si="2310">RANK(EI133,$DP133:$EI133)</f>
        <v>20</v>
      </c>
      <c r="FG133" s="378">
        <f t="shared" ref="FG133:FV137" ca="1" si="2311">MATCH(FG$5,$EL133:$FE133,0)</f>
        <v>4</v>
      </c>
      <c r="FH133" s="378">
        <f t="shared" ca="1" si="2311"/>
        <v>1</v>
      </c>
      <c r="FI133" s="378">
        <f t="shared" ca="1" si="2311"/>
        <v>2</v>
      </c>
      <c r="FJ133" s="378">
        <f t="shared" ca="1" si="2311"/>
        <v>5</v>
      </c>
      <c r="FK133" s="378">
        <f t="shared" ca="1" si="2311"/>
        <v>3</v>
      </c>
      <c r="FL133" s="378">
        <f t="shared" ca="1" si="2311"/>
        <v>6</v>
      </c>
      <c r="FM133" s="378">
        <f t="shared" ca="1" si="2311"/>
        <v>7</v>
      </c>
      <c r="FN133" s="378">
        <f t="shared" ca="1" si="2311"/>
        <v>8</v>
      </c>
      <c r="FO133" s="378">
        <f t="shared" ca="1" si="2311"/>
        <v>9</v>
      </c>
      <c r="FP133" s="378">
        <f t="shared" ca="1" si="2311"/>
        <v>10</v>
      </c>
      <c r="FQ133" s="378">
        <f t="shared" ca="1" si="2311"/>
        <v>11</v>
      </c>
      <c r="FR133" s="378">
        <f t="shared" ca="1" si="2311"/>
        <v>12</v>
      </c>
      <c r="FS133" s="378">
        <f t="shared" ca="1" si="2311"/>
        <v>13</v>
      </c>
      <c r="FT133" s="378">
        <f t="shared" ca="1" si="2311"/>
        <v>14</v>
      </c>
      <c r="FU133" s="378">
        <f t="shared" ca="1" si="2311"/>
        <v>15</v>
      </c>
      <c r="FV133" s="378">
        <f t="shared" ca="1" si="2311"/>
        <v>16</v>
      </c>
      <c r="FW133" s="378">
        <f t="shared" ref="FW133:FZ137" ca="1" si="2312">MATCH(FW$5,$EL133:$FE133,0)</f>
        <v>17</v>
      </c>
      <c r="FX133" s="378">
        <f t="shared" ca="1" si="2312"/>
        <v>18</v>
      </c>
      <c r="FY133" s="378">
        <f t="shared" ca="1" si="2312"/>
        <v>19</v>
      </c>
      <c r="FZ133" s="378">
        <f t="shared" ca="1" si="2312"/>
        <v>20</v>
      </c>
      <c r="GB133" s="275" t="str">
        <f t="shared" ref="GB133:GB137" ca="1" si="2313">IF(GB$5&lt;=$BV133,INDEX($Y133:$BL133,1,FG133*2-1)&amp;" ("&amp;TEXT(INDEX($DP133:$EI133,1,FG133),"0%")&amp;")","")</f>
        <v>Enhance BI Platform (34%)</v>
      </c>
      <c r="GC133" s="231" t="str">
        <f t="shared" ref="GC133:GC137" ca="1" si="2314">IF(GC$5&lt;=$BV133,"; "&amp;INDEX($Y133:$BL133,1,FH133*2-1)&amp;" ("&amp;TEXT(INDEX($DP133:$EI133,1,FH133),"0%")&amp;")","")</f>
        <v>; BI Applications (26%)</v>
      </c>
      <c r="GD133" s="231" t="str">
        <f t="shared" ref="GD133:GD137" ca="1" si="2315">IF(GD$5&lt;=$BV133,"; "&amp;INDEX($Y133:$BL133,1,FI133*2-1)&amp;" ("&amp;TEXT(INDEX($DP133:$EI133,1,FI133),"0%")&amp;")","")</f>
        <v>; Source System Inclusion / Integration (26%)</v>
      </c>
      <c r="GE133" s="231" t="str">
        <f t="shared" ref="GE133:GE137" ca="1" si="2316">IF(GE$5&lt;=$BV133,"; "&amp;INDEX($Y133:$BL133,1,FJ133*2-1)&amp;" ("&amp;TEXT(INDEX($DP133:$EI133,1,FJ133),"0%")&amp;")","")</f>
        <v>; Governance (10%)</v>
      </c>
      <c r="GF133" s="231" t="str">
        <f t="shared" ref="GF133:GF137" ca="1" si="2317">IF(GF$5&lt;=$BV133,"; "&amp;INDEX($Y133:$BL133,1,FK133*2-1)&amp;" ("&amp;TEXT(INDEX($DP133:$EI133,1,FK133),"0%")&amp;")","")</f>
        <v/>
      </c>
      <c r="GG133" s="231" t="str">
        <f t="shared" ref="GG133:GG137" ca="1" si="2318">IF(GG$5&lt;=$BV133,"; "&amp;INDEX($Y133:$BL133,1,FL133*2-1)&amp;" ("&amp;TEXT(INDEX($DP133:$EI133,1,FL133),"0%")&amp;")","")</f>
        <v/>
      </c>
      <c r="GH133" s="231" t="str">
        <f t="shared" ref="GH133:GH137" ca="1" si="2319">IF(GH$5&lt;=$BV133,"; "&amp;INDEX($Y133:$BL133,1,FM133*2-1)&amp;" ("&amp;TEXT(INDEX($DP133:$EI133,1,FM133),"0%")&amp;")","")</f>
        <v/>
      </c>
      <c r="GI133" s="231" t="str">
        <f t="shared" ref="GI133:GI137" ca="1" si="2320">IF(GI$5&lt;=$BV133,"; "&amp;INDEX($Y133:$BL133,1,FN133*2-1)&amp;" ("&amp;TEXT(INDEX($DP133:$EI133,1,FN133),"0%")&amp;")","")</f>
        <v/>
      </c>
      <c r="GJ133" s="231" t="str">
        <f t="shared" ref="GJ133:GJ137" ca="1" si="2321">IF(GJ$5&lt;=$BV133,"; "&amp;INDEX($Y133:$BL133,1,FO133*2-1)&amp;" ("&amp;TEXT(INDEX($DP133:$EI133,1,FO133),"0%")&amp;")","")</f>
        <v/>
      </c>
      <c r="GK133" s="231" t="str">
        <f t="shared" ref="GK133:GK137" ca="1" si="2322">IF(GK$5&lt;=$BV133,"; "&amp;INDEX($Y133:$BL133,1,FP133*2-1)&amp;" ("&amp;TEXT(INDEX($DP133:$EI133,1,FP133),"0%")&amp;")","")</f>
        <v/>
      </c>
      <c r="GL133" s="231" t="str">
        <f t="shared" ref="GL133:GL137" ca="1" si="2323">IF(GL$5&lt;=$BV133,"; "&amp;INDEX($Y133:$BL133,1,FQ133*2-1)&amp;" ("&amp;TEXT(INDEX($DP133:$EI133,1,FQ133),"0%")&amp;")","")</f>
        <v/>
      </c>
      <c r="GM133" s="231" t="str">
        <f t="shared" ref="GM133:GM137" ca="1" si="2324">IF(GM$5&lt;=$BV133,"; "&amp;INDEX($Y133:$BL133,1,FR133*2-1)&amp;" ("&amp;TEXT(INDEX($DP133:$EI133,1,FR133),"0%")&amp;")","")</f>
        <v/>
      </c>
      <c r="GN133" s="231" t="str">
        <f t="shared" ref="GN133:GN137" ca="1" si="2325">IF(GN$5&lt;=$BV133,"; "&amp;INDEX($Y133:$BL133,1,FS133*2-1)&amp;" ("&amp;TEXT(INDEX($DP133:$EI133,1,FS133),"0%")&amp;")","")</f>
        <v/>
      </c>
      <c r="GO133" s="231" t="str">
        <f t="shared" ref="GO133:GO137" ca="1" si="2326">IF(GO$5&lt;=$BV133,"; "&amp;INDEX($Y133:$BL133,1,FT133*2-1)&amp;" ("&amp;TEXT(INDEX($DP133:$EI133,1,FT133),"0%")&amp;")","")</f>
        <v/>
      </c>
      <c r="GP133" s="231" t="str">
        <f t="shared" ref="GP133:GP137" ca="1" si="2327">IF(GP$5&lt;=$BV133,"; "&amp;INDEX($Y133:$BL133,1,FU133*2-1)&amp;" ("&amp;TEXT(INDEX($DP133:$EI133,1,FU133),"0%")&amp;")","")</f>
        <v/>
      </c>
      <c r="GQ133" s="231" t="str">
        <f t="shared" ref="GQ133:GQ137" ca="1" si="2328">IF(GQ$5&lt;=$BV133,"; "&amp;INDEX($Y133:$BL133,1,FV133*2-1)&amp;" ("&amp;TEXT(INDEX($DP133:$EI133,1,FV133),"0%")&amp;")","")</f>
        <v/>
      </c>
      <c r="GR133" s="231" t="str">
        <f t="shared" ref="GR133:GR137" ca="1" si="2329">IF(GR$5&lt;=$BV133,"; "&amp;INDEX($Y133:$BL133,1,FW133*2-1)&amp;" ("&amp;TEXT(INDEX($DP133:$EI133,1,FW133),"0%")&amp;")","")</f>
        <v/>
      </c>
      <c r="GS133" s="231" t="str">
        <f t="shared" ref="GS133:GS137" ca="1" si="2330">IF(GS$5&lt;=$BV133,"; "&amp;INDEX($Y133:$BL133,1,FX133*2-1)&amp;" ("&amp;TEXT(INDEX($DP133:$EI133,1,FX133),"0%")&amp;")","")</f>
        <v/>
      </c>
      <c r="GT133" s="231" t="str">
        <f t="shared" ref="GT133:GT137" ca="1" si="2331">IF(GT$5&lt;=$BV133,"; "&amp;INDEX($Y133:$BL133,1,FY133*2-1)&amp;" ("&amp;TEXT(INDEX($DP133:$EI133,1,FY133),"0%")&amp;")","")</f>
        <v/>
      </c>
      <c r="GU133" s="231" t="str">
        <f t="shared" ref="GU133:GU137" ca="1" si="2332">IF(GU$5&lt;=$BV133,"; "&amp;INDEX($Y133:$BL133,1,FZ133*2-1)&amp;" ("&amp;TEXT(INDEX($DP133:$EI133,1,FZ133),"0%")&amp;")","")</f>
        <v/>
      </c>
      <c r="GW133" s="377">
        <f ca="1">IF(ISERROR(OFFSET(Initiatives!$D$1,E133-1,$CB$3)),,OFFSET(Initiatives!$D$1,E133-1,$CB$3))</f>
        <v>0.34166666666666662</v>
      </c>
      <c r="GX133" s="377">
        <f ca="1">IF(ISERROR(OFFSET(Initiatives!$D$1,F133-1,$CB$3)),,OFFSET(Initiatives!$D$1,F133-1,$CB$3))</f>
        <v>0.43181818181818177</v>
      </c>
      <c r="GY133" s="377">
        <f ca="1">IF(ISERROR(OFFSET(Initiatives!$D$1,G133-1,$CB$3)),,OFFSET(Initiatives!$D$1,G133-1,$CB$3))</f>
        <v>0.77</v>
      </c>
      <c r="GZ133" s="377">
        <f ca="1">IF(ISERROR(OFFSET(Initiatives!$D$1,H133-1,$CB$3)),,OFFSET(Initiatives!$D$1,H133-1,$CB$3))</f>
        <v>0.25</v>
      </c>
      <c r="HA133" s="377">
        <f ca="1">IF(ISERROR(OFFSET(Initiatives!$D$1,I133-1,$CB$3)),,OFFSET(Initiatives!$D$1,I133-1,$CB$3))</f>
        <v>0.65</v>
      </c>
      <c r="HB133" s="377">
        <f ca="1">IF(ISERROR(OFFSET(Initiatives!$D$1,J133-1,$CB$3)),,OFFSET(Initiatives!$D$1,J133-1,$CB$3))</f>
        <v>0.65</v>
      </c>
      <c r="HC133" s="377">
        <f ca="1">IF(ISERROR(OFFSET(Initiatives!$D$1,K133-1,$CB$3)),,OFFSET(Initiatives!$D$1,K133-1,$CB$3))</f>
        <v>0.65</v>
      </c>
      <c r="HD133" s="377">
        <f ca="1">IF(ISERROR(OFFSET(Initiatives!$D$1,L133-1,$CB$3)),,OFFSET(Initiatives!$D$1,L133-1,$CB$3))</f>
        <v>0</v>
      </c>
      <c r="HE133" s="377">
        <f ca="1">IF(ISERROR(OFFSET(Initiatives!$D$1,M133-1,$CB$3)),,OFFSET(Initiatives!$D$1,M133-1,$CB$3))</f>
        <v>0</v>
      </c>
      <c r="HF133" s="377">
        <f ca="1">IF(ISERROR(OFFSET(Initiatives!$D$1,N133-1,$CB$3)),,OFFSET(Initiatives!$D$1,N133-1,$CB$3))</f>
        <v>0</v>
      </c>
      <c r="HG133" s="377">
        <f ca="1">IF(ISERROR(OFFSET(Initiatives!$D$1,O133-1,$CB$3)),,OFFSET(Initiatives!$D$1,O133-1,$CB$3))</f>
        <v>0</v>
      </c>
      <c r="HH133" s="377">
        <f ca="1">IF(ISERROR(OFFSET(Initiatives!$D$1,P133-1,$CB$3)),,OFFSET(Initiatives!$D$1,P133-1,$CB$3))</f>
        <v>0</v>
      </c>
      <c r="HI133" s="377">
        <f ca="1">IF(ISERROR(OFFSET(Initiatives!$D$1,Q133-1,$CB$3)),,OFFSET(Initiatives!$D$1,Q133-1,$CB$3))</f>
        <v>0</v>
      </c>
      <c r="HJ133" s="377">
        <f ca="1">IF(ISERROR(OFFSET(Initiatives!$D$1,R133-1,$CB$3)),,OFFSET(Initiatives!$D$1,R133-1,$CB$3))</f>
        <v>0</v>
      </c>
      <c r="HK133" s="377">
        <f ca="1">IF(ISERROR(OFFSET(Initiatives!$D$1,S133-1,$CB$3)),,OFFSET(Initiatives!$D$1,S133-1,$CB$3))</f>
        <v>0</v>
      </c>
      <c r="HL133" s="377">
        <f ca="1">IF(ISERROR(OFFSET(Initiatives!$D$1,T133-1,$CB$3)),,OFFSET(Initiatives!$D$1,T133-1,$CB$3))</f>
        <v>0</v>
      </c>
      <c r="HM133" s="377">
        <f ca="1">IF(ISERROR(OFFSET(Initiatives!$D$1,U133-1,$CB$3)),,OFFSET(Initiatives!$D$1,U133-1,$CB$3))</f>
        <v>0</v>
      </c>
      <c r="HN133" s="377">
        <f ca="1">IF(ISERROR(OFFSET(Initiatives!$D$1,V133-1,$CB$3)),,OFFSET(Initiatives!$D$1,V133-1,$CB$3))</f>
        <v>0</v>
      </c>
      <c r="HO133" s="377">
        <f ca="1">IF(ISERROR(OFFSET(Initiatives!$D$1,W133-1,$CB$3)),,OFFSET(Initiatives!$D$1,W133-1,$CB$3))</f>
        <v>0</v>
      </c>
      <c r="HP133" s="377">
        <f ca="1">IF(ISERROR(OFFSET(Initiatives!$D$1,X133-1,$CB$3)),,OFFSET(Initiatives!$D$1,X133-1,$CB$3))</f>
        <v>0</v>
      </c>
      <c r="HR133" s="41">
        <f t="shared" ref="HR133:HR137" ca="1" si="2333">GW133*Z133/$BN133</f>
        <v>6.5704875494068601E-2</v>
      </c>
      <c r="HS133" s="41">
        <f t="shared" ref="HS133:HS137" ca="1" si="2334">GX133*AB133/$BN133</f>
        <v>8.3041638651040139E-2</v>
      </c>
      <c r="HT133" s="41">
        <f t="shared" ref="HT133:HT137" ca="1" si="2335">GY133*AD133/$BN133</f>
        <v>0.14807635355248633</v>
      </c>
      <c r="HU133" s="41">
        <f t="shared" ref="HU133:HU137" ca="1" si="2336">GZ133*AF133/$BN133</f>
        <v>4.8076738166391665E-2</v>
      </c>
      <c r="HV133" s="41">
        <f t="shared" ref="HV133:HV137" ca="1" si="2337">HA133*AH133/$BN133</f>
        <v>0.14999942307914202</v>
      </c>
      <c r="HW133" s="41">
        <f t="shared" ref="HW133:HW137" ca="1" si="2338">HB133*AJ133/$BN133</f>
        <v>0</v>
      </c>
      <c r="HX133" s="41">
        <f t="shared" ref="HX133:HX137" ca="1" si="2339">HC133*AL133/$BN133</f>
        <v>0</v>
      </c>
      <c r="HY133" s="41">
        <f t="shared" ref="HY133:HY137" ca="1" si="2340">HD133*AN133/$BN133</f>
        <v>0</v>
      </c>
      <c r="HZ133" s="41">
        <f t="shared" ref="HZ133:HZ137" ca="1" si="2341">HE133*AP133/$BN133</f>
        <v>0</v>
      </c>
      <c r="IA133" s="41">
        <f t="shared" ref="IA133:IA137" ca="1" si="2342">HF133*AR133/$BN133</f>
        <v>0</v>
      </c>
      <c r="IB133" s="41">
        <f t="shared" ref="IB133:IB137" ca="1" si="2343">HG133*AT133/$BN133</f>
        <v>0</v>
      </c>
      <c r="IC133" s="41">
        <f t="shared" ref="IC133:IC137" ca="1" si="2344">HH133*AV133/$BN133</f>
        <v>0</v>
      </c>
      <c r="ID133" s="41">
        <f t="shared" ref="ID133:ID137" ca="1" si="2345">HI133*AX133/$BN133</f>
        <v>0</v>
      </c>
      <c r="IE133" s="41">
        <f t="shared" ref="IE133:IE137" ca="1" si="2346">HJ133*BZ133/$BN133</f>
        <v>0</v>
      </c>
      <c r="IF133" s="41">
        <f t="shared" ref="IF133:IF137" ca="1" si="2347">HK133*BB133/$BN133</f>
        <v>0</v>
      </c>
      <c r="IG133" s="41">
        <f t="shared" ref="IG133:IG137" ca="1" si="2348">HL133*BD133/$BN133</f>
        <v>0</v>
      </c>
      <c r="IH133" s="41">
        <f t="shared" ref="IH133:IH137" ca="1" si="2349">HM133*BF133/$BN133</f>
        <v>0</v>
      </c>
      <c r="II133" s="41">
        <f t="shared" ref="II133:II137" ca="1" si="2350">HN133*BH133/$BN133</f>
        <v>0</v>
      </c>
      <c r="IJ133" s="41">
        <f t="shared" ref="IJ133:IJ137" ca="1" si="2351">HO133*BJ133/$BN133</f>
        <v>0</v>
      </c>
      <c r="IK133" s="41">
        <f t="shared" ref="IK133:IK137" ca="1" si="2352">HP133*BL133/$BN133</f>
        <v>0</v>
      </c>
      <c r="IL133" s="41">
        <f t="shared" ref="IL133:IL137" ca="1" si="2353">SUM(HR133:IK133)</f>
        <v>0.49489902894312876</v>
      </c>
    </row>
    <row r="134" spans="1:246" s="409" customFormat="1" ht="15" hidden="1" customHeight="1">
      <c r="B134" s="373"/>
      <c r="C134" s="81" t="str">
        <f>Maturity!B20</f>
        <v>What group ALLOCATES to your BI/DW group?</v>
      </c>
      <c r="D134" s="404">
        <f t="shared" ca="1" si="2243"/>
        <v>0.33751812687278315</v>
      </c>
      <c r="E134" s="374">
        <f>ROW(Initiatives!$A$170)</f>
        <v>170</v>
      </c>
      <c r="F134" s="374">
        <f>ROW(Initiatives!$A$176)</f>
        <v>176</v>
      </c>
      <c r="G134" s="374">
        <f>ROW(Initiatives!$A$183)</f>
        <v>183</v>
      </c>
      <c r="H134" s="374">
        <f>ROW(Initiatives!$A$189)</f>
        <v>189</v>
      </c>
      <c r="I134" s="374">
        <f>ROW(Initiatives!$A$100)</f>
        <v>100</v>
      </c>
      <c r="J134" s="374">
        <f>ROW(Initiatives!$A$101)</f>
        <v>101</v>
      </c>
      <c r="K134" s="374">
        <f>ROW(Initiatives!$A$178)</f>
        <v>178</v>
      </c>
      <c r="L134" s="374"/>
      <c r="M134" s="374"/>
      <c r="N134" s="374"/>
      <c r="O134" s="374" t="s">
        <v>975</v>
      </c>
      <c r="P134" s="374" t="s">
        <v>975</v>
      </c>
      <c r="Q134" s="374" t="s">
        <v>975</v>
      </c>
      <c r="R134" s="374" t="s">
        <v>975</v>
      </c>
      <c r="S134" s="374" t="s">
        <v>975</v>
      </c>
      <c r="T134" s="374" t="s">
        <v>975</v>
      </c>
      <c r="U134" s="374" t="s">
        <v>975</v>
      </c>
      <c r="V134" s="374" t="s">
        <v>975</v>
      </c>
      <c r="W134" s="374" t="s">
        <v>975</v>
      </c>
      <c r="X134" s="374" t="s">
        <v>975</v>
      </c>
      <c r="Y134" s="392" t="str">
        <f ca="1">OFFSET(Initiatives!$D$1,E134-1,$BS$3)</f>
        <v>BI Applications</v>
      </c>
      <c r="Z134" s="375">
        <v>5</v>
      </c>
      <c r="AA134" s="392" t="str">
        <f ca="1">OFFSET(Initiatives!$D$1,F134-1,$BS$3)</f>
        <v>Source System Inclusion / Integration</v>
      </c>
      <c r="AB134" s="375">
        <v>5</v>
      </c>
      <c r="AC134" s="392" t="str">
        <f ca="1">OFFSET(Initiatives!$D$1,G134-1,$BS$3)</f>
        <v>Enhance DW Platform</v>
      </c>
      <c r="AD134" s="375">
        <v>5</v>
      </c>
      <c r="AE134" s="392" t="str">
        <f ca="1">OFFSET(Initiatives!$D$1,H134-1,$BS$3)</f>
        <v>Enhance BI Platform</v>
      </c>
      <c r="AF134" s="375">
        <v>5</v>
      </c>
      <c r="AG134" s="392" t="str">
        <f ca="1">OFFSET(Initiatives!$D$1,I134-1,$BS$3)</f>
        <v>Governance</v>
      </c>
      <c r="AH134" s="375">
        <v>6</v>
      </c>
      <c r="AI134" s="392" t="str">
        <f ca="1">OFFSET(Initiatives!$D$1,J134-1,$BS$3)</f>
        <v>Architecture</v>
      </c>
      <c r="AJ134" s="375"/>
      <c r="AK134" s="392" t="str">
        <f ca="1">OFFSET(Initiatives!$D$1,K134-1,$BS$3)</f>
        <v>Architecture Standards &amp; Adherence</v>
      </c>
      <c r="AL134" s="375"/>
      <c r="AM134" s="392" t="e">
        <f ca="1">OFFSET(Initiatives!$D$1,L134-1,$BS$3)</f>
        <v>#REF!</v>
      </c>
      <c r="AN134" s="375"/>
      <c r="AO134" s="392" t="e">
        <f ca="1">OFFSET(Initiatives!$D$1,M134-1,$BS$3)</f>
        <v>#REF!</v>
      </c>
      <c r="AP134" s="375"/>
      <c r="AQ134" s="392" t="e">
        <f ca="1">OFFSET(Initiatives!$D$1,N134-1,$BS$3)</f>
        <v>#REF!</v>
      </c>
      <c r="AR134" s="375"/>
      <c r="AS134" s="392" t="e">
        <f ca="1">OFFSET(Initiatives!$D$1,O134-1,$BS$3)</f>
        <v>#VALUE!</v>
      </c>
      <c r="AT134" s="375"/>
      <c r="AU134" s="392" t="e">
        <f ca="1">OFFSET(Initiatives!$D$1,P134-1,$BS$3)</f>
        <v>#VALUE!</v>
      </c>
      <c r="AV134" s="375"/>
      <c r="AW134" s="392" t="e">
        <f ca="1">OFFSET(Initiatives!$D$1,Q134-1,$BS$3)</f>
        <v>#VALUE!</v>
      </c>
      <c r="AX134" s="375"/>
      <c r="AY134" s="392" t="e">
        <f ca="1">OFFSET(Initiatives!$D$1,R134-1,$BS$3)</f>
        <v>#VALUE!</v>
      </c>
      <c r="AZ134" s="375"/>
      <c r="BA134" s="392" t="e">
        <f ca="1">OFFSET(Initiatives!$D$1,S134-1,$BS$3)</f>
        <v>#VALUE!</v>
      </c>
      <c r="BB134" s="375"/>
      <c r="BC134" s="392" t="e">
        <f ca="1">OFFSET(Initiatives!$D$1,T134-1,$BS$3)</f>
        <v>#VALUE!</v>
      </c>
      <c r="BD134" s="375"/>
      <c r="BE134" s="392" t="e">
        <f ca="1">OFFSET(Initiatives!$D$1,U134-1,$BS$3)</f>
        <v>#VALUE!</v>
      </c>
      <c r="BF134" s="375"/>
      <c r="BG134" s="392" t="e">
        <f ca="1">OFFSET(Initiatives!$D$1,V134-1,$BS$3)</f>
        <v>#VALUE!</v>
      </c>
      <c r="BH134" s="375"/>
      <c r="BI134" s="392" t="e">
        <f ca="1">OFFSET(Initiatives!$D$1,W134-1,$BS$3)</f>
        <v>#VALUE!</v>
      </c>
      <c r="BJ134" s="375"/>
      <c r="BK134" s="392" t="e">
        <f ca="1">OFFSET(Initiatives!$D$1,X134-1,$BS$3)</f>
        <v>#VALUE!</v>
      </c>
      <c r="BL134" s="375"/>
      <c r="BN134" s="101">
        <f t="shared" si="2244"/>
        <v>26.0001</v>
      </c>
      <c r="BP134" s="231" t="str">
        <f t="shared" ca="1" si="2245"/>
        <v>Enhance BI Platform (34%); BI Applications (26%); Source System Inclusion / Integration (26%); Governance (10%)</v>
      </c>
      <c r="BQ134" s="338">
        <v>0.01</v>
      </c>
      <c r="BR134" s="40">
        <f t="shared" ca="1" si="2246"/>
        <v>5</v>
      </c>
      <c r="BS134" s="274">
        <v>0.05</v>
      </c>
      <c r="BT134" s="40">
        <f t="shared" ca="1" si="2247"/>
        <v>4</v>
      </c>
      <c r="BU134" s="376">
        <v>7</v>
      </c>
      <c r="BV134" s="40">
        <f t="shared" ca="1" si="2248"/>
        <v>4</v>
      </c>
      <c r="BY134" s="377">
        <f ca="1">IF(ISERROR(OFFSET(Initiatives!$D$1,E134-1,$BY$3)),,OFFSET(Initiatives!$D$1,E134-1,$BY$3))</f>
        <v>0.45555555555555544</v>
      </c>
      <c r="BZ134" s="377">
        <f ca="1">IF(ISERROR(OFFSET(Initiatives!$D$1,F134-1,$BY$3)),,OFFSET(Initiatives!$D$1,F134-1,$BY$3))</f>
        <v>0.45454545454545436</v>
      </c>
      <c r="CA134" s="377">
        <f ca="1">IF(ISERROR(OFFSET(Initiatives!$D$1,G134-1,$BY$3)),,OFFSET(Initiatives!$D$1,G134-1,$BY$3))</f>
        <v>7.7000000000000179E-2</v>
      </c>
      <c r="CB134" s="377">
        <f ca="1">IF(ISERROR(OFFSET(Initiatives!$D$1,H134-1,$BY$3)),,OFFSET(Initiatives!$D$1,H134-1,$BY$3))</f>
        <v>0.6</v>
      </c>
      <c r="CC134" s="377">
        <f ca="1">IF(ISERROR(OFFSET(Initiatives!$D$1,I134-1,$BY$3)),,OFFSET(Initiatives!$D$1,I134-1,$BY$3))</f>
        <v>0.14000000000000001</v>
      </c>
      <c r="CD134" s="377">
        <f ca="1">IF(ISERROR(OFFSET(Initiatives!$D$1,J134-1,$BY$3)),,OFFSET(Initiatives!$D$1,J134-1,$BY$3))</f>
        <v>0.14000000000000001</v>
      </c>
      <c r="CE134" s="377">
        <f ca="1">IF(ISERROR(OFFSET(Initiatives!$D$1,K134-1,$BY$3)),,OFFSET(Initiatives!$D$1,K134-1,$BY$3))</f>
        <v>0.14000000000000012</v>
      </c>
      <c r="CF134" s="377">
        <f ca="1">IF(ISERROR(OFFSET(Initiatives!$D$1,L134-1,$BY$3)),,OFFSET(Initiatives!$D$1,L134-1,$BY$3))</f>
        <v>0</v>
      </c>
      <c r="CG134" s="377">
        <f ca="1">IF(ISERROR(OFFSET(Initiatives!$D$1,M134-1,$BY$3)),,OFFSET(Initiatives!$D$1,M134-1,$BY$3))</f>
        <v>0</v>
      </c>
      <c r="CH134" s="377">
        <f ca="1">IF(ISERROR(OFFSET(Initiatives!$D$1,N134-1,$BY$3)),,OFFSET(Initiatives!$D$1,N134-1,$BY$3))</f>
        <v>0</v>
      </c>
      <c r="CI134" s="377">
        <f ca="1">IF(ISERROR(OFFSET(Initiatives!$D$1,O134-1,$BY$3)),,OFFSET(Initiatives!$D$1,O134-1,$BY$3))</f>
        <v>0</v>
      </c>
      <c r="CJ134" s="377">
        <f ca="1">IF(ISERROR(OFFSET(Initiatives!$D$1,P134-1,$BY$3)),,OFFSET(Initiatives!$D$1,P134-1,$BY$3))</f>
        <v>0</v>
      </c>
      <c r="CK134" s="377">
        <f ca="1">IF(ISERROR(OFFSET(Initiatives!$D$1,Q134-1,$BY$3)),,OFFSET(Initiatives!$D$1,Q134-1,$BY$3))</f>
        <v>0</v>
      </c>
      <c r="CL134" s="377">
        <f ca="1">IF(ISERROR(OFFSET(Initiatives!$D$1,R134-1,$BY$3)),,OFFSET(Initiatives!$D$1,R134-1,$BY$3))</f>
        <v>0</v>
      </c>
      <c r="CM134" s="377">
        <f ca="1">IF(ISERROR(OFFSET(Initiatives!$D$1,S134-1,$BY$3)),,OFFSET(Initiatives!$D$1,S134-1,$BY$3))</f>
        <v>0</v>
      </c>
      <c r="CN134" s="377">
        <f ca="1">IF(ISERROR(OFFSET(Initiatives!$D$1,T134-1,$BY$3)),,OFFSET(Initiatives!$D$1,T134-1,$BY$3))</f>
        <v>0</v>
      </c>
      <c r="CO134" s="377">
        <f ca="1">IF(ISERROR(OFFSET(Initiatives!$D$1,U134-1,$BY$3)),,OFFSET(Initiatives!$D$1,U134-1,$BY$3))</f>
        <v>0</v>
      </c>
      <c r="CP134" s="377">
        <f ca="1">IF(ISERROR(OFFSET(Initiatives!$D$1,V134-1,$BY$3)),,OFFSET(Initiatives!$D$1,V134-1,$BY$3))</f>
        <v>0</v>
      </c>
      <c r="CQ134" s="377">
        <f ca="1">IF(ISERROR(OFFSET(Initiatives!$D$1,W134-1,$BY$3)),,OFFSET(Initiatives!$D$1,W134-1,$BY$3))</f>
        <v>0</v>
      </c>
      <c r="CR134" s="377">
        <f ca="1">IF(ISERROR(OFFSET(Initiatives!$D$1,X134-1,$BY$3)),,OFFSET(Initiatives!$D$1,X134-1,$BY$3))</f>
        <v>0</v>
      </c>
      <c r="CT134" s="41">
        <f t="shared" ca="1" si="2249"/>
        <v>8.7606500658758135E-2</v>
      </c>
      <c r="CU134" s="41">
        <f t="shared" ca="1" si="2250"/>
        <v>8.7412251211621175E-2</v>
      </c>
      <c r="CV134" s="41">
        <f t="shared" ca="1" si="2251"/>
        <v>1.4807635355248669E-2</v>
      </c>
      <c r="CW134" s="41">
        <f t="shared" ca="1" si="2252"/>
        <v>0.11538417159934</v>
      </c>
      <c r="CX134" s="41">
        <f t="shared" ca="1" si="2253"/>
        <v>3.2307568047815205E-2</v>
      </c>
      <c r="CY134" s="41">
        <f t="shared" ca="1" si="2254"/>
        <v>0</v>
      </c>
      <c r="CZ134" s="41">
        <f t="shared" ca="1" si="2255"/>
        <v>0</v>
      </c>
      <c r="DA134" s="41">
        <f t="shared" ca="1" si="2256"/>
        <v>0</v>
      </c>
      <c r="DB134" s="41">
        <f t="shared" ca="1" si="2257"/>
        <v>0</v>
      </c>
      <c r="DC134" s="41">
        <f t="shared" ca="1" si="2258"/>
        <v>0</v>
      </c>
      <c r="DD134" s="41">
        <f t="shared" ca="1" si="2259"/>
        <v>0</v>
      </c>
      <c r="DE134" s="41">
        <f t="shared" ca="1" si="2260"/>
        <v>0</v>
      </c>
      <c r="DF134" s="41">
        <f t="shared" ca="1" si="2261"/>
        <v>0</v>
      </c>
      <c r="DG134" s="41">
        <f t="shared" ca="1" si="2262"/>
        <v>0</v>
      </c>
      <c r="DH134" s="41">
        <f t="shared" ca="1" si="2263"/>
        <v>0</v>
      </c>
      <c r="DI134" s="41">
        <f t="shared" ca="1" si="2264"/>
        <v>0</v>
      </c>
      <c r="DJ134" s="41">
        <f t="shared" ca="1" si="2265"/>
        <v>0</v>
      </c>
      <c r="DK134" s="41">
        <f t="shared" ca="1" si="2266"/>
        <v>0</v>
      </c>
      <c r="DL134" s="41">
        <f t="shared" ca="1" si="2267"/>
        <v>0</v>
      </c>
      <c r="DM134" s="41">
        <f t="shared" ca="1" si="2268"/>
        <v>0</v>
      </c>
      <c r="DN134" s="41">
        <f t="shared" ca="1" si="2269"/>
        <v>0.33751812687278315</v>
      </c>
      <c r="DP134" s="41">
        <f t="shared" ca="1" si="2270"/>
        <v>0.25955087594601595</v>
      </c>
      <c r="DQ134" s="41">
        <f t="shared" ca="1" si="2271"/>
        <v>0.25896535293948364</v>
      </c>
      <c r="DR134" s="41">
        <f t="shared" ca="1" si="2272"/>
        <v>4.3842118787948657E-2</v>
      </c>
      <c r="DS134" s="41">
        <f t="shared" ca="1" si="2273"/>
        <v>0.34182066588011861</v>
      </c>
      <c r="DT134" s="41">
        <f t="shared" ca="1" si="2274"/>
        <v>9.5670986446433223E-2</v>
      </c>
      <c r="DU134" s="41">
        <f t="shared" ca="1" si="2275"/>
        <v>-6.0000000000000002E-5</v>
      </c>
      <c r="DV134" s="41">
        <f t="shared" ca="1" si="2276"/>
        <v>-6.9999999999999994E-5</v>
      </c>
      <c r="DW134" s="41">
        <f t="shared" ca="1" si="2277"/>
        <v>-8.0000000000000007E-5</v>
      </c>
      <c r="DX134" s="41">
        <f t="shared" ca="1" si="2278"/>
        <v>-9.0000000000000006E-5</v>
      </c>
      <c r="DY134" s="41">
        <f t="shared" ca="1" si="2279"/>
        <v>-1E-4</v>
      </c>
      <c r="DZ134" s="41">
        <f t="shared" ca="1" si="2280"/>
        <v>-1.1E-4</v>
      </c>
      <c r="EA134" s="41">
        <f t="shared" ca="1" si="2281"/>
        <v>-1.2E-4</v>
      </c>
      <c r="EB134" s="41">
        <f t="shared" ca="1" si="2282"/>
        <v>-1.2999999999999999E-4</v>
      </c>
      <c r="EC134" s="41">
        <f t="shared" ca="1" si="2283"/>
        <v>-1.3999999999999999E-4</v>
      </c>
      <c r="ED134" s="41">
        <f t="shared" ca="1" si="2284"/>
        <v>-1.4999999999999999E-4</v>
      </c>
      <c r="EE134" s="41">
        <f t="shared" ca="1" si="2285"/>
        <v>-1.6000000000000001E-4</v>
      </c>
      <c r="EF134" s="41">
        <f t="shared" ca="1" si="2286"/>
        <v>-1.7000000000000001E-4</v>
      </c>
      <c r="EG134" s="41">
        <f t="shared" ca="1" si="2287"/>
        <v>-1.8000000000000001E-4</v>
      </c>
      <c r="EH134" s="41">
        <f t="shared" ca="1" si="2288"/>
        <v>-1.9000000000000001E-4</v>
      </c>
      <c r="EI134" s="41">
        <f t="shared" ca="1" si="2289"/>
        <v>-2.0000000000000001E-4</v>
      </c>
      <c r="EJ134" s="41">
        <f t="shared" ca="1" si="2290"/>
        <v>0.99790000000000012</v>
      </c>
      <c r="EL134" s="378">
        <f t="shared" ca="1" si="2291"/>
        <v>2</v>
      </c>
      <c r="EM134" s="378">
        <f t="shared" ca="1" si="2292"/>
        <v>3</v>
      </c>
      <c r="EN134" s="378">
        <f t="shared" ca="1" si="2293"/>
        <v>5</v>
      </c>
      <c r="EO134" s="378">
        <f t="shared" ca="1" si="2294"/>
        <v>1</v>
      </c>
      <c r="EP134" s="378">
        <f t="shared" ca="1" si="2295"/>
        <v>4</v>
      </c>
      <c r="EQ134" s="378">
        <f t="shared" ca="1" si="2296"/>
        <v>6</v>
      </c>
      <c r="ER134" s="378">
        <f t="shared" ca="1" si="2297"/>
        <v>7</v>
      </c>
      <c r="ES134" s="378">
        <f t="shared" ca="1" si="2298"/>
        <v>8</v>
      </c>
      <c r="ET134" s="378">
        <f t="shared" ca="1" si="2299"/>
        <v>9</v>
      </c>
      <c r="EU134" s="378">
        <f t="shared" ca="1" si="2300"/>
        <v>10</v>
      </c>
      <c r="EV134" s="378">
        <f t="shared" ca="1" si="2301"/>
        <v>11</v>
      </c>
      <c r="EW134" s="378">
        <f t="shared" ca="1" si="2302"/>
        <v>12</v>
      </c>
      <c r="EX134" s="378">
        <f t="shared" ca="1" si="2303"/>
        <v>13</v>
      </c>
      <c r="EY134" s="378">
        <f t="shared" ca="1" si="2304"/>
        <v>14</v>
      </c>
      <c r="EZ134" s="378">
        <f t="shared" ca="1" si="2305"/>
        <v>15</v>
      </c>
      <c r="FA134" s="378">
        <f t="shared" ca="1" si="2306"/>
        <v>16</v>
      </c>
      <c r="FB134" s="378">
        <f t="shared" ca="1" si="2307"/>
        <v>17</v>
      </c>
      <c r="FC134" s="378">
        <f t="shared" ca="1" si="2308"/>
        <v>18</v>
      </c>
      <c r="FD134" s="378">
        <f t="shared" ca="1" si="2309"/>
        <v>19</v>
      </c>
      <c r="FE134" s="378">
        <f t="shared" ca="1" si="2310"/>
        <v>20</v>
      </c>
      <c r="FG134" s="378">
        <f t="shared" ca="1" si="2311"/>
        <v>4</v>
      </c>
      <c r="FH134" s="378">
        <f t="shared" ca="1" si="2311"/>
        <v>1</v>
      </c>
      <c r="FI134" s="378">
        <f t="shared" ca="1" si="2311"/>
        <v>2</v>
      </c>
      <c r="FJ134" s="378">
        <f t="shared" ca="1" si="2311"/>
        <v>5</v>
      </c>
      <c r="FK134" s="378">
        <f t="shared" ca="1" si="2311"/>
        <v>3</v>
      </c>
      <c r="FL134" s="378">
        <f t="shared" ca="1" si="2311"/>
        <v>6</v>
      </c>
      <c r="FM134" s="378">
        <f t="shared" ca="1" si="2311"/>
        <v>7</v>
      </c>
      <c r="FN134" s="378">
        <f t="shared" ca="1" si="2311"/>
        <v>8</v>
      </c>
      <c r="FO134" s="378">
        <f t="shared" ca="1" si="2311"/>
        <v>9</v>
      </c>
      <c r="FP134" s="378">
        <f t="shared" ca="1" si="2311"/>
        <v>10</v>
      </c>
      <c r="FQ134" s="378">
        <f t="shared" ca="1" si="2311"/>
        <v>11</v>
      </c>
      <c r="FR134" s="378">
        <f t="shared" ca="1" si="2311"/>
        <v>12</v>
      </c>
      <c r="FS134" s="378">
        <f t="shared" ca="1" si="2311"/>
        <v>13</v>
      </c>
      <c r="FT134" s="378">
        <f t="shared" ca="1" si="2311"/>
        <v>14</v>
      </c>
      <c r="FU134" s="378">
        <f t="shared" ca="1" si="2311"/>
        <v>15</v>
      </c>
      <c r="FV134" s="378">
        <f t="shared" ca="1" si="2311"/>
        <v>16</v>
      </c>
      <c r="FW134" s="378">
        <f t="shared" ca="1" si="2312"/>
        <v>17</v>
      </c>
      <c r="FX134" s="378">
        <f t="shared" ca="1" si="2312"/>
        <v>18</v>
      </c>
      <c r="FY134" s="378">
        <f t="shared" ca="1" si="2312"/>
        <v>19</v>
      </c>
      <c r="FZ134" s="378">
        <f t="shared" ca="1" si="2312"/>
        <v>20</v>
      </c>
      <c r="GB134" s="275" t="str">
        <f t="shared" ca="1" si="2313"/>
        <v>Enhance BI Platform (34%)</v>
      </c>
      <c r="GC134" s="231" t="str">
        <f t="shared" ca="1" si="2314"/>
        <v>; BI Applications (26%)</v>
      </c>
      <c r="GD134" s="231" t="str">
        <f t="shared" ca="1" si="2315"/>
        <v>; Source System Inclusion / Integration (26%)</v>
      </c>
      <c r="GE134" s="231" t="str">
        <f t="shared" ca="1" si="2316"/>
        <v>; Governance (10%)</v>
      </c>
      <c r="GF134" s="231" t="str">
        <f t="shared" ca="1" si="2317"/>
        <v/>
      </c>
      <c r="GG134" s="231" t="str">
        <f t="shared" ca="1" si="2318"/>
        <v/>
      </c>
      <c r="GH134" s="231" t="str">
        <f t="shared" ca="1" si="2319"/>
        <v/>
      </c>
      <c r="GI134" s="231" t="str">
        <f t="shared" ca="1" si="2320"/>
        <v/>
      </c>
      <c r="GJ134" s="231" t="str">
        <f t="shared" ca="1" si="2321"/>
        <v/>
      </c>
      <c r="GK134" s="231" t="str">
        <f t="shared" ca="1" si="2322"/>
        <v/>
      </c>
      <c r="GL134" s="231" t="str">
        <f t="shared" ca="1" si="2323"/>
        <v/>
      </c>
      <c r="GM134" s="231" t="str">
        <f t="shared" ca="1" si="2324"/>
        <v/>
      </c>
      <c r="GN134" s="231" t="str">
        <f t="shared" ca="1" si="2325"/>
        <v/>
      </c>
      <c r="GO134" s="231" t="str">
        <f t="shared" ca="1" si="2326"/>
        <v/>
      </c>
      <c r="GP134" s="231" t="str">
        <f t="shared" ca="1" si="2327"/>
        <v/>
      </c>
      <c r="GQ134" s="231" t="str">
        <f t="shared" ca="1" si="2328"/>
        <v/>
      </c>
      <c r="GR134" s="231" t="str">
        <f t="shared" ca="1" si="2329"/>
        <v/>
      </c>
      <c r="GS134" s="231" t="str">
        <f t="shared" ca="1" si="2330"/>
        <v/>
      </c>
      <c r="GT134" s="231" t="str">
        <f t="shared" ca="1" si="2331"/>
        <v/>
      </c>
      <c r="GU134" s="231" t="str">
        <f t="shared" ca="1" si="2332"/>
        <v/>
      </c>
      <c r="GW134" s="377">
        <f ca="1">IF(ISERROR(OFFSET(Initiatives!$D$1,E134-1,$CB$3)),,OFFSET(Initiatives!$D$1,E134-1,$CB$3))</f>
        <v>0.34166666666666662</v>
      </c>
      <c r="GX134" s="377">
        <f ca="1">IF(ISERROR(OFFSET(Initiatives!$D$1,F134-1,$CB$3)),,OFFSET(Initiatives!$D$1,F134-1,$CB$3))</f>
        <v>0.43181818181818177</v>
      </c>
      <c r="GY134" s="377">
        <f ca="1">IF(ISERROR(OFFSET(Initiatives!$D$1,G134-1,$CB$3)),,OFFSET(Initiatives!$D$1,G134-1,$CB$3))</f>
        <v>0.77</v>
      </c>
      <c r="GZ134" s="377">
        <f ca="1">IF(ISERROR(OFFSET(Initiatives!$D$1,H134-1,$CB$3)),,OFFSET(Initiatives!$D$1,H134-1,$CB$3))</f>
        <v>0.25</v>
      </c>
      <c r="HA134" s="377">
        <f ca="1">IF(ISERROR(OFFSET(Initiatives!$D$1,I134-1,$CB$3)),,OFFSET(Initiatives!$D$1,I134-1,$CB$3))</f>
        <v>0.65</v>
      </c>
      <c r="HB134" s="377">
        <f ca="1">IF(ISERROR(OFFSET(Initiatives!$D$1,J134-1,$CB$3)),,OFFSET(Initiatives!$D$1,J134-1,$CB$3))</f>
        <v>0.65</v>
      </c>
      <c r="HC134" s="377">
        <f ca="1">IF(ISERROR(OFFSET(Initiatives!$D$1,K134-1,$CB$3)),,OFFSET(Initiatives!$D$1,K134-1,$CB$3))</f>
        <v>0.65</v>
      </c>
      <c r="HD134" s="377">
        <f ca="1">IF(ISERROR(OFFSET(Initiatives!$D$1,L134-1,$CB$3)),,OFFSET(Initiatives!$D$1,L134-1,$CB$3))</f>
        <v>0</v>
      </c>
      <c r="HE134" s="377">
        <f ca="1">IF(ISERROR(OFFSET(Initiatives!$D$1,M134-1,$CB$3)),,OFFSET(Initiatives!$D$1,M134-1,$CB$3))</f>
        <v>0</v>
      </c>
      <c r="HF134" s="377">
        <f ca="1">IF(ISERROR(OFFSET(Initiatives!$D$1,N134-1,$CB$3)),,OFFSET(Initiatives!$D$1,N134-1,$CB$3))</f>
        <v>0</v>
      </c>
      <c r="HG134" s="377">
        <f ca="1">IF(ISERROR(OFFSET(Initiatives!$D$1,O134-1,$CB$3)),,OFFSET(Initiatives!$D$1,O134-1,$CB$3))</f>
        <v>0</v>
      </c>
      <c r="HH134" s="377">
        <f ca="1">IF(ISERROR(OFFSET(Initiatives!$D$1,P134-1,$CB$3)),,OFFSET(Initiatives!$D$1,P134-1,$CB$3))</f>
        <v>0</v>
      </c>
      <c r="HI134" s="377">
        <f ca="1">IF(ISERROR(OFFSET(Initiatives!$D$1,Q134-1,$CB$3)),,OFFSET(Initiatives!$D$1,Q134-1,$CB$3))</f>
        <v>0</v>
      </c>
      <c r="HJ134" s="377">
        <f ca="1">IF(ISERROR(OFFSET(Initiatives!$D$1,R134-1,$CB$3)),,OFFSET(Initiatives!$D$1,R134-1,$CB$3))</f>
        <v>0</v>
      </c>
      <c r="HK134" s="377">
        <f ca="1">IF(ISERROR(OFFSET(Initiatives!$D$1,S134-1,$CB$3)),,OFFSET(Initiatives!$D$1,S134-1,$CB$3))</f>
        <v>0</v>
      </c>
      <c r="HL134" s="377">
        <f ca="1">IF(ISERROR(OFFSET(Initiatives!$D$1,T134-1,$CB$3)),,OFFSET(Initiatives!$D$1,T134-1,$CB$3))</f>
        <v>0</v>
      </c>
      <c r="HM134" s="377">
        <f ca="1">IF(ISERROR(OFFSET(Initiatives!$D$1,U134-1,$CB$3)),,OFFSET(Initiatives!$D$1,U134-1,$CB$3))</f>
        <v>0</v>
      </c>
      <c r="HN134" s="377">
        <f ca="1">IF(ISERROR(OFFSET(Initiatives!$D$1,V134-1,$CB$3)),,OFFSET(Initiatives!$D$1,V134-1,$CB$3))</f>
        <v>0</v>
      </c>
      <c r="HO134" s="377">
        <f ca="1">IF(ISERROR(OFFSET(Initiatives!$D$1,W134-1,$CB$3)),,OFFSET(Initiatives!$D$1,W134-1,$CB$3))</f>
        <v>0</v>
      </c>
      <c r="HP134" s="377">
        <f ca="1">IF(ISERROR(OFFSET(Initiatives!$D$1,X134-1,$CB$3)),,OFFSET(Initiatives!$D$1,X134-1,$CB$3))</f>
        <v>0</v>
      </c>
      <c r="HR134" s="41">
        <f t="shared" ca="1" si="2333"/>
        <v>6.5704875494068601E-2</v>
      </c>
      <c r="HS134" s="41">
        <f t="shared" ca="1" si="2334"/>
        <v>8.3041638651040139E-2</v>
      </c>
      <c r="HT134" s="41">
        <f t="shared" ca="1" si="2335"/>
        <v>0.14807635355248633</v>
      </c>
      <c r="HU134" s="41">
        <f t="shared" ca="1" si="2336"/>
        <v>4.8076738166391665E-2</v>
      </c>
      <c r="HV134" s="41">
        <f t="shared" ca="1" si="2337"/>
        <v>0.14999942307914202</v>
      </c>
      <c r="HW134" s="41">
        <f t="shared" ca="1" si="2338"/>
        <v>0</v>
      </c>
      <c r="HX134" s="41">
        <f t="shared" ca="1" si="2339"/>
        <v>0</v>
      </c>
      <c r="HY134" s="41">
        <f t="shared" ca="1" si="2340"/>
        <v>0</v>
      </c>
      <c r="HZ134" s="41">
        <f t="shared" ca="1" si="2341"/>
        <v>0</v>
      </c>
      <c r="IA134" s="41">
        <f t="shared" ca="1" si="2342"/>
        <v>0</v>
      </c>
      <c r="IB134" s="41">
        <f t="shared" ca="1" si="2343"/>
        <v>0</v>
      </c>
      <c r="IC134" s="41">
        <f t="shared" ca="1" si="2344"/>
        <v>0</v>
      </c>
      <c r="ID134" s="41">
        <f t="shared" ca="1" si="2345"/>
        <v>0</v>
      </c>
      <c r="IE134" s="41">
        <f t="shared" ca="1" si="2346"/>
        <v>0</v>
      </c>
      <c r="IF134" s="41">
        <f t="shared" ca="1" si="2347"/>
        <v>0</v>
      </c>
      <c r="IG134" s="41">
        <f t="shared" ca="1" si="2348"/>
        <v>0</v>
      </c>
      <c r="IH134" s="41">
        <f t="shared" ca="1" si="2349"/>
        <v>0</v>
      </c>
      <c r="II134" s="41">
        <f t="shared" ca="1" si="2350"/>
        <v>0</v>
      </c>
      <c r="IJ134" s="41">
        <f t="shared" ca="1" si="2351"/>
        <v>0</v>
      </c>
      <c r="IK134" s="41">
        <f t="shared" ca="1" si="2352"/>
        <v>0</v>
      </c>
      <c r="IL134" s="41">
        <f t="shared" ca="1" si="2353"/>
        <v>0.49489902894312876</v>
      </c>
    </row>
    <row r="135" spans="1:246" s="409" customFormat="1" ht="15" hidden="1" customHeight="1">
      <c r="B135" s="373"/>
      <c r="C135" s="81" t="str">
        <f>Maturity!B21</f>
        <v>The annual BI/DW BUDGET for your BI/DW group represents approximately what percent of the annual IT budget for your group?</v>
      </c>
      <c r="D135" s="404">
        <f t="shared" ca="1" si="2243"/>
        <v>0.39677326865890916</v>
      </c>
      <c r="E135" s="374">
        <f>ROW(Initiatives!$A$170)</f>
        <v>170</v>
      </c>
      <c r="F135" s="374">
        <f>ROW(Initiatives!$A$176)</f>
        <v>176</v>
      </c>
      <c r="G135" s="374">
        <f>ROW(Initiatives!$A$183)</f>
        <v>183</v>
      </c>
      <c r="H135" s="374">
        <f>ROW(Initiatives!$A$189)</f>
        <v>189</v>
      </c>
      <c r="I135" s="374">
        <f>ROW(Initiatives!$A$100)</f>
        <v>100</v>
      </c>
      <c r="J135" s="374">
        <f>ROW(Initiatives!$A$101)</f>
        <v>101</v>
      </c>
      <c r="K135" s="374">
        <f>ROW(Initiatives!$A$178)</f>
        <v>178</v>
      </c>
      <c r="L135" s="374"/>
      <c r="M135" s="374"/>
      <c r="N135" s="374"/>
      <c r="O135" s="374" t="s">
        <v>975</v>
      </c>
      <c r="P135" s="374" t="s">
        <v>975</v>
      </c>
      <c r="Q135" s="374" t="s">
        <v>975</v>
      </c>
      <c r="R135" s="374" t="s">
        <v>975</v>
      </c>
      <c r="S135" s="374" t="s">
        <v>975</v>
      </c>
      <c r="T135" s="374" t="s">
        <v>975</v>
      </c>
      <c r="U135" s="374" t="s">
        <v>975</v>
      </c>
      <c r="V135" s="374" t="s">
        <v>975</v>
      </c>
      <c r="W135" s="374" t="s">
        <v>975</v>
      </c>
      <c r="X135" s="374" t="s">
        <v>975</v>
      </c>
      <c r="Y135" s="392" t="str">
        <f ca="1">OFFSET(Initiatives!$D$1,E135-1,$BS$3)</f>
        <v>BI Applications</v>
      </c>
      <c r="Z135" s="375">
        <v>5</v>
      </c>
      <c r="AA135" s="392" t="str">
        <f ca="1">OFFSET(Initiatives!$D$1,F135-1,$BS$3)</f>
        <v>Source System Inclusion / Integration</v>
      </c>
      <c r="AB135" s="375">
        <v>5</v>
      </c>
      <c r="AC135" s="392" t="str">
        <f ca="1">OFFSET(Initiatives!$D$1,G135-1,$BS$3)</f>
        <v>Enhance DW Platform</v>
      </c>
      <c r="AD135" s="375">
        <v>5</v>
      </c>
      <c r="AE135" s="392" t="str">
        <f ca="1">OFFSET(Initiatives!$D$1,H135-1,$BS$3)</f>
        <v>Enhance BI Platform</v>
      </c>
      <c r="AF135" s="375">
        <v>5</v>
      </c>
      <c r="AG135" s="392" t="str">
        <f ca="1">OFFSET(Initiatives!$D$1,I135-1,$BS$3)</f>
        <v>Governance</v>
      </c>
      <c r="AH135" s="375"/>
      <c r="AI135" s="392" t="str">
        <f ca="1">OFFSET(Initiatives!$D$1,J135-1,$BS$3)</f>
        <v>Architecture</v>
      </c>
      <c r="AJ135" s="375"/>
      <c r="AK135" s="392" t="str">
        <f ca="1">OFFSET(Initiatives!$D$1,K135-1,$BS$3)</f>
        <v>Architecture Standards &amp; Adherence</v>
      </c>
      <c r="AL135" s="375"/>
      <c r="AM135" s="392" t="e">
        <f ca="1">OFFSET(Initiatives!$D$1,L135-1,$BS$3)</f>
        <v>#REF!</v>
      </c>
      <c r="AN135" s="375"/>
      <c r="AO135" s="392" t="e">
        <f ca="1">OFFSET(Initiatives!$D$1,M135-1,$BS$3)</f>
        <v>#REF!</v>
      </c>
      <c r="AP135" s="375"/>
      <c r="AQ135" s="392" t="e">
        <f ca="1">OFFSET(Initiatives!$D$1,N135-1,$BS$3)</f>
        <v>#REF!</v>
      </c>
      <c r="AR135" s="375"/>
      <c r="AS135" s="392" t="e">
        <f ca="1">OFFSET(Initiatives!$D$1,O135-1,$BS$3)</f>
        <v>#VALUE!</v>
      </c>
      <c r="AT135" s="375"/>
      <c r="AU135" s="392" t="e">
        <f ca="1">OFFSET(Initiatives!$D$1,P135-1,$BS$3)</f>
        <v>#VALUE!</v>
      </c>
      <c r="AV135" s="375"/>
      <c r="AW135" s="392" t="e">
        <f ca="1">OFFSET(Initiatives!$D$1,Q135-1,$BS$3)</f>
        <v>#VALUE!</v>
      </c>
      <c r="AX135" s="375"/>
      <c r="AY135" s="392" t="e">
        <f ca="1">OFFSET(Initiatives!$D$1,R135-1,$BS$3)</f>
        <v>#VALUE!</v>
      </c>
      <c r="AZ135" s="375"/>
      <c r="BA135" s="392" t="e">
        <f ca="1">OFFSET(Initiatives!$D$1,S135-1,$BS$3)</f>
        <v>#VALUE!</v>
      </c>
      <c r="BB135" s="375"/>
      <c r="BC135" s="392" t="e">
        <f ca="1">OFFSET(Initiatives!$D$1,T135-1,$BS$3)</f>
        <v>#VALUE!</v>
      </c>
      <c r="BD135" s="375"/>
      <c r="BE135" s="392" t="e">
        <f ca="1">OFFSET(Initiatives!$D$1,U135-1,$BS$3)</f>
        <v>#VALUE!</v>
      </c>
      <c r="BF135" s="375"/>
      <c r="BG135" s="392" t="e">
        <f ca="1">OFFSET(Initiatives!$D$1,V135-1,$BS$3)</f>
        <v>#VALUE!</v>
      </c>
      <c r="BH135" s="375"/>
      <c r="BI135" s="392" t="e">
        <f ca="1">OFFSET(Initiatives!$D$1,W135-1,$BS$3)</f>
        <v>#VALUE!</v>
      </c>
      <c r="BJ135" s="375"/>
      <c r="BK135" s="392" t="e">
        <f ca="1">OFFSET(Initiatives!$D$1,X135-1,$BS$3)</f>
        <v>#VALUE!</v>
      </c>
      <c r="BL135" s="375"/>
      <c r="BN135" s="101">
        <f t="shared" si="2244"/>
        <v>20.0001</v>
      </c>
      <c r="BP135" s="231" t="str">
        <f t="shared" ca="1" si="2245"/>
        <v>Enhance BI Platform (38%); BI Applications (29%); Source System Inclusion / Integration (29%)</v>
      </c>
      <c r="BQ135" s="338">
        <v>0.01</v>
      </c>
      <c r="BR135" s="40">
        <f t="shared" ca="1" si="2246"/>
        <v>4</v>
      </c>
      <c r="BS135" s="274">
        <v>0.05</v>
      </c>
      <c r="BT135" s="40">
        <f t="shared" ca="1" si="2247"/>
        <v>3</v>
      </c>
      <c r="BU135" s="376">
        <v>7</v>
      </c>
      <c r="BV135" s="40">
        <f t="shared" ca="1" si="2248"/>
        <v>3</v>
      </c>
      <c r="BY135" s="377">
        <f ca="1">IF(ISERROR(OFFSET(Initiatives!$D$1,E135-1,$BY$3)),,OFFSET(Initiatives!$D$1,E135-1,$BY$3))</f>
        <v>0.45555555555555544</v>
      </c>
      <c r="BZ135" s="377">
        <f ca="1">IF(ISERROR(OFFSET(Initiatives!$D$1,F135-1,$BY$3)),,OFFSET(Initiatives!$D$1,F135-1,$BY$3))</f>
        <v>0.45454545454545436</v>
      </c>
      <c r="CA135" s="377">
        <f ca="1">IF(ISERROR(OFFSET(Initiatives!$D$1,G135-1,$BY$3)),,OFFSET(Initiatives!$D$1,G135-1,$BY$3))</f>
        <v>7.7000000000000179E-2</v>
      </c>
      <c r="CB135" s="377">
        <f ca="1">IF(ISERROR(OFFSET(Initiatives!$D$1,H135-1,$BY$3)),,OFFSET(Initiatives!$D$1,H135-1,$BY$3))</f>
        <v>0.6</v>
      </c>
      <c r="CC135" s="377">
        <f ca="1">IF(ISERROR(OFFSET(Initiatives!$D$1,I135-1,$BY$3)),,OFFSET(Initiatives!$D$1,I135-1,$BY$3))</f>
        <v>0.14000000000000001</v>
      </c>
      <c r="CD135" s="377">
        <f ca="1">IF(ISERROR(OFFSET(Initiatives!$D$1,J135-1,$BY$3)),,OFFSET(Initiatives!$D$1,J135-1,$BY$3))</f>
        <v>0.14000000000000001</v>
      </c>
      <c r="CE135" s="377">
        <f ca="1">IF(ISERROR(OFFSET(Initiatives!$D$1,K135-1,$BY$3)),,OFFSET(Initiatives!$D$1,K135-1,$BY$3))</f>
        <v>0.14000000000000012</v>
      </c>
      <c r="CF135" s="377">
        <f ca="1">IF(ISERROR(OFFSET(Initiatives!$D$1,L135-1,$BY$3)),,OFFSET(Initiatives!$D$1,L135-1,$BY$3))</f>
        <v>0</v>
      </c>
      <c r="CG135" s="377">
        <f ca="1">IF(ISERROR(OFFSET(Initiatives!$D$1,M135-1,$BY$3)),,OFFSET(Initiatives!$D$1,M135-1,$BY$3))</f>
        <v>0</v>
      </c>
      <c r="CH135" s="377">
        <f ca="1">IF(ISERROR(OFFSET(Initiatives!$D$1,N135-1,$BY$3)),,OFFSET(Initiatives!$D$1,N135-1,$BY$3))</f>
        <v>0</v>
      </c>
      <c r="CI135" s="377">
        <f ca="1">IF(ISERROR(OFFSET(Initiatives!$D$1,O135-1,$BY$3)),,OFFSET(Initiatives!$D$1,O135-1,$BY$3))</f>
        <v>0</v>
      </c>
      <c r="CJ135" s="377">
        <f ca="1">IF(ISERROR(OFFSET(Initiatives!$D$1,P135-1,$BY$3)),,OFFSET(Initiatives!$D$1,P135-1,$BY$3))</f>
        <v>0</v>
      </c>
      <c r="CK135" s="377">
        <f ca="1">IF(ISERROR(OFFSET(Initiatives!$D$1,Q135-1,$BY$3)),,OFFSET(Initiatives!$D$1,Q135-1,$BY$3))</f>
        <v>0</v>
      </c>
      <c r="CL135" s="377">
        <f ca="1">IF(ISERROR(OFFSET(Initiatives!$D$1,R135-1,$BY$3)),,OFFSET(Initiatives!$D$1,R135-1,$BY$3))</f>
        <v>0</v>
      </c>
      <c r="CM135" s="377">
        <f ca="1">IF(ISERROR(OFFSET(Initiatives!$D$1,S135-1,$BY$3)),,OFFSET(Initiatives!$D$1,S135-1,$BY$3))</f>
        <v>0</v>
      </c>
      <c r="CN135" s="377">
        <f ca="1">IF(ISERROR(OFFSET(Initiatives!$D$1,T135-1,$BY$3)),,OFFSET(Initiatives!$D$1,T135-1,$BY$3))</f>
        <v>0</v>
      </c>
      <c r="CO135" s="377">
        <f ca="1">IF(ISERROR(OFFSET(Initiatives!$D$1,U135-1,$BY$3)),,OFFSET(Initiatives!$D$1,U135-1,$BY$3))</f>
        <v>0</v>
      </c>
      <c r="CP135" s="377">
        <f ca="1">IF(ISERROR(OFFSET(Initiatives!$D$1,V135-1,$BY$3)),,OFFSET(Initiatives!$D$1,V135-1,$BY$3))</f>
        <v>0</v>
      </c>
      <c r="CQ135" s="377">
        <f ca="1">IF(ISERROR(OFFSET(Initiatives!$D$1,W135-1,$BY$3)),,OFFSET(Initiatives!$D$1,W135-1,$BY$3))</f>
        <v>0</v>
      </c>
      <c r="CR135" s="377">
        <f ca="1">IF(ISERROR(OFFSET(Initiatives!$D$1,X135-1,$BY$3)),,OFFSET(Initiatives!$D$1,X135-1,$BY$3))</f>
        <v>0</v>
      </c>
      <c r="CT135" s="41">
        <f t="shared" ca="1" si="2249"/>
        <v>0.11388831944729162</v>
      </c>
      <c r="CU135" s="41">
        <f t="shared" ca="1" si="2250"/>
        <v>0.11363579545738629</v>
      </c>
      <c r="CV135" s="41">
        <f t="shared" ca="1" si="2251"/>
        <v>1.9249903750481294E-2</v>
      </c>
      <c r="CW135" s="41">
        <f t="shared" ca="1" si="2252"/>
        <v>0.14999925000374997</v>
      </c>
      <c r="CX135" s="41">
        <f t="shared" ca="1" si="2253"/>
        <v>0</v>
      </c>
      <c r="CY135" s="41">
        <f t="shared" ca="1" si="2254"/>
        <v>0</v>
      </c>
      <c r="CZ135" s="41">
        <f t="shared" ca="1" si="2255"/>
        <v>0</v>
      </c>
      <c r="DA135" s="41">
        <f t="shared" ca="1" si="2256"/>
        <v>0</v>
      </c>
      <c r="DB135" s="41">
        <f t="shared" ca="1" si="2257"/>
        <v>0</v>
      </c>
      <c r="DC135" s="41">
        <f t="shared" ca="1" si="2258"/>
        <v>0</v>
      </c>
      <c r="DD135" s="41">
        <f t="shared" ca="1" si="2259"/>
        <v>0</v>
      </c>
      <c r="DE135" s="41">
        <f t="shared" ca="1" si="2260"/>
        <v>0</v>
      </c>
      <c r="DF135" s="41">
        <f t="shared" ca="1" si="2261"/>
        <v>0</v>
      </c>
      <c r="DG135" s="41">
        <f t="shared" ca="1" si="2262"/>
        <v>0</v>
      </c>
      <c r="DH135" s="41">
        <f t="shared" ca="1" si="2263"/>
        <v>0</v>
      </c>
      <c r="DI135" s="41">
        <f t="shared" ca="1" si="2264"/>
        <v>0</v>
      </c>
      <c r="DJ135" s="41">
        <f t="shared" ca="1" si="2265"/>
        <v>0</v>
      </c>
      <c r="DK135" s="41">
        <f t="shared" ca="1" si="2266"/>
        <v>0</v>
      </c>
      <c r="DL135" s="41">
        <f t="shared" ca="1" si="2267"/>
        <v>0</v>
      </c>
      <c r="DM135" s="41">
        <f t="shared" ca="1" si="2268"/>
        <v>0</v>
      </c>
      <c r="DN135" s="41">
        <f t="shared" ca="1" si="2269"/>
        <v>0.39677326865890916</v>
      </c>
      <c r="DP135" s="41">
        <f t="shared" ca="1" si="2270"/>
        <v>0.28702627094696509</v>
      </c>
      <c r="DQ135" s="41">
        <f t="shared" ca="1" si="2271"/>
        <v>0.28637982688721564</v>
      </c>
      <c r="DR135" s="41">
        <f t="shared" ca="1" si="2272"/>
        <v>4.8486130674694469E-2</v>
      </c>
      <c r="DS135" s="41">
        <f t="shared" ca="1" si="2273"/>
        <v>0.37800777149112486</v>
      </c>
      <c r="DT135" s="41">
        <f t="shared" ca="1" si="2274"/>
        <v>-5.0000000000000002E-5</v>
      </c>
      <c r="DU135" s="41">
        <f t="shared" ca="1" si="2275"/>
        <v>-6.0000000000000002E-5</v>
      </c>
      <c r="DV135" s="41">
        <f t="shared" ca="1" si="2276"/>
        <v>-6.9999999999999994E-5</v>
      </c>
      <c r="DW135" s="41">
        <f t="shared" ca="1" si="2277"/>
        <v>-8.0000000000000007E-5</v>
      </c>
      <c r="DX135" s="41">
        <f t="shared" ca="1" si="2278"/>
        <v>-9.0000000000000006E-5</v>
      </c>
      <c r="DY135" s="41">
        <f t="shared" ca="1" si="2279"/>
        <v>-1E-4</v>
      </c>
      <c r="DZ135" s="41">
        <f t="shared" ca="1" si="2280"/>
        <v>-1.1E-4</v>
      </c>
      <c r="EA135" s="41">
        <f t="shared" ca="1" si="2281"/>
        <v>-1.2E-4</v>
      </c>
      <c r="EB135" s="41">
        <f t="shared" ca="1" si="2282"/>
        <v>-1.2999999999999999E-4</v>
      </c>
      <c r="EC135" s="41">
        <f t="shared" ca="1" si="2283"/>
        <v>-1.3999999999999999E-4</v>
      </c>
      <c r="ED135" s="41">
        <f t="shared" ca="1" si="2284"/>
        <v>-1.4999999999999999E-4</v>
      </c>
      <c r="EE135" s="41">
        <f t="shared" ca="1" si="2285"/>
        <v>-1.6000000000000001E-4</v>
      </c>
      <c r="EF135" s="41">
        <f t="shared" ca="1" si="2286"/>
        <v>-1.7000000000000001E-4</v>
      </c>
      <c r="EG135" s="41">
        <f t="shared" ca="1" si="2287"/>
        <v>-1.8000000000000001E-4</v>
      </c>
      <c r="EH135" s="41">
        <f t="shared" ca="1" si="2288"/>
        <v>-1.9000000000000001E-4</v>
      </c>
      <c r="EI135" s="41">
        <f t="shared" ca="1" si="2289"/>
        <v>-2.0000000000000001E-4</v>
      </c>
      <c r="EJ135" s="41">
        <f t="shared" ca="1" si="2290"/>
        <v>0.99790000000000001</v>
      </c>
      <c r="EL135" s="378">
        <f t="shared" ca="1" si="2291"/>
        <v>2</v>
      </c>
      <c r="EM135" s="378">
        <f t="shared" ca="1" si="2292"/>
        <v>3</v>
      </c>
      <c r="EN135" s="378">
        <f t="shared" ca="1" si="2293"/>
        <v>4</v>
      </c>
      <c r="EO135" s="378">
        <f t="shared" ca="1" si="2294"/>
        <v>1</v>
      </c>
      <c r="EP135" s="378">
        <f t="shared" ca="1" si="2295"/>
        <v>5</v>
      </c>
      <c r="EQ135" s="378">
        <f t="shared" ca="1" si="2296"/>
        <v>6</v>
      </c>
      <c r="ER135" s="378">
        <f t="shared" ca="1" si="2297"/>
        <v>7</v>
      </c>
      <c r="ES135" s="378">
        <f t="shared" ca="1" si="2298"/>
        <v>8</v>
      </c>
      <c r="ET135" s="378">
        <f t="shared" ca="1" si="2299"/>
        <v>9</v>
      </c>
      <c r="EU135" s="378">
        <f t="shared" ca="1" si="2300"/>
        <v>10</v>
      </c>
      <c r="EV135" s="378">
        <f t="shared" ca="1" si="2301"/>
        <v>11</v>
      </c>
      <c r="EW135" s="378">
        <f t="shared" ca="1" si="2302"/>
        <v>12</v>
      </c>
      <c r="EX135" s="378">
        <f t="shared" ca="1" si="2303"/>
        <v>13</v>
      </c>
      <c r="EY135" s="378">
        <f t="shared" ca="1" si="2304"/>
        <v>14</v>
      </c>
      <c r="EZ135" s="378">
        <f t="shared" ca="1" si="2305"/>
        <v>15</v>
      </c>
      <c r="FA135" s="378">
        <f t="shared" ca="1" si="2306"/>
        <v>16</v>
      </c>
      <c r="FB135" s="378">
        <f t="shared" ca="1" si="2307"/>
        <v>17</v>
      </c>
      <c r="FC135" s="378">
        <f t="shared" ca="1" si="2308"/>
        <v>18</v>
      </c>
      <c r="FD135" s="378">
        <f t="shared" ca="1" si="2309"/>
        <v>19</v>
      </c>
      <c r="FE135" s="378">
        <f t="shared" ca="1" si="2310"/>
        <v>20</v>
      </c>
      <c r="FG135" s="378">
        <f t="shared" ca="1" si="2311"/>
        <v>4</v>
      </c>
      <c r="FH135" s="378">
        <f t="shared" ca="1" si="2311"/>
        <v>1</v>
      </c>
      <c r="FI135" s="378">
        <f t="shared" ca="1" si="2311"/>
        <v>2</v>
      </c>
      <c r="FJ135" s="378">
        <f t="shared" ca="1" si="2311"/>
        <v>3</v>
      </c>
      <c r="FK135" s="378">
        <f t="shared" ca="1" si="2311"/>
        <v>5</v>
      </c>
      <c r="FL135" s="378">
        <f t="shared" ca="1" si="2311"/>
        <v>6</v>
      </c>
      <c r="FM135" s="378">
        <f t="shared" ca="1" si="2311"/>
        <v>7</v>
      </c>
      <c r="FN135" s="378">
        <f t="shared" ca="1" si="2311"/>
        <v>8</v>
      </c>
      <c r="FO135" s="378">
        <f t="shared" ca="1" si="2311"/>
        <v>9</v>
      </c>
      <c r="FP135" s="378">
        <f t="shared" ca="1" si="2311"/>
        <v>10</v>
      </c>
      <c r="FQ135" s="378">
        <f t="shared" ca="1" si="2311"/>
        <v>11</v>
      </c>
      <c r="FR135" s="378">
        <f t="shared" ca="1" si="2311"/>
        <v>12</v>
      </c>
      <c r="FS135" s="378">
        <f t="shared" ca="1" si="2311"/>
        <v>13</v>
      </c>
      <c r="FT135" s="378">
        <f t="shared" ca="1" si="2311"/>
        <v>14</v>
      </c>
      <c r="FU135" s="378">
        <f t="shared" ca="1" si="2311"/>
        <v>15</v>
      </c>
      <c r="FV135" s="378">
        <f t="shared" ca="1" si="2311"/>
        <v>16</v>
      </c>
      <c r="FW135" s="378">
        <f t="shared" ca="1" si="2312"/>
        <v>17</v>
      </c>
      <c r="FX135" s="378">
        <f t="shared" ca="1" si="2312"/>
        <v>18</v>
      </c>
      <c r="FY135" s="378">
        <f t="shared" ca="1" si="2312"/>
        <v>19</v>
      </c>
      <c r="FZ135" s="378">
        <f t="shared" ca="1" si="2312"/>
        <v>20</v>
      </c>
      <c r="GB135" s="275" t="str">
        <f t="shared" ca="1" si="2313"/>
        <v>Enhance BI Platform (38%)</v>
      </c>
      <c r="GC135" s="231" t="str">
        <f t="shared" ca="1" si="2314"/>
        <v>; BI Applications (29%)</v>
      </c>
      <c r="GD135" s="231" t="str">
        <f t="shared" ca="1" si="2315"/>
        <v>; Source System Inclusion / Integration (29%)</v>
      </c>
      <c r="GE135" s="231" t="str">
        <f t="shared" ca="1" si="2316"/>
        <v/>
      </c>
      <c r="GF135" s="231" t="str">
        <f t="shared" ca="1" si="2317"/>
        <v/>
      </c>
      <c r="GG135" s="231" t="str">
        <f t="shared" ca="1" si="2318"/>
        <v/>
      </c>
      <c r="GH135" s="231" t="str">
        <f t="shared" ca="1" si="2319"/>
        <v/>
      </c>
      <c r="GI135" s="231" t="str">
        <f t="shared" ca="1" si="2320"/>
        <v/>
      </c>
      <c r="GJ135" s="231" t="str">
        <f t="shared" ca="1" si="2321"/>
        <v/>
      </c>
      <c r="GK135" s="231" t="str">
        <f t="shared" ca="1" si="2322"/>
        <v/>
      </c>
      <c r="GL135" s="231" t="str">
        <f t="shared" ca="1" si="2323"/>
        <v/>
      </c>
      <c r="GM135" s="231" t="str">
        <f t="shared" ca="1" si="2324"/>
        <v/>
      </c>
      <c r="GN135" s="231" t="str">
        <f t="shared" ca="1" si="2325"/>
        <v/>
      </c>
      <c r="GO135" s="231" t="str">
        <f t="shared" ca="1" si="2326"/>
        <v/>
      </c>
      <c r="GP135" s="231" t="str">
        <f t="shared" ca="1" si="2327"/>
        <v/>
      </c>
      <c r="GQ135" s="231" t="str">
        <f t="shared" ca="1" si="2328"/>
        <v/>
      </c>
      <c r="GR135" s="231" t="str">
        <f t="shared" ca="1" si="2329"/>
        <v/>
      </c>
      <c r="GS135" s="231" t="str">
        <f t="shared" ca="1" si="2330"/>
        <v/>
      </c>
      <c r="GT135" s="231" t="str">
        <f t="shared" ca="1" si="2331"/>
        <v/>
      </c>
      <c r="GU135" s="231" t="str">
        <f t="shared" ca="1" si="2332"/>
        <v/>
      </c>
      <c r="GW135" s="377">
        <f ca="1">IF(ISERROR(OFFSET(Initiatives!$D$1,E135-1,$CB$3)),,OFFSET(Initiatives!$D$1,E135-1,$CB$3))</f>
        <v>0.34166666666666662</v>
      </c>
      <c r="GX135" s="377">
        <f ca="1">IF(ISERROR(OFFSET(Initiatives!$D$1,F135-1,$CB$3)),,OFFSET(Initiatives!$D$1,F135-1,$CB$3))</f>
        <v>0.43181818181818177</v>
      </c>
      <c r="GY135" s="377">
        <f ca="1">IF(ISERROR(OFFSET(Initiatives!$D$1,G135-1,$CB$3)),,OFFSET(Initiatives!$D$1,G135-1,$CB$3))</f>
        <v>0.77</v>
      </c>
      <c r="GZ135" s="377">
        <f ca="1">IF(ISERROR(OFFSET(Initiatives!$D$1,H135-1,$CB$3)),,OFFSET(Initiatives!$D$1,H135-1,$CB$3))</f>
        <v>0.25</v>
      </c>
      <c r="HA135" s="377">
        <f ca="1">IF(ISERROR(OFFSET(Initiatives!$D$1,I135-1,$CB$3)),,OFFSET(Initiatives!$D$1,I135-1,$CB$3))</f>
        <v>0.65</v>
      </c>
      <c r="HB135" s="377">
        <f ca="1">IF(ISERROR(OFFSET(Initiatives!$D$1,J135-1,$CB$3)),,OFFSET(Initiatives!$D$1,J135-1,$CB$3))</f>
        <v>0.65</v>
      </c>
      <c r="HC135" s="377">
        <f ca="1">IF(ISERROR(OFFSET(Initiatives!$D$1,K135-1,$CB$3)),,OFFSET(Initiatives!$D$1,K135-1,$CB$3))</f>
        <v>0.65</v>
      </c>
      <c r="HD135" s="377">
        <f ca="1">IF(ISERROR(OFFSET(Initiatives!$D$1,L135-1,$CB$3)),,OFFSET(Initiatives!$D$1,L135-1,$CB$3))</f>
        <v>0</v>
      </c>
      <c r="HE135" s="377">
        <f ca="1">IF(ISERROR(OFFSET(Initiatives!$D$1,M135-1,$CB$3)),,OFFSET(Initiatives!$D$1,M135-1,$CB$3))</f>
        <v>0</v>
      </c>
      <c r="HF135" s="377">
        <f ca="1">IF(ISERROR(OFFSET(Initiatives!$D$1,N135-1,$CB$3)),,OFFSET(Initiatives!$D$1,N135-1,$CB$3))</f>
        <v>0</v>
      </c>
      <c r="HG135" s="377">
        <f ca="1">IF(ISERROR(OFFSET(Initiatives!$D$1,O135-1,$CB$3)),,OFFSET(Initiatives!$D$1,O135-1,$CB$3))</f>
        <v>0</v>
      </c>
      <c r="HH135" s="377">
        <f ca="1">IF(ISERROR(OFFSET(Initiatives!$D$1,P135-1,$CB$3)),,OFFSET(Initiatives!$D$1,P135-1,$CB$3))</f>
        <v>0</v>
      </c>
      <c r="HI135" s="377">
        <f ca="1">IF(ISERROR(OFFSET(Initiatives!$D$1,Q135-1,$CB$3)),,OFFSET(Initiatives!$D$1,Q135-1,$CB$3))</f>
        <v>0</v>
      </c>
      <c r="HJ135" s="377">
        <f ca="1">IF(ISERROR(OFFSET(Initiatives!$D$1,R135-1,$CB$3)),,OFFSET(Initiatives!$D$1,R135-1,$CB$3))</f>
        <v>0</v>
      </c>
      <c r="HK135" s="377">
        <f ca="1">IF(ISERROR(OFFSET(Initiatives!$D$1,S135-1,$CB$3)),,OFFSET(Initiatives!$D$1,S135-1,$CB$3))</f>
        <v>0</v>
      </c>
      <c r="HL135" s="377">
        <f ca="1">IF(ISERROR(OFFSET(Initiatives!$D$1,T135-1,$CB$3)),,OFFSET(Initiatives!$D$1,T135-1,$CB$3))</f>
        <v>0</v>
      </c>
      <c r="HM135" s="377">
        <f ca="1">IF(ISERROR(OFFSET(Initiatives!$D$1,U135-1,$CB$3)),,OFFSET(Initiatives!$D$1,U135-1,$CB$3))</f>
        <v>0</v>
      </c>
      <c r="HN135" s="377">
        <f ca="1">IF(ISERROR(OFFSET(Initiatives!$D$1,V135-1,$CB$3)),,OFFSET(Initiatives!$D$1,V135-1,$CB$3))</f>
        <v>0</v>
      </c>
      <c r="HO135" s="377">
        <f ca="1">IF(ISERROR(OFFSET(Initiatives!$D$1,W135-1,$CB$3)),,OFFSET(Initiatives!$D$1,W135-1,$CB$3))</f>
        <v>0</v>
      </c>
      <c r="HP135" s="377">
        <f ca="1">IF(ISERROR(OFFSET(Initiatives!$D$1,X135-1,$CB$3)),,OFFSET(Initiatives!$D$1,X135-1,$CB$3))</f>
        <v>0</v>
      </c>
      <c r="HR135" s="41">
        <f t="shared" ca="1" si="2333"/>
        <v>8.541623958546872E-2</v>
      </c>
      <c r="HS135" s="41">
        <f t="shared" ca="1" si="2334"/>
        <v>0.10795400568451702</v>
      </c>
      <c r="HT135" s="41">
        <f t="shared" ca="1" si="2335"/>
        <v>0.19249903750481248</v>
      </c>
      <c r="HU135" s="41">
        <f t="shared" ca="1" si="2336"/>
        <v>6.2499687501562491E-2</v>
      </c>
      <c r="HV135" s="41">
        <f t="shared" ca="1" si="2337"/>
        <v>0</v>
      </c>
      <c r="HW135" s="41">
        <f t="shared" ca="1" si="2338"/>
        <v>0</v>
      </c>
      <c r="HX135" s="41">
        <f t="shared" ca="1" si="2339"/>
        <v>0</v>
      </c>
      <c r="HY135" s="41">
        <f t="shared" ca="1" si="2340"/>
        <v>0</v>
      </c>
      <c r="HZ135" s="41">
        <f t="shared" ca="1" si="2341"/>
        <v>0</v>
      </c>
      <c r="IA135" s="41">
        <f t="shared" ca="1" si="2342"/>
        <v>0</v>
      </c>
      <c r="IB135" s="41">
        <f t="shared" ca="1" si="2343"/>
        <v>0</v>
      </c>
      <c r="IC135" s="41">
        <f t="shared" ca="1" si="2344"/>
        <v>0</v>
      </c>
      <c r="ID135" s="41">
        <f t="shared" ca="1" si="2345"/>
        <v>0</v>
      </c>
      <c r="IE135" s="41">
        <f t="shared" ca="1" si="2346"/>
        <v>0</v>
      </c>
      <c r="IF135" s="41">
        <f t="shared" ca="1" si="2347"/>
        <v>0</v>
      </c>
      <c r="IG135" s="41">
        <f t="shared" ca="1" si="2348"/>
        <v>0</v>
      </c>
      <c r="IH135" s="41">
        <f t="shared" ca="1" si="2349"/>
        <v>0</v>
      </c>
      <c r="II135" s="41">
        <f t="shared" ca="1" si="2350"/>
        <v>0</v>
      </c>
      <c r="IJ135" s="41">
        <f t="shared" ca="1" si="2351"/>
        <v>0</v>
      </c>
      <c r="IK135" s="41">
        <f t="shared" ca="1" si="2352"/>
        <v>0</v>
      </c>
      <c r="IL135" s="41">
        <f t="shared" ca="1" si="2353"/>
        <v>0.44836897027636075</v>
      </c>
    </row>
    <row r="136" spans="1:246" s="409" customFormat="1" ht="15" hidden="1" customHeight="1">
      <c r="B136" s="373"/>
      <c r="C136" s="81" t="str">
        <f>Maturity!B22</f>
        <v>Which best describes the current degree of CAPITAL INVESTMENT in your BI/DW system?</v>
      </c>
      <c r="D136" s="404">
        <f t="shared" ca="1" si="2243"/>
        <v>0.39677326865890916</v>
      </c>
      <c r="E136" s="374">
        <f>ROW(Initiatives!$A$170)</f>
        <v>170</v>
      </c>
      <c r="F136" s="374">
        <f>ROW(Initiatives!$A$176)</f>
        <v>176</v>
      </c>
      <c r="G136" s="374">
        <f>ROW(Initiatives!$A$183)</f>
        <v>183</v>
      </c>
      <c r="H136" s="374">
        <f>ROW(Initiatives!$A$189)</f>
        <v>189</v>
      </c>
      <c r="I136" s="374">
        <f>ROW(Initiatives!$A$100)</f>
        <v>100</v>
      </c>
      <c r="J136" s="374">
        <f>ROW(Initiatives!$A$101)</f>
        <v>101</v>
      </c>
      <c r="K136" s="374">
        <f>ROW(Initiatives!$A$178)</f>
        <v>178</v>
      </c>
      <c r="L136" s="374"/>
      <c r="M136" s="374"/>
      <c r="N136" s="374"/>
      <c r="O136" s="374" t="s">
        <v>975</v>
      </c>
      <c r="P136" s="374" t="s">
        <v>975</v>
      </c>
      <c r="Q136" s="374" t="s">
        <v>975</v>
      </c>
      <c r="R136" s="374" t="s">
        <v>975</v>
      </c>
      <c r="S136" s="374" t="s">
        <v>975</v>
      </c>
      <c r="T136" s="374" t="s">
        <v>975</v>
      </c>
      <c r="U136" s="374" t="s">
        <v>975</v>
      </c>
      <c r="V136" s="374" t="s">
        <v>975</v>
      </c>
      <c r="W136" s="374" t="s">
        <v>975</v>
      </c>
      <c r="X136" s="374" t="s">
        <v>975</v>
      </c>
      <c r="Y136" s="392" t="str">
        <f ca="1">OFFSET(Initiatives!$D$1,E136-1,$BS$3)</f>
        <v>BI Applications</v>
      </c>
      <c r="Z136" s="375">
        <v>5</v>
      </c>
      <c r="AA136" s="392" t="str">
        <f ca="1">OFFSET(Initiatives!$D$1,F136-1,$BS$3)</f>
        <v>Source System Inclusion / Integration</v>
      </c>
      <c r="AB136" s="375">
        <v>5</v>
      </c>
      <c r="AC136" s="392" t="str">
        <f ca="1">OFFSET(Initiatives!$D$1,G136-1,$BS$3)</f>
        <v>Enhance DW Platform</v>
      </c>
      <c r="AD136" s="375">
        <v>5</v>
      </c>
      <c r="AE136" s="392" t="str">
        <f ca="1">OFFSET(Initiatives!$D$1,H136-1,$BS$3)</f>
        <v>Enhance BI Platform</v>
      </c>
      <c r="AF136" s="375">
        <v>5</v>
      </c>
      <c r="AG136" s="392" t="str">
        <f ca="1">OFFSET(Initiatives!$D$1,I136-1,$BS$3)</f>
        <v>Governance</v>
      </c>
      <c r="AH136" s="375"/>
      <c r="AI136" s="392" t="str">
        <f ca="1">OFFSET(Initiatives!$D$1,J136-1,$BS$3)</f>
        <v>Architecture</v>
      </c>
      <c r="AJ136" s="375"/>
      <c r="AK136" s="392" t="str">
        <f ca="1">OFFSET(Initiatives!$D$1,K136-1,$BS$3)</f>
        <v>Architecture Standards &amp; Adherence</v>
      </c>
      <c r="AL136" s="375"/>
      <c r="AM136" s="392" t="e">
        <f ca="1">OFFSET(Initiatives!$D$1,L136-1,$BS$3)</f>
        <v>#REF!</v>
      </c>
      <c r="AN136" s="375"/>
      <c r="AO136" s="392" t="e">
        <f ca="1">OFFSET(Initiatives!$D$1,M136-1,$BS$3)</f>
        <v>#REF!</v>
      </c>
      <c r="AP136" s="375"/>
      <c r="AQ136" s="392" t="e">
        <f ca="1">OFFSET(Initiatives!$D$1,N136-1,$BS$3)</f>
        <v>#REF!</v>
      </c>
      <c r="AR136" s="375"/>
      <c r="AS136" s="392" t="e">
        <f ca="1">OFFSET(Initiatives!$D$1,O136-1,$BS$3)</f>
        <v>#VALUE!</v>
      </c>
      <c r="AT136" s="375"/>
      <c r="AU136" s="392" t="e">
        <f ca="1">OFFSET(Initiatives!$D$1,P136-1,$BS$3)</f>
        <v>#VALUE!</v>
      </c>
      <c r="AV136" s="375"/>
      <c r="AW136" s="392" t="e">
        <f ca="1">OFFSET(Initiatives!$D$1,Q136-1,$BS$3)</f>
        <v>#VALUE!</v>
      </c>
      <c r="AX136" s="375"/>
      <c r="AY136" s="392" t="e">
        <f ca="1">OFFSET(Initiatives!$D$1,R136-1,$BS$3)</f>
        <v>#VALUE!</v>
      </c>
      <c r="AZ136" s="375"/>
      <c r="BA136" s="392" t="e">
        <f ca="1">OFFSET(Initiatives!$D$1,S136-1,$BS$3)</f>
        <v>#VALUE!</v>
      </c>
      <c r="BB136" s="375"/>
      <c r="BC136" s="392" t="e">
        <f ca="1">OFFSET(Initiatives!$D$1,T136-1,$BS$3)</f>
        <v>#VALUE!</v>
      </c>
      <c r="BD136" s="375"/>
      <c r="BE136" s="392" t="e">
        <f ca="1">OFFSET(Initiatives!$D$1,U136-1,$BS$3)</f>
        <v>#VALUE!</v>
      </c>
      <c r="BF136" s="375"/>
      <c r="BG136" s="392" t="e">
        <f ca="1">OFFSET(Initiatives!$D$1,V136-1,$BS$3)</f>
        <v>#VALUE!</v>
      </c>
      <c r="BH136" s="375"/>
      <c r="BI136" s="392" t="e">
        <f ca="1">OFFSET(Initiatives!$D$1,W136-1,$BS$3)</f>
        <v>#VALUE!</v>
      </c>
      <c r="BJ136" s="375"/>
      <c r="BK136" s="392" t="e">
        <f ca="1">OFFSET(Initiatives!$D$1,X136-1,$BS$3)</f>
        <v>#VALUE!</v>
      </c>
      <c r="BL136" s="375"/>
      <c r="BN136" s="101">
        <f t="shared" si="2244"/>
        <v>20.0001</v>
      </c>
      <c r="BP136" s="231" t="str">
        <f t="shared" ca="1" si="2245"/>
        <v>Enhance BI Platform (38%); BI Applications (29%); Source System Inclusion / Integration (29%)</v>
      </c>
      <c r="BQ136" s="338">
        <v>0.01</v>
      </c>
      <c r="BR136" s="40">
        <f t="shared" ca="1" si="2246"/>
        <v>4</v>
      </c>
      <c r="BS136" s="274">
        <v>0.05</v>
      </c>
      <c r="BT136" s="40">
        <f t="shared" ca="1" si="2247"/>
        <v>3</v>
      </c>
      <c r="BU136" s="376">
        <v>7</v>
      </c>
      <c r="BV136" s="40">
        <f t="shared" ca="1" si="2248"/>
        <v>3</v>
      </c>
      <c r="BY136" s="377">
        <f ca="1">IF(ISERROR(OFFSET(Initiatives!$D$1,E136-1,$BY$3)),,OFFSET(Initiatives!$D$1,E136-1,$BY$3))</f>
        <v>0.45555555555555544</v>
      </c>
      <c r="BZ136" s="377">
        <f ca="1">IF(ISERROR(OFFSET(Initiatives!$D$1,F136-1,$BY$3)),,OFFSET(Initiatives!$D$1,F136-1,$BY$3))</f>
        <v>0.45454545454545436</v>
      </c>
      <c r="CA136" s="377">
        <f ca="1">IF(ISERROR(OFFSET(Initiatives!$D$1,G136-1,$BY$3)),,OFFSET(Initiatives!$D$1,G136-1,$BY$3))</f>
        <v>7.7000000000000179E-2</v>
      </c>
      <c r="CB136" s="377">
        <f ca="1">IF(ISERROR(OFFSET(Initiatives!$D$1,H136-1,$BY$3)),,OFFSET(Initiatives!$D$1,H136-1,$BY$3))</f>
        <v>0.6</v>
      </c>
      <c r="CC136" s="377">
        <f ca="1">IF(ISERROR(OFFSET(Initiatives!$D$1,I136-1,$BY$3)),,OFFSET(Initiatives!$D$1,I136-1,$BY$3))</f>
        <v>0.14000000000000001</v>
      </c>
      <c r="CD136" s="377">
        <f ca="1">IF(ISERROR(OFFSET(Initiatives!$D$1,J136-1,$BY$3)),,OFFSET(Initiatives!$D$1,J136-1,$BY$3))</f>
        <v>0.14000000000000001</v>
      </c>
      <c r="CE136" s="377">
        <f ca="1">IF(ISERROR(OFFSET(Initiatives!$D$1,K136-1,$BY$3)),,OFFSET(Initiatives!$D$1,K136-1,$BY$3))</f>
        <v>0.14000000000000012</v>
      </c>
      <c r="CF136" s="377">
        <f ca="1">IF(ISERROR(OFFSET(Initiatives!$D$1,L136-1,$BY$3)),,OFFSET(Initiatives!$D$1,L136-1,$BY$3))</f>
        <v>0</v>
      </c>
      <c r="CG136" s="377">
        <f ca="1">IF(ISERROR(OFFSET(Initiatives!$D$1,M136-1,$BY$3)),,OFFSET(Initiatives!$D$1,M136-1,$BY$3))</f>
        <v>0</v>
      </c>
      <c r="CH136" s="377">
        <f ca="1">IF(ISERROR(OFFSET(Initiatives!$D$1,N136-1,$BY$3)),,OFFSET(Initiatives!$D$1,N136-1,$BY$3))</f>
        <v>0</v>
      </c>
      <c r="CI136" s="377">
        <f ca="1">IF(ISERROR(OFFSET(Initiatives!$D$1,O136-1,$BY$3)),,OFFSET(Initiatives!$D$1,O136-1,$BY$3))</f>
        <v>0</v>
      </c>
      <c r="CJ136" s="377">
        <f ca="1">IF(ISERROR(OFFSET(Initiatives!$D$1,P136-1,$BY$3)),,OFFSET(Initiatives!$D$1,P136-1,$BY$3))</f>
        <v>0</v>
      </c>
      <c r="CK136" s="377">
        <f ca="1">IF(ISERROR(OFFSET(Initiatives!$D$1,Q136-1,$BY$3)),,OFFSET(Initiatives!$D$1,Q136-1,$BY$3))</f>
        <v>0</v>
      </c>
      <c r="CL136" s="377">
        <f ca="1">IF(ISERROR(OFFSET(Initiatives!$D$1,R136-1,$BY$3)),,OFFSET(Initiatives!$D$1,R136-1,$BY$3))</f>
        <v>0</v>
      </c>
      <c r="CM136" s="377">
        <f ca="1">IF(ISERROR(OFFSET(Initiatives!$D$1,S136-1,$BY$3)),,OFFSET(Initiatives!$D$1,S136-1,$BY$3))</f>
        <v>0</v>
      </c>
      <c r="CN136" s="377">
        <f ca="1">IF(ISERROR(OFFSET(Initiatives!$D$1,T136-1,$BY$3)),,OFFSET(Initiatives!$D$1,T136-1,$BY$3))</f>
        <v>0</v>
      </c>
      <c r="CO136" s="377">
        <f ca="1">IF(ISERROR(OFFSET(Initiatives!$D$1,U136-1,$BY$3)),,OFFSET(Initiatives!$D$1,U136-1,$BY$3))</f>
        <v>0</v>
      </c>
      <c r="CP136" s="377">
        <f ca="1">IF(ISERROR(OFFSET(Initiatives!$D$1,V136-1,$BY$3)),,OFFSET(Initiatives!$D$1,V136-1,$BY$3))</f>
        <v>0</v>
      </c>
      <c r="CQ136" s="377">
        <f ca="1">IF(ISERROR(OFFSET(Initiatives!$D$1,W136-1,$BY$3)),,OFFSET(Initiatives!$D$1,W136-1,$BY$3))</f>
        <v>0</v>
      </c>
      <c r="CR136" s="377">
        <f ca="1">IF(ISERROR(OFFSET(Initiatives!$D$1,X136-1,$BY$3)),,OFFSET(Initiatives!$D$1,X136-1,$BY$3))</f>
        <v>0</v>
      </c>
      <c r="CT136" s="41">
        <f t="shared" ca="1" si="2249"/>
        <v>0.11388831944729162</v>
      </c>
      <c r="CU136" s="41">
        <f t="shared" ca="1" si="2250"/>
        <v>0.11363579545738629</v>
      </c>
      <c r="CV136" s="41">
        <f t="shared" ca="1" si="2251"/>
        <v>1.9249903750481294E-2</v>
      </c>
      <c r="CW136" s="41">
        <f t="shared" ca="1" si="2252"/>
        <v>0.14999925000374997</v>
      </c>
      <c r="CX136" s="41">
        <f t="shared" ca="1" si="2253"/>
        <v>0</v>
      </c>
      <c r="CY136" s="41">
        <f t="shared" ca="1" si="2254"/>
        <v>0</v>
      </c>
      <c r="CZ136" s="41">
        <f t="shared" ca="1" si="2255"/>
        <v>0</v>
      </c>
      <c r="DA136" s="41">
        <f t="shared" ca="1" si="2256"/>
        <v>0</v>
      </c>
      <c r="DB136" s="41">
        <f t="shared" ca="1" si="2257"/>
        <v>0</v>
      </c>
      <c r="DC136" s="41">
        <f t="shared" ca="1" si="2258"/>
        <v>0</v>
      </c>
      <c r="DD136" s="41">
        <f t="shared" ca="1" si="2259"/>
        <v>0</v>
      </c>
      <c r="DE136" s="41">
        <f t="shared" ca="1" si="2260"/>
        <v>0</v>
      </c>
      <c r="DF136" s="41">
        <f t="shared" ca="1" si="2261"/>
        <v>0</v>
      </c>
      <c r="DG136" s="41">
        <f t="shared" ca="1" si="2262"/>
        <v>0</v>
      </c>
      <c r="DH136" s="41">
        <f t="shared" ca="1" si="2263"/>
        <v>0</v>
      </c>
      <c r="DI136" s="41">
        <f t="shared" ca="1" si="2264"/>
        <v>0</v>
      </c>
      <c r="DJ136" s="41">
        <f t="shared" ca="1" si="2265"/>
        <v>0</v>
      </c>
      <c r="DK136" s="41">
        <f t="shared" ca="1" si="2266"/>
        <v>0</v>
      </c>
      <c r="DL136" s="41">
        <f t="shared" ca="1" si="2267"/>
        <v>0</v>
      </c>
      <c r="DM136" s="41">
        <f t="shared" ca="1" si="2268"/>
        <v>0</v>
      </c>
      <c r="DN136" s="41">
        <f t="shared" ca="1" si="2269"/>
        <v>0.39677326865890916</v>
      </c>
      <c r="DP136" s="41">
        <f t="shared" ca="1" si="2270"/>
        <v>0.28702627094696509</v>
      </c>
      <c r="DQ136" s="41">
        <f t="shared" ca="1" si="2271"/>
        <v>0.28637982688721564</v>
      </c>
      <c r="DR136" s="41">
        <f t="shared" ca="1" si="2272"/>
        <v>4.8486130674694469E-2</v>
      </c>
      <c r="DS136" s="41">
        <f t="shared" ca="1" si="2273"/>
        <v>0.37800777149112486</v>
      </c>
      <c r="DT136" s="41">
        <f t="shared" ca="1" si="2274"/>
        <v>-5.0000000000000002E-5</v>
      </c>
      <c r="DU136" s="41">
        <f t="shared" ca="1" si="2275"/>
        <v>-6.0000000000000002E-5</v>
      </c>
      <c r="DV136" s="41">
        <f t="shared" ca="1" si="2276"/>
        <v>-6.9999999999999994E-5</v>
      </c>
      <c r="DW136" s="41">
        <f t="shared" ca="1" si="2277"/>
        <v>-8.0000000000000007E-5</v>
      </c>
      <c r="DX136" s="41">
        <f t="shared" ca="1" si="2278"/>
        <v>-9.0000000000000006E-5</v>
      </c>
      <c r="DY136" s="41">
        <f t="shared" ca="1" si="2279"/>
        <v>-1E-4</v>
      </c>
      <c r="DZ136" s="41">
        <f t="shared" ca="1" si="2280"/>
        <v>-1.1E-4</v>
      </c>
      <c r="EA136" s="41">
        <f t="shared" ca="1" si="2281"/>
        <v>-1.2E-4</v>
      </c>
      <c r="EB136" s="41">
        <f t="shared" ca="1" si="2282"/>
        <v>-1.2999999999999999E-4</v>
      </c>
      <c r="EC136" s="41">
        <f t="shared" ca="1" si="2283"/>
        <v>-1.3999999999999999E-4</v>
      </c>
      <c r="ED136" s="41">
        <f t="shared" ca="1" si="2284"/>
        <v>-1.4999999999999999E-4</v>
      </c>
      <c r="EE136" s="41">
        <f t="shared" ca="1" si="2285"/>
        <v>-1.6000000000000001E-4</v>
      </c>
      <c r="EF136" s="41">
        <f t="shared" ca="1" si="2286"/>
        <v>-1.7000000000000001E-4</v>
      </c>
      <c r="EG136" s="41">
        <f t="shared" ca="1" si="2287"/>
        <v>-1.8000000000000001E-4</v>
      </c>
      <c r="EH136" s="41">
        <f t="shared" ca="1" si="2288"/>
        <v>-1.9000000000000001E-4</v>
      </c>
      <c r="EI136" s="41">
        <f t="shared" ca="1" si="2289"/>
        <v>-2.0000000000000001E-4</v>
      </c>
      <c r="EJ136" s="41">
        <f t="shared" ca="1" si="2290"/>
        <v>0.99790000000000001</v>
      </c>
      <c r="EL136" s="378">
        <f t="shared" ca="1" si="2291"/>
        <v>2</v>
      </c>
      <c r="EM136" s="378">
        <f t="shared" ca="1" si="2292"/>
        <v>3</v>
      </c>
      <c r="EN136" s="378">
        <f t="shared" ca="1" si="2293"/>
        <v>4</v>
      </c>
      <c r="EO136" s="378">
        <f t="shared" ca="1" si="2294"/>
        <v>1</v>
      </c>
      <c r="EP136" s="378">
        <f t="shared" ca="1" si="2295"/>
        <v>5</v>
      </c>
      <c r="EQ136" s="378">
        <f t="shared" ca="1" si="2296"/>
        <v>6</v>
      </c>
      <c r="ER136" s="378">
        <f t="shared" ca="1" si="2297"/>
        <v>7</v>
      </c>
      <c r="ES136" s="378">
        <f t="shared" ca="1" si="2298"/>
        <v>8</v>
      </c>
      <c r="ET136" s="378">
        <f t="shared" ca="1" si="2299"/>
        <v>9</v>
      </c>
      <c r="EU136" s="378">
        <f t="shared" ca="1" si="2300"/>
        <v>10</v>
      </c>
      <c r="EV136" s="378">
        <f t="shared" ca="1" si="2301"/>
        <v>11</v>
      </c>
      <c r="EW136" s="378">
        <f t="shared" ca="1" si="2302"/>
        <v>12</v>
      </c>
      <c r="EX136" s="378">
        <f t="shared" ca="1" si="2303"/>
        <v>13</v>
      </c>
      <c r="EY136" s="378">
        <f t="shared" ca="1" si="2304"/>
        <v>14</v>
      </c>
      <c r="EZ136" s="378">
        <f t="shared" ca="1" si="2305"/>
        <v>15</v>
      </c>
      <c r="FA136" s="378">
        <f t="shared" ca="1" si="2306"/>
        <v>16</v>
      </c>
      <c r="FB136" s="378">
        <f t="shared" ca="1" si="2307"/>
        <v>17</v>
      </c>
      <c r="FC136" s="378">
        <f t="shared" ca="1" si="2308"/>
        <v>18</v>
      </c>
      <c r="FD136" s="378">
        <f t="shared" ca="1" si="2309"/>
        <v>19</v>
      </c>
      <c r="FE136" s="378">
        <f t="shared" ca="1" si="2310"/>
        <v>20</v>
      </c>
      <c r="FG136" s="378">
        <f t="shared" ca="1" si="2311"/>
        <v>4</v>
      </c>
      <c r="FH136" s="378">
        <f t="shared" ca="1" si="2311"/>
        <v>1</v>
      </c>
      <c r="FI136" s="378">
        <f t="shared" ca="1" si="2311"/>
        <v>2</v>
      </c>
      <c r="FJ136" s="378">
        <f t="shared" ca="1" si="2311"/>
        <v>3</v>
      </c>
      <c r="FK136" s="378">
        <f t="shared" ca="1" si="2311"/>
        <v>5</v>
      </c>
      <c r="FL136" s="378">
        <f t="shared" ca="1" si="2311"/>
        <v>6</v>
      </c>
      <c r="FM136" s="378">
        <f t="shared" ca="1" si="2311"/>
        <v>7</v>
      </c>
      <c r="FN136" s="378">
        <f t="shared" ca="1" si="2311"/>
        <v>8</v>
      </c>
      <c r="FO136" s="378">
        <f t="shared" ca="1" si="2311"/>
        <v>9</v>
      </c>
      <c r="FP136" s="378">
        <f t="shared" ca="1" si="2311"/>
        <v>10</v>
      </c>
      <c r="FQ136" s="378">
        <f t="shared" ca="1" si="2311"/>
        <v>11</v>
      </c>
      <c r="FR136" s="378">
        <f t="shared" ca="1" si="2311"/>
        <v>12</v>
      </c>
      <c r="FS136" s="378">
        <f t="shared" ca="1" si="2311"/>
        <v>13</v>
      </c>
      <c r="FT136" s="378">
        <f t="shared" ca="1" si="2311"/>
        <v>14</v>
      </c>
      <c r="FU136" s="378">
        <f t="shared" ca="1" si="2311"/>
        <v>15</v>
      </c>
      <c r="FV136" s="378">
        <f t="shared" ca="1" si="2311"/>
        <v>16</v>
      </c>
      <c r="FW136" s="378">
        <f t="shared" ca="1" si="2312"/>
        <v>17</v>
      </c>
      <c r="FX136" s="378">
        <f t="shared" ca="1" si="2312"/>
        <v>18</v>
      </c>
      <c r="FY136" s="378">
        <f t="shared" ca="1" si="2312"/>
        <v>19</v>
      </c>
      <c r="FZ136" s="378">
        <f t="shared" ca="1" si="2312"/>
        <v>20</v>
      </c>
      <c r="GB136" s="275" t="str">
        <f t="shared" ca="1" si="2313"/>
        <v>Enhance BI Platform (38%)</v>
      </c>
      <c r="GC136" s="231" t="str">
        <f t="shared" ca="1" si="2314"/>
        <v>; BI Applications (29%)</v>
      </c>
      <c r="GD136" s="231" t="str">
        <f t="shared" ca="1" si="2315"/>
        <v>; Source System Inclusion / Integration (29%)</v>
      </c>
      <c r="GE136" s="231" t="str">
        <f t="shared" ca="1" si="2316"/>
        <v/>
      </c>
      <c r="GF136" s="231" t="str">
        <f t="shared" ca="1" si="2317"/>
        <v/>
      </c>
      <c r="GG136" s="231" t="str">
        <f t="shared" ca="1" si="2318"/>
        <v/>
      </c>
      <c r="GH136" s="231" t="str">
        <f t="shared" ca="1" si="2319"/>
        <v/>
      </c>
      <c r="GI136" s="231" t="str">
        <f t="shared" ca="1" si="2320"/>
        <v/>
      </c>
      <c r="GJ136" s="231" t="str">
        <f t="shared" ca="1" si="2321"/>
        <v/>
      </c>
      <c r="GK136" s="231" t="str">
        <f t="shared" ca="1" si="2322"/>
        <v/>
      </c>
      <c r="GL136" s="231" t="str">
        <f t="shared" ca="1" si="2323"/>
        <v/>
      </c>
      <c r="GM136" s="231" t="str">
        <f t="shared" ca="1" si="2324"/>
        <v/>
      </c>
      <c r="GN136" s="231" t="str">
        <f t="shared" ca="1" si="2325"/>
        <v/>
      </c>
      <c r="GO136" s="231" t="str">
        <f t="shared" ca="1" si="2326"/>
        <v/>
      </c>
      <c r="GP136" s="231" t="str">
        <f t="shared" ca="1" si="2327"/>
        <v/>
      </c>
      <c r="GQ136" s="231" t="str">
        <f t="shared" ca="1" si="2328"/>
        <v/>
      </c>
      <c r="GR136" s="231" t="str">
        <f t="shared" ca="1" si="2329"/>
        <v/>
      </c>
      <c r="GS136" s="231" t="str">
        <f t="shared" ca="1" si="2330"/>
        <v/>
      </c>
      <c r="GT136" s="231" t="str">
        <f t="shared" ca="1" si="2331"/>
        <v/>
      </c>
      <c r="GU136" s="231" t="str">
        <f t="shared" ca="1" si="2332"/>
        <v/>
      </c>
      <c r="GW136" s="377">
        <f ca="1">IF(ISERROR(OFFSET(Initiatives!$D$1,E136-1,$CB$3)),,OFFSET(Initiatives!$D$1,E136-1,$CB$3))</f>
        <v>0.34166666666666662</v>
      </c>
      <c r="GX136" s="377">
        <f ca="1">IF(ISERROR(OFFSET(Initiatives!$D$1,F136-1,$CB$3)),,OFFSET(Initiatives!$D$1,F136-1,$CB$3))</f>
        <v>0.43181818181818177</v>
      </c>
      <c r="GY136" s="377">
        <f ca="1">IF(ISERROR(OFFSET(Initiatives!$D$1,G136-1,$CB$3)),,OFFSET(Initiatives!$D$1,G136-1,$CB$3))</f>
        <v>0.77</v>
      </c>
      <c r="GZ136" s="377">
        <f ca="1">IF(ISERROR(OFFSET(Initiatives!$D$1,H136-1,$CB$3)),,OFFSET(Initiatives!$D$1,H136-1,$CB$3))</f>
        <v>0.25</v>
      </c>
      <c r="HA136" s="377">
        <f ca="1">IF(ISERROR(OFFSET(Initiatives!$D$1,I136-1,$CB$3)),,OFFSET(Initiatives!$D$1,I136-1,$CB$3))</f>
        <v>0.65</v>
      </c>
      <c r="HB136" s="377">
        <f ca="1">IF(ISERROR(OFFSET(Initiatives!$D$1,J136-1,$CB$3)),,OFFSET(Initiatives!$D$1,J136-1,$CB$3))</f>
        <v>0.65</v>
      </c>
      <c r="HC136" s="377">
        <f ca="1">IF(ISERROR(OFFSET(Initiatives!$D$1,K136-1,$CB$3)),,OFFSET(Initiatives!$D$1,K136-1,$CB$3))</f>
        <v>0.65</v>
      </c>
      <c r="HD136" s="377">
        <f ca="1">IF(ISERROR(OFFSET(Initiatives!$D$1,L136-1,$CB$3)),,OFFSET(Initiatives!$D$1,L136-1,$CB$3))</f>
        <v>0</v>
      </c>
      <c r="HE136" s="377">
        <f ca="1">IF(ISERROR(OFFSET(Initiatives!$D$1,M136-1,$CB$3)),,OFFSET(Initiatives!$D$1,M136-1,$CB$3))</f>
        <v>0</v>
      </c>
      <c r="HF136" s="377">
        <f ca="1">IF(ISERROR(OFFSET(Initiatives!$D$1,N136-1,$CB$3)),,OFFSET(Initiatives!$D$1,N136-1,$CB$3))</f>
        <v>0</v>
      </c>
      <c r="HG136" s="377">
        <f ca="1">IF(ISERROR(OFFSET(Initiatives!$D$1,O136-1,$CB$3)),,OFFSET(Initiatives!$D$1,O136-1,$CB$3))</f>
        <v>0</v>
      </c>
      <c r="HH136" s="377">
        <f ca="1">IF(ISERROR(OFFSET(Initiatives!$D$1,P136-1,$CB$3)),,OFFSET(Initiatives!$D$1,P136-1,$CB$3))</f>
        <v>0</v>
      </c>
      <c r="HI136" s="377">
        <f ca="1">IF(ISERROR(OFFSET(Initiatives!$D$1,Q136-1,$CB$3)),,OFFSET(Initiatives!$D$1,Q136-1,$CB$3))</f>
        <v>0</v>
      </c>
      <c r="HJ136" s="377">
        <f ca="1">IF(ISERROR(OFFSET(Initiatives!$D$1,R136-1,$CB$3)),,OFFSET(Initiatives!$D$1,R136-1,$CB$3))</f>
        <v>0</v>
      </c>
      <c r="HK136" s="377">
        <f ca="1">IF(ISERROR(OFFSET(Initiatives!$D$1,S136-1,$CB$3)),,OFFSET(Initiatives!$D$1,S136-1,$CB$3))</f>
        <v>0</v>
      </c>
      <c r="HL136" s="377">
        <f ca="1">IF(ISERROR(OFFSET(Initiatives!$D$1,T136-1,$CB$3)),,OFFSET(Initiatives!$D$1,T136-1,$CB$3))</f>
        <v>0</v>
      </c>
      <c r="HM136" s="377">
        <f ca="1">IF(ISERROR(OFFSET(Initiatives!$D$1,U136-1,$CB$3)),,OFFSET(Initiatives!$D$1,U136-1,$CB$3))</f>
        <v>0</v>
      </c>
      <c r="HN136" s="377">
        <f ca="1">IF(ISERROR(OFFSET(Initiatives!$D$1,V136-1,$CB$3)),,OFFSET(Initiatives!$D$1,V136-1,$CB$3))</f>
        <v>0</v>
      </c>
      <c r="HO136" s="377">
        <f ca="1">IF(ISERROR(OFFSET(Initiatives!$D$1,W136-1,$CB$3)),,OFFSET(Initiatives!$D$1,W136-1,$CB$3))</f>
        <v>0</v>
      </c>
      <c r="HP136" s="377">
        <f ca="1">IF(ISERROR(OFFSET(Initiatives!$D$1,X136-1,$CB$3)),,OFFSET(Initiatives!$D$1,X136-1,$CB$3))</f>
        <v>0</v>
      </c>
      <c r="HR136" s="41">
        <f t="shared" ca="1" si="2333"/>
        <v>8.541623958546872E-2</v>
      </c>
      <c r="HS136" s="41">
        <f t="shared" ca="1" si="2334"/>
        <v>0.10795400568451702</v>
      </c>
      <c r="HT136" s="41">
        <f t="shared" ca="1" si="2335"/>
        <v>0.19249903750481248</v>
      </c>
      <c r="HU136" s="41">
        <f t="shared" ca="1" si="2336"/>
        <v>6.2499687501562491E-2</v>
      </c>
      <c r="HV136" s="41">
        <f t="shared" ca="1" si="2337"/>
        <v>0</v>
      </c>
      <c r="HW136" s="41">
        <f t="shared" ca="1" si="2338"/>
        <v>0</v>
      </c>
      <c r="HX136" s="41">
        <f t="shared" ca="1" si="2339"/>
        <v>0</v>
      </c>
      <c r="HY136" s="41">
        <f t="shared" ca="1" si="2340"/>
        <v>0</v>
      </c>
      <c r="HZ136" s="41">
        <f t="shared" ca="1" si="2341"/>
        <v>0</v>
      </c>
      <c r="IA136" s="41">
        <f t="shared" ca="1" si="2342"/>
        <v>0</v>
      </c>
      <c r="IB136" s="41">
        <f t="shared" ca="1" si="2343"/>
        <v>0</v>
      </c>
      <c r="IC136" s="41">
        <f t="shared" ca="1" si="2344"/>
        <v>0</v>
      </c>
      <c r="ID136" s="41">
        <f t="shared" ca="1" si="2345"/>
        <v>0</v>
      </c>
      <c r="IE136" s="41">
        <f t="shared" ca="1" si="2346"/>
        <v>0</v>
      </c>
      <c r="IF136" s="41">
        <f t="shared" ca="1" si="2347"/>
        <v>0</v>
      </c>
      <c r="IG136" s="41">
        <f t="shared" ca="1" si="2348"/>
        <v>0</v>
      </c>
      <c r="IH136" s="41">
        <f t="shared" ca="1" si="2349"/>
        <v>0</v>
      </c>
      <c r="II136" s="41">
        <f t="shared" ca="1" si="2350"/>
        <v>0</v>
      </c>
      <c r="IJ136" s="41">
        <f t="shared" ca="1" si="2351"/>
        <v>0</v>
      </c>
      <c r="IK136" s="41">
        <f t="shared" ca="1" si="2352"/>
        <v>0</v>
      </c>
      <c r="IL136" s="41">
        <f t="shared" ca="1" si="2353"/>
        <v>0.44836897027636075</v>
      </c>
    </row>
    <row r="137" spans="1:246" s="409" customFormat="1" ht="15" hidden="1" customHeight="1">
      <c r="B137" s="373"/>
      <c r="C137" s="81" t="str">
        <f>Maturity!B23</f>
        <v>Which best describes the current MAINTENANCE BUDGET for your group's BI/DW system?</v>
      </c>
      <c r="D137" s="404">
        <f t="shared" ca="1" si="2243"/>
        <v>0.39677326865890916</v>
      </c>
      <c r="E137" s="374">
        <f>ROW(Initiatives!$A$170)</f>
        <v>170</v>
      </c>
      <c r="F137" s="374">
        <f>ROW(Initiatives!$A$176)</f>
        <v>176</v>
      </c>
      <c r="G137" s="374">
        <f>ROW(Initiatives!$A$183)</f>
        <v>183</v>
      </c>
      <c r="H137" s="374">
        <f>ROW(Initiatives!$A$189)</f>
        <v>189</v>
      </c>
      <c r="I137" s="374">
        <f>ROW(Initiatives!$A$100)</f>
        <v>100</v>
      </c>
      <c r="J137" s="374">
        <f>ROW(Initiatives!$A$101)</f>
        <v>101</v>
      </c>
      <c r="K137" s="374">
        <f>ROW(Initiatives!$A$178)</f>
        <v>178</v>
      </c>
      <c r="L137" s="374"/>
      <c r="M137" s="374"/>
      <c r="N137" s="374"/>
      <c r="O137" s="374" t="s">
        <v>975</v>
      </c>
      <c r="P137" s="374" t="s">
        <v>975</v>
      </c>
      <c r="Q137" s="374" t="s">
        <v>975</v>
      </c>
      <c r="R137" s="374" t="s">
        <v>975</v>
      </c>
      <c r="S137" s="374" t="s">
        <v>975</v>
      </c>
      <c r="T137" s="374" t="s">
        <v>975</v>
      </c>
      <c r="U137" s="374" t="s">
        <v>975</v>
      </c>
      <c r="V137" s="374" t="s">
        <v>975</v>
      </c>
      <c r="W137" s="374" t="s">
        <v>975</v>
      </c>
      <c r="X137" s="374" t="s">
        <v>975</v>
      </c>
      <c r="Y137" s="392" t="str">
        <f ca="1">OFFSET(Initiatives!$D$1,E137-1,$BS$3)</f>
        <v>BI Applications</v>
      </c>
      <c r="Z137" s="375">
        <v>5</v>
      </c>
      <c r="AA137" s="392" t="str">
        <f ca="1">OFFSET(Initiatives!$D$1,F137-1,$BS$3)</f>
        <v>Source System Inclusion / Integration</v>
      </c>
      <c r="AB137" s="375">
        <v>5</v>
      </c>
      <c r="AC137" s="392" t="str">
        <f ca="1">OFFSET(Initiatives!$D$1,G137-1,$BS$3)</f>
        <v>Enhance DW Platform</v>
      </c>
      <c r="AD137" s="375">
        <v>5</v>
      </c>
      <c r="AE137" s="392" t="str">
        <f ca="1">OFFSET(Initiatives!$D$1,H137-1,$BS$3)</f>
        <v>Enhance BI Platform</v>
      </c>
      <c r="AF137" s="375">
        <v>5</v>
      </c>
      <c r="AG137" s="392" t="str">
        <f ca="1">OFFSET(Initiatives!$D$1,I137-1,$BS$3)</f>
        <v>Governance</v>
      </c>
      <c r="AH137" s="375"/>
      <c r="AI137" s="392" t="str">
        <f ca="1">OFFSET(Initiatives!$D$1,J137-1,$BS$3)</f>
        <v>Architecture</v>
      </c>
      <c r="AJ137" s="375"/>
      <c r="AK137" s="392" t="str">
        <f ca="1">OFFSET(Initiatives!$D$1,K137-1,$BS$3)</f>
        <v>Architecture Standards &amp; Adherence</v>
      </c>
      <c r="AL137" s="375"/>
      <c r="AM137" s="392" t="e">
        <f ca="1">OFFSET(Initiatives!$D$1,L137-1,$BS$3)</f>
        <v>#REF!</v>
      </c>
      <c r="AN137" s="375"/>
      <c r="AO137" s="392" t="e">
        <f ca="1">OFFSET(Initiatives!$D$1,M137-1,$BS$3)</f>
        <v>#REF!</v>
      </c>
      <c r="AP137" s="375"/>
      <c r="AQ137" s="392" t="e">
        <f ca="1">OFFSET(Initiatives!$D$1,N137-1,$BS$3)</f>
        <v>#REF!</v>
      </c>
      <c r="AR137" s="375"/>
      <c r="AS137" s="392" t="e">
        <f ca="1">OFFSET(Initiatives!$D$1,O137-1,$BS$3)</f>
        <v>#VALUE!</v>
      </c>
      <c r="AT137" s="375"/>
      <c r="AU137" s="392" t="e">
        <f ca="1">OFFSET(Initiatives!$D$1,P137-1,$BS$3)</f>
        <v>#VALUE!</v>
      </c>
      <c r="AV137" s="375"/>
      <c r="AW137" s="392" t="e">
        <f ca="1">OFFSET(Initiatives!$D$1,Q137-1,$BS$3)</f>
        <v>#VALUE!</v>
      </c>
      <c r="AX137" s="375"/>
      <c r="AY137" s="392" t="e">
        <f ca="1">OFFSET(Initiatives!$D$1,R137-1,$BS$3)</f>
        <v>#VALUE!</v>
      </c>
      <c r="AZ137" s="375"/>
      <c r="BA137" s="392" t="e">
        <f ca="1">OFFSET(Initiatives!$D$1,S137-1,$BS$3)</f>
        <v>#VALUE!</v>
      </c>
      <c r="BB137" s="375"/>
      <c r="BC137" s="392" t="e">
        <f ca="1">OFFSET(Initiatives!$D$1,T137-1,$BS$3)</f>
        <v>#VALUE!</v>
      </c>
      <c r="BD137" s="375"/>
      <c r="BE137" s="392" t="e">
        <f ca="1">OFFSET(Initiatives!$D$1,U137-1,$BS$3)</f>
        <v>#VALUE!</v>
      </c>
      <c r="BF137" s="375"/>
      <c r="BG137" s="392" t="e">
        <f ca="1">OFFSET(Initiatives!$D$1,V137-1,$BS$3)</f>
        <v>#VALUE!</v>
      </c>
      <c r="BH137" s="375"/>
      <c r="BI137" s="392" t="e">
        <f ca="1">OFFSET(Initiatives!$D$1,W137-1,$BS$3)</f>
        <v>#VALUE!</v>
      </c>
      <c r="BJ137" s="375"/>
      <c r="BK137" s="392" t="e">
        <f ca="1">OFFSET(Initiatives!$D$1,X137-1,$BS$3)</f>
        <v>#VALUE!</v>
      </c>
      <c r="BL137" s="375"/>
      <c r="BN137" s="101">
        <f t="shared" si="2244"/>
        <v>20.0001</v>
      </c>
      <c r="BP137" s="231" t="str">
        <f t="shared" ca="1" si="2245"/>
        <v>Enhance BI Platform (38%); BI Applications (29%); Source System Inclusion / Integration (29%)</v>
      </c>
      <c r="BQ137" s="338">
        <v>0.01</v>
      </c>
      <c r="BR137" s="40">
        <f t="shared" ca="1" si="2246"/>
        <v>4</v>
      </c>
      <c r="BS137" s="274">
        <v>0.05</v>
      </c>
      <c r="BT137" s="40">
        <f t="shared" ca="1" si="2247"/>
        <v>3</v>
      </c>
      <c r="BU137" s="376">
        <v>7</v>
      </c>
      <c r="BV137" s="40">
        <f t="shared" ca="1" si="2248"/>
        <v>3</v>
      </c>
      <c r="BY137" s="377">
        <f ca="1">IF(ISERROR(OFFSET(Initiatives!$D$1,E137-1,$BY$3)),,OFFSET(Initiatives!$D$1,E137-1,$BY$3))</f>
        <v>0.45555555555555544</v>
      </c>
      <c r="BZ137" s="377">
        <f ca="1">IF(ISERROR(OFFSET(Initiatives!$D$1,F137-1,$BY$3)),,OFFSET(Initiatives!$D$1,F137-1,$BY$3))</f>
        <v>0.45454545454545436</v>
      </c>
      <c r="CA137" s="377">
        <f ca="1">IF(ISERROR(OFFSET(Initiatives!$D$1,G137-1,$BY$3)),,OFFSET(Initiatives!$D$1,G137-1,$BY$3))</f>
        <v>7.7000000000000179E-2</v>
      </c>
      <c r="CB137" s="377">
        <f ca="1">IF(ISERROR(OFFSET(Initiatives!$D$1,H137-1,$BY$3)),,OFFSET(Initiatives!$D$1,H137-1,$BY$3))</f>
        <v>0.6</v>
      </c>
      <c r="CC137" s="377">
        <f ca="1">IF(ISERROR(OFFSET(Initiatives!$D$1,I137-1,$BY$3)),,OFFSET(Initiatives!$D$1,I137-1,$BY$3))</f>
        <v>0.14000000000000001</v>
      </c>
      <c r="CD137" s="377">
        <f ca="1">IF(ISERROR(OFFSET(Initiatives!$D$1,J137-1,$BY$3)),,OFFSET(Initiatives!$D$1,J137-1,$BY$3))</f>
        <v>0.14000000000000001</v>
      </c>
      <c r="CE137" s="377">
        <f ca="1">IF(ISERROR(OFFSET(Initiatives!$D$1,K137-1,$BY$3)),,OFFSET(Initiatives!$D$1,K137-1,$BY$3))</f>
        <v>0.14000000000000012</v>
      </c>
      <c r="CF137" s="377">
        <f ca="1">IF(ISERROR(OFFSET(Initiatives!$D$1,L137-1,$BY$3)),,OFFSET(Initiatives!$D$1,L137-1,$BY$3))</f>
        <v>0</v>
      </c>
      <c r="CG137" s="377">
        <f ca="1">IF(ISERROR(OFFSET(Initiatives!$D$1,M137-1,$BY$3)),,OFFSET(Initiatives!$D$1,M137-1,$BY$3))</f>
        <v>0</v>
      </c>
      <c r="CH137" s="377">
        <f ca="1">IF(ISERROR(OFFSET(Initiatives!$D$1,N137-1,$BY$3)),,OFFSET(Initiatives!$D$1,N137-1,$BY$3))</f>
        <v>0</v>
      </c>
      <c r="CI137" s="377">
        <f ca="1">IF(ISERROR(OFFSET(Initiatives!$D$1,O137-1,$BY$3)),,OFFSET(Initiatives!$D$1,O137-1,$BY$3))</f>
        <v>0</v>
      </c>
      <c r="CJ137" s="377">
        <f ca="1">IF(ISERROR(OFFSET(Initiatives!$D$1,P137-1,$BY$3)),,OFFSET(Initiatives!$D$1,P137-1,$BY$3))</f>
        <v>0</v>
      </c>
      <c r="CK137" s="377">
        <f ca="1">IF(ISERROR(OFFSET(Initiatives!$D$1,Q137-1,$BY$3)),,OFFSET(Initiatives!$D$1,Q137-1,$BY$3))</f>
        <v>0</v>
      </c>
      <c r="CL137" s="377">
        <f ca="1">IF(ISERROR(OFFSET(Initiatives!$D$1,R137-1,$BY$3)),,OFFSET(Initiatives!$D$1,R137-1,$BY$3))</f>
        <v>0</v>
      </c>
      <c r="CM137" s="377">
        <f ca="1">IF(ISERROR(OFFSET(Initiatives!$D$1,S137-1,$BY$3)),,OFFSET(Initiatives!$D$1,S137-1,$BY$3))</f>
        <v>0</v>
      </c>
      <c r="CN137" s="377">
        <f ca="1">IF(ISERROR(OFFSET(Initiatives!$D$1,T137-1,$BY$3)),,OFFSET(Initiatives!$D$1,T137-1,$BY$3))</f>
        <v>0</v>
      </c>
      <c r="CO137" s="377">
        <f ca="1">IF(ISERROR(OFFSET(Initiatives!$D$1,U137-1,$BY$3)),,OFFSET(Initiatives!$D$1,U137-1,$BY$3))</f>
        <v>0</v>
      </c>
      <c r="CP137" s="377">
        <f ca="1">IF(ISERROR(OFFSET(Initiatives!$D$1,V137-1,$BY$3)),,OFFSET(Initiatives!$D$1,V137-1,$BY$3))</f>
        <v>0</v>
      </c>
      <c r="CQ137" s="377">
        <f ca="1">IF(ISERROR(OFFSET(Initiatives!$D$1,W137-1,$BY$3)),,OFFSET(Initiatives!$D$1,W137-1,$BY$3))</f>
        <v>0</v>
      </c>
      <c r="CR137" s="377">
        <f ca="1">IF(ISERROR(OFFSET(Initiatives!$D$1,X137-1,$BY$3)),,OFFSET(Initiatives!$D$1,X137-1,$BY$3))</f>
        <v>0</v>
      </c>
      <c r="CT137" s="41">
        <f t="shared" ca="1" si="2249"/>
        <v>0.11388831944729162</v>
      </c>
      <c r="CU137" s="41">
        <f t="shared" ca="1" si="2250"/>
        <v>0.11363579545738629</v>
      </c>
      <c r="CV137" s="41">
        <f t="shared" ca="1" si="2251"/>
        <v>1.9249903750481294E-2</v>
      </c>
      <c r="CW137" s="41">
        <f t="shared" ca="1" si="2252"/>
        <v>0.14999925000374997</v>
      </c>
      <c r="CX137" s="41">
        <f t="shared" ca="1" si="2253"/>
        <v>0</v>
      </c>
      <c r="CY137" s="41">
        <f t="shared" ca="1" si="2254"/>
        <v>0</v>
      </c>
      <c r="CZ137" s="41">
        <f t="shared" ca="1" si="2255"/>
        <v>0</v>
      </c>
      <c r="DA137" s="41">
        <f t="shared" ca="1" si="2256"/>
        <v>0</v>
      </c>
      <c r="DB137" s="41">
        <f t="shared" ca="1" si="2257"/>
        <v>0</v>
      </c>
      <c r="DC137" s="41">
        <f t="shared" ca="1" si="2258"/>
        <v>0</v>
      </c>
      <c r="DD137" s="41">
        <f t="shared" ca="1" si="2259"/>
        <v>0</v>
      </c>
      <c r="DE137" s="41">
        <f t="shared" ca="1" si="2260"/>
        <v>0</v>
      </c>
      <c r="DF137" s="41">
        <f t="shared" ca="1" si="2261"/>
        <v>0</v>
      </c>
      <c r="DG137" s="41">
        <f t="shared" ca="1" si="2262"/>
        <v>0</v>
      </c>
      <c r="DH137" s="41">
        <f t="shared" ca="1" si="2263"/>
        <v>0</v>
      </c>
      <c r="DI137" s="41">
        <f t="shared" ca="1" si="2264"/>
        <v>0</v>
      </c>
      <c r="DJ137" s="41">
        <f t="shared" ca="1" si="2265"/>
        <v>0</v>
      </c>
      <c r="DK137" s="41">
        <f t="shared" ca="1" si="2266"/>
        <v>0</v>
      </c>
      <c r="DL137" s="41">
        <f t="shared" ca="1" si="2267"/>
        <v>0</v>
      </c>
      <c r="DM137" s="41">
        <f t="shared" ca="1" si="2268"/>
        <v>0</v>
      </c>
      <c r="DN137" s="41">
        <f t="shared" ca="1" si="2269"/>
        <v>0.39677326865890916</v>
      </c>
      <c r="DP137" s="41">
        <f t="shared" ca="1" si="2270"/>
        <v>0.28702627094696509</v>
      </c>
      <c r="DQ137" s="41">
        <f t="shared" ca="1" si="2271"/>
        <v>0.28637982688721564</v>
      </c>
      <c r="DR137" s="41">
        <f t="shared" ca="1" si="2272"/>
        <v>4.8486130674694469E-2</v>
      </c>
      <c r="DS137" s="41">
        <f t="shared" ca="1" si="2273"/>
        <v>0.37800777149112486</v>
      </c>
      <c r="DT137" s="41">
        <f t="shared" ca="1" si="2274"/>
        <v>-5.0000000000000002E-5</v>
      </c>
      <c r="DU137" s="41">
        <f t="shared" ca="1" si="2275"/>
        <v>-6.0000000000000002E-5</v>
      </c>
      <c r="DV137" s="41">
        <f t="shared" ca="1" si="2276"/>
        <v>-6.9999999999999994E-5</v>
      </c>
      <c r="DW137" s="41">
        <f t="shared" ca="1" si="2277"/>
        <v>-8.0000000000000007E-5</v>
      </c>
      <c r="DX137" s="41">
        <f t="shared" ca="1" si="2278"/>
        <v>-9.0000000000000006E-5</v>
      </c>
      <c r="DY137" s="41">
        <f t="shared" ca="1" si="2279"/>
        <v>-1E-4</v>
      </c>
      <c r="DZ137" s="41">
        <f t="shared" ca="1" si="2280"/>
        <v>-1.1E-4</v>
      </c>
      <c r="EA137" s="41">
        <f t="shared" ca="1" si="2281"/>
        <v>-1.2E-4</v>
      </c>
      <c r="EB137" s="41">
        <f t="shared" ca="1" si="2282"/>
        <v>-1.2999999999999999E-4</v>
      </c>
      <c r="EC137" s="41">
        <f t="shared" ca="1" si="2283"/>
        <v>-1.3999999999999999E-4</v>
      </c>
      <c r="ED137" s="41">
        <f t="shared" ca="1" si="2284"/>
        <v>-1.4999999999999999E-4</v>
      </c>
      <c r="EE137" s="41">
        <f t="shared" ca="1" si="2285"/>
        <v>-1.6000000000000001E-4</v>
      </c>
      <c r="EF137" s="41">
        <f t="shared" ca="1" si="2286"/>
        <v>-1.7000000000000001E-4</v>
      </c>
      <c r="EG137" s="41">
        <f t="shared" ca="1" si="2287"/>
        <v>-1.8000000000000001E-4</v>
      </c>
      <c r="EH137" s="41">
        <f t="shared" ca="1" si="2288"/>
        <v>-1.9000000000000001E-4</v>
      </c>
      <c r="EI137" s="41">
        <f t="shared" ca="1" si="2289"/>
        <v>-2.0000000000000001E-4</v>
      </c>
      <c r="EJ137" s="41">
        <f t="shared" ca="1" si="2290"/>
        <v>0.99790000000000001</v>
      </c>
      <c r="EL137" s="378">
        <f t="shared" ca="1" si="2291"/>
        <v>2</v>
      </c>
      <c r="EM137" s="378">
        <f t="shared" ca="1" si="2292"/>
        <v>3</v>
      </c>
      <c r="EN137" s="378">
        <f t="shared" ca="1" si="2293"/>
        <v>4</v>
      </c>
      <c r="EO137" s="378">
        <f t="shared" ca="1" si="2294"/>
        <v>1</v>
      </c>
      <c r="EP137" s="378">
        <f t="shared" ca="1" si="2295"/>
        <v>5</v>
      </c>
      <c r="EQ137" s="378">
        <f t="shared" ca="1" si="2296"/>
        <v>6</v>
      </c>
      <c r="ER137" s="378">
        <f t="shared" ca="1" si="2297"/>
        <v>7</v>
      </c>
      <c r="ES137" s="378">
        <f t="shared" ca="1" si="2298"/>
        <v>8</v>
      </c>
      <c r="ET137" s="378">
        <f t="shared" ca="1" si="2299"/>
        <v>9</v>
      </c>
      <c r="EU137" s="378">
        <f t="shared" ca="1" si="2300"/>
        <v>10</v>
      </c>
      <c r="EV137" s="378">
        <f t="shared" ca="1" si="2301"/>
        <v>11</v>
      </c>
      <c r="EW137" s="378">
        <f t="shared" ca="1" si="2302"/>
        <v>12</v>
      </c>
      <c r="EX137" s="378">
        <f t="shared" ca="1" si="2303"/>
        <v>13</v>
      </c>
      <c r="EY137" s="378">
        <f t="shared" ca="1" si="2304"/>
        <v>14</v>
      </c>
      <c r="EZ137" s="378">
        <f t="shared" ca="1" si="2305"/>
        <v>15</v>
      </c>
      <c r="FA137" s="378">
        <f t="shared" ca="1" si="2306"/>
        <v>16</v>
      </c>
      <c r="FB137" s="378">
        <f t="shared" ca="1" si="2307"/>
        <v>17</v>
      </c>
      <c r="FC137" s="378">
        <f t="shared" ca="1" si="2308"/>
        <v>18</v>
      </c>
      <c r="FD137" s="378">
        <f t="shared" ca="1" si="2309"/>
        <v>19</v>
      </c>
      <c r="FE137" s="378">
        <f t="shared" ca="1" si="2310"/>
        <v>20</v>
      </c>
      <c r="FG137" s="378">
        <f t="shared" ca="1" si="2311"/>
        <v>4</v>
      </c>
      <c r="FH137" s="378">
        <f t="shared" ca="1" si="2311"/>
        <v>1</v>
      </c>
      <c r="FI137" s="378">
        <f t="shared" ca="1" si="2311"/>
        <v>2</v>
      </c>
      <c r="FJ137" s="378">
        <f t="shared" ca="1" si="2311"/>
        <v>3</v>
      </c>
      <c r="FK137" s="378">
        <f t="shared" ca="1" si="2311"/>
        <v>5</v>
      </c>
      <c r="FL137" s="378">
        <f t="shared" ca="1" si="2311"/>
        <v>6</v>
      </c>
      <c r="FM137" s="378">
        <f t="shared" ca="1" si="2311"/>
        <v>7</v>
      </c>
      <c r="FN137" s="378">
        <f t="shared" ca="1" si="2311"/>
        <v>8</v>
      </c>
      <c r="FO137" s="378">
        <f t="shared" ca="1" si="2311"/>
        <v>9</v>
      </c>
      <c r="FP137" s="378">
        <f t="shared" ca="1" si="2311"/>
        <v>10</v>
      </c>
      <c r="FQ137" s="378">
        <f t="shared" ca="1" si="2311"/>
        <v>11</v>
      </c>
      <c r="FR137" s="378">
        <f t="shared" ca="1" si="2311"/>
        <v>12</v>
      </c>
      <c r="FS137" s="378">
        <f t="shared" ca="1" si="2311"/>
        <v>13</v>
      </c>
      <c r="FT137" s="378">
        <f t="shared" ca="1" si="2311"/>
        <v>14</v>
      </c>
      <c r="FU137" s="378">
        <f t="shared" ca="1" si="2311"/>
        <v>15</v>
      </c>
      <c r="FV137" s="378">
        <f t="shared" ca="1" si="2311"/>
        <v>16</v>
      </c>
      <c r="FW137" s="378">
        <f t="shared" ca="1" si="2312"/>
        <v>17</v>
      </c>
      <c r="FX137" s="378">
        <f t="shared" ca="1" si="2312"/>
        <v>18</v>
      </c>
      <c r="FY137" s="378">
        <f t="shared" ca="1" si="2312"/>
        <v>19</v>
      </c>
      <c r="FZ137" s="378">
        <f t="shared" ca="1" si="2312"/>
        <v>20</v>
      </c>
      <c r="GB137" s="275" t="str">
        <f t="shared" ca="1" si="2313"/>
        <v>Enhance BI Platform (38%)</v>
      </c>
      <c r="GC137" s="231" t="str">
        <f t="shared" ca="1" si="2314"/>
        <v>; BI Applications (29%)</v>
      </c>
      <c r="GD137" s="231" t="str">
        <f t="shared" ca="1" si="2315"/>
        <v>; Source System Inclusion / Integration (29%)</v>
      </c>
      <c r="GE137" s="231" t="str">
        <f t="shared" ca="1" si="2316"/>
        <v/>
      </c>
      <c r="GF137" s="231" t="str">
        <f t="shared" ca="1" si="2317"/>
        <v/>
      </c>
      <c r="GG137" s="231" t="str">
        <f t="shared" ca="1" si="2318"/>
        <v/>
      </c>
      <c r="GH137" s="231" t="str">
        <f t="shared" ca="1" si="2319"/>
        <v/>
      </c>
      <c r="GI137" s="231" t="str">
        <f t="shared" ca="1" si="2320"/>
        <v/>
      </c>
      <c r="GJ137" s="231" t="str">
        <f t="shared" ca="1" si="2321"/>
        <v/>
      </c>
      <c r="GK137" s="231" t="str">
        <f t="shared" ca="1" si="2322"/>
        <v/>
      </c>
      <c r="GL137" s="231" t="str">
        <f t="shared" ca="1" si="2323"/>
        <v/>
      </c>
      <c r="GM137" s="231" t="str">
        <f t="shared" ca="1" si="2324"/>
        <v/>
      </c>
      <c r="GN137" s="231" t="str">
        <f t="shared" ca="1" si="2325"/>
        <v/>
      </c>
      <c r="GO137" s="231" t="str">
        <f t="shared" ca="1" si="2326"/>
        <v/>
      </c>
      <c r="GP137" s="231" t="str">
        <f t="shared" ca="1" si="2327"/>
        <v/>
      </c>
      <c r="GQ137" s="231" t="str">
        <f t="shared" ca="1" si="2328"/>
        <v/>
      </c>
      <c r="GR137" s="231" t="str">
        <f t="shared" ca="1" si="2329"/>
        <v/>
      </c>
      <c r="GS137" s="231" t="str">
        <f t="shared" ca="1" si="2330"/>
        <v/>
      </c>
      <c r="GT137" s="231" t="str">
        <f t="shared" ca="1" si="2331"/>
        <v/>
      </c>
      <c r="GU137" s="231" t="str">
        <f t="shared" ca="1" si="2332"/>
        <v/>
      </c>
      <c r="GW137" s="377">
        <f ca="1">IF(ISERROR(OFFSET(Initiatives!$D$1,E137-1,$CB$3)),,OFFSET(Initiatives!$D$1,E137-1,$CB$3))</f>
        <v>0.34166666666666662</v>
      </c>
      <c r="GX137" s="377">
        <f ca="1">IF(ISERROR(OFFSET(Initiatives!$D$1,F137-1,$CB$3)),,OFFSET(Initiatives!$D$1,F137-1,$CB$3))</f>
        <v>0.43181818181818177</v>
      </c>
      <c r="GY137" s="377">
        <f ca="1">IF(ISERROR(OFFSET(Initiatives!$D$1,G137-1,$CB$3)),,OFFSET(Initiatives!$D$1,G137-1,$CB$3))</f>
        <v>0.77</v>
      </c>
      <c r="GZ137" s="377">
        <f ca="1">IF(ISERROR(OFFSET(Initiatives!$D$1,H137-1,$CB$3)),,OFFSET(Initiatives!$D$1,H137-1,$CB$3))</f>
        <v>0.25</v>
      </c>
      <c r="HA137" s="377">
        <f ca="1">IF(ISERROR(OFFSET(Initiatives!$D$1,I137-1,$CB$3)),,OFFSET(Initiatives!$D$1,I137-1,$CB$3))</f>
        <v>0.65</v>
      </c>
      <c r="HB137" s="377">
        <f ca="1">IF(ISERROR(OFFSET(Initiatives!$D$1,J137-1,$CB$3)),,OFFSET(Initiatives!$D$1,J137-1,$CB$3))</f>
        <v>0.65</v>
      </c>
      <c r="HC137" s="377">
        <f ca="1">IF(ISERROR(OFFSET(Initiatives!$D$1,K137-1,$CB$3)),,OFFSET(Initiatives!$D$1,K137-1,$CB$3))</f>
        <v>0.65</v>
      </c>
      <c r="HD137" s="377">
        <f ca="1">IF(ISERROR(OFFSET(Initiatives!$D$1,L137-1,$CB$3)),,OFFSET(Initiatives!$D$1,L137-1,$CB$3))</f>
        <v>0</v>
      </c>
      <c r="HE137" s="377">
        <f ca="1">IF(ISERROR(OFFSET(Initiatives!$D$1,M137-1,$CB$3)),,OFFSET(Initiatives!$D$1,M137-1,$CB$3))</f>
        <v>0</v>
      </c>
      <c r="HF137" s="377">
        <f ca="1">IF(ISERROR(OFFSET(Initiatives!$D$1,N137-1,$CB$3)),,OFFSET(Initiatives!$D$1,N137-1,$CB$3))</f>
        <v>0</v>
      </c>
      <c r="HG137" s="377">
        <f ca="1">IF(ISERROR(OFFSET(Initiatives!$D$1,O137-1,$CB$3)),,OFFSET(Initiatives!$D$1,O137-1,$CB$3))</f>
        <v>0</v>
      </c>
      <c r="HH137" s="377">
        <f ca="1">IF(ISERROR(OFFSET(Initiatives!$D$1,P137-1,$CB$3)),,OFFSET(Initiatives!$D$1,P137-1,$CB$3))</f>
        <v>0</v>
      </c>
      <c r="HI137" s="377">
        <f ca="1">IF(ISERROR(OFFSET(Initiatives!$D$1,Q137-1,$CB$3)),,OFFSET(Initiatives!$D$1,Q137-1,$CB$3))</f>
        <v>0</v>
      </c>
      <c r="HJ137" s="377">
        <f ca="1">IF(ISERROR(OFFSET(Initiatives!$D$1,R137-1,$CB$3)),,OFFSET(Initiatives!$D$1,R137-1,$CB$3))</f>
        <v>0</v>
      </c>
      <c r="HK137" s="377">
        <f ca="1">IF(ISERROR(OFFSET(Initiatives!$D$1,S137-1,$CB$3)),,OFFSET(Initiatives!$D$1,S137-1,$CB$3))</f>
        <v>0</v>
      </c>
      <c r="HL137" s="377">
        <f ca="1">IF(ISERROR(OFFSET(Initiatives!$D$1,T137-1,$CB$3)),,OFFSET(Initiatives!$D$1,T137-1,$CB$3))</f>
        <v>0</v>
      </c>
      <c r="HM137" s="377">
        <f ca="1">IF(ISERROR(OFFSET(Initiatives!$D$1,U137-1,$CB$3)),,OFFSET(Initiatives!$D$1,U137-1,$CB$3))</f>
        <v>0</v>
      </c>
      <c r="HN137" s="377">
        <f ca="1">IF(ISERROR(OFFSET(Initiatives!$D$1,V137-1,$CB$3)),,OFFSET(Initiatives!$D$1,V137-1,$CB$3))</f>
        <v>0</v>
      </c>
      <c r="HO137" s="377">
        <f ca="1">IF(ISERROR(OFFSET(Initiatives!$D$1,W137-1,$CB$3)),,OFFSET(Initiatives!$D$1,W137-1,$CB$3))</f>
        <v>0</v>
      </c>
      <c r="HP137" s="377">
        <f ca="1">IF(ISERROR(OFFSET(Initiatives!$D$1,X137-1,$CB$3)),,OFFSET(Initiatives!$D$1,X137-1,$CB$3))</f>
        <v>0</v>
      </c>
      <c r="HR137" s="41">
        <f t="shared" ca="1" si="2333"/>
        <v>8.541623958546872E-2</v>
      </c>
      <c r="HS137" s="41">
        <f t="shared" ca="1" si="2334"/>
        <v>0.10795400568451702</v>
      </c>
      <c r="HT137" s="41">
        <f t="shared" ca="1" si="2335"/>
        <v>0.19249903750481248</v>
      </c>
      <c r="HU137" s="41">
        <f t="shared" ca="1" si="2336"/>
        <v>6.2499687501562491E-2</v>
      </c>
      <c r="HV137" s="41">
        <f t="shared" ca="1" si="2337"/>
        <v>0</v>
      </c>
      <c r="HW137" s="41">
        <f t="shared" ca="1" si="2338"/>
        <v>0</v>
      </c>
      <c r="HX137" s="41">
        <f t="shared" ca="1" si="2339"/>
        <v>0</v>
      </c>
      <c r="HY137" s="41">
        <f t="shared" ca="1" si="2340"/>
        <v>0</v>
      </c>
      <c r="HZ137" s="41">
        <f t="shared" ca="1" si="2341"/>
        <v>0</v>
      </c>
      <c r="IA137" s="41">
        <f t="shared" ca="1" si="2342"/>
        <v>0</v>
      </c>
      <c r="IB137" s="41">
        <f t="shared" ca="1" si="2343"/>
        <v>0</v>
      </c>
      <c r="IC137" s="41">
        <f t="shared" ca="1" si="2344"/>
        <v>0</v>
      </c>
      <c r="ID137" s="41">
        <f t="shared" ca="1" si="2345"/>
        <v>0</v>
      </c>
      <c r="IE137" s="41">
        <f t="shared" ca="1" si="2346"/>
        <v>0</v>
      </c>
      <c r="IF137" s="41">
        <f t="shared" ca="1" si="2347"/>
        <v>0</v>
      </c>
      <c r="IG137" s="41">
        <f t="shared" ca="1" si="2348"/>
        <v>0</v>
      </c>
      <c r="IH137" s="41">
        <f t="shared" ca="1" si="2349"/>
        <v>0</v>
      </c>
      <c r="II137" s="41">
        <f t="shared" ca="1" si="2350"/>
        <v>0</v>
      </c>
      <c r="IJ137" s="41">
        <f t="shared" ca="1" si="2351"/>
        <v>0</v>
      </c>
      <c r="IK137" s="41">
        <f t="shared" ca="1" si="2352"/>
        <v>0</v>
      </c>
      <c r="IL137" s="41">
        <f t="shared" ca="1" si="2353"/>
        <v>0.44836897027636075</v>
      </c>
    </row>
    <row r="138" spans="1:246" hidden="1">
      <c r="A138" s="409"/>
      <c r="B138" s="409"/>
      <c r="C138" s="409"/>
      <c r="D138" s="409"/>
    </row>
    <row r="139" spans="1:246" s="409" customFormat="1" ht="15" hidden="1">
      <c r="B139" s="6" t="str">
        <f>Maturity!A25</f>
        <v>Value</v>
      </c>
      <c r="BP139" s="29"/>
    </row>
    <row r="140" spans="1:246" s="409" customFormat="1" ht="13.5" hidden="1" customHeight="1">
      <c r="B140" s="373"/>
      <c r="C140" s="81" t="str">
        <f>Maturity!B26</f>
        <v>Estimate the BUSINESS VALUE of your group's BI/DW environment.</v>
      </c>
      <c r="D140" s="404">
        <f t="shared" ref="D140:D144" ca="1" si="2354">DN140</f>
        <v>0.39677326865890916</v>
      </c>
      <c r="E140" s="374">
        <f>ROW(Initiatives!$A$170)</f>
        <v>170</v>
      </c>
      <c r="F140" s="374">
        <f>ROW(Initiatives!$A$176)</f>
        <v>176</v>
      </c>
      <c r="G140" s="374">
        <f>ROW(Initiatives!$A$183)</f>
        <v>183</v>
      </c>
      <c r="H140" s="374">
        <f>ROW(Initiatives!$A$189)</f>
        <v>189</v>
      </c>
      <c r="I140" s="374"/>
      <c r="J140" s="374"/>
      <c r="K140" s="374"/>
      <c r="L140" s="374"/>
      <c r="M140" s="374"/>
      <c r="N140" s="374"/>
      <c r="O140" s="374" t="s">
        <v>975</v>
      </c>
      <c r="P140" s="374" t="s">
        <v>975</v>
      </c>
      <c r="Q140" s="374" t="s">
        <v>975</v>
      </c>
      <c r="R140" s="374" t="s">
        <v>975</v>
      </c>
      <c r="S140" s="374" t="s">
        <v>975</v>
      </c>
      <c r="T140" s="374" t="s">
        <v>975</v>
      </c>
      <c r="U140" s="374" t="s">
        <v>975</v>
      </c>
      <c r="V140" s="374" t="s">
        <v>975</v>
      </c>
      <c r="W140" s="374" t="s">
        <v>975</v>
      </c>
      <c r="X140" s="374" t="s">
        <v>975</v>
      </c>
      <c r="Y140" s="392" t="str">
        <f ca="1">OFFSET(Initiatives!$D$1,E140-1,$BS$3)</f>
        <v>BI Applications</v>
      </c>
      <c r="Z140" s="375">
        <v>5</v>
      </c>
      <c r="AA140" s="392" t="str">
        <f ca="1">OFFSET(Initiatives!$D$1,F140-1,$BS$3)</f>
        <v>Source System Inclusion / Integration</v>
      </c>
      <c r="AB140" s="375">
        <v>5</v>
      </c>
      <c r="AC140" s="392" t="str">
        <f ca="1">OFFSET(Initiatives!$D$1,G140-1,$BS$3)</f>
        <v>Enhance DW Platform</v>
      </c>
      <c r="AD140" s="375">
        <v>5</v>
      </c>
      <c r="AE140" s="392" t="str">
        <f ca="1">OFFSET(Initiatives!$D$1,H140-1,$BS$3)</f>
        <v>Enhance BI Platform</v>
      </c>
      <c r="AF140" s="375">
        <v>5</v>
      </c>
      <c r="AG140" s="392" t="e">
        <f ca="1">OFFSET(Initiatives!$D$1,I140-1,$BS$3)</f>
        <v>#REF!</v>
      </c>
      <c r="AH140" s="375"/>
      <c r="AI140" s="392" t="e">
        <f ca="1">OFFSET(Initiatives!$D$1,J140-1,$BS$3)</f>
        <v>#REF!</v>
      </c>
      <c r="AJ140" s="375"/>
      <c r="AK140" s="392" t="e">
        <f ca="1">OFFSET(Initiatives!$D$1,K140-1,$BS$3)</f>
        <v>#REF!</v>
      </c>
      <c r="AL140" s="375"/>
      <c r="AM140" s="392" t="e">
        <f ca="1">OFFSET(Initiatives!$D$1,L140-1,$BS$3)</f>
        <v>#REF!</v>
      </c>
      <c r="AN140" s="375"/>
      <c r="AO140" s="392" t="e">
        <f ca="1">OFFSET(Initiatives!$D$1,M140-1,$BS$3)</f>
        <v>#REF!</v>
      </c>
      <c r="AP140" s="375"/>
      <c r="AQ140" s="392" t="e">
        <f ca="1">OFFSET(Initiatives!$D$1,N140-1,$BS$3)</f>
        <v>#REF!</v>
      </c>
      <c r="AR140" s="375"/>
      <c r="AS140" s="392" t="e">
        <f ca="1">OFFSET(Initiatives!$D$1,O140-1,$BS$3)</f>
        <v>#VALUE!</v>
      </c>
      <c r="AT140" s="375"/>
      <c r="AU140" s="392" t="e">
        <f ca="1">OFFSET(Initiatives!$D$1,P140-1,$BS$3)</f>
        <v>#VALUE!</v>
      </c>
      <c r="AV140" s="375"/>
      <c r="AW140" s="392" t="e">
        <f ca="1">OFFSET(Initiatives!$D$1,Q140-1,$BS$3)</f>
        <v>#VALUE!</v>
      </c>
      <c r="AX140" s="375"/>
      <c r="AY140" s="392" t="e">
        <f ca="1">OFFSET(Initiatives!$D$1,R140-1,$BS$3)</f>
        <v>#VALUE!</v>
      </c>
      <c r="AZ140" s="375"/>
      <c r="BA140" s="392" t="e">
        <f ca="1">OFFSET(Initiatives!$D$1,S140-1,$BS$3)</f>
        <v>#VALUE!</v>
      </c>
      <c r="BB140" s="375"/>
      <c r="BC140" s="392" t="e">
        <f ca="1">OFFSET(Initiatives!$D$1,T140-1,$BS$3)</f>
        <v>#VALUE!</v>
      </c>
      <c r="BD140" s="375"/>
      <c r="BE140" s="392" t="e">
        <f ca="1">OFFSET(Initiatives!$D$1,U140-1,$BS$3)</f>
        <v>#VALUE!</v>
      </c>
      <c r="BF140" s="375"/>
      <c r="BG140" s="392" t="e">
        <f ca="1">OFFSET(Initiatives!$D$1,V140-1,$BS$3)</f>
        <v>#VALUE!</v>
      </c>
      <c r="BH140" s="375"/>
      <c r="BI140" s="392" t="e">
        <f ca="1">OFFSET(Initiatives!$D$1,W140-1,$BS$3)</f>
        <v>#VALUE!</v>
      </c>
      <c r="BJ140" s="375"/>
      <c r="BK140" s="392" t="e">
        <f ca="1">OFFSET(Initiatives!$D$1,X140-1,$BS$3)</f>
        <v>#VALUE!</v>
      </c>
      <c r="BL140" s="375"/>
      <c r="BN140" s="101">
        <f t="shared" ref="BN140:BN144" si="2355">SUM(Z140,AB140,AD140,AF140,AH140,AJ140,AL140,AN140,AP140,AR140,AT140,AV140,AX140,AZ140,BB140,BD140,BF140,BH140,BJ140,BL140)+0.0001</f>
        <v>20.0001</v>
      </c>
      <c r="BP140" s="231" t="str">
        <f t="shared" ref="BP140:BP144" ca="1" si="2356">CONCATENATE(GB140,GC140,GD140,GE140,GF140,GG140,GH140,GI140,GJ140,GK140,GL140,GM140,GN140,GO140,GP140,GQ140,GR140,GS140,GT140,GU140)</f>
        <v>Enhance BI Platform (38%); BI Applications (29%); Source System Inclusion / Integration (29%)</v>
      </c>
      <c r="BQ140" s="338">
        <v>0.01</v>
      </c>
      <c r="BR140" s="40">
        <f t="shared" ref="BR140:BR144" ca="1" si="2357">COUNTIF(CT140:DM140,"&gt;"&amp;BQ140)</f>
        <v>4</v>
      </c>
      <c r="BS140" s="274">
        <v>0.05</v>
      </c>
      <c r="BT140" s="40">
        <f t="shared" ref="BT140:BT144" ca="1" si="2358">COUNTIF(DP140:EI140,"&gt;"&amp;BS140)</f>
        <v>3</v>
      </c>
      <c r="BU140" s="376">
        <v>7</v>
      </c>
      <c r="BV140" s="40">
        <f t="shared" ref="BV140:BV144" ca="1" si="2359">MIN(BR140,BT140,BU140)</f>
        <v>3</v>
      </c>
      <c r="BY140" s="377">
        <f ca="1">IF(ISERROR(OFFSET(Initiatives!$D$1,E140-1,$BY$3)),,OFFSET(Initiatives!$D$1,E140-1,$BY$3))</f>
        <v>0.45555555555555544</v>
      </c>
      <c r="BZ140" s="377">
        <f ca="1">IF(ISERROR(OFFSET(Initiatives!$D$1,F140-1,$BY$3)),,OFFSET(Initiatives!$D$1,F140-1,$BY$3))</f>
        <v>0.45454545454545436</v>
      </c>
      <c r="CA140" s="377">
        <f ca="1">IF(ISERROR(OFFSET(Initiatives!$D$1,G140-1,$BY$3)),,OFFSET(Initiatives!$D$1,G140-1,$BY$3))</f>
        <v>7.7000000000000179E-2</v>
      </c>
      <c r="CB140" s="377">
        <f ca="1">IF(ISERROR(OFFSET(Initiatives!$D$1,H140-1,$BY$3)),,OFFSET(Initiatives!$D$1,H140-1,$BY$3))</f>
        <v>0.6</v>
      </c>
      <c r="CC140" s="377">
        <f ca="1">IF(ISERROR(OFFSET(Initiatives!$D$1,I140-1,$BY$3)),,OFFSET(Initiatives!$D$1,I140-1,$BY$3))</f>
        <v>0</v>
      </c>
      <c r="CD140" s="377">
        <f ca="1">IF(ISERROR(OFFSET(Initiatives!$D$1,J140-1,$BY$3)),,OFFSET(Initiatives!$D$1,J140-1,$BY$3))</f>
        <v>0</v>
      </c>
      <c r="CE140" s="377">
        <f ca="1">IF(ISERROR(OFFSET(Initiatives!$D$1,K140-1,$BY$3)),,OFFSET(Initiatives!$D$1,K140-1,$BY$3))</f>
        <v>0</v>
      </c>
      <c r="CF140" s="377">
        <f ca="1">IF(ISERROR(OFFSET(Initiatives!$D$1,L140-1,$BY$3)),,OFFSET(Initiatives!$D$1,L140-1,$BY$3))</f>
        <v>0</v>
      </c>
      <c r="CG140" s="377">
        <f ca="1">IF(ISERROR(OFFSET(Initiatives!$D$1,M140-1,$BY$3)),,OFFSET(Initiatives!$D$1,M140-1,$BY$3))</f>
        <v>0</v>
      </c>
      <c r="CH140" s="377">
        <f ca="1">IF(ISERROR(OFFSET(Initiatives!$D$1,N140-1,$BY$3)),,OFFSET(Initiatives!$D$1,N140-1,$BY$3))</f>
        <v>0</v>
      </c>
      <c r="CI140" s="377">
        <f ca="1">IF(ISERROR(OFFSET(Initiatives!$D$1,O140-1,$BY$3)),,OFFSET(Initiatives!$D$1,O140-1,$BY$3))</f>
        <v>0</v>
      </c>
      <c r="CJ140" s="377">
        <f ca="1">IF(ISERROR(OFFSET(Initiatives!$D$1,P140-1,$BY$3)),,OFFSET(Initiatives!$D$1,P140-1,$BY$3))</f>
        <v>0</v>
      </c>
      <c r="CK140" s="377">
        <f ca="1">IF(ISERROR(OFFSET(Initiatives!$D$1,Q140-1,$BY$3)),,OFFSET(Initiatives!$D$1,Q140-1,$BY$3))</f>
        <v>0</v>
      </c>
      <c r="CL140" s="377">
        <f ca="1">IF(ISERROR(OFFSET(Initiatives!$D$1,R140-1,$BY$3)),,OFFSET(Initiatives!$D$1,R140-1,$BY$3))</f>
        <v>0</v>
      </c>
      <c r="CM140" s="377">
        <f ca="1">IF(ISERROR(OFFSET(Initiatives!$D$1,S140-1,$BY$3)),,OFFSET(Initiatives!$D$1,S140-1,$BY$3))</f>
        <v>0</v>
      </c>
      <c r="CN140" s="377">
        <f ca="1">IF(ISERROR(OFFSET(Initiatives!$D$1,T140-1,$BY$3)),,OFFSET(Initiatives!$D$1,T140-1,$BY$3))</f>
        <v>0</v>
      </c>
      <c r="CO140" s="377">
        <f ca="1">IF(ISERROR(OFFSET(Initiatives!$D$1,U140-1,$BY$3)),,OFFSET(Initiatives!$D$1,U140-1,$BY$3))</f>
        <v>0</v>
      </c>
      <c r="CP140" s="377">
        <f ca="1">IF(ISERROR(OFFSET(Initiatives!$D$1,V140-1,$BY$3)),,OFFSET(Initiatives!$D$1,V140-1,$BY$3))</f>
        <v>0</v>
      </c>
      <c r="CQ140" s="377">
        <f ca="1">IF(ISERROR(OFFSET(Initiatives!$D$1,W140-1,$BY$3)),,OFFSET(Initiatives!$D$1,W140-1,$BY$3))</f>
        <v>0</v>
      </c>
      <c r="CR140" s="377">
        <f ca="1">IF(ISERROR(OFFSET(Initiatives!$D$1,X140-1,$BY$3)),,OFFSET(Initiatives!$D$1,X140-1,$BY$3))</f>
        <v>0</v>
      </c>
      <c r="CT140" s="41">
        <f t="shared" ref="CT140:CT144" ca="1" si="2360">BY140*Z140/$BN140</f>
        <v>0.11388831944729162</v>
      </c>
      <c r="CU140" s="41">
        <f t="shared" ref="CU140:CU144" ca="1" si="2361">BZ140*AB140/$BN140</f>
        <v>0.11363579545738629</v>
      </c>
      <c r="CV140" s="41">
        <f t="shared" ref="CV140:CV144" ca="1" si="2362">CA140*AD140/$BN140</f>
        <v>1.9249903750481294E-2</v>
      </c>
      <c r="CW140" s="41">
        <f t="shared" ref="CW140:CW144" ca="1" si="2363">CB140*AF140/$BN140</f>
        <v>0.14999925000374997</v>
      </c>
      <c r="CX140" s="41">
        <f t="shared" ref="CX140:CX144" ca="1" si="2364">CC140*AH140/$BN140</f>
        <v>0</v>
      </c>
      <c r="CY140" s="41">
        <f t="shared" ref="CY140:CY144" ca="1" si="2365">CD140*AJ140/$BN140</f>
        <v>0</v>
      </c>
      <c r="CZ140" s="41">
        <f t="shared" ref="CZ140:CZ144" ca="1" si="2366">CE140*AL140/$BN140</f>
        <v>0</v>
      </c>
      <c r="DA140" s="41">
        <f t="shared" ref="DA140:DA144" ca="1" si="2367">CF140*AN140/$BN140</f>
        <v>0</v>
      </c>
      <c r="DB140" s="41">
        <f t="shared" ref="DB140:DB144" ca="1" si="2368">CG140*AP140/$BN140</f>
        <v>0</v>
      </c>
      <c r="DC140" s="41">
        <f t="shared" ref="DC140:DC144" ca="1" si="2369">CH140*AR140/$BN140</f>
        <v>0</v>
      </c>
      <c r="DD140" s="41">
        <f t="shared" ref="DD140:DD144" ca="1" si="2370">CI140*AT140/$BN140</f>
        <v>0</v>
      </c>
      <c r="DE140" s="41">
        <f t="shared" ref="DE140:DE144" ca="1" si="2371">CJ140*AV140/$BN140</f>
        <v>0</v>
      </c>
      <c r="DF140" s="41">
        <f t="shared" ref="DF140:DF144" ca="1" si="2372">CK140*AX140/$BN140</f>
        <v>0</v>
      </c>
      <c r="DG140" s="41">
        <f t="shared" ref="DG140:DG144" ca="1" si="2373">CL140*AZ140/$BN140</f>
        <v>0</v>
      </c>
      <c r="DH140" s="41">
        <f t="shared" ref="DH140:DH144" ca="1" si="2374">CM140*BB140/$BN140</f>
        <v>0</v>
      </c>
      <c r="DI140" s="41">
        <f t="shared" ref="DI140:DI144" ca="1" si="2375">CN140*BD140/$BN140</f>
        <v>0</v>
      </c>
      <c r="DJ140" s="41">
        <f t="shared" ref="DJ140:DJ144" ca="1" si="2376">CO140*BF140/$BN140</f>
        <v>0</v>
      </c>
      <c r="DK140" s="41">
        <f t="shared" ref="DK140:DK144" ca="1" si="2377">CP140*BH140/$BN140</f>
        <v>0</v>
      </c>
      <c r="DL140" s="41">
        <f t="shared" ref="DL140:DL144" ca="1" si="2378">CQ140*BJ140/$BN140</f>
        <v>0</v>
      </c>
      <c r="DM140" s="41">
        <f t="shared" ref="DM140:DM144" ca="1" si="2379">CR140*BL140/$BN140</f>
        <v>0</v>
      </c>
      <c r="DN140" s="41">
        <f t="shared" ref="DN140:DN144" ca="1" si="2380">SUM(CT140:DM140)</f>
        <v>0.39677326865890916</v>
      </c>
      <c r="DP140" s="41">
        <f t="shared" ref="DP140:DP144" ca="1" si="2381">CT140/$DN140-DP$5/100000</f>
        <v>0.28702627094696509</v>
      </c>
      <c r="DQ140" s="41">
        <f t="shared" ref="DQ140:DQ144" ca="1" si="2382">CU140/$DN140-DQ$5/100000</f>
        <v>0.28637982688721564</v>
      </c>
      <c r="DR140" s="41">
        <f t="shared" ref="DR140:DR144" ca="1" si="2383">CV140/$DN140-DR$5/100000</f>
        <v>4.8486130674694469E-2</v>
      </c>
      <c r="DS140" s="41">
        <f t="shared" ref="DS140:DS144" ca="1" si="2384">CW140/$DN140-DS$5/100000</f>
        <v>0.37800777149112486</v>
      </c>
      <c r="DT140" s="41">
        <f t="shared" ref="DT140:DT144" ca="1" si="2385">CX140/$DN140-DT$5/100000</f>
        <v>-5.0000000000000002E-5</v>
      </c>
      <c r="DU140" s="41">
        <f t="shared" ref="DU140:DU144" ca="1" si="2386">CY140/$DN140-DU$5/100000</f>
        <v>-6.0000000000000002E-5</v>
      </c>
      <c r="DV140" s="41">
        <f t="shared" ref="DV140:DV144" ca="1" si="2387">CZ140/$DN140-DV$5/100000</f>
        <v>-6.9999999999999994E-5</v>
      </c>
      <c r="DW140" s="41">
        <f t="shared" ref="DW140:DW144" ca="1" si="2388">DA140/$DN140-DW$5/100000</f>
        <v>-8.0000000000000007E-5</v>
      </c>
      <c r="DX140" s="41">
        <f t="shared" ref="DX140:DX144" ca="1" si="2389">DB140/$DN140-DX$5/100000</f>
        <v>-9.0000000000000006E-5</v>
      </c>
      <c r="DY140" s="41">
        <f t="shared" ref="DY140:DY144" ca="1" si="2390">DC140/$DN140-DY$5/100000</f>
        <v>-1E-4</v>
      </c>
      <c r="DZ140" s="41">
        <f t="shared" ref="DZ140:DZ144" ca="1" si="2391">DD140/$DN140-DZ$5/100000</f>
        <v>-1.1E-4</v>
      </c>
      <c r="EA140" s="41">
        <f t="shared" ref="EA140:EA144" ca="1" si="2392">DE140/$DN140-EA$5/100000</f>
        <v>-1.2E-4</v>
      </c>
      <c r="EB140" s="41">
        <f t="shared" ref="EB140:EB144" ca="1" si="2393">DF140/$DN140-EB$5/100000</f>
        <v>-1.2999999999999999E-4</v>
      </c>
      <c r="EC140" s="41">
        <f t="shared" ref="EC140:EC144" ca="1" si="2394">DG140/$DN140-EC$5/100000</f>
        <v>-1.3999999999999999E-4</v>
      </c>
      <c r="ED140" s="41">
        <f t="shared" ref="ED140:ED144" ca="1" si="2395">DH140/$DN140-ED$5/100000</f>
        <v>-1.4999999999999999E-4</v>
      </c>
      <c r="EE140" s="41">
        <f t="shared" ref="EE140:EE144" ca="1" si="2396">DI140/$DN140-EE$5/100000</f>
        <v>-1.6000000000000001E-4</v>
      </c>
      <c r="EF140" s="41">
        <f t="shared" ref="EF140:EF144" ca="1" si="2397">DJ140/$DN140-EF$5/100000</f>
        <v>-1.7000000000000001E-4</v>
      </c>
      <c r="EG140" s="41">
        <f t="shared" ref="EG140:EG144" ca="1" si="2398">DK140/$DN140-EG$5/100000</f>
        <v>-1.8000000000000001E-4</v>
      </c>
      <c r="EH140" s="41">
        <f t="shared" ref="EH140:EH144" ca="1" si="2399">DL140/$DN140-EH$5/100000</f>
        <v>-1.9000000000000001E-4</v>
      </c>
      <c r="EI140" s="41">
        <f t="shared" ref="EI140:EI144" ca="1" si="2400">DM140/$DN140-EI$5/100000</f>
        <v>-2.0000000000000001E-4</v>
      </c>
      <c r="EJ140" s="41">
        <f t="shared" ref="EJ140:EJ144" ca="1" si="2401">SUM(DP140:EI140)</f>
        <v>0.99790000000000001</v>
      </c>
      <c r="EL140" s="378">
        <f t="shared" ref="EL140:EL144" ca="1" si="2402">RANK(DP140,$DP140:$EI140)</f>
        <v>2</v>
      </c>
      <c r="EM140" s="378">
        <f t="shared" ref="EM140:EM144" ca="1" si="2403">RANK(DQ140,$DP140:$EI140)</f>
        <v>3</v>
      </c>
      <c r="EN140" s="378">
        <f t="shared" ref="EN140:EN144" ca="1" si="2404">RANK(DR140,$DP140:$EI140)</f>
        <v>4</v>
      </c>
      <c r="EO140" s="378">
        <f t="shared" ref="EO140:EO144" ca="1" si="2405">RANK(DS140,$DP140:$EI140)</f>
        <v>1</v>
      </c>
      <c r="EP140" s="378">
        <f t="shared" ref="EP140:EP144" ca="1" si="2406">RANK(DT140,$DP140:$EI140)</f>
        <v>5</v>
      </c>
      <c r="EQ140" s="378">
        <f t="shared" ref="EQ140:EQ144" ca="1" si="2407">RANK(DU140,$DP140:$EI140)</f>
        <v>6</v>
      </c>
      <c r="ER140" s="378">
        <f t="shared" ref="ER140:ER144" ca="1" si="2408">RANK(DV140,$DP140:$EI140)</f>
        <v>7</v>
      </c>
      <c r="ES140" s="378">
        <f t="shared" ref="ES140:ES144" ca="1" si="2409">RANK(DW140,$DP140:$EI140)</f>
        <v>8</v>
      </c>
      <c r="ET140" s="378">
        <f t="shared" ref="ET140:ET144" ca="1" si="2410">RANK(DX140,$DP140:$EI140)</f>
        <v>9</v>
      </c>
      <c r="EU140" s="378">
        <f t="shared" ref="EU140:EU144" ca="1" si="2411">RANK(DY140,$DP140:$EI140)</f>
        <v>10</v>
      </c>
      <c r="EV140" s="378">
        <f t="shared" ref="EV140:EV144" ca="1" si="2412">RANK(DZ140,$DP140:$EI140)</f>
        <v>11</v>
      </c>
      <c r="EW140" s="378">
        <f t="shared" ref="EW140:EW144" ca="1" si="2413">RANK(EA140,$DP140:$EI140)</f>
        <v>12</v>
      </c>
      <c r="EX140" s="378">
        <f t="shared" ref="EX140:EX144" ca="1" si="2414">RANK(EB140,$DP140:$EI140)</f>
        <v>13</v>
      </c>
      <c r="EY140" s="378">
        <f t="shared" ref="EY140:EY144" ca="1" si="2415">RANK(EC140,$DP140:$EI140)</f>
        <v>14</v>
      </c>
      <c r="EZ140" s="378">
        <f t="shared" ref="EZ140:EZ144" ca="1" si="2416">RANK(ED140,$DP140:$EI140)</f>
        <v>15</v>
      </c>
      <c r="FA140" s="378">
        <f t="shared" ref="FA140:FA144" ca="1" si="2417">RANK(EE140,$DP140:$EI140)</f>
        <v>16</v>
      </c>
      <c r="FB140" s="378">
        <f t="shared" ref="FB140:FB144" ca="1" si="2418">RANK(EF140,$DP140:$EI140)</f>
        <v>17</v>
      </c>
      <c r="FC140" s="378">
        <f t="shared" ref="FC140:FC144" ca="1" si="2419">RANK(EG140,$DP140:$EI140)</f>
        <v>18</v>
      </c>
      <c r="FD140" s="378">
        <f t="shared" ref="FD140:FD144" ca="1" si="2420">RANK(EH140,$DP140:$EI140)</f>
        <v>19</v>
      </c>
      <c r="FE140" s="378">
        <f t="shared" ref="FE140:FE144" ca="1" si="2421">RANK(EI140,$DP140:$EI140)</f>
        <v>20</v>
      </c>
      <c r="FG140" s="378">
        <f t="shared" ref="FG140:FV144" ca="1" si="2422">MATCH(FG$5,$EL140:$FE140,0)</f>
        <v>4</v>
      </c>
      <c r="FH140" s="378">
        <f t="shared" ca="1" si="2422"/>
        <v>1</v>
      </c>
      <c r="FI140" s="378">
        <f t="shared" ca="1" si="2422"/>
        <v>2</v>
      </c>
      <c r="FJ140" s="378">
        <f t="shared" ca="1" si="2422"/>
        <v>3</v>
      </c>
      <c r="FK140" s="378">
        <f t="shared" ca="1" si="2422"/>
        <v>5</v>
      </c>
      <c r="FL140" s="378">
        <f t="shared" ca="1" si="2422"/>
        <v>6</v>
      </c>
      <c r="FM140" s="378">
        <f t="shared" ca="1" si="2422"/>
        <v>7</v>
      </c>
      <c r="FN140" s="378">
        <f t="shared" ca="1" si="2422"/>
        <v>8</v>
      </c>
      <c r="FO140" s="378">
        <f t="shared" ca="1" si="2422"/>
        <v>9</v>
      </c>
      <c r="FP140" s="378">
        <f t="shared" ca="1" si="2422"/>
        <v>10</v>
      </c>
      <c r="FQ140" s="378">
        <f t="shared" ca="1" si="2422"/>
        <v>11</v>
      </c>
      <c r="FR140" s="378">
        <f t="shared" ca="1" si="2422"/>
        <v>12</v>
      </c>
      <c r="FS140" s="378">
        <f t="shared" ca="1" si="2422"/>
        <v>13</v>
      </c>
      <c r="FT140" s="378">
        <f t="shared" ca="1" si="2422"/>
        <v>14</v>
      </c>
      <c r="FU140" s="378">
        <f t="shared" ca="1" si="2422"/>
        <v>15</v>
      </c>
      <c r="FV140" s="378">
        <f t="shared" ca="1" si="2422"/>
        <v>16</v>
      </c>
      <c r="FW140" s="378">
        <f t="shared" ref="FW140:FZ144" ca="1" si="2423">MATCH(FW$5,$EL140:$FE140,0)</f>
        <v>17</v>
      </c>
      <c r="FX140" s="378">
        <f t="shared" ca="1" si="2423"/>
        <v>18</v>
      </c>
      <c r="FY140" s="378">
        <f t="shared" ca="1" si="2423"/>
        <v>19</v>
      </c>
      <c r="FZ140" s="378">
        <f t="shared" ca="1" si="2423"/>
        <v>20</v>
      </c>
      <c r="GB140" s="275" t="str">
        <f t="shared" ref="GB140:GB144" ca="1" si="2424">IF(GB$5&lt;=$BV140,INDEX($Y140:$BL140,1,FG140*2-1)&amp;" ("&amp;TEXT(INDEX($DP140:$EI140,1,FG140),"0%")&amp;")","")</f>
        <v>Enhance BI Platform (38%)</v>
      </c>
      <c r="GC140" s="231" t="str">
        <f t="shared" ref="GC140:GC144" ca="1" si="2425">IF(GC$5&lt;=$BV140,"; "&amp;INDEX($Y140:$BL140,1,FH140*2-1)&amp;" ("&amp;TEXT(INDEX($DP140:$EI140,1,FH140),"0%")&amp;")","")</f>
        <v>; BI Applications (29%)</v>
      </c>
      <c r="GD140" s="231" t="str">
        <f t="shared" ref="GD140:GD144" ca="1" si="2426">IF(GD$5&lt;=$BV140,"; "&amp;INDEX($Y140:$BL140,1,FI140*2-1)&amp;" ("&amp;TEXT(INDEX($DP140:$EI140,1,FI140),"0%")&amp;")","")</f>
        <v>; Source System Inclusion / Integration (29%)</v>
      </c>
      <c r="GE140" s="231" t="str">
        <f t="shared" ref="GE140:GE144" ca="1" si="2427">IF(GE$5&lt;=$BV140,"; "&amp;INDEX($Y140:$BL140,1,FJ140*2-1)&amp;" ("&amp;TEXT(INDEX($DP140:$EI140,1,FJ140),"0%")&amp;")","")</f>
        <v/>
      </c>
      <c r="GF140" s="231" t="str">
        <f t="shared" ref="GF140:GF144" ca="1" si="2428">IF(GF$5&lt;=$BV140,"; "&amp;INDEX($Y140:$BL140,1,FK140*2-1)&amp;" ("&amp;TEXT(INDEX($DP140:$EI140,1,FK140),"0%")&amp;")","")</f>
        <v/>
      </c>
      <c r="GG140" s="231" t="str">
        <f t="shared" ref="GG140:GG144" ca="1" si="2429">IF(GG$5&lt;=$BV140,"; "&amp;INDEX($Y140:$BL140,1,FL140*2-1)&amp;" ("&amp;TEXT(INDEX($DP140:$EI140,1,FL140),"0%")&amp;")","")</f>
        <v/>
      </c>
      <c r="GH140" s="231" t="str">
        <f t="shared" ref="GH140:GH144" ca="1" si="2430">IF(GH$5&lt;=$BV140,"; "&amp;INDEX($Y140:$BL140,1,FM140*2-1)&amp;" ("&amp;TEXT(INDEX($DP140:$EI140,1,FM140),"0%")&amp;")","")</f>
        <v/>
      </c>
      <c r="GI140" s="231" t="str">
        <f t="shared" ref="GI140:GI144" ca="1" si="2431">IF(GI$5&lt;=$BV140,"; "&amp;INDEX($Y140:$BL140,1,FN140*2-1)&amp;" ("&amp;TEXT(INDEX($DP140:$EI140,1,FN140),"0%")&amp;")","")</f>
        <v/>
      </c>
      <c r="GJ140" s="231" t="str">
        <f t="shared" ref="GJ140:GJ144" ca="1" si="2432">IF(GJ$5&lt;=$BV140,"; "&amp;INDEX($Y140:$BL140,1,FO140*2-1)&amp;" ("&amp;TEXT(INDEX($DP140:$EI140,1,FO140),"0%")&amp;")","")</f>
        <v/>
      </c>
      <c r="GK140" s="231" t="str">
        <f t="shared" ref="GK140:GK144" ca="1" si="2433">IF(GK$5&lt;=$BV140,"; "&amp;INDEX($Y140:$BL140,1,FP140*2-1)&amp;" ("&amp;TEXT(INDEX($DP140:$EI140,1,FP140),"0%")&amp;")","")</f>
        <v/>
      </c>
      <c r="GL140" s="231" t="str">
        <f t="shared" ref="GL140:GL144" ca="1" si="2434">IF(GL$5&lt;=$BV140,"; "&amp;INDEX($Y140:$BL140,1,FQ140*2-1)&amp;" ("&amp;TEXT(INDEX($DP140:$EI140,1,FQ140),"0%")&amp;")","")</f>
        <v/>
      </c>
      <c r="GM140" s="231" t="str">
        <f t="shared" ref="GM140:GM144" ca="1" si="2435">IF(GM$5&lt;=$BV140,"; "&amp;INDEX($Y140:$BL140,1,FR140*2-1)&amp;" ("&amp;TEXT(INDEX($DP140:$EI140,1,FR140),"0%")&amp;")","")</f>
        <v/>
      </c>
      <c r="GN140" s="231" t="str">
        <f t="shared" ref="GN140:GN144" ca="1" si="2436">IF(GN$5&lt;=$BV140,"; "&amp;INDEX($Y140:$BL140,1,FS140*2-1)&amp;" ("&amp;TEXT(INDEX($DP140:$EI140,1,FS140),"0%")&amp;")","")</f>
        <v/>
      </c>
      <c r="GO140" s="231" t="str">
        <f t="shared" ref="GO140:GO144" ca="1" si="2437">IF(GO$5&lt;=$BV140,"; "&amp;INDEX($Y140:$BL140,1,FT140*2-1)&amp;" ("&amp;TEXT(INDEX($DP140:$EI140,1,FT140),"0%")&amp;")","")</f>
        <v/>
      </c>
      <c r="GP140" s="231" t="str">
        <f t="shared" ref="GP140:GP144" ca="1" si="2438">IF(GP$5&lt;=$BV140,"; "&amp;INDEX($Y140:$BL140,1,FU140*2-1)&amp;" ("&amp;TEXT(INDEX($DP140:$EI140,1,FU140),"0%")&amp;")","")</f>
        <v/>
      </c>
      <c r="GQ140" s="231" t="str">
        <f t="shared" ref="GQ140:GQ144" ca="1" si="2439">IF(GQ$5&lt;=$BV140,"; "&amp;INDEX($Y140:$BL140,1,FV140*2-1)&amp;" ("&amp;TEXT(INDEX($DP140:$EI140,1,FV140),"0%")&amp;")","")</f>
        <v/>
      </c>
      <c r="GR140" s="231" t="str">
        <f t="shared" ref="GR140:GR144" ca="1" si="2440">IF(GR$5&lt;=$BV140,"; "&amp;INDEX($Y140:$BL140,1,FW140*2-1)&amp;" ("&amp;TEXT(INDEX($DP140:$EI140,1,FW140),"0%")&amp;")","")</f>
        <v/>
      </c>
      <c r="GS140" s="231" t="str">
        <f t="shared" ref="GS140:GS144" ca="1" si="2441">IF(GS$5&lt;=$BV140,"; "&amp;INDEX($Y140:$BL140,1,FX140*2-1)&amp;" ("&amp;TEXT(INDEX($DP140:$EI140,1,FX140),"0%")&amp;")","")</f>
        <v/>
      </c>
      <c r="GT140" s="231" t="str">
        <f t="shared" ref="GT140:GT144" ca="1" si="2442">IF(GT$5&lt;=$BV140,"; "&amp;INDEX($Y140:$BL140,1,FY140*2-1)&amp;" ("&amp;TEXT(INDEX($DP140:$EI140,1,FY140),"0%")&amp;")","")</f>
        <v/>
      </c>
      <c r="GU140" s="231" t="str">
        <f t="shared" ref="GU140:GU144" ca="1" si="2443">IF(GU$5&lt;=$BV140,"; "&amp;INDEX($Y140:$BL140,1,FZ140*2-1)&amp;" ("&amp;TEXT(INDEX($DP140:$EI140,1,FZ140),"0%")&amp;")","")</f>
        <v/>
      </c>
      <c r="GW140" s="377">
        <f ca="1">IF(ISERROR(OFFSET(Initiatives!$D$1,E140-1,$CB$3)),,OFFSET(Initiatives!$D$1,E140-1,$CB$3))</f>
        <v>0.34166666666666662</v>
      </c>
      <c r="GX140" s="377">
        <f ca="1">IF(ISERROR(OFFSET(Initiatives!$D$1,F140-1,$CB$3)),,OFFSET(Initiatives!$D$1,F140-1,$CB$3))</f>
        <v>0.43181818181818177</v>
      </c>
      <c r="GY140" s="377">
        <f ca="1">IF(ISERROR(OFFSET(Initiatives!$D$1,G140-1,$CB$3)),,OFFSET(Initiatives!$D$1,G140-1,$CB$3))</f>
        <v>0.77</v>
      </c>
      <c r="GZ140" s="377">
        <f ca="1">IF(ISERROR(OFFSET(Initiatives!$D$1,H140-1,$CB$3)),,OFFSET(Initiatives!$D$1,H140-1,$CB$3))</f>
        <v>0.25</v>
      </c>
      <c r="HA140" s="377">
        <f ca="1">IF(ISERROR(OFFSET(Initiatives!$D$1,I140-1,$CB$3)),,OFFSET(Initiatives!$D$1,I140-1,$CB$3))</f>
        <v>0</v>
      </c>
      <c r="HB140" s="377">
        <f ca="1">IF(ISERROR(OFFSET(Initiatives!$D$1,J140-1,$CB$3)),,OFFSET(Initiatives!$D$1,J140-1,$CB$3))</f>
        <v>0</v>
      </c>
      <c r="HC140" s="377">
        <f ca="1">IF(ISERROR(OFFSET(Initiatives!$D$1,K140-1,$CB$3)),,OFFSET(Initiatives!$D$1,K140-1,$CB$3))</f>
        <v>0</v>
      </c>
      <c r="HD140" s="377">
        <f ca="1">IF(ISERROR(OFFSET(Initiatives!$D$1,L140-1,$CB$3)),,OFFSET(Initiatives!$D$1,L140-1,$CB$3))</f>
        <v>0</v>
      </c>
      <c r="HE140" s="377">
        <f ca="1">IF(ISERROR(OFFSET(Initiatives!$D$1,M140-1,$CB$3)),,OFFSET(Initiatives!$D$1,M140-1,$CB$3))</f>
        <v>0</v>
      </c>
      <c r="HF140" s="377">
        <f ca="1">IF(ISERROR(OFFSET(Initiatives!$D$1,N140-1,$CB$3)),,OFFSET(Initiatives!$D$1,N140-1,$CB$3))</f>
        <v>0</v>
      </c>
      <c r="HG140" s="377">
        <f ca="1">IF(ISERROR(OFFSET(Initiatives!$D$1,O140-1,$CB$3)),,OFFSET(Initiatives!$D$1,O140-1,$CB$3))</f>
        <v>0</v>
      </c>
      <c r="HH140" s="377">
        <f ca="1">IF(ISERROR(OFFSET(Initiatives!$D$1,P140-1,$CB$3)),,OFFSET(Initiatives!$D$1,P140-1,$CB$3))</f>
        <v>0</v>
      </c>
      <c r="HI140" s="377">
        <f ca="1">IF(ISERROR(OFFSET(Initiatives!$D$1,Q140-1,$CB$3)),,OFFSET(Initiatives!$D$1,Q140-1,$CB$3))</f>
        <v>0</v>
      </c>
      <c r="HJ140" s="377">
        <f ca="1">IF(ISERROR(OFFSET(Initiatives!$D$1,R140-1,$CB$3)),,OFFSET(Initiatives!$D$1,R140-1,$CB$3))</f>
        <v>0</v>
      </c>
      <c r="HK140" s="377">
        <f ca="1">IF(ISERROR(OFFSET(Initiatives!$D$1,S140-1,$CB$3)),,OFFSET(Initiatives!$D$1,S140-1,$CB$3))</f>
        <v>0</v>
      </c>
      <c r="HL140" s="377">
        <f ca="1">IF(ISERROR(OFFSET(Initiatives!$D$1,T140-1,$CB$3)),,OFFSET(Initiatives!$D$1,T140-1,$CB$3))</f>
        <v>0</v>
      </c>
      <c r="HM140" s="377">
        <f ca="1">IF(ISERROR(OFFSET(Initiatives!$D$1,U140-1,$CB$3)),,OFFSET(Initiatives!$D$1,U140-1,$CB$3))</f>
        <v>0</v>
      </c>
      <c r="HN140" s="377">
        <f ca="1">IF(ISERROR(OFFSET(Initiatives!$D$1,V140-1,$CB$3)),,OFFSET(Initiatives!$D$1,V140-1,$CB$3))</f>
        <v>0</v>
      </c>
      <c r="HO140" s="377">
        <f ca="1">IF(ISERROR(OFFSET(Initiatives!$D$1,W140-1,$CB$3)),,OFFSET(Initiatives!$D$1,W140-1,$CB$3))</f>
        <v>0</v>
      </c>
      <c r="HP140" s="377">
        <f ca="1">IF(ISERROR(OFFSET(Initiatives!$D$1,X140-1,$CB$3)),,OFFSET(Initiatives!$D$1,X140-1,$CB$3))</f>
        <v>0</v>
      </c>
      <c r="HR140" s="41">
        <f t="shared" ref="HR140:HR144" ca="1" si="2444">GW140*Z140/$BN140</f>
        <v>8.541623958546872E-2</v>
      </c>
      <c r="HS140" s="41">
        <f t="shared" ref="HS140:HS144" ca="1" si="2445">GX140*AB140/$BN140</f>
        <v>0.10795400568451702</v>
      </c>
      <c r="HT140" s="41">
        <f t="shared" ref="HT140:HT144" ca="1" si="2446">GY140*AD140/$BN140</f>
        <v>0.19249903750481248</v>
      </c>
      <c r="HU140" s="41">
        <f t="shared" ref="HU140:HU144" ca="1" si="2447">GZ140*AF140/$BN140</f>
        <v>6.2499687501562491E-2</v>
      </c>
      <c r="HV140" s="41">
        <f t="shared" ref="HV140:HV144" ca="1" si="2448">HA140*AH140/$BN140</f>
        <v>0</v>
      </c>
      <c r="HW140" s="41">
        <f t="shared" ref="HW140:HW144" ca="1" si="2449">HB140*AJ140/$BN140</f>
        <v>0</v>
      </c>
      <c r="HX140" s="41">
        <f t="shared" ref="HX140:HX144" ca="1" si="2450">HC140*AL140/$BN140</f>
        <v>0</v>
      </c>
      <c r="HY140" s="41">
        <f t="shared" ref="HY140:HY144" ca="1" si="2451">HD140*AN140/$BN140</f>
        <v>0</v>
      </c>
      <c r="HZ140" s="41">
        <f t="shared" ref="HZ140:HZ144" ca="1" si="2452">HE140*AP140/$BN140</f>
        <v>0</v>
      </c>
      <c r="IA140" s="41">
        <f t="shared" ref="IA140:IA144" ca="1" si="2453">HF140*AR140/$BN140</f>
        <v>0</v>
      </c>
      <c r="IB140" s="41">
        <f t="shared" ref="IB140:IB144" ca="1" si="2454">HG140*AT140/$BN140</f>
        <v>0</v>
      </c>
      <c r="IC140" s="41">
        <f t="shared" ref="IC140:IC144" ca="1" si="2455">HH140*AV140/$BN140</f>
        <v>0</v>
      </c>
      <c r="ID140" s="41">
        <f t="shared" ref="ID140:ID144" ca="1" si="2456">HI140*AX140/$BN140</f>
        <v>0</v>
      </c>
      <c r="IE140" s="41">
        <f t="shared" ref="IE140:IE144" ca="1" si="2457">HJ140*BZ140/$BN140</f>
        <v>0</v>
      </c>
      <c r="IF140" s="41">
        <f t="shared" ref="IF140:IF144" ca="1" si="2458">HK140*BB140/$BN140</f>
        <v>0</v>
      </c>
      <c r="IG140" s="41">
        <f t="shared" ref="IG140:IG144" ca="1" si="2459">HL140*BD140/$BN140</f>
        <v>0</v>
      </c>
      <c r="IH140" s="41">
        <f t="shared" ref="IH140:IH144" ca="1" si="2460">HM140*BF140/$BN140</f>
        <v>0</v>
      </c>
      <c r="II140" s="41">
        <f t="shared" ref="II140:II144" ca="1" si="2461">HN140*BH140/$BN140</f>
        <v>0</v>
      </c>
      <c r="IJ140" s="41">
        <f t="shared" ref="IJ140:IJ144" ca="1" si="2462">HO140*BJ140/$BN140</f>
        <v>0</v>
      </c>
      <c r="IK140" s="41">
        <f t="shared" ref="IK140:IK144" ca="1" si="2463">HP140*BL140/$BN140</f>
        <v>0</v>
      </c>
      <c r="IL140" s="41">
        <f t="shared" ref="IL140:IL144" ca="1" si="2464">SUM(HR140:IK140)</f>
        <v>0.44836897027636075</v>
      </c>
    </row>
    <row r="141" spans="1:246" s="409" customFormat="1" ht="13.5" hidden="1" customHeight="1">
      <c r="B141" s="373"/>
      <c r="C141" s="81" t="str">
        <f>Maturity!B27</f>
        <v>To what degree do you rely on INTANGIBLE BENEFITS to justify your BI/DW investments?</v>
      </c>
      <c r="D141" s="404">
        <f t="shared" ca="1" si="2354"/>
        <v>0.31118246440862035</v>
      </c>
      <c r="E141" s="374">
        <f>ROW(Initiatives!$A$170)</f>
        <v>170</v>
      </c>
      <c r="F141" s="374">
        <f>ROW(Initiatives!$A$176)</f>
        <v>176</v>
      </c>
      <c r="G141" s="374">
        <f>ROW(Initiatives!$A$183)</f>
        <v>183</v>
      </c>
      <c r="H141" s="374">
        <f>ROW(Initiatives!$A$189)</f>
        <v>189</v>
      </c>
      <c r="I141" s="374">
        <f>ROW(Initiatives!$A$100)</f>
        <v>100</v>
      </c>
      <c r="J141" s="374">
        <f>ROW(Initiatives!$A$101)</f>
        <v>101</v>
      </c>
      <c r="K141" s="374">
        <f>ROW(Initiatives!$A$178)</f>
        <v>178</v>
      </c>
      <c r="L141" s="374"/>
      <c r="M141" s="374"/>
      <c r="N141" s="374"/>
      <c r="O141" s="374" t="s">
        <v>975</v>
      </c>
      <c r="P141" s="374" t="s">
        <v>975</v>
      </c>
      <c r="Q141" s="374" t="s">
        <v>975</v>
      </c>
      <c r="R141" s="374" t="s">
        <v>975</v>
      </c>
      <c r="S141" s="374" t="s">
        <v>975</v>
      </c>
      <c r="T141" s="374" t="s">
        <v>975</v>
      </c>
      <c r="U141" s="374" t="s">
        <v>975</v>
      </c>
      <c r="V141" s="374" t="s">
        <v>975</v>
      </c>
      <c r="W141" s="374" t="s">
        <v>975</v>
      </c>
      <c r="X141" s="374" t="s">
        <v>975</v>
      </c>
      <c r="Y141" s="392" t="str">
        <f ca="1">OFFSET(Initiatives!$D$1,E141-1,$BS$3)</f>
        <v>BI Applications</v>
      </c>
      <c r="Z141" s="375">
        <v>5</v>
      </c>
      <c r="AA141" s="392" t="str">
        <f ca="1">OFFSET(Initiatives!$D$1,F141-1,$BS$3)</f>
        <v>Source System Inclusion / Integration</v>
      </c>
      <c r="AB141" s="375">
        <v>5</v>
      </c>
      <c r="AC141" s="392" t="str">
        <f ca="1">OFFSET(Initiatives!$D$1,G141-1,$BS$3)</f>
        <v>Enhance DW Platform</v>
      </c>
      <c r="AD141" s="375">
        <v>5</v>
      </c>
      <c r="AE141" s="392" t="str">
        <f ca="1">OFFSET(Initiatives!$D$1,H141-1,$BS$3)</f>
        <v>Enhance BI Platform</v>
      </c>
      <c r="AF141" s="375">
        <v>5</v>
      </c>
      <c r="AG141" s="392" t="str">
        <f ca="1">OFFSET(Initiatives!$D$1,I141-1,$BS$3)</f>
        <v>Governance</v>
      </c>
      <c r="AH141" s="375">
        <v>7</v>
      </c>
      <c r="AI141" s="392" t="str">
        <f ca="1">OFFSET(Initiatives!$D$1,J141-1,$BS$3)</f>
        <v>Architecture</v>
      </c>
      <c r="AJ141" s="375">
        <v>3</v>
      </c>
      <c r="AK141" s="392" t="str">
        <f ca="1">OFFSET(Initiatives!$D$1,K141-1,$BS$3)</f>
        <v>Architecture Standards &amp; Adherence</v>
      </c>
      <c r="AL141" s="375"/>
      <c r="AM141" s="392" t="e">
        <f ca="1">OFFSET(Initiatives!$D$1,L141-1,$BS$3)</f>
        <v>#REF!</v>
      </c>
      <c r="AN141" s="375"/>
      <c r="AO141" s="392" t="e">
        <f ca="1">OFFSET(Initiatives!$D$1,M141-1,$BS$3)</f>
        <v>#REF!</v>
      </c>
      <c r="AP141" s="375"/>
      <c r="AQ141" s="392" t="e">
        <f ca="1">OFFSET(Initiatives!$D$1,N141-1,$BS$3)</f>
        <v>#REF!</v>
      </c>
      <c r="AR141" s="375"/>
      <c r="AS141" s="392" t="e">
        <f ca="1">OFFSET(Initiatives!$D$1,O141-1,$BS$3)</f>
        <v>#VALUE!</v>
      </c>
      <c r="AT141" s="375"/>
      <c r="AU141" s="392" t="e">
        <f ca="1">OFFSET(Initiatives!$D$1,P141-1,$BS$3)</f>
        <v>#VALUE!</v>
      </c>
      <c r="AV141" s="375"/>
      <c r="AW141" s="392" t="e">
        <f ca="1">OFFSET(Initiatives!$D$1,Q141-1,$BS$3)</f>
        <v>#VALUE!</v>
      </c>
      <c r="AX141" s="375"/>
      <c r="AY141" s="392" t="e">
        <f ca="1">OFFSET(Initiatives!$D$1,R141-1,$BS$3)</f>
        <v>#VALUE!</v>
      </c>
      <c r="AZ141" s="375"/>
      <c r="BA141" s="392" t="e">
        <f ca="1">OFFSET(Initiatives!$D$1,S141-1,$BS$3)</f>
        <v>#VALUE!</v>
      </c>
      <c r="BB141" s="375"/>
      <c r="BC141" s="392" t="e">
        <f ca="1">OFFSET(Initiatives!$D$1,T141-1,$BS$3)</f>
        <v>#VALUE!</v>
      </c>
      <c r="BD141" s="375"/>
      <c r="BE141" s="392" t="e">
        <f ca="1">OFFSET(Initiatives!$D$1,U141-1,$BS$3)</f>
        <v>#VALUE!</v>
      </c>
      <c r="BF141" s="375"/>
      <c r="BG141" s="392" t="e">
        <f ca="1">OFFSET(Initiatives!$D$1,V141-1,$BS$3)</f>
        <v>#VALUE!</v>
      </c>
      <c r="BH141" s="375"/>
      <c r="BI141" s="392" t="e">
        <f ca="1">OFFSET(Initiatives!$D$1,W141-1,$BS$3)</f>
        <v>#VALUE!</v>
      </c>
      <c r="BJ141" s="375"/>
      <c r="BK141" s="392" t="e">
        <f ca="1">OFFSET(Initiatives!$D$1,X141-1,$BS$3)</f>
        <v>#VALUE!</v>
      </c>
      <c r="BL141" s="375"/>
      <c r="BN141" s="101">
        <f t="shared" si="2355"/>
        <v>30.0001</v>
      </c>
      <c r="BP141" s="231" t="str">
        <f t="shared" ca="1" si="2356"/>
        <v>Enhance BI Platform (32%); BI Applications (24%); Source System Inclusion / Integration (24%); Governance (10%)</v>
      </c>
      <c r="BQ141" s="338">
        <v>0.01</v>
      </c>
      <c r="BR141" s="40">
        <f t="shared" ca="1" si="2357"/>
        <v>6</v>
      </c>
      <c r="BS141" s="274">
        <v>0.05</v>
      </c>
      <c r="BT141" s="40">
        <f t="shared" ca="1" si="2358"/>
        <v>4</v>
      </c>
      <c r="BU141" s="376">
        <v>7</v>
      </c>
      <c r="BV141" s="40">
        <f t="shared" ca="1" si="2359"/>
        <v>4</v>
      </c>
      <c r="BY141" s="377">
        <f ca="1">IF(ISERROR(OFFSET(Initiatives!$D$1,E141-1,$BY$3)),,OFFSET(Initiatives!$D$1,E141-1,$BY$3))</f>
        <v>0.45555555555555544</v>
      </c>
      <c r="BZ141" s="377">
        <f ca="1">IF(ISERROR(OFFSET(Initiatives!$D$1,F141-1,$BY$3)),,OFFSET(Initiatives!$D$1,F141-1,$BY$3))</f>
        <v>0.45454545454545436</v>
      </c>
      <c r="CA141" s="377">
        <f ca="1">IF(ISERROR(OFFSET(Initiatives!$D$1,G141-1,$BY$3)),,OFFSET(Initiatives!$D$1,G141-1,$BY$3))</f>
        <v>7.7000000000000179E-2</v>
      </c>
      <c r="CB141" s="377">
        <f ca="1">IF(ISERROR(OFFSET(Initiatives!$D$1,H141-1,$BY$3)),,OFFSET(Initiatives!$D$1,H141-1,$BY$3))</f>
        <v>0.6</v>
      </c>
      <c r="CC141" s="377">
        <f ca="1">IF(ISERROR(OFFSET(Initiatives!$D$1,I141-1,$BY$3)),,OFFSET(Initiatives!$D$1,I141-1,$BY$3))</f>
        <v>0.14000000000000001</v>
      </c>
      <c r="CD141" s="377">
        <f ca="1">IF(ISERROR(OFFSET(Initiatives!$D$1,J141-1,$BY$3)),,OFFSET(Initiatives!$D$1,J141-1,$BY$3))</f>
        <v>0.14000000000000001</v>
      </c>
      <c r="CE141" s="377">
        <f ca="1">IF(ISERROR(OFFSET(Initiatives!$D$1,K141-1,$BY$3)),,OFFSET(Initiatives!$D$1,K141-1,$BY$3))</f>
        <v>0.14000000000000012</v>
      </c>
      <c r="CF141" s="377">
        <f ca="1">IF(ISERROR(OFFSET(Initiatives!$D$1,L141-1,$BY$3)),,OFFSET(Initiatives!$D$1,L141-1,$BY$3))</f>
        <v>0</v>
      </c>
      <c r="CG141" s="377">
        <f ca="1">IF(ISERROR(OFFSET(Initiatives!$D$1,M141-1,$BY$3)),,OFFSET(Initiatives!$D$1,M141-1,$BY$3))</f>
        <v>0</v>
      </c>
      <c r="CH141" s="377">
        <f ca="1">IF(ISERROR(OFFSET(Initiatives!$D$1,N141-1,$BY$3)),,OFFSET(Initiatives!$D$1,N141-1,$BY$3))</f>
        <v>0</v>
      </c>
      <c r="CI141" s="377">
        <f ca="1">IF(ISERROR(OFFSET(Initiatives!$D$1,O141-1,$BY$3)),,OFFSET(Initiatives!$D$1,O141-1,$BY$3))</f>
        <v>0</v>
      </c>
      <c r="CJ141" s="377">
        <f ca="1">IF(ISERROR(OFFSET(Initiatives!$D$1,P141-1,$BY$3)),,OFFSET(Initiatives!$D$1,P141-1,$BY$3))</f>
        <v>0</v>
      </c>
      <c r="CK141" s="377">
        <f ca="1">IF(ISERROR(OFFSET(Initiatives!$D$1,Q141-1,$BY$3)),,OFFSET(Initiatives!$D$1,Q141-1,$BY$3))</f>
        <v>0</v>
      </c>
      <c r="CL141" s="377">
        <f ca="1">IF(ISERROR(OFFSET(Initiatives!$D$1,R141-1,$BY$3)),,OFFSET(Initiatives!$D$1,R141-1,$BY$3))</f>
        <v>0</v>
      </c>
      <c r="CM141" s="377">
        <f ca="1">IF(ISERROR(OFFSET(Initiatives!$D$1,S141-1,$BY$3)),,OFFSET(Initiatives!$D$1,S141-1,$BY$3))</f>
        <v>0</v>
      </c>
      <c r="CN141" s="377">
        <f ca="1">IF(ISERROR(OFFSET(Initiatives!$D$1,T141-1,$BY$3)),,OFFSET(Initiatives!$D$1,T141-1,$BY$3))</f>
        <v>0</v>
      </c>
      <c r="CO141" s="377">
        <f ca="1">IF(ISERROR(OFFSET(Initiatives!$D$1,U141-1,$BY$3)),,OFFSET(Initiatives!$D$1,U141-1,$BY$3))</f>
        <v>0</v>
      </c>
      <c r="CP141" s="377">
        <f ca="1">IF(ISERROR(OFFSET(Initiatives!$D$1,V141-1,$BY$3)),,OFFSET(Initiatives!$D$1,V141-1,$BY$3))</f>
        <v>0</v>
      </c>
      <c r="CQ141" s="377">
        <f ca="1">IF(ISERROR(OFFSET(Initiatives!$D$1,W141-1,$BY$3)),,OFFSET(Initiatives!$D$1,W141-1,$BY$3))</f>
        <v>0</v>
      </c>
      <c r="CR141" s="377">
        <f ca="1">IF(ISERROR(OFFSET(Initiatives!$D$1,X141-1,$BY$3)),,OFFSET(Initiatives!$D$1,X141-1,$BY$3))</f>
        <v>0</v>
      </c>
      <c r="CT141" s="41">
        <f t="shared" ca="1" si="2360"/>
        <v>7.5925672840349775E-2</v>
      </c>
      <c r="CU141" s="41">
        <f t="shared" ca="1" si="2361"/>
        <v>7.5757323233164947E-2</v>
      </c>
      <c r="CV141" s="41">
        <f t="shared" ca="1" si="2362"/>
        <v>1.2833290555698177E-2</v>
      </c>
      <c r="CW141" s="41">
        <f t="shared" ca="1" si="2363"/>
        <v>9.9999666667777778E-2</v>
      </c>
      <c r="CX141" s="41">
        <f t="shared" ca="1" si="2364"/>
        <v>3.2666557778140745E-2</v>
      </c>
      <c r="CY141" s="41">
        <f t="shared" ca="1" si="2365"/>
        <v>1.399995333348889E-2</v>
      </c>
      <c r="CZ141" s="41">
        <f t="shared" ca="1" si="2366"/>
        <v>0</v>
      </c>
      <c r="DA141" s="41">
        <f t="shared" ca="1" si="2367"/>
        <v>0</v>
      </c>
      <c r="DB141" s="41">
        <f t="shared" ca="1" si="2368"/>
        <v>0</v>
      </c>
      <c r="DC141" s="41">
        <f t="shared" ca="1" si="2369"/>
        <v>0</v>
      </c>
      <c r="DD141" s="41">
        <f t="shared" ca="1" si="2370"/>
        <v>0</v>
      </c>
      <c r="DE141" s="41">
        <f t="shared" ca="1" si="2371"/>
        <v>0</v>
      </c>
      <c r="DF141" s="41">
        <f t="shared" ca="1" si="2372"/>
        <v>0</v>
      </c>
      <c r="DG141" s="41">
        <f t="shared" ca="1" si="2373"/>
        <v>0</v>
      </c>
      <c r="DH141" s="41">
        <f t="shared" ca="1" si="2374"/>
        <v>0</v>
      </c>
      <c r="DI141" s="41">
        <f t="shared" ca="1" si="2375"/>
        <v>0</v>
      </c>
      <c r="DJ141" s="41">
        <f t="shared" ca="1" si="2376"/>
        <v>0</v>
      </c>
      <c r="DK141" s="41">
        <f t="shared" ca="1" si="2377"/>
        <v>0</v>
      </c>
      <c r="DL141" s="41">
        <f t="shared" ca="1" si="2378"/>
        <v>0</v>
      </c>
      <c r="DM141" s="41">
        <f t="shared" ca="1" si="2379"/>
        <v>0</v>
      </c>
      <c r="DN141" s="41">
        <f t="shared" ca="1" si="2380"/>
        <v>0.31118246440862035</v>
      </c>
      <c r="DP141" s="41">
        <f t="shared" ca="1" si="2381"/>
        <v>0.24398084628576674</v>
      </c>
      <c r="DQ141" s="41">
        <f t="shared" ca="1" si="2382"/>
        <v>0.2434298466265965</v>
      </c>
      <c r="DR141" s="41">
        <f t="shared" ca="1" si="2383"/>
        <v>4.121040401854556E-2</v>
      </c>
      <c r="DS141" s="41">
        <f t="shared" ca="1" si="2384"/>
        <v>0.32131379754710754</v>
      </c>
      <c r="DT141" s="41">
        <f t="shared" ca="1" si="2385"/>
        <v>0.10492557386538848</v>
      </c>
      <c r="DU141" s="41">
        <f t="shared" ca="1" si="2386"/>
        <v>4.4929531656595058E-2</v>
      </c>
      <c r="DV141" s="41">
        <f t="shared" ca="1" si="2387"/>
        <v>-6.9999999999999994E-5</v>
      </c>
      <c r="DW141" s="41">
        <f t="shared" ca="1" si="2388"/>
        <v>-8.0000000000000007E-5</v>
      </c>
      <c r="DX141" s="41">
        <f t="shared" ca="1" si="2389"/>
        <v>-9.0000000000000006E-5</v>
      </c>
      <c r="DY141" s="41">
        <f t="shared" ca="1" si="2390"/>
        <v>-1E-4</v>
      </c>
      <c r="DZ141" s="41">
        <f t="shared" ca="1" si="2391"/>
        <v>-1.1E-4</v>
      </c>
      <c r="EA141" s="41">
        <f t="shared" ca="1" si="2392"/>
        <v>-1.2E-4</v>
      </c>
      <c r="EB141" s="41">
        <f t="shared" ca="1" si="2393"/>
        <v>-1.2999999999999999E-4</v>
      </c>
      <c r="EC141" s="41">
        <f t="shared" ca="1" si="2394"/>
        <v>-1.3999999999999999E-4</v>
      </c>
      <c r="ED141" s="41">
        <f t="shared" ca="1" si="2395"/>
        <v>-1.4999999999999999E-4</v>
      </c>
      <c r="EE141" s="41">
        <f t="shared" ca="1" si="2396"/>
        <v>-1.6000000000000001E-4</v>
      </c>
      <c r="EF141" s="41">
        <f t="shared" ca="1" si="2397"/>
        <v>-1.7000000000000001E-4</v>
      </c>
      <c r="EG141" s="41">
        <f t="shared" ca="1" si="2398"/>
        <v>-1.8000000000000001E-4</v>
      </c>
      <c r="EH141" s="41">
        <f t="shared" ca="1" si="2399"/>
        <v>-1.9000000000000001E-4</v>
      </c>
      <c r="EI141" s="41">
        <f t="shared" ca="1" si="2400"/>
        <v>-2.0000000000000001E-4</v>
      </c>
      <c r="EJ141" s="41">
        <f t="shared" ca="1" si="2401"/>
        <v>0.9978999999999999</v>
      </c>
      <c r="EL141" s="378">
        <f t="shared" ca="1" si="2402"/>
        <v>2</v>
      </c>
      <c r="EM141" s="378">
        <f t="shared" ca="1" si="2403"/>
        <v>3</v>
      </c>
      <c r="EN141" s="378">
        <f t="shared" ca="1" si="2404"/>
        <v>6</v>
      </c>
      <c r="EO141" s="378">
        <f t="shared" ca="1" si="2405"/>
        <v>1</v>
      </c>
      <c r="EP141" s="378">
        <f t="shared" ca="1" si="2406"/>
        <v>4</v>
      </c>
      <c r="EQ141" s="378">
        <f t="shared" ca="1" si="2407"/>
        <v>5</v>
      </c>
      <c r="ER141" s="378">
        <f t="shared" ca="1" si="2408"/>
        <v>7</v>
      </c>
      <c r="ES141" s="378">
        <f t="shared" ca="1" si="2409"/>
        <v>8</v>
      </c>
      <c r="ET141" s="378">
        <f t="shared" ca="1" si="2410"/>
        <v>9</v>
      </c>
      <c r="EU141" s="378">
        <f t="shared" ca="1" si="2411"/>
        <v>10</v>
      </c>
      <c r="EV141" s="378">
        <f t="shared" ca="1" si="2412"/>
        <v>11</v>
      </c>
      <c r="EW141" s="378">
        <f t="shared" ca="1" si="2413"/>
        <v>12</v>
      </c>
      <c r="EX141" s="378">
        <f t="shared" ca="1" si="2414"/>
        <v>13</v>
      </c>
      <c r="EY141" s="378">
        <f t="shared" ca="1" si="2415"/>
        <v>14</v>
      </c>
      <c r="EZ141" s="378">
        <f t="shared" ca="1" si="2416"/>
        <v>15</v>
      </c>
      <c r="FA141" s="378">
        <f t="shared" ca="1" si="2417"/>
        <v>16</v>
      </c>
      <c r="FB141" s="378">
        <f t="shared" ca="1" si="2418"/>
        <v>17</v>
      </c>
      <c r="FC141" s="378">
        <f t="shared" ca="1" si="2419"/>
        <v>18</v>
      </c>
      <c r="FD141" s="378">
        <f t="shared" ca="1" si="2420"/>
        <v>19</v>
      </c>
      <c r="FE141" s="378">
        <f t="shared" ca="1" si="2421"/>
        <v>20</v>
      </c>
      <c r="FG141" s="378">
        <f t="shared" ca="1" si="2422"/>
        <v>4</v>
      </c>
      <c r="FH141" s="378">
        <f t="shared" ca="1" si="2422"/>
        <v>1</v>
      </c>
      <c r="FI141" s="378">
        <f t="shared" ca="1" si="2422"/>
        <v>2</v>
      </c>
      <c r="FJ141" s="378">
        <f t="shared" ca="1" si="2422"/>
        <v>5</v>
      </c>
      <c r="FK141" s="378">
        <f t="shared" ca="1" si="2422"/>
        <v>6</v>
      </c>
      <c r="FL141" s="378">
        <f t="shared" ca="1" si="2422"/>
        <v>3</v>
      </c>
      <c r="FM141" s="378">
        <f t="shared" ca="1" si="2422"/>
        <v>7</v>
      </c>
      <c r="FN141" s="378">
        <f t="shared" ca="1" si="2422"/>
        <v>8</v>
      </c>
      <c r="FO141" s="378">
        <f t="shared" ca="1" si="2422"/>
        <v>9</v>
      </c>
      <c r="FP141" s="378">
        <f t="shared" ca="1" si="2422"/>
        <v>10</v>
      </c>
      <c r="FQ141" s="378">
        <f t="shared" ca="1" si="2422"/>
        <v>11</v>
      </c>
      <c r="FR141" s="378">
        <f t="shared" ca="1" si="2422"/>
        <v>12</v>
      </c>
      <c r="FS141" s="378">
        <f t="shared" ca="1" si="2422"/>
        <v>13</v>
      </c>
      <c r="FT141" s="378">
        <f t="shared" ca="1" si="2422"/>
        <v>14</v>
      </c>
      <c r="FU141" s="378">
        <f t="shared" ca="1" si="2422"/>
        <v>15</v>
      </c>
      <c r="FV141" s="378">
        <f t="shared" ca="1" si="2422"/>
        <v>16</v>
      </c>
      <c r="FW141" s="378">
        <f t="shared" ca="1" si="2423"/>
        <v>17</v>
      </c>
      <c r="FX141" s="378">
        <f t="shared" ca="1" si="2423"/>
        <v>18</v>
      </c>
      <c r="FY141" s="378">
        <f t="shared" ca="1" si="2423"/>
        <v>19</v>
      </c>
      <c r="FZ141" s="378">
        <f t="shared" ca="1" si="2423"/>
        <v>20</v>
      </c>
      <c r="GB141" s="275" t="str">
        <f t="shared" ca="1" si="2424"/>
        <v>Enhance BI Platform (32%)</v>
      </c>
      <c r="GC141" s="231" t="str">
        <f t="shared" ca="1" si="2425"/>
        <v>; BI Applications (24%)</v>
      </c>
      <c r="GD141" s="231" t="str">
        <f t="shared" ca="1" si="2426"/>
        <v>; Source System Inclusion / Integration (24%)</v>
      </c>
      <c r="GE141" s="231" t="str">
        <f t="shared" ca="1" si="2427"/>
        <v>; Governance (10%)</v>
      </c>
      <c r="GF141" s="231" t="str">
        <f t="shared" ca="1" si="2428"/>
        <v/>
      </c>
      <c r="GG141" s="231" t="str">
        <f t="shared" ca="1" si="2429"/>
        <v/>
      </c>
      <c r="GH141" s="231" t="str">
        <f t="shared" ca="1" si="2430"/>
        <v/>
      </c>
      <c r="GI141" s="231" t="str">
        <f t="shared" ca="1" si="2431"/>
        <v/>
      </c>
      <c r="GJ141" s="231" t="str">
        <f t="shared" ca="1" si="2432"/>
        <v/>
      </c>
      <c r="GK141" s="231" t="str">
        <f t="shared" ca="1" si="2433"/>
        <v/>
      </c>
      <c r="GL141" s="231" t="str">
        <f t="shared" ca="1" si="2434"/>
        <v/>
      </c>
      <c r="GM141" s="231" t="str">
        <f t="shared" ca="1" si="2435"/>
        <v/>
      </c>
      <c r="GN141" s="231" t="str">
        <f t="shared" ca="1" si="2436"/>
        <v/>
      </c>
      <c r="GO141" s="231" t="str">
        <f t="shared" ca="1" si="2437"/>
        <v/>
      </c>
      <c r="GP141" s="231" t="str">
        <f t="shared" ca="1" si="2438"/>
        <v/>
      </c>
      <c r="GQ141" s="231" t="str">
        <f t="shared" ca="1" si="2439"/>
        <v/>
      </c>
      <c r="GR141" s="231" t="str">
        <f t="shared" ca="1" si="2440"/>
        <v/>
      </c>
      <c r="GS141" s="231" t="str">
        <f t="shared" ca="1" si="2441"/>
        <v/>
      </c>
      <c r="GT141" s="231" t="str">
        <f t="shared" ca="1" si="2442"/>
        <v/>
      </c>
      <c r="GU141" s="231" t="str">
        <f t="shared" ca="1" si="2443"/>
        <v/>
      </c>
      <c r="GW141" s="377">
        <f ca="1">IF(ISERROR(OFFSET(Initiatives!$D$1,E141-1,$CB$3)),,OFFSET(Initiatives!$D$1,E141-1,$CB$3))</f>
        <v>0.34166666666666662</v>
      </c>
      <c r="GX141" s="377">
        <f ca="1">IF(ISERROR(OFFSET(Initiatives!$D$1,F141-1,$CB$3)),,OFFSET(Initiatives!$D$1,F141-1,$CB$3))</f>
        <v>0.43181818181818177</v>
      </c>
      <c r="GY141" s="377">
        <f ca="1">IF(ISERROR(OFFSET(Initiatives!$D$1,G141-1,$CB$3)),,OFFSET(Initiatives!$D$1,G141-1,$CB$3))</f>
        <v>0.77</v>
      </c>
      <c r="GZ141" s="377">
        <f ca="1">IF(ISERROR(OFFSET(Initiatives!$D$1,H141-1,$CB$3)),,OFFSET(Initiatives!$D$1,H141-1,$CB$3))</f>
        <v>0.25</v>
      </c>
      <c r="HA141" s="377">
        <f ca="1">IF(ISERROR(OFFSET(Initiatives!$D$1,I141-1,$CB$3)),,OFFSET(Initiatives!$D$1,I141-1,$CB$3))</f>
        <v>0.65</v>
      </c>
      <c r="HB141" s="377">
        <f ca="1">IF(ISERROR(OFFSET(Initiatives!$D$1,J141-1,$CB$3)),,OFFSET(Initiatives!$D$1,J141-1,$CB$3))</f>
        <v>0.65</v>
      </c>
      <c r="HC141" s="377">
        <f ca="1">IF(ISERROR(OFFSET(Initiatives!$D$1,K141-1,$CB$3)),,OFFSET(Initiatives!$D$1,K141-1,$CB$3))</f>
        <v>0.65</v>
      </c>
      <c r="HD141" s="377">
        <f ca="1">IF(ISERROR(OFFSET(Initiatives!$D$1,L141-1,$CB$3)),,OFFSET(Initiatives!$D$1,L141-1,$CB$3))</f>
        <v>0</v>
      </c>
      <c r="HE141" s="377">
        <f ca="1">IF(ISERROR(OFFSET(Initiatives!$D$1,M141-1,$CB$3)),,OFFSET(Initiatives!$D$1,M141-1,$CB$3))</f>
        <v>0</v>
      </c>
      <c r="HF141" s="377">
        <f ca="1">IF(ISERROR(OFFSET(Initiatives!$D$1,N141-1,$CB$3)),,OFFSET(Initiatives!$D$1,N141-1,$CB$3))</f>
        <v>0</v>
      </c>
      <c r="HG141" s="377">
        <f ca="1">IF(ISERROR(OFFSET(Initiatives!$D$1,O141-1,$CB$3)),,OFFSET(Initiatives!$D$1,O141-1,$CB$3))</f>
        <v>0</v>
      </c>
      <c r="HH141" s="377">
        <f ca="1">IF(ISERROR(OFFSET(Initiatives!$D$1,P141-1,$CB$3)),,OFFSET(Initiatives!$D$1,P141-1,$CB$3))</f>
        <v>0</v>
      </c>
      <c r="HI141" s="377">
        <f ca="1">IF(ISERROR(OFFSET(Initiatives!$D$1,Q141-1,$CB$3)),,OFFSET(Initiatives!$D$1,Q141-1,$CB$3))</f>
        <v>0</v>
      </c>
      <c r="HJ141" s="377">
        <f ca="1">IF(ISERROR(OFFSET(Initiatives!$D$1,R141-1,$CB$3)),,OFFSET(Initiatives!$D$1,R141-1,$CB$3))</f>
        <v>0</v>
      </c>
      <c r="HK141" s="377">
        <f ca="1">IF(ISERROR(OFFSET(Initiatives!$D$1,S141-1,$CB$3)),,OFFSET(Initiatives!$D$1,S141-1,$CB$3))</f>
        <v>0</v>
      </c>
      <c r="HL141" s="377">
        <f ca="1">IF(ISERROR(OFFSET(Initiatives!$D$1,T141-1,$CB$3)),,OFFSET(Initiatives!$D$1,T141-1,$CB$3))</f>
        <v>0</v>
      </c>
      <c r="HM141" s="377">
        <f ca="1">IF(ISERROR(OFFSET(Initiatives!$D$1,U141-1,$CB$3)),,OFFSET(Initiatives!$D$1,U141-1,$CB$3))</f>
        <v>0</v>
      </c>
      <c r="HN141" s="377">
        <f ca="1">IF(ISERROR(OFFSET(Initiatives!$D$1,V141-1,$CB$3)),,OFFSET(Initiatives!$D$1,V141-1,$CB$3))</f>
        <v>0</v>
      </c>
      <c r="HO141" s="377">
        <f ca="1">IF(ISERROR(OFFSET(Initiatives!$D$1,W141-1,$CB$3)),,OFFSET(Initiatives!$D$1,W141-1,$CB$3))</f>
        <v>0</v>
      </c>
      <c r="HP141" s="377">
        <f ca="1">IF(ISERROR(OFFSET(Initiatives!$D$1,X141-1,$CB$3)),,OFFSET(Initiatives!$D$1,X141-1,$CB$3))</f>
        <v>0</v>
      </c>
      <c r="HR141" s="41">
        <f t="shared" ca="1" si="2444"/>
        <v>5.6944254630262335E-2</v>
      </c>
      <c r="HS141" s="41">
        <f t="shared" ca="1" si="2445"/>
        <v>7.1969457071506718E-2</v>
      </c>
      <c r="HT141" s="41">
        <f t="shared" ca="1" si="2446"/>
        <v>0.12833290555698149</v>
      </c>
      <c r="HU141" s="41">
        <f t="shared" ca="1" si="2447"/>
        <v>4.1666527778240738E-2</v>
      </c>
      <c r="HV141" s="41">
        <f t="shared" ca="1" si="2448"/>
        <v>0.15166616111279629</v>
      </c>
      <c r="HW141" s="41">
        <f t="shared" ca="1" si="2449"/>
        <v>6.4999783334055566E-2</v>
      </c>
      <c r="HX141" s="41">
        <f t="shared" ca="1" si="2450"/>
        <v>0</v>
      </c>
      <c r="HY141" s="41">
        <f t="shared" ca="1" si="2451"/>
        <v>0</v>
      </c>
      <c r="HZ141" s="41">
        <f t="shared" ca="1" si="2452"/>
        <v>0</v>
      </c>
      <c r="IA141" s="41">
        <f t="shared" ca="1" si="2453"/>
        <v>0</v>
      </c>
      <c r="IB141" s="41">
        <f t="shared" ca="1" si="2454"/>
        <v>0</v>
      </c>
      <c r="IC141" s="41">
        <f t="shared" ca="1" si="2455"/>
        <v>0</v>
      </c>
      <c r="ID141" s="41">
        <f t="shared" ca="1" si="2456"/>
        <v>0</v>
      </c>
      <c r="IE141" s="41">
        <f t="shared" ca="1" si="2457"/>
        <v>0</v>
      </c>
      <c r="IF141" s="41">
        <f t="shared" ca="1" si="2458"/>
        <v>0</v>
      </c>
      <c r="IG141" s="41">
        <f t="shared" ca="1" si="2459"/>
        <v>0</v>
      </c>
      <c r="IH141" s="41">
        <f t="shared" ca="1" si="2460"/>
        <v>0</v>
      </c>
      <c r="II141" s="41">
        <f t="shared" ca="1" si="2461"/>
        <v>0</v>
      </c>
      <c r="IJ141" s="41">
        <f t="shared" ca="1" si="2462"/>
        <v>0</v>
      </c>
      <c r="IK141" s="41">
        <f t="shared" ca="1" si="2463"/>
        <v>0</v>
      </c>
      <c r="IL141" s="41">
        <f t="shared" ca="1" si="2464"/>
        <v>0.51557908948384312</v>
      </c>
    </row>
    <row r="142" spans="1:246" s="409" customFormat="1" ht="13.5" hidden="1" customHeight="1">
      <c r="B142" s="373"/>
      <c r="C142" s="81" t="str">
        <f>Maturity!B28</f>
        <v>Which best describes the overall SUCCESS of your group's BI/DW program?</v>
      </c>
      <c r="D142" s="404">
        <f t="shared" ca="1" si="2354"/>
        <v>0.39677326865890916</v>
      </c>
      <c r="E142" s="374">
        <f>ROW(Initiatives!$A$170)</f>
        <v>170</v>
      </c>
      <c r="F142" s="374">
        <f>ROW(Initiatives!$A$176)</f>
        <v>176</v>
      </c>
      <c r="G142" s="374">
        <f>ROW(Initiatives!$A$183)</f>
        <v>183</v>
      </c>
      <c r="H142" s="374">
        <f>ROW(Initiatives!$A$189)</f>
        <v>189</v>
      </c>
      <c r="I142" s="374"/>
      <c r="J142" s="374"/>
      <c r="K142" s="374"/>
      <c r="L142" s="374"/>
      <c r="M142" s="374"/>
      <c r="N142" s="374"/>
      <c r="O142" s="374" t="s">
        <v>975</v>
      </c>
      <c r="P142" s="374" t="s">
        <v>975</v>
      </c>
      <c r="Q142" s="374" t="s">
        <v>975</v>
      </c>
      <c r="R142" s="374" t="s">
        <v>975</v>
      </c>
      <c r="S142" s="374" t="s">
        <v>975</v>
      </c>
      <c r="T142" s="374" t="s">
        <v>975</v>
      </c>
      <c r="U142" s="374" t="s">
        <v>975</v>
      </c>
      <c r="V142" s="374" t="s">
        <v>975</v>
      </c>
      <c r="W142" s="374" t="s">
        <v>975</v>
      </c>
      <c r="X142" s="374" t="s">
        <v>975</v>
      </c>
      <c r="Y142" s="392" t="str">
        <f ca="1">OFFSET(Initiatives!$D$1,E142-1,$BS$3)</f>
        <v>BI Applications</v>
      </c>
      <c r="Z142" s="375">
        <v>5</v>
      </c>
      <c r="AA142" s="392" t="str">
        <f ca="1">OFFSET(Initiatives!$D$1,F142-1,$BS$3)</f>
        <v>Source System Inclusion / Integration</v>
      </c>
      <c r="AB142" s="375">
        <v>5</v>
      </c>
      <c r="AC142" s="392" t="str">
        <f ca="1">OFFSET(Initiatives!$D$1,G142-1,$BS$3)</f>
        <v>Enhance DW Platform</v>
      </c>
      <c r="AD142" s="375">
        <v>5</v>
      </c>
      <c r="AE142" s="392" t="str">
        <f ca="1">OFFSET(Initiatives!$D$1,H142-1,$BS$3)</f>
        <v>Enhance BI Platform</v>
      </c>
      <c r="AF142" s="375">
        <v>5</v>
      </c>
      <c r="AG142" s="392" t="e">
        <f ca="1">OFFSET(Initiatives!$D$1,I142-1,$BS$3)</f>
        <v>#REF!</v>
      </c>
      <c r="AH142" s="375"/>
      <c r="AI142" s="392" t="e">
        <f ca="1">OFFSET(Initiatives!$D$1,J142-1,$BS$3)</f>
        <v>#REF!</v>
      </c>
      <c r="AJ142" s="375"/>
      <c r="AK142" s="392" t="e">
        <f ca="1">OFFSET(Initiatives!$D$1,K142-1,$BS$3)</f>
        <v>#REF!</v>
      </c>
      <c r="AL142" s="375"/>
      <c r="AM142" s="392" t="e">
        <f ca="1">OFFSET(Initiatives!$D$1,L142-1,$BS$3)</f>
        <v>#REF!</v>
      </c>
      <c r="AN142" s="375"/>
      <c r="AO142" s="392" t="e">
        <f ca="1">OFFSET(Initiatives!$D$1,M142-1,$BS$3)</f>
        <v>#REF!</v>
      </c>
      <c r="AP142" s="375"/>
      <c r="AQ142" s="392" t="e">
        <f ca="1">OFFSET(Initiatives!$D$1,N142-1,$BS$3)</f>
        <v>#REF!</v>
      </c>
      <c r="AR142" s="375"/>
      <c r="AS142" s="392" t="e">
        <f ca="1">OFFSET(Initiatives!$D$1,O142-1,$BS$3)</f>
        <v>#VALUE!</v>
      </c>
      <c r="AT142" s="375"/>
      <c r="AU142" s="392" t="e">
        <f ca="1">OFFSET(Initiatives!$D$1,P142-1,$BS$3)</f>
        <v>#VALUE!</v>
      </c>
      <c r="AV142" s="375"/>
      <c r="AW142" s="392" t="e">
        <f ca="1">OFFSET(Initiatives!$D$1,Q142-1,$BS$3)</f>
        <v>#VALUE!</v>
      </c>
      <c r="AX142" s="375"/>
      <c r="AY142" s="392" t="e">
        <f ca="1">OFFSET(Initiatives!$D$1,R142-1,$BS$3)</f>
        <v>#VALUE!</v>
      </c>
      <c r="AZ142" s="375"/>
      <c r="BA142" s="392" t="e">
        <f ca="1">OFFSET(Initiatives!$D$1,S142-1,$BS$3)</f>
        <v>#VALUE!</v>
      </c>
      <c r="BB142" s="375"/>
      <c r="BC142" s="392" t="e">
        <f ca="1">OFFSET(Initiatives!$D$1,T142-1,$BS$3)</f>
        <v>#VALUE!</v>
      </c>
      <c r="BD142" s="375"/>
      <c r="BE142" s="392" t="e">
        <f ca="1">OFFSET(Initiatives!$D$1,U142-1,$BS$3)</f>
        <v>#VALUE!</v>
      </c>
      <c r="BF142" s="375"/>
      <c r="BG142" s="392" t="e">
        <f ca="1">OFFSET(Initiatives!$D$1,V142-1,$BS$3)</f>
        <v>#VALUE!</v>
      </c>
      <c r="BH142" s="375"/>
      <c r="BI142" s="392" t="e">
        <f ca="1">OFFSET(Initiatives!$D$1,W142-1,$BS$3)</f>
        <v>#VALUE!</v>
      </c>
      <c r="BJ142" s="375"/>
      <c r="BK142" s="392" t="e">
        <f ca="1">OFFSET(Initiatives!$D$1,X142-1,$BS$3)</f>
        <v>#VALUE!</v>
      </c>
      <c r="BL142" s="375"/>
      <c r="BN142" s="101">
        <f t="shared" si="2355"/>
        <v>20.0001</v>
      </c>
      <c r="BP142" s="231" t="str">
        <f t="shared" ca="1" si="2356"/>
        <v>Enhance BI Platform (38%); BI Applications (29%); Source System Inclusion / Integration (29%)</v>
      </c>
      <c r="BQ142" s="338">
        <v>0.01</v>
      </c>
      <c r="BR142" s="40">
        <f t="shared" ca="1" si="2357"/>
        <v>4</v>
      </c>
      <c r="BS142" s="274">
        <v>0.05</v>
      </c>
      <c r="BT142" s="40">
        <f t="shared" ca="1" si="2358"/>
        <v>3</v>
      </c>
      <c r="BU142" s="376">
        <v>7</v>
      </c>
      <c r="BV142" s="40">
        <f t="shared" ca="1" si="2359"/>
        <v>3</v>
      </c>
      <c r="BY142" s="377">
        <f ca="1">IF(ISERROR(OFFSET(Initiatives!$D$1,E142-1,$BY$3)),,OFFSET(Initiatives!$D$1,E142-1,$BY$3))</f>
        <v>0.45555555555555544</v>
      </c>
      <c r="BZ142" s="377">
        <f ca="1">IF(ISERROR(OFFSET(Initiatives!$D$1,F142-1,$BY$3)),,OFFSET(Initiatives!$D$1,F142-1,$BY$3))</f>
        <v>0.45454545454545436</v>
      </c>
      <c r="CA142" s="377">
        <f ca="1">IF(ISERROR(OFFSET(Initiatives!$D$1,G142-1,$BY$3)),,OFFSET(Initiatives!$D$1,G142-1,$BY$3))</f>
        <v>7.7000000000000179E-2</v>
      </c>
      <c r="CB142" s="377">
        <f ca="1">IF(ISERROR(OFFSET(Initiatives!$D$1,H142-1,$BY$3)),,OFFSET(Initiatives!$D$1,H142-1,$BY$3))</f>
        <v>0.6</v>
      </c>
      <c r="CC142" s="377">
        <f ca="1">IF(ISERROR(OFFSET(Initiatives!$D$1,I142-1,$BY$3)),,OFFSET(Initiatives!$D$1,I142-1,$BY$3))</f>
        <v>0</v>
      </c>
      <c r="CD142" s="377">
        <f ca="1">IF(ISERROR(OFFSET(Initiatives!$D$1,J142-1,$BY$3)),,OFFSET(Initiatives!$D$1,J142-1,$BY$3))</f>
        <v>0</v>
      </c>
      <c r="CE142" s="377">
        <f ca="1">IF(ISERROR(OFFSET(Initiatives!$D$1,K142-1,$BY$3)),,OFFSET(Initiatives!$D$1,K142-1,$BY$3))</f>
        <v>0</v>
      </c>
      <c r="CF142" s="377">
        <f ca="1">IF(ISERROR(OFFSET(Initiatives!$D$1,L142-1,$BY$3)),,OFFSET(Initiatives!$D$1,L142-1,$BY$3))</f>
        <v>0</v>
      </c>
      <c r="CG142" s="377">
        <f ca="1">IF(ISERROR(OFFSET(Initiatives!$D$1,M142-1,$BY$3)),,OFFSET(Initiatives!$D$1,M142-1,$BY$3))</f>
        <v>0</v>
      </c>
      <c r="CH142" s="377">
        <f ca="1">IF(ISERROR(OFFSET(Initiatives!$D$1,N142-1,$BY$3)),,OFFSET(Initiatives!$D$1,N142-1,$BY$3))</f>
        <v>0</v>
      </c>
      <c r="CI142" s="377">
        <f ca="1">IF(ISERROR(OFFSET(Initiatives!$D$1,O142-1,$BY$3)),,OFFSET(Initiatives!$D$1,O142-1,$BY$3))</f>
        <v>0</v>
      </c>
      <c r="CJ142" s="377">
        <f ca="1">IF(ISERROR(OFFSET(Initiatives!$D$1,P142-1,$BY$3)),,OFFSET(Initiatives!$D$1,P142-1,$BY$3))</f>
        <v>0</v>
      </c>
      <c r="CK142" s="377">
        <f ca="1">IF(ISERROR(OFFSET(Initiatives!$D$1,Q142-1,$BY$3)),,OFFSET(Initiatives!$D$1,Q142-1,$BY$3))</f>
        <v>0</v>
      </c>
      <c r="CL142" s="377">
        <f ca="1">IF(ISERROR(OFFSET(Initiatives!$D$1,R142-1,$BY$3)),,OFFSET(Initiatives!$D$1,R142-1,$BY$3))</f>
        <v>0</v>
      </c>
      <c r="CM142" s="377">
        <f ca="1">IF(ISERROR(OFFSET(Initiatives!$D$1,S142-1,$BY$3)),,OFFSET(Initiatives!$D$1,S142-1,$BY$3))</f>
        <v>0</v>
      </c>
      <c r="CN142" s="377">
        <f ca="1">IF(ISERROR(OFFSET(Initiatives!$D$1,T142-1,$BY$3)),,OFFSET(Initiatives!$D$1,T142-1,$BY$3))</f>
        <v>0</v>
      </c>
      <c r="CO142" s="377">
        <f ca="1">IF(ISERROR(OFFSET(Initiatives!$D$1,U142-1,$BY$3)),,OFFSET(Initiatives!$D$1,U142-1,$BY$3))</f>
        <v>0</v>
      </c>
      <c r="CP142" s="377">
        <f ca="1">IF(ISERROR(OFFSET(Initiatives!$D$1,V142-1,$BY$3)),,OFFSET(Initiatives!$D$1,V142-1,$BY$3))</f>
        <v>0</v>
      </c>
      <c r="CQ142" s="377">
        <f ca="1">IF(ISERROR(OFFSET(Initiatives!$D$1,W142-1,$BY$3)),,OFFSET(Initiatives!$D$1,W142-1,$BY$3))</f>
        <v>0</v>
      </c>
      <c r="CR142" s="377">
        <f ca="1">IF(ISERROR(OFFSET(Initiatives!$D$1,X142-1,$BY$3)),,OFFSET(Initiatives!$D$1,X142-1,$BY$3))</f>
        <v>0</v>
      </c>
      <c r="CT142" s="41">
        <f t="shared" ca="1" si="2360"/>
        <v>0.11388831944729162</v>
      </c>
      <c r="CU142" s="41">
        <f t="shared" ca="1" si="2361"/>
        <v>0.11363579545738629</v>
      </c>
      <c r="CV142" s="41">
        <f t="shared" ca="1" si="2362"/>
        <v>1.9249903750481294E-2</v>
      </c>
      <c r="CW142" s="41">
        <f t="shared" ca="1" si="2363"/>
        <v>0.14999925000374997</v>
      </c>
      <c r="CX142" s="41">
        <f t="shared" ca="1" si="2364"/>
        <v>0</v>
      </c>
      <c r="CY142" s="41">
        <f t="shared" ca="1" si="2365"/>
        <v>0</v>
      </c>
      <c r="CZ142" s="41">
        <f t="shared" ca="1" si="2366"/>
        <v>0</v>
      </c>
      <c r="DA142" s="41">
        <f t="shared" ca="1" si="2367"/>
        <v>0</v>
      </c>
      <c r="DB142" s="41">
        <f t="shared" ca="1" si="2368"/>
        <v>0</v>
      </c>
      <c r="DC142" s="41">
        <f t="shared" ca="1" si="2369"/>
        <v>0</v>
      </c>
      <c r="DD142" s="41">
        <f t="shared" ca="1" si="2370"/>
        <v>0</v>
      </c>
      <c r="DE142" s="41">
        <f t="shared" ca="1" si="2371"/>
        <v>0</v>
      </c>
      <c r="DF142" s="41">
        <f t="shared" ca="1" si="2372"/>
        <v>0</v>
      </c>
      <c r="DG142" s="41">
        <f t="shared" ca="1" si="2373"/>
        <v>0</v>
      </c>
      <c r="DH142" s="41">
        <f t="shared" ca="1" si="2374"/>
        <v>0</v>
      </c>
      <c r="DI142" s="41">
        <f t="shared" ca="1" si="2375"/>
        <v>0</v>
      </c>
      <c r="DJ142" s="41">
        <f t="shared" ca="1" si="2376"/>
        <v>0</v>
      </c>
      <c r="DK142" s="41">
        <f t="shared" ca="1" si="2377"/>
        <v>0</v>
      </c>
      <c r="DL142" s="41">
        <f t="shared" ca="1" si="2378"/>
        <v>0</v>
      </c>
      <c r="DM142" s="41">
        <f t="shared" ca="1" si="2379"/>
        <v>0</v>
      </c>
      <c r="DN142" s="41">
        <f t="shared" ca="1" si="2380"/>
        <v>0.39677326865890916</v>
      </c>
      <c r="DP142" s="41">
        <f t="shared" ca="1" si="2381"/>
        <v>0.28702627094696509</v>
      </c>
      <c r="DQ142" s="41">
        <f t="shared" ca="1" si="2382"/>
        <v>0.28637982688721564</v>
      </c>
      <c r="DR142" s="41">
        <f t="shared" ca="1" si="2383"/>
        <v>4.8486130674694469E-2</v>
      </c>
      <c r="DS142" s="41">
        <f t="shared" ca="1" si="2384"/>
        <v>0.37800777149112486</v>
      </c>
      <c r="DT142" s="41">
        <f t="shared" ca="1" si="2385"/>
        <v>-5.0000000000000002E-5</v>
      </c>
      <c r="DU142" s="41">
        <f t="shared" ca="1" si="2386"/>
        <v>-6.0000000000000002E-5</v>
      </c>
      <c r="DV142" s="41">
        <f t="shared" ca="1" si="2387"/>
        <v>-6.9999999999999994E-5</v>
      </c>
      <c r="DW142" s="41">
        <f t="shared" ca="1" si="2388"/>
        <v>-8.0000000000000007E-5</v>
      </c>
      <c r="DX142" s="41">
        <f t="shared" ca="1" si="2389"/>
        <v>-9.0000000000000006E-5</v>
      </c>
      <c r="DY142" s="41">
        <f t="shared" ca="1" si="2390"/>
        <v>-1E-4</v>
      </c>
      <c r="DZ142" s="41">
        <f t="shared" ca="1" si="2391"/>
        <v>-1.1E-4</v>
      </c>
      <c r="EA142" s="41">
        <f t="shared" ca="1" si="2392"/>
        <v>-1.2E-4</v>
      </c>
      <c r="EB142" s="41">
        <f t="shared" ca="1" si="2393"/>
        <v>-1.2999999999999999E-4</v>
      </c>
      <c r="EC142" s="41">
        <f t="shared" ca="1" si="2394"/>
        <v>-1.3999999999999999E-4</v>
      </c>
      <c r="ED142" s="41">
        <f t="shared" ca="1" si="2395"/>
        <v>-1.4999999999999999E-4</v>
      </c>
      <c r="EE142" s="41">
        <f t="shared" ca="1" si="2396"/>
        <v>-1.6000000000000001E-4</v>
      </c>
      <c r="EF142" s="41">
        <f t="shared" ca="1" si="2397"/>
        <v>-1.7000000000000001E-4</v>
      </c>
      <c r="EG142" s="41">
        <f t="shared" ca="1" si="2398"/>
        <v>-1.8000000000000001E-4</v>
      </c>
      <c r="EH142" s="41">
        <f t="shared" ca="1" si="2399"/>
        <v>-1.9000000000000001E-4</v>
      </c>
      <c r="EI142" s="41">
        <f t="shared" ca="1" si="2400"/>
        <v>-2.0000000000000001E-4</v>
      </c>
      <c r="EJ142" s="41">
        <f t="shared" ca="1" si="2401"/>
        <v>0.99790000000000001</v>
      </c>
      <c r="EL142" s="378">
        <f t="shared" ca="1" si="2402"/>
        <v>2</v>
      </c>
      <c r="EM142" s="378">
        <f t="shared" ca="1" si="2403"/>
        <v>3</v>
      </c>
      <c r="EN142" s="378">
        <f t="shared" ca="1" si="2404"/>
        <v>4</v>
      </c>
      <c r="EO142" s="378">
        <f t="shared" ca="1" si="2405"/>
        <v>1</v>
      </c>
      <c r="EP142" s="378">
        <f t="shared" ca="1" si="2406"/>
        <v>5</v>
      </c>
      <c r="EQ142" s="378">
        <f t="shared" ca="1" si="2407"/>
        <v>6</v>
      </c>
      <c r="ER142" s="378">
        <f t="shared" ca="1" si="2408"/>
        <v>7</v>
      </c>
      <c r="ES142" s="378">
        <f t="shared" ca="1" si="2409"/>
        <v>8</v>
      </c>
      <c r="ET142" s="378">
        <f t="shared" ca="1" si="2410"/>
        <v>9</v>
      </c>
      <c r="EU142" s="378">
        <f t="shared" ca="1" si="2411"/>
        <v>10</v>
      </c>
      <c r="EV142" s="378">
        <f t="shared" ca="1" si="2412"/>
        <v>11</v>
      </c>
      <c r="EW142" s="378">
        <f t="shared" ca="1" si="2413"/>
        <v>12</v>
      </c>
      <c r="EX142" s="378">
        <f t="shared" ca="1" si="2414"/>
        <v>13</v>
      </c>
      <c r="EY142" s="378">
        <f t="shared" ca="1" si="2415"/>
        <v>14</v>
      </c>
      <c r="EZ142" s="378">
        <f t="shared" ca="1" si="2416"/>
        <v>15</v>
      </c>
      <c r="FA142" s="378">
        <f t="shared" ca="1" si="2417"/>
        <v>16</v>
      </c>
      <c r="FB142" s="378">
        <f t="shared" ca="1" si="2418"/>
        <v>17</v>
      </c>
      <c r="FC142" s="378">
        <f t="shared" ca="1" si="2419"/>
        <v>18</v>
      </c>
      <c r="FD142" s="378">
        <f t="shared" ca="1" si="2420"/>
        <v>19</v>
      </c>
      <c r="FE142" s="378">
        <f t="shared" ca="1" si="2421"/>
        <v>20</v>
      </c>
      <c r="FG142" s="378">
        <f t="shared" ca="1" si="2422"/>
        <v>4</v>
      </c>
      <c r="FH142" s="378">
        <f t="shared" ca="1" si="2422"/>
        <v>1</v>
      </c>
      <c r="FI142" s="378">
        <f t="shared" ca="1" si="2422"/>
        <v>2</v>
      </c>
      <c r="FJ142" s="378">
        <f t="shared" ca="1" si="2422"/>
        <v>3</v>
      </c>
      <c r="FK142" s="378">
        <f t="shared" ca="1" si="2422"/>
        <v>5</v>
      </c>
      <c r="FL142" s="378">
        <f t="shared" ca="1" si="2422"/>
        <v>6</v>
      </c>
      <c r="FM142" s="378">
        <f t="shared" ca="1" si="2422"/>
        <v>7</v>
      </c>
      <c r="FN142" s="378">
        <f t="shared" ca="1" si="2422"/>
        <v>8</v>
      </c>
      <c r="FO142" s="378">
        <f t="shared" ca="1" si="2422"/>
        <v>9</v>
      </c>
      <c r="FP142" s="378">
        <f t="shared" ca="1" si="2422"/>
        <v>10</v>
      </c>
      <c r="FQ142" s="378">
        <f t="shared" ca="1" si="2422"/>
        <v>11</v>
      </c>
      <c r="FR142" s="378">
        <f t="shared" ca="1" si="2422"/>
        <v>12</v>
      </c>
      <c r="FS142" s="378">
        <f t="shared" ca="1" si="2422"/>
        <v>13</v>
      </c>
      <c r="FT142" s="378">
        <f t="shared" ca="1" si="2422"/>
        <v>14</v>
      </c>
      <c r="FU142" s="378">
        <f t="shared" ca="1" si="2422"/>
        <v>15</v>
      </c>
      <c r="FV142" s="378">
        <f t="shared" ca="1" si="2422"/>
        <v>16</v>
      </c>
      <c r="FW142" s="378">
        <f t="shared" ca="1" si="2423"/>
        <v>17</v>
      </c>
      <c r="FX142" s="378">
        <f t="shared" ca="1" si="2423"/>
        <v>18</v>
      </c>
      <c r="FY142" s="378">
        <f t="shared" ca="1" si="2423"/>
        <v>19</v>
      </c>
      <c r="FZ142" s="378">
        <f t="shared" ca="1" si="2423"/>
        <v>20</v>
      </c>
      <c r="GB142" s="275" t="str">
        <f t="shared" ca="1" si="2424"/>
        <v>Enhance BI Platform (38%)</v>
      </c>
      <c r="GC142" s="231" t="str">
        <f t="shared" ca="1" si="2425"/>
        <v>; BI Applications (29%)</v>
      </c>
      <c r="GD142" s="231" t="str">
        <f t="shared" ca="1" si="2426"/>
        <v>; Source System Inclusion / Integration (29%)</v>
      </c>
      <c r="GE142" s="231" t="str">
        <f t="shared" ca="1" si="2427"/>
        <v/>
      </c>
      <c r="GF142" s="231" t="str">
        <f t="shared" ca="1" si="2428"/>
        <v/>
      </c>
      <c r="GG142" s="231" t="str">
        <f t="shared" ca="1" si="2429"/>
        <v/>
      </c>
      <c r="GH142" s="231" t="str">
        <f t="shared" ca="1" si="2430"/>
        <v/>
      </c>
      <c r="GI142" s="231" t="str">
        <f t="shared" ca="1" si="2431"/>
        <v/>
      </c>
      <c r="GJ142" s="231" t="str">
        <f t="shared" ca="1" si="2432"/>
        <v/>
      </c>
      <c r="GK142" s="231" t="str">
        <f t="shared" ca="1" si="2433"/>
        <v/>
      </c>
      <c r="GL142" s="231" t="str">
        <f t="shared" ca="1" si="2434"/>
        <v/>
      </c>
      <c r="GM142" s="231" t="str">
        <f t="shared" ca="1" si="2435"/>
        <v/>
      </c>
      <c r="GN142" s="231" t="str">
        <f t="shared" ca="1" si="2436"/>
        <v/>
      </c>
      <c r="GO142" s="231" t="str">
        <f t="shared" ca="1" si="2437"/>
        <v/>
      </c>
      <c r="GP142" s="231" t="str">
        <f t="shared" ca="1" si="2438"/>
        <v/>
      </c>
      <c r="GQ142" s="231" t="str">
        <f t="shared" ca="1" si="2439"/>
        <v/>
      </c>
      <c r="GR142" s="231" t="str">
        <f t="shared" ca="1" si="2440"/>
        <v/>
      </c>
      <c r="GS142" s="231" t="str">
        <f t="shared" ca="1" si="2441"/>
        <v/>
      </c>
      <c r="GT142" s="231" t="str">
        <f t="shared" ca="1" si="2442"/>
        <v/>
      </c>
      <c r="GU142" s="231" t="str">
        <f t="shared" ca="1" si="2443"/>
        <v/>
      </c>
      <c r="GW142" s="377">
        <f ca="1">IF(ISERROR(OFFSET(Initiatives!$D$1,E142-1,$CB$3)),,OFFSET(Initiatives!$D$1,E142-1,$CB$3))</f>
        <v>0.34166666666666662</v>
      </c>
      <c r="GX142" s="377">
        <f ca="1">IF(ISERROR(OFFSET(Initiatives!$D$1,F142-1,$CB$3)),,OFFSET(Initiatives!$D$1,F142-1,$CB$3))</f>
        <v>0.43181818181818177</v>
      </c>
      <c r="GY142" s="377">
        <f ca="1">IF(ISERROR(OFFSET(Initiatives!$D$1,G142-1,$CB$3)),,OFFSET(Initiatives!$D$1,G142-1,$CB$3))</f>
        <v>0.77</v>
      </c>
      <c r="GZ142" s="377">
        <f ca="1">IF(ISERROR(OFFSET(Initiatives!$D$1,H142-1,$CB$3)),,OFFSET(Initiatives!$D$1,H142-1,$CB$3))</f>
        <v>0.25</v>
      </c>
      <c r="HA142" s="377">
        <f ca="1">IF(ISERROR(OFFSET(Initiatives!$D$1,I142-1,$CB$3)),,OFFSET(Initiatives!$D$1,I142-1,$CB$3))</f>
        <v>0</v>
      </c>
      <c r="HB142" s="377">
        <f ca="1">IF(ISERROR(OFFSET(Initiatives!$D$1,J142-1,$CB$3)),,OFFSET(Initiatives!$D$1,J142-1,$CB$3))</f>
        <v>0</v>
      </c>
      <c r="HC142" s="377">
        <f ca="1">IF(ISERROR(OFFSET(Initiatives!$D$1,K142-1,$CB$3)),,OFFSET(Initiatives!$D$1,K142-1,$CB$3))</f>
        <v>0</v>
      </c>
      <c r="HD142" s="377">
        <f ca="1">IF(ISERROR(OFFSET(Initiatives!$D$1,L142-1,$CB$3)),,OFFSET(Initiatives!$D$1,L142-1,$CB$3))</f>
        <v>0</v>
      </c>
      <c r="HE142" s="377">
        <f ca="1">IF(ISERROR(OFFSET(Initiatives!$D$1,M142-1,$CB$3)),,OFFSET(Initiatives!$D$1,M142-1,$CB$3))</f>
        <v>0</v>
      </c>
      <c r="HF142" s="377">
        <f ca="1">IF(ISERROR(OFFSET(Initiatives!$D$1,N142-1,$CB$3)),,OFFSET(Initiatives!$D$1,N142-1,$CB$3))</f>
        <v>0</v>
      </c>
      <c r="HG142" s="377">
        <f ca="1">IF(ISERROR(OFFSET(Initiatives!$D$1,O142-1,$CB$3)),,OFFSET(Initiatives!$D$1,O142-1,$CB$3))</f>
        <v>0</v>
      </c>
      <c r="HH142" s="377">
        <f ca="1">IF(ISERROR(OFFSET(Initiatives!$D$1,P142-1,$CB$3)),,OFFSET(Initiatives!$D$1,P142-1,$CB$3))</f>
        <v>0</v>
      </c>
      <c r="HI142" s="377">
        <f ca="1">IF(ISERROR(OFFSET(Initiatives!$D$1,Q142-1,$CB$3)),,OFFSET(Initiatives!$D$1,Q142-1,$CB$3))</f>
        <v>0</v>
      </c>
      <c r="HJ142" s="377">
        <f ca="1">IF(ISERROR(OFFSET(Initiatives!$D$1,R142-1,$CB$3)),,OFFSET(Initiatives!$D$1,R142-1,$CB$3))</f>
        <v>0</v>
      </c>
      <c r="HK142" s="377">
        <f ca="1">IF(ISERROR(OFFSET(Initiatives!$D$1,S142-1,$CB$3)),,OFFSET(Initiatives!$D$1,S142-1,$CB$3))</f>
        <v>0</v>
      </c>
      <c r="HL142" s="377">
        <f ca="1">IF(ISERROR(OFFSET(Initiatives!$D$1,T142-1,$CB$3)),,OFFSET(Initiatives!$D$1,T142-1,$CB$3))</f>
        <v>0</v>
      </c>
      <c r="HM142" s="377">
        <f ca="1">IF(ISERROR(OFFSET(Initiatives!$D$1,U142-1,$CB$3)),,OFFSET(Initiatives!$D$1,U142-1,$CB$3))</f>
        <v>0</v>
      </c>
      <c r="HN142" s="377">
        <f ca="1">IF(ISERROR(OFFSET(Initiatives!$D$1,V142-1,$CB$3)),,OFFSET(Initiatives!$D$1,V142-1,$CB$3))</f>
        <v>0</v>
      </c>
      <c r="HO142" s="377">
        <f ca="1">IF(ISERROR(OFFSET(Initiatives!$D$1,W142-1,$CB$3)),,OFFSET(Initiatives!$D$1,W142-1,$CB$3))</f>
        <v>0</v>
      </c>
      <c r="HP142" s="377">
        <f ca="1">IF(ISERROR(OFFSET(Initiatives!$D$1,X142-1,$CB$3)),,OFFSET(Initiatives!$D$1,X142-1,$CB$3))</f>
        <v>0</v>
      </c>
      <c r="HR142" s="41">
        <f t="shared" ca="1" si="2444"/>
        <v>8.541623958546872E-2</v>
      </c>
      <c r="HS142" s="41">
        <f t="shared" ca="1" si="2445"/>
        <v>0.10795400568451702</v>
      </c>
      <c r="HT142" s="41">
        <f t="shared" ca="1" si="2446"/>
        <v>0.19249903750481248</v>
      </c>
      <c r="HU142" s="41">
        <f t="shared" ca="1" si="2447"/>
        <v>6.2499687501562491E-2</v>
      </c>
      <c r="HV142" s="41">
        <f t="shared" ca="1" si="2448"/>
        <v>0</v>
      </c>
      <c r="HW142" s="41">
        <f t="shared" ca="1" si="2449"/>
        <v>0</v>
      </c>
      <c r="HX142" s="41">
        <f t="shared" ca="1" si="2450"/>
        <v>0</v>
      </c>
      <c r="HY142" s="41">
        <f t="shared" ca="1" si="2451"/>
        <v>0</v>
      </c>
      <c r="HZ142" s="41">
        <f t="shared" ca="1" si="2452"/>
        <v>0</v>
      </c>
      <c r="IA142" s="41">
        <f t="shared" ca="1" si="2453"/>
        <v>0</v>
      </c>
      <c r="IB142" s="41">
        <f t="shared" ca="1" si="2454"/>
        <v>0</v>
      </c>
      <c r="IC142" s="41">
        <f t="shared" ca="1" si="2455"/>
        <v>0</v>
      </c>
      <c r="ID142" s="41">
        <f t="shared" ca="1" si="2456"/>
        <v>0</v>
      </c>
      <c r="IE142" s="41">
        <f t="shared" ca="1" si="2457"/>
        <v>0</v>
      </c>
      <c r="IF142" s="41">
        <f t="shared" ca="1" si="2458"/>
        <v>0</v>
      </c>
      <c r="IG142" s="41">
        <f t="shared" ca="1" si="2459"/>
        <v>0</v>
      </c>
      <c r="IH142" s="41">
        <f t="shared" ca="1" si="2460"/>
        <v>0</v>
      </c>
      <c r="II142" s="41">
        <f t="shared" ca="1" si="2461"/>
        <v>0</v>
      </c>
      <c r="IJ142" s="41">
        <f t="shared" ca="1" si="2462"/>
        <v>0</v>
      </c>
      <c r="IK142" s="41">
        <f t="shared" ca="1" si="2463"/>
        <v>0</v>
      </c>
      <c r="IL142" s="41">
        <f t="shared" ca="1" si="2464"/>
        <v>0.44836897027636075</v>
      </c>
    </row>
    <row r="143" spans="1:246" s="409" customFormat="1" ht="13.5" hidden="1" customHeight="1">
      <c r="B143" s="373"/>
      <c r="C143" s="81" t="str">
        <f>Maturity!B29</f>
        <v>How do POWER USERS perceive the VALUE of the BI/DW environment?</v>
      </c>
      <c r="D143" s="404">
        <f t="shared" ca="1" si="2354"/>
        <v>0.5083855079896763</v>
      </c>
      <c r="E143" s="374">
        <f>ROW(Initiatives!$A$100)</f>
        <v>100</v>
      </c>
      <c r="F143" s="374">
        <f>ROW(Initiatives!$A$101)</f>
        <v>101</v>
      </c>
      <c r="G143" s="374">
        <f>ROW(Initiatives!$A$148)</f>
        <v>148</v>
      </c>
      <c r="H143" s="374">
        <f>ROW(Initiatives!$A$170)</f>
        <v>170</v>
      </c>
      <c r="I143" s="374">
        <f>ROW(Initiatives!$A$176)</f>
        <v>176</v>
      </c>
      <c r="J143" s="374">
        <f>ROW(Initiatives!$A$183)</f>
        <v>183</v>
      </c>
      <c r="K143" s="374">
        <f>ROW(Initiatives!$A$185)</f>
        <v>185</v>
      </c>
      <c r="L143" s="374">
        <f>ROW(Initiatives!$A$186)</f>
        <v>186</v>
      </c>
      <c r="M143" s="374">
        <f>ROW(Initiatives!$A$187)</f>
        <v>187</v>
      </c>
      <c r="N143" s="374">
        <f>ROW(Initiatives!$A$188)</f>
        <v>188</v>
      </c>
      <c r="O143" s="374">
        <f>ROW(Initiatives!$A$189)</f>
        <v>189</v>
      </c>
      <c r="P143" s="374" t="s">
        <v>975</v>
      </c>
      <c r="Q143" s="374" t="s">
        <v>975</v>
      </c>
      <c r="R143" s="374" t="s">
        <v>975</v>
      </c>
      <c r="S143" s="374" t="s">
        <v>975</v>
      </c>
      <c r="T143" s="374" t="s">
        <v>975</v>
      </c>
      <c r="U143" s="374" t="s">
        <v>975</v>
      </c>
      <c r="V143" s="374" t="s">
        <v>975</v>
      </c>
      <c r="W143" s="374" t="s">
        <v>975</v>
      </c>
      <c r="X143" s="374" t="s">
        <v>975</v>
      </c>
      <c r="Y143" s="392" t="str">
        <f ca="1">OFFSET(Initiatives!$D$1,E143-1,$BS$3)</f>
        <v>Governance</v>
      </c>
      <c r="Z143" s="375"/>
      <c r="AA143" s="392" t="str">
        <f ca="1">OFFSET(Initiatives!$D$1,F143-1,$BS$3)</f>
        <v>Architecture</v>
      </c>
      <c r="AB143" s="375"/>
      <c r="AC143" s="392" t="str">
        <f ca="1">OFFSET(Initiatives!$D$1,G143-1,$BS$3)</f>
        <v>Broad-reach analytic tools</v>
      </c>
      <c r="AD143" s="375"/>
      <c r="AE143" s="392" t="str">
        <f ca="1">OFFSET(Initiatives!$D$1,H143-1,$BS$3)</f>
        <v>BI Applications</v>
      </c>
      <c r="AF143" s="375">
        <v>3</v>
      </c>
      <c r="AG143" s="392" t="str">
        <f ca="1">OFFSET(Initiatives!$D$1,I143-1,$BS$3)</f>
        <v>Source System Inclusion / Integration</v>
      </c>
      <c r="AH143" s="375">
        <v>3</v>
      </c>
      <c r="AI143" s="392" t="str">
        <f ca="1">OFFSET(Initiatives!$D$1,J143-1,$BS$3)</f>
        <v>Enhance DW Platform</v>
      </c>
      <c r="AJ143" s="375">
        <v>3</v>
      </c>
      <c r="AK143" s="392" t="str">
        <f ca="1">OFFSET(Initiatives!$D$1,K143-1,$BS$3)</f>
        <v>Reporting</v>
      </c>
      <c r="AL143" s="375">
        <v>1</v>
      </c>
      <c r="AM143" s="392" t="str">
        <f ca="1">OFFSET(Initiatives!$D$1,L143-1,$BS$3)</f>
        <v>Scorecards / Dashboards</v>
      </c>
      <c r="AN143" s="375">
        <v>2</v>
      </c>
      <c r="AO143" s="392" t="str">
        <f ca="1">OFFSET(Initiatives!$D$1,M143-1,$BS$3)</f>
        <v>Analytical Tools</v>
      </c>
      <c r="AP143" s="375">
        <v>6</v>
      </c>
      <c r="AQ143" s="392" t="str">
        <f ca="1">OFFSET(Initiatives!$D$1,N143-1,$BS$3)</f>
        <v>Workflow and Collaboration</v>
      </c>
      <c r="AR143" s="375">
        <v>3</v>
      </c>
      <c r="AS143" s="392" t="str">
        <f ca="1">OFFSET(Initiatives!$D$1,O143-1,$BS$3)</f>
        <v>Enhance BI Platform</v>
      </c>
      <c r="AT143" s="375">
        <v>3</v>
      </c>
      <c r="AU143" s="392" t="e">
        <f ca="1">OFFSET(Initiatives!$D$1,P143-1,$BS$3)</f>
        <v>#VALUE!</v>
      </c>
      <c r="AV143" s="375"/>
      <c r="AW143" s="392" t="e">
        <f ca="1">OFFSET(Initiatives!$D$1,Q143-1,$BS$3)</f>
        <v>#VALUE!</v>
      </c>
      <c r="AX143" s="375"/>
      <c r="AY143" s="392" t="e">
        <f ca="1">OFFSET(Initiatives!$D$1,R143-1,$BS$3)</f>
        <v>#VALUE!</v>
      </c>
      <c r="AZ143" s="375"/>
      <c r="BA143" s="392" t="e">
        <f ca="1">OFFSET(Initiatives!$D$1,S143-1,$BS$3)</f>
        <v>#VALUE!</v>
      </c>
      <c r="BB143" s="375"/>
      <c r="BC143" s="392" t="e">
        <f ca="1">OFFSET(Initiatives!$D$1,T143-1,$BS$3)</f>
        <v>#VALUE!</v>
      </c>
      <c r="BD143" s="375"/>
      <c r="BE143" s="392" t="e">
        <f ca="1">OFFSET(Initiatives!$D$1,U143-1,$BS$3)</f>
        <v>#VALUE!</v>
      </c>
      <c r="BF143" s="375"/>
      <c r="BG143" s="392" t="e">
        <f ca="1">OFFSET(Initiatives!$D$1,V143-1,$BS$3)</f>
        <v>#VALUE!</v>
      </c>
      <c r="BH143" s="375"/>
      <c r="BI143" s="392" t="e">
        <f ca="1">OFFSET(Initiatives!$D$1,W143-1,$BS$3)</f>
        <v>#VALUE!</v>
      </c>
      <c r="BJ143" s="375"/>
      <c r="BK143" s="392" t="e">
        <f ca="1">OFFSET(Initiatives!$D$1,X143-1,$BS$3)</f>
        <v>#VALUE!</v>
      </c>
      <c r="BL143" s="375"/>
      <c r="BN143" s="101">
        <f t="shared" si="2355"/>
        <v>24.0001</v>
      </c>
      <c r="BP143" s="231" t="str">
        <f t="shared" ca="1" si="2356"/>
        <v>Analytical Tools (29%); Workflow and Collaboration (18%); Enhance BI Platform (15%); BI Applications (11%); Source System Inclusion / Integration (11%); Scorecards / Dashboards (10%)</v>
      </c>
      <c r="BQ143" s="338">
        <v>0.01</v>
      </c>
      <c r="BR143" s="40">
        <f t="shared" ca="1" si="2357"/>
        <v>7</v>
      </c>
      <c r="BS143" s="274">
        <v>0.05</v>
      </c>
      <c r="BT143" s="40">
        <f t="shared" ca="1" si="2358"/>
        <v>6</v>
      </c>
      <c r="BU143" s="376">
        <v>7</v>
      </c>
      <c r="BV143" s="40">
        <f t="shared" ca="1" si="2359"/>
        <v>6</v>
      </c>
      <c r="BY143" s="377">
        <f ca="1">IF(ISERROR(OFFSET(Initiatives!$D$1,E143-1,$BY$3)),,OFFSET(Initiatives!$D$1,E143-1,$BY$3))</f>
        <v>0.14000000000000001</v>
      </c>
      <c r="BZ143" s="377">
        <f ca="1">IF(ISERROR(OFFSET(Initiatives!$D$1,F143-1,$BY$3)),,OFFSET(Initiatives!$D$1,F143-1,$BY$3))</f>
        <v>0.14000000000000001</v>
      </c>
      <c r="CA143" s="377">
        <f ca="1">IF(ISERROR(OFFSET(Initiatives!$D$1,G143-1,$BY$3)),,OFFSET(Initiatives!$D$1,G143-1,$BY$3))</f>
        <v>0.60000000000000009</v>
      </c>
      <c r="CB143" s="377">
        <f ca="1">IF(ISERROR(OFFSET(Initiatives!$D$1,H143-1,$BY$3)),,OFFSET(Initiatives!$D$1,H143-1,$BY$3))</f>
        <v>0.45555555555555544</v>
      </c>
      <c r="CC143" s="377">
        <f ca="1">IF(ISERROR(OFFSET(Initiatives!$D$1,I143-1,$BY$3)),,OFFSET(Initiatives!$D$1,I143-1,$BY$3))</f>
        <v>0.45454545454545436</v>
      </c>
      <c r="CD143" s="377">
        <f ca="1">IF(ISERROR(OFFSET(Initiatives!$D$1,J143-1,$BY$3)),,OFFSET(Initiatives!$D$1,J143-1,$BY$3))</f>
        <v>7.7000000000000179E-2</v>
      </c>
      <c r="CE143" s="377">
        <f ca="1">IF(ISERROR(OFFSET(Initiatives!$D$1,K143-1,$BY$3)),,OFFSET(Initiatives!$D$1,K143-1,$BY$3))</f>
        <v>0.48</v>
      </c>
      <c r="CF143" s="377">
        <f ca="1">IF(ISERROR(OFFSET(Initiatives!$D$1,L143-1,$BY$3)),,OFFSET(Initiatives!$D$1,L143-1,$BY$3))</f>
        <v>0.6</v>
      </c>
      <c r="CG143" s="377">
        <f ca="1">IF(ISERROR(OFFSET(Initiatives!$D$1,M143-1,$BY$3)),,OFFSET(Initiatives!$D$1,M143-1,$BY$3))</f>
        <v>0.6</v>
      </c>
      <c r="CH143" s="377">
        <f ca="1">IF(ISERROR(OFFSET(Initiatives!$D$1,N143-1,$BY$3)),,OFFSET(Initiatives!$D$1,N143-1,$BY$3))</f>
        <v>0.72000000000000008</v>
      </c>
      <c r="CI143" s="377">
        <f ca="1">IF(ISERROR(OFFSET(Initiatives!$D$1,O143-1,$BY$3)),,OFFSET(Initiatives!$D$1,O143-1,$BY$3))</f>
        <v>0.6</v>
      </c>
      <c r="CJ143" s="377">
        <f ca="1">IF(ISERROR(OFFSET(Initiatives!$D$1,P143-1,$BY$3)),,OFFSET(Initiatives!$D$1,P143-1,$BY$3))</f>
        <v>0</v>
      </c>
      <c r="CK143" s="377">
        <f ca="1">IF(ISERROR(OFFSET(Initiatives!$D$1,Q143-1,$BY$3)),,OFFSET(Initiatives!$D$1,Q143-1,$BY$3))</f>
        <v>0</v>
      </c>
      <c r="CL143" s="377">
        <f ca="1">IF(ISERROR(OFFSET(Initiatives!$D$1,R143-1,$BY$3)),,OFFSET(Initiatives!$D$1,R143-1,$BY$3))</f>
        <v>0</v>
      </c>
      <c r="CM143" s="377">
        <f ca="1">IF(ISERROR(OFFSET(Initiatives!$D$1,S143-1,$BY$3)),,OFFSET(Initiatives!$D$1,S143-1,$BY$3))</f>
        <v>0</v>
      </c>
      <c r="CN143" s="377">
        <f ca="1">IF(ISERROR(OFFSET(Initiatives!$D$1,T143-1,$BY$3)),,OFFSET(Initiatives!$D$1,T143-1,$BY$3))</f>
        <v>0</v>
      </c>
      <c r="CO143" s="377">
        <f ca="1">IF(ISERROR(OFFSET(Initiatives!$D$1,U143-1,$BY$3)),,OFFSET(Initiatives!$D$1,U143-1,$BY$3))</f>
        <v>0</v>
      </c>
      <c r="CP143" s="377">
        <f ca="1">IF(ISERROR(OFFSET(Initiatives!$D$1,V143-1,$BY$3)),,OFFSET(Initiatives!$D$1,V143-1,$BY$3))</f>
        <v>0</v>
      </c>
      <c r="CQ143" s="377">
        <f ca="1">IF(ISERROR(OFFSET(Initiatives!$D$1,W143-1,$BY$3)),,OFFSET(Initiatives!$D$1,W143-1,$BY$3))</f>
        <v>0</v>
      </c>
      <c r="CR143" s="377">
        <f ca="1">IF(ISERROR(OFFSET(Initiatives!$D$1,X143-1,$BY$3)),,OFFSET(Initiatives!$D$1,X143-1,$BY$3))</f>
        <v>0</v>
      </c>
      <c r="CT143" s="41">
        <f t="shared" ca="1" si="2360"/>
        <v>0</v>
      </c>
      <c r="CU143" s="41">
        <f t="shared" ca="1" si="2361"/>
        <v>0</v>
      </c>
      <c r="CV143" s="41">
        <f t="shared" ca="1" si="2362"/>
        <v>0</v>
      </c>
      <c r="CW143" s="41">
        <f t="shared" ca="1" si="2363"/>
        <v>5.6944207176914521E-2</v>
      </c>
      <c r="CX143" s="41">
        <f t="shared" ca="1" si="2364"/>
        <v>5.6817945076743974E-2</v>
      </c>
      <c r="CY143" s="41">
        <f t="shared" ca="1" si="2365"/>
        <v>9.624959896000455E-3</v>
      </c>
      <c r="CZ143" s="41">
        <f t="shared" ca="1" si="2366"/>
        <v>1.9999916667013888E-2</v>
      </c>
      <c r="DA143" s="41">
        <f t="shared" ca="1" si="2367"/>
        <v>4.9999791667534717E-2</v>
      </c>
      <c r="DB143" s="41">
        <f t="shared" ca="1" si="2368"/>
        <v>0.14999937500260413</v>
      </c>
      <c r="DC143" s="41">
        <f t="shared" ca="1" si="2369"/>
        <v>8.99996250015625E-2</v>
      </c>
      <c r="DD143" s="41">
        <f t="shared" ca="1" si="2370"/>
        <v>7.4999687501302065E-2</v>
      </c>
      <c r="DE143" s="41">
        <f t="shared" ca="1" si="2371"/>
        <v>0</v>
      </c>
      <c r="DF143" s="41">
        <f t="shared" ca="1" si="2372"/>
        <v>0</v>
      </c>
      <c r="DG143" s="41">
        <f t="shared" ca="1" si="2373"/>
        <v>0</v>
      </c>
      <c r="DH143" s="41">
        <f t="shared" ca="1" si="2374"/>
        <v>0</v>
      </c>
      <c r="DI143" s="41">
        <f t="shared" ca="1" si="2375"/>
        <v>0</v>
      </c>
      <c r="DJ143" s="41">
        <f t="shared" ca="1" si="2376"/>
        <v>0</v>
      </c>
      <c r="DK143" s="41">
        <f t="shared" ca="1" si="2377"/>
        <v>0</v>
      </c>
      <c r="DL143" s="41">
        <f t="shared" ca="1" si="2378"/>
        <v>0</v>
      </c>
      <c r="DM143" s="41">
        <f t="shared" ca="1" si="2379"/>
        <v>0</v>
      </c>
      <c r="DN143" s="41">
        <f t="shared" ca="1" si="2380"/>
        <v>0.5083855079896763</v>
      </c>
      <c r="DP143" s="41">
        <f t="shared" ca="1" si="2381"/>
        <v>-1.0000000000000001E-5</v>
      </c>
      <c r="DQ143" s="41">
        <f t="shared" ca="1" si="2382"/>
        <v>-2.0000000000000002E-5</v>
      </c>
      <c r="DR143" s="41">
        <f t="shared" ca="1" si="2383"/>
        <v>-3.0000000000000001E-5</v>
      </c>
      <c r="DS143" s="41">
        <f t="shared" ca="1" si="2384"/>
        <v>0.1119698946212898</v>
      </c>
      <c r="DT143" s="41">
        <f t="shared" ca="1" si="2385"/>
        <v>0.11171153565317163</v>
      </c>
      <c r="DU143" s="41">
        <f t="shared" ca="1" si="2386"/>
        <v>1.8872404139647324E-2</v>
      </c>
      <c r="DV143" s="41">
        <f t="shared" ca="1" si="2387"/>
        <v>3.9270060549916427E-2</v>
      </c>
      <c r="DW143" s="41">
        <f t="shared" ca="1" si="2388"/>
        <v>9.8270151374791073E-2</v>
      </c>
      <c r="DX143" s="41">
        <f t="shared" ca="1" si="2389"/>
        <v>0.29496045412437316</v>
      </c>
      <c r="DY143" s="41">
        <f t="shared" ca="1" si="2390"/>
        <v>0.17693027247462395</v>
      </c>
      <c r="DZ143" s="41">
        <f t="shared" ca="1" si="2391"/>
        <v>0.14741522706218657</v>
      </c>
      <c r="EA143" s="41">
        <f t="shared" ca="1" si="2392"/>
        <v>-1.2E-4</v>
      </c>
      <c r="EB143" s="41">
        <f t="shared" ca="1" si="2393"/>
        <v>-1.2999999999999999E-4</v>
      </c>
      <c r="EC143" s="41">
        <f t="shared" ca="1" si="2394"/>
        <v>-1.3999999999999999E-4</v>
      </c>
      <c r="ED143" s="41">
        <f t="shared" ca="1" si="2395"/>
        <v>-1.4999999999999999E-4</v>
      </c>
      <c r="EE143" s="41">
        <f t="shared" ca="1" si="2396"/>
        <v>-1.6000000000000001E-4</v>
      </c>
      <c r="EF143" s="41">
        <f t="shared" ca="1" si="2397"/>
        <v>-1.7000000000000001E-4</v>
      </c>
      <c r="EG143" s="41">
        <f t="shared" ca="1" si="2398"/>
        <v>-1.8000000000000001E-4</v>
      </c>
      <c r="EH143" s="41">
        <f t="shared" ca="1" si="2399"/>
        <v>-1.9000000000000001E-4</v>
      </c>
      <c r="EI143" s="41">
        <f t="shared" ca="1" si="2400"/>
        <v>-2.0000000000000001E-4</v>
      </c>
      <c r="EJ143" s="41">
        <f t="shared" ca="1" si="2401"/>
        <v>0.99790000000000001</v>
      </c>
      <c r="EL143" s="378">
        <f t="shared" ca="1" si="2402"/>
        <v>9</v>
      </c>
      <c r="EM143" s="378">
        <f t="shared" ca="1" si="2403"/>
        <v>10</v>
      </c>
      <c r="EN143" s="378">
        <f t="shared" ca="1" si="2404"/>
        <v>11</v>
      </c>
      <c r="EO143" s="378">
        <f t="shared" ca="1" si="2405"/>
        <v>4</v>
      </c>
      <c r="EP143" s="378">
        <f t="shared" ca="1" si="2406"/>
        <v>5</v>
      </c>
      <c r="EQ143" s="378">
        <f t="shared" ca="1" si="2407"/>
        <v>8</v>
      </c>
      <c r="ER143" s="378">
        <f t="shared" ca="1" si="2408"/>
        <v>7</v>
      </c>
      <c r="ES143" s="378">
        <f t="shared" ca="1" si="2409"/>
        <v>6</v>
      </c>
      <c r="ET143" s="378">
        <f t="shared" ca="1" si="2410"/>
        <v>1</v>
      </c>
      <c r="EU143" s="378">
        <f t="shared" ca="1" si="2411"/>
        <v>2</v>
      </c>
      <c r="EV143" s="378">
        <f t="shared" ca="1" si="2412"/>
        <v>3</v>
      </c>
      <c r="EW143" s="378">
        <f t="shared" ca="1" si="2413"/>
        <v>12</v>
      </c>
      <c r="EX143" s="378">
        <f t="shared" ca="1" si="2414"/>
        <v>13</v>
      </c>
      <c r="EY143" s="378">
        <f t="shared" ca="1" si="2415"/>
        <v>14</v>
      </c>
      <c r="EZ143" s="378">
        <f t="shared" ca="1" si="2416"/>
        <v>15</v>
      </c>
      <c r="FA143" s="378">
        <f t="shared" ca="1" si="2417"/>
        <v>16</v>
      </c>
      <c r="FB143" s="378">
        <f t="shared" ca="1" si="2418"/>
        <v>17</v>
      </c>
      <c r="FC143" s="378">
        <f t="shared" ca="1" si="2419"/>
        <v>18</v>
      </c>
      <c r="FD143" s="378">
        <f t="shared" ca="1" si="2420"/>
        <v>19</v>
      </c>
      <c r="FE143" s="378">
        <f t="shared" ca="1" si="2421"/>
        <v>20</v>
      </c>
      <c r="FG143" s="378">
        <f t="shared" ca="1" si="2422"/>
        <v>9</v>
      </c>
      <c r="FH143" s="378">
        <f t="shared" ca="1" si="2422"/>
        <v>10</v>
      </c>
      <c r="FI143" s="378">
        <f t="shared" ca="1" si="2422"/>
        <v>11</v>
      </c>
      <c r="FJ143" s="378">
        <f t="shared" ca="1" si="2422"/>
        <v>4</v>
      </c>
      <c r="FK143" s="378">
        <f t="shared" ca="1" si="2422"/>
        <v>5</v>
      </c>
      <c r="FL143" s="378">
        <f t="shared" ca="1" si="2422"/>
        <v>8</v>
      </c>
      <c r="FM143" s="378">
        <f t="shared" ca="1" si="2422"/>
        <v>7</v>
      </c>
      <c r="FN143" s="378">
        <f t="shared" ca="1" si="2422"/>
        <v>6</v>
      </c>
      <c r="FO143" s="378">
        <f t="shared" ca="1" si="2422"/>
        <v>1</v>
      </c>
      <c r="FP143" s="378">
        <f t="shared" ca="1" si="2422"/>
        <v>2</v>
      </c>
      <c r="FQ143" s="378">
        <f t="shared" ca="1" si="2422"/>
        <v>3</v>
      </c>
      <c r="FR143" s="378">
        <f t="shared" ca="1" si="2422"/>
        <v>12</v>
      </c>
      <c r="FS143" s="378">
        <f t="shared" ca="1" si="2422"/>
        <v>13</v>
      </c>
      <c r="FT143" s="378">
        <f t="shared" ca="1" si="2422"/>
        <v>14</v>
      </c>
      <c r="FU143" s="378">
        <f t="shared" ca="1" si="2422"/>
        <v>15</v>
      </c>
      <c r="FV143" s="378">
        <f t="shared" ca="1" si="2422"/>
        <v>16</v>
      </c>
      <c r="FW143" s="378">
        <f t="shared" ca="1" si="2423"/>
        <v>17</v>
      </c>
      <c r="FX143" s="378">
        <f t="shared" ca="1" si="2423"/>
        <v>18</v>
      </c>
      <c r="FY143" s="378">
        <f t="shared" ca="1" si="2423"/>
        <v>19</v>
      </c>
      <c r="FZ143" s="378">
        <f t="shared" ca="1" si="2423"/>
        <v>20</v>
      </c>
      <c r="GB143" s="275" t="str">
        <f t="shared" ca="1" si="2424"/>
        <v>Analytical Tools (29%)</v>
      </c>
      <c r="GC143" s="231" t="str">
        <f t="shared" ca="1" si="2425"/>
        <v>; Workflow and Collaboration (18%)</v>
      </c>
      <c r="GD143" s="231" t="str">
        <f t="shared" ca="1" si="2426"/>
        <v>; Enhance BI Platform (15%)</v>
      </c>
      <c r="GE143" s="231" t="str">
        <f t="shared" ca="1" si="2427"/>
        <v>; BI Applications (11%)</v>
      </c>
      <c r="GF143" s="231" t="str">
        <f t="shared" ca="1" si="2428"/>
        <v>; Source System Inclusion / Integration (11%)</v>
      </c>
      <c r="GG143" s="231" t="str">
        <f t="shared" ca="1" si="2429"/>
        <v>; Scorecards / Dashboards (10%)</v>
      </c>
      <c r="GH143" s="231" t="str">
        <f t="shared" ca="1" si="2430"/>
        <v/>
      </c>
      <c r="GI143" s="231" t="str">
        <f t="shared" ca="1" si="2431"/>
        <v/>
      </c>
      <c r="GJ143" s="231" t="str">
        <f t="shared" ca="1" si="2432"/>
        <v/>
      </c>
      <c r="GK143" s="231" t="str">
        <f t="shared" ca="1" si="2433"/>
        <v/>
      </c>
      <c r="GL143" s="231" t="str">
        <f t="shared" ca="1" si="2434"/>
        <v/>
      </c>
      <c r="GM143" s="231" t="str">
        <f t="shared" ca="1" si="2435"/>
        <v/>
      </c>
      <c r="GN143" s="231" t="str">
        <f t="shared" ca="1" si="2436"/>
        <v/>
      </c>
      <c r="GO143" s="231" t="str">
        <f t="shared" ca="1" si="2437"/>
        <v/>
      </c>
      <c r="GP143" s="231" t="str">
        <f t="shared" ca="1" si="2438"/>
        <v/>
      </c>
      <c r="GQ143" s="231" t="str">
        <f t="shared" ca="1" si="2439"/>
        <v/>
      </c>
      <c r="GR143" s="231" t="str">
        <f t="shared" ca="1" si="2440"/>
        <v/>
      </c>
      <c r="GS143" s="231" t="str">
        <f t="shared" ca="1" si="2441"/>
        <v/>
      </c>
      <c r="GT143" s="231" t="str">
        <f t="shared" ca="1" si="2442"/>
        <v/>
      </c>
      <c r="GU143" s="231" t="str">
        <f t="shared" ca="1" si="2443"/>
        <v/>
      </c>
      <c r="GW143" s="377">
        <f ca="1">IF(ISERROR(OFFSET(Initiatives!$D$1,E143-1,$CB$3)),,OFFSET(Initiatives!$D$1,E143-1,$CB$3))</f>
        <v>0.65</v>
      </c>
      <c r="GX143" s="377">
        <f ca="1">IF(ISERROR(OFFSET(Initiatives!$D$1,F143-1,$CB$3)),,OFFSET(Initiatives!$D$1,F143-1,$CB$3))</f>
        <v>0.65</v>
      </c>
      <c r="GY143" s="377">
        <f ca="1">IF(ISERROR(OFFSET(Initiatives!$D$1,G143-1,$CB$3)),,OFFSET(Initiatives!$D$1,G143-1,$CB$3))</f>
        <v>0.25</v>
      </c>
      <c r="GZ143" s="377">
        <f ca="1">IF(ISERROR(OFFSET(Initiatives!$D$1,H143-1,$CB$3)),,OFFSET(Initiatives!$D$1,H143-1,$CB$3))</f>
        <v>0.34166666666666662</v>
      </c>
      <c r="HA143" s="377">
        <f ca="1">IF(ISERROR(OFFSET(Initiatives!$D$1,I143-1,$CB$3)),,OFFSET(Initiatives!$D$1,I143-1,$CB$3))</f>
        <v>0.43181818181818177</v>
      </c>
      <c r="HB143" s="377">
        <f ca="1">IF(ISERROR(OFFSET(Initiatives!$D$1,J143-1,$CB$3)),,OFFSET(Initiatives!$D$1,J143-1,$CB$3))</f>
        <v>0.77</v>
      </c>
      <c r="HC143" s="377">
        <f ca="1">IF(ISERROR(OFFSET(Initiatives!$D$1,K143-1,$CB$3)),,OFFSET(Initiatives!$D$1,K143-1,$CB$3))</f>
        <v>0.4</v>
      </c>
      <c r="HD143" s="377">
        <f ca="1">IF(ISERROR(OFFSET(Initiatives!$D$1,L143-1,$CB$3)),,OFFSET(Initiatives!$D$1,L143-1,$CB$3))</f>
        <v>0.25</v>
      </c>
      <c r="HE143" s="377">
        <f ca="1">IF(ISERROR(OFFSET(Initiatives!$D$1,M143-1,$CB$3)),,OFFSET(Initiatives!$D$1,M143-1,$CB$3))</f>
        <v>0.25</v>
      </c>
      <c r="HF143" s="377">
        <f ca="1">IF(ISERROR(OFFSET(Initiatives!$D$1,N143-1,$CB$3)),,OFFSET(Initiatives!$D$1,N143-1,$CB$3))</f>
        <v>0.1</v>
      </c>
      <c r="HG143" s="377">
        <f ca="1">IF(ISERROR(OFFSET(Initiatives!$D$1,O143-1,$CB$3)),,OFFSET(Initiatives!$D$1,O143-1,$CB$3))</f>
        <v>0.25</v>
      </c>
      <c r="HH143" s="377">
        <f ca="1">IF(ISERROR(OFFSET(Initiatives!$D$1,P143-1,$CB$3)),,OFFSET(Initiatives!$D$1,P143-1,$CB$3))</f>
        <v>0</v>
      </c>
      <c r="HI143" s="377">
        <f ca="1">IF(ISERROR(OFFSET(Initiatives!$D$1,Q143-1,$CB$3)),,OFFSET(Initiatives!$D$1,Q143-1,$CB$3))</f>
        <v>0</v>
      </c>
      <c r="HJ143" s="377">
        <f ca="1">IF(ISERROR(OFFSET(Initiatives!$D$1,R143-1,$CB$3)),,OFFSET(Initiatives!$D$1,R143-1,$CB$3))</f>
        <v>0</v>
      </c>
      <c r="HK143" s="377">
        <f ca="1">IF(ISERROR(OFFSET(Initiatives!$D$1,S143-1,$CB$3)),,OFFSET(Initiatives!$D$1,S143-1,$CB$3))</f>
        <v>0</v>
      </c>
      <c r="HL143" s="377">
        <f ca="1">IF(ISERROR(OFFSET(Initiatives!$D$1,T143-1,$CB$3)),,OFFSET(Initiatives!$D$1,T143-1,$CB$3))</f>
        <v>0</v>
      </c>
      <c r="HM143" s="377">
        <f ca="1">IF(ISERROR(OFFSET(Initiatives!$D$1,U143-1,$CB$3)),,OFFSET(Initiatives!$D$1,U143-1,$CB$3))</f>
        <v>0</v>
      </c>
      <c r="HN143" s="377">
        <f ca="1">IF(ISERROR(OFFSET(Initiatives!$D$1,V143-1,$CB$3)),,OFFSET(Initiatives!$D$1,V143-1,$CB$3))</f>
        <v>0</v>
      </c>
      <c r="HO143" s="377">
        <f ca="1">IF(ISERROR(OFFSET(Initiatives!$D$1,W143-1,$CB$3)),,OFFSET(Initiatives!$D$1,W143-1,$CB$3))</f>
        <v>0</v>
      </c>
      <c r="HP143" s="377">
        <f ca="1">IF(ISERROR(OFFSET(Initiatives!$D$1,X143-1,$CB$3)),,OFFSET(Initiatives!$D$1,X143-1,$CB$3))</f>
        <v>0</v>
      </c>
      <c r="HR143" s="41">
        <f t="shared" ca="1" si="2444"/>
        <v>0</v>
      </c>
      <c r="HS143" s="41">
        <f t="shared" ca="1" si="2445"/>
        <v>0</v>
      </c>
      <c r="HT143" s="41">
        <f t="shared" ca="1" si="2446"/>
        <v>0</v>
      </c>
      <c r="HU143" s="41">
        <f t="shared" ca="1" si="2447"/>
        <v>4.2708155382685901E-2</v>
      </c>
      <c r="HV143" s="41">
        <f t="shared" ca="1" si="2448"/>
        <v>5.3977047822906798E-2</v>
      </c>
      <c r="HW143" s="41">
        <f t="shared" ca="1" si="2449"/>
        <v>9.6249598960004332E-2</v>
      </c>
      <c r="HX143" s="41">
        <f t="shared" ca="1" si="2450"/>
        <v>1.6666597222511573E-2</v>
      </c>
      <c r="HY143" s="41">
        <f t="shared" ca="1" si="2451"/>
        <v>2.0833246528139466E-2</v>
      </c>
      <c r="HZ143" s="41">
        <f t="shared" ca="1" si="2452"/>
        <v>6.2499739584418401E-2</v>
      </c>
      <c r="IA143" s="41">
        <f t="shared" ca="1" si="2453"/>
        <v>1.2499947916883681E-2</v>
      </c>
      <c r="IB143" s="41">
        <f t="shared" ca="1" si="2454"/>
        <v>3.1249869792209201E-2</v>
      </c>
      <c r="IC143" s="41">
        <f t="shared" ca="1" si="2455"/>
        <v>0</v>
      </c>
      <c r="ID143" s="41">
        <f t="shared" ca="1" si="2456"/>
        <v>0</v>
      </c>
      <c r="IE143" s="41">
        <f t="shared" ca="1" si="2457"/>
        <v>0</v>
      </c>
      <c r="IF143" s="41">
        <f t="shared" ca="1" si="2458"/>
        <v>0</v>
      </c>
      <c r="IG143" s="41">
        <f t="shared" ca="1" si="2459"/>
        <v>0</v>
      </c>
      <c r="IH143" s="41">
        <f t="shared" ca="1" si="2460"/>
        <v>0</v>
      </c>
      <c r="II143" s="41">
        <f t="shared" ca="1" si="2461"/>
        <v>0</v>
      </c>
      <c r="IJ143" s="41">
        <f t="shared" ca="1" si="2462"/>
        <v>0</v>
      </c>
      <c r="IK143" s="41">
        <f t="shared" ca="1" si="2463"/>
        <v>0</v>
      </c>
      <c r="IL143" s="41">
        <f t="shared" ca="1" si="2464"/>
        <v>0.33668420320975945</v>
      </c>
    </row>
    <row r="144" spans="1:246" s="409" customFormat="1" ht="13.5" hidden="1" customHeight="1">
      <c r="B144" s="373"/>
      <c r="C144" s="81" t="str">
        <f>Maturity!B30</f>
        <v>How do CASUAL USERS perceive the VALUE of the BI/DW environment?</v>
      </c>
      <c r="D144" s="404">
        <f t="shared" ca="1" si="2354"/>
        <v>0.51856485828952603</v>
      </c>
      <c r="E144" s="374">
        <f>ROW(Initiatives!$A$100)</f>
        <v>100</v>
      </c>
      <c r="F144" s="374">
        <f>ROW(Initiatives!$A$101)</f>
        <v>101</v>
      </c>
      <c r="G144" s="374">
        <f>ROW(Initiatives!$A$148)</f>
        <v>148</v>
      </c>
      <c r="H144" s="374">
        <f>ROW(Initiatives!$A$170)</f>
        <v>170</v>
      </c>
      <c r="I144" s="374">
        <f>ROW(Initiatives!$A$176)</f>
        <v>176</v>
      </c>
      <c r="J144" s="374">
        <f>ROW(Initiatives!$A$183)</f>
        <v>183</v>
      </c>
      <c r="K144" s="374">
        <f>ROW(Initiatives!$A$185)</f>
        <v>185</v>
      </c>
      <c r="L144" s="374">
        <f>ROW(Initiatives!$A$186)</f>
        <v>186</v>
      </c>
      <c r="M144" s="374">
        <f>ROW(Initiatives!$A$187)</f>
        <v>187</v>
      </c>
      <c r="N144" s="374">
        <f>ROW(Initiatives!$A$188)</f>
        <v>188</v>
      </c>
      <c r="O144" s="374">
        <f>ROW(Initiatives!$A$189)</f>
        <v>189</v>
      </c>
      <c r="P144" s="374" t="s">
        <v>975</v>
      </c>
      <c r="Q144" s="374" t="s">
        <v>975</v>
      </c>
      <c r="R144" s="374" t="s">
        <v>975</v>
      </c>
      <c r="S144" s="374" t="s">
        <v>975</v>
      </c>
      <c r="T144" s="374" t="s">
        <v>975</v>
      </c>
      <c r="U144" s="374" t="s">
        <v>975</v>
      </c>
      <c r="V144" s="374" t="s">
        <v>975</v>
      </c>
      <c r="W144" s="374" t="s">
        <v>975</v>
      </c>
      <c r="X144" s="374" t="s">
        <v>975</v>
      </c>
      <c r="Y144" s="392" t="str">
        <f ca="1">OFFSET(Initiatives!$D$1,E144-1,$BS$3)</f>
        <v>Governance</v>
      </c>
      <c r="Z144" s="375"/>
      <c r="AA144" s="392" t="str">
        <f ca="1">OFFSET(Initiatives!$D$1,F144-1,$BS$3)</f>
        <v>Architecture</v>
      </c>
      <c r="AB144" s="375"/>
      <c r="AC144" s="392" t="str">
        <f ca="1">OFFSET(Initiatives!$D$1,G144-1,$BS$3)</f>
        <v>Broad-reach analytic tools</v>
      </c>
      <c r="AD144" s="375">
        <v>5</v>
      </c>
      <c r="AE144" s="392" t="str">
        <f ca="1">OFFSET(Initiatives!$D$1,H144-1,$BS$3)</f>
        <v>BI Applications</v>
      </c>
      <c r="AF144" s="375">
        <v>3</v>
      </c>
      <c r="AG144" s="392" t="str">
        <f ca="1">OFFSET(Initiatives!$D$1,I144-1,$BS$3)</f>
        <v>Source System Inclusion / Integration</v>
      </c>
      <c r="AH144" s="375">
        <v>3</v>
      </c>
      <c r="AI144" s="392" t="str">
        <f ca="1">OFFSET(Initiatives!$D$1,J144-1,$BS$3)</f>
        <v>Enhance DW Platform</v>
      </c>
      <c r="AJ144" s="375">
        <v>3</v>
      </c>
      <c r="AK144" s="392" t="str">
        <f ca="1">OFFSET(Initiatives!$D$1,K144-1,$BS$3)</f>
        <v>Reporting</v>
      </c>
      <c r="AL144" s="375">
        <v>2</v>
      </c>
      <c r="AM144" s="392" t="str">
        <f ca="1">OFFSET(Initiatives!$D$1,L144-1,$BS$3)</f>
        <v>Scorecards / Dashboards</v>
      </c>
      <c r="AN144" s="375">
        <v>4</v>
      </c>
      <c r="AO144" s="392" t="str">
        <f ca="1">OFFSET(Initiatives!$D$1,M144-1,$BS$3)</f>
        <v>Analytical Tools</v>
      </c>
      <c r="AP144" s="375">
        <v>1</v>
      </c>
      <c r="AQ144" s="392" t="str">
        <f ca="1">OFFSET(Initiatives!$D$1,N144-1,$BS$3)</f>
        <v>Workflow and Collaboration</v>
      </c>
      <c r="AR144" s="375">
        <v>4</v>
      </c>
      <c r="AS144" s="392" t="str">
        <f ca="1">OFFSET(Initiatives!$D$1,O144-1,$BS$3)</f>
        <v>Enhance BI Platform</v>
      </c>
      <c r="AT144" s="375">
        <v>2</v>
      </c>
      <c r="AU144" s="392" t="e">
        <f ca="1">OFFSET(Initiatives!$D$1,P144-1,$BS$3)</f>
        <v>#VALUE!</v>
      </c>
      <c r="AV144" s="375"/>
      <c r="AW144" s="392" t="e">
        <f ca="1">OFFSET(Initiatives!$D$1,Q144-1,$BS$3)</f>
        <v>#VALUE!</v>
      </c>
      <c r="AX144" s="375"/>
      <c r="AY144" s="392" t="e">
        <f ca="1">OFFSET(Initiatives!$D$1,R144-1,$BS$3)</f>
        <v>#VALUE!</v>
      </c>
      <c r="AZ144" s="375"/>
      <c r="BA144" s="392" t="e">
        <f ca="1">OFFSET(Initiatives!$D$1,S144-1,$BS$3)</f>
        <v>#VALUE!</v>
      </c>
      <c r="BB144" s="375"/>
      <c r="BC144" s="392" t="e">
        <f ca="1">OFFSET(Initiatives!$D$1,T144-1,$BS$3)</f>
        <v>#VALUE!</v>
      </c>
      <c r="BD144" s="375"/>
      <c r="BE144" s="392" t="e">
        <f ca="1">OFFSET(Initiatives!$D$1,U144-1,$BS$3)</f>
        <v>#VALUE!</v>
      </c>
      <c r="BF144" s="375"/>
      <c r="BG144" s="392" t="e">
        <f ca="1">OFFSET(Initiatives!$D$1,V144-1,$BS$3)</f>
        <v>#VALUE!</v>
      </c>
      <c r="BH144" s="375"/>
      <c r="BI144" s="392" t="e">
        <f ca="1">OFFSET(Initiatives!$D$1,W144-1,$BS$3)</f>
        <v>#VALUE!</v>
      </c>
      <c r="BJ144" s="375"/>
      <c r="BK144" s="392" t="e">
        <f ca="1">OFFSET(Initiatives!$D$1,X144-1,$BS$3)</f>
        <v>#VALUE!</v>
      </c>
      <c r="BL144" s="375"/>
      <c r="BN144" s="101">
        <f t="shared" si="2355"/>
        <v>27.0001</v>
      </c>
      <c r="BP144" s="231" t="str">
        <f t="shared" ca="1" si="2356"/>
        <v>Broad-reach analytic tools (21%); Workflow and Collaboration (21%); Scorecards / Dashboards (17%); BI Applications (10%); Source System Inclusion / Integration (10%); Enhance BI Platform (9%); Reporting (7%)</v>
      </c>
      <c r="BQ144" s="338">
        <v>0.01</v>
      </c>
      <c r="BR144" s="40">
        <f t="shared" ca="1" si="2357"/>
        <v>8</v>
      </c>
      <c r="BS144" s="274">
        <v>0.05</v>
      </c>
      <c r="BT144" s="40">
        <f t="shared" ca="1" si="2358"/>
        <v>7</v>
      </c>
      <c r="BU144" s="376">
        <v>7</v>
      </c>
      <c r="BV144" s="40">
        <f t="shared" ca="1" si="2359"/>
        <v>7</v>
      </c>
      <c r="BY144" s="377">
        <f ca="1">IF(ISERROR(OFFSET(Initiatives!$D$1,E144-1,$BY$3)),,OFFSET(Initiatives!$D$1,E144-1,$BY$3))</f>
        <v>0.14000000000000001</v>
      </c>
      <c r="BZ144" s="377">
        <f ca="1">IF(ISERROR(OFFSET(Initiatives!$D$1,F144-1,$BY$3)),,OFFSET(Initiatives!$D$1,F144-1,$BY$3))</f>
        <v>0.14000000000000001</v>
      </c>
      <c r="CA144" s="377">
        <f ca="1">IF(ISERROR(OFFSET(Initiatives!$D$1,G144-1,$BY$3)),,OFFSET(Initiatives!$D$1,G144-1,$BY$3))</f>
        <v>0.60000000000000009</v>
      </c>
      <c r="CB144" s="377">
        <f ca="1">IF(ISERROR(OFFSET(Initiatives!$D$1,H144-1,$BY$3)),,OFFSET(Initiatives!$D$1,H144-1,$BY$3))</f>
        <v>0.45555555555555544</v>
      </c>
      <c r="CC144" s="377">
        <f ca="1">IF(ISERROR(OFFSET(Initiatives!$D$1,I144-1,$BY$3)),,OFFSET(Initiatives!$D$1,I144-1,$BY$3))</f>
        <v>0.45454545454545436</v>
      </c>
      <c r="CD144" s="377">
        <f ca="1">IF(ISERROR(OFFSET(Initiatives!$D$1,J144-1,$BY$3)),,OFFSET(Initiatives!$D$1,J144-1,$BY$3))</f>
        <v>7.7000000000000179E-2</v>
      </c>
      <c r="CE144" s="377">
        <f ca="1">IF(ISERROR(OFFSET(Initiatives!$D$1,K144-1,$BY$3)),,OFFSET(Initiatives!$D$1,K144-1,$BY$3))</f>
        <v>0.48</v>
      </c>
      <c r="CF144" s="377">
        <f ca="1">IF(ISERROR(OFFSET(Initiatives!$D$1,L144-1,$BY$3)),,OFFSET(Initiatives!$D$1,L144-1,$BY$3))</f>
        <v>0.6</v>
      </c>
      <c r="CG144" s="377">
        <f ca="1">IF(ISERROR(OFFSET(Initiatives!$D$1,M144-1,$BY$3)),,OFFSET(Initiatives!$D$1,M144-1,$BY$3))</f>
        <v>0.6</v>
      </c>
      <c r="CH144" s="377">
        <f ca="1">IF(ISERROR(OFFSET(Initiatives!$D$1,N144-1,$BY$3)),,OFFSET(Initiatives!$D$1,N144-1,$BY$3))</f>
        <v>0.72000000000000008</v>
      </c>
      <c r="CI144" s="377">
        <f ca="1">IF(ISERROR(OFFSET(Initiatives!$D$1,O144-1,$BY$3)),,OFFSET(Initiatives!$D$1,O144-1,$BY$3))</f>
        <v>0.6</v>
      </c>
      <c r="CJ144" s="377">
        <f ca="1">IF(ISERROR(OFFSET(Initiatives!$D$1,P144-1,$BY$3)),,OFFSET(Initiatives!$D$1,P144-1,$BY$3))</f>
        <v>0</v>
      </c>
      <c r="CK144" s="377">
        <f ca="1">IF(ISERROR(OFFSET(Initiatives!$D$1,Q144-1,$BY$3)),,OFFSET(Initiatives!$D$1,Q144-1,$BY$3))</f>
        <v>0</v>
      </c>
      <c r="CL144" s="377">
        <f ca="1">IF(ISERROR(OFFSET(Initiatives!$D$1,R144-1,$BY$3)),,OFFSET(Initiatives!$D$1,R144-1,$BY$3))</f>
        <v>0</v>
      </c>
      <c r="CM144" s="377">
        <f ca="1">IF(ISERROR(OFFSET(Initiatives!$D$1,S144-1,$BY$3)),,OFFSET(Initiatives!$D$1,S144-1,$BY$3))</f>
        <v>0</v>
      </c>
      <c r="CN144" s="377">
        <f ca="1">IF(ISERROR(OFFSET(Initiatives!$D$1,T144-1,$BY$3)),,OFFSET(Initiatives!$D$1,T144-1,$BY$3))</f>
        <v>0</v>
      </c>
      <c r="CO144" s="377">
        <f ca="1">IF(ISERROR(OFFSET(Initiatives!$D$1,U144-1,$BY$3)),,OFFSET(Initiatives!$D$1,U144-1,$BY$3))</f>
        <v>0</v>
      </c>
      <c r="CP144" s="377">
        <f ca="1">IF(ISERROR(OFFSET(Initiatives!$D$1,V144-1,$BY$3)),,OFFSET(Initiatives!$D$1,V144-1,$BY$3))</f>
        <v>0</v>
      </c>
      <c r="CQ144" s="377">
        <f ca="1">IF(ISERROR(OFFSET(Initiatives!$D$1,W144-1,$BY$3)),,OFFSET(Initiatives!$D$1,W144-1,$BY$3))</f>
        <v>0</v>
      </c>
      <c r="CR144" s="377">
        <f ca="1">IF(ISERROR(OFFSET(Initiatives!$D$1,X144-1,$BY$3)),,OFFSET(Initiatives!$D$1,X144-1,$BY$3))</f>
        <v>0</v>
      </c>
      <c r="CT144" s="41">
        <f t="shared" ca="1" si="2360"/>
        <v>0</v>
      </c>
      <c r="CU144" s="41">
        <f t="shared" ca="1" si="2361"/>
        <v>0</v>
      </c>
      <c r="CV144" s="41">
        <f t="shared" ca="1" si="2362"/>
        <v>0.11111069959000154</v>
      </c>
      <c r="CW144" s="41">
        <f t="shared" ca="1" si="2363"/>
        <v>5.0617096479889566E-2</v>
      </c>
      <c r="CX144" s="41">
        <f t="shared" ca="1" si="2364"/>
        <v>5.0504863450000673E-2</v>
      </c>
      <c r="CY144" s="41">
        <f t="shared" ca="1" si="2365"/>
        <v>8.5555238684301375E-3</v>
      </c>
      <c r="CZ144" s="41">
        <f t="shared" ca="1" si="2366"/>
        <v>3.5555423868800486E-2</v>
      </c>
      <c r="DA144" s="41">
        <f t="shared" ca="1" si="2367"/>
        <v>8.8888559672001211E-2</v>
      </c>
      <c r="DB144" s="41">
        <f t="shared" ca="1" si="2368"/>
        <v>2.2222139918000303E-2</v>
      </c>
      <c r="DC144" s="41">
        <f t="shared" ca="1" si="2369"/>
        <v>0.10666627160640148</v>
      </c>
      <c r="DD144" s="41">
        <f t="shared" ca="1" si="2370"/>
        <v>4.4444279836000605E-2</v>
      </c>
      <c r="DE144" s="41">
        <f t="shared" ca="1" si="2371"/>
        <v>0</v>
      </c>
      <c r="DF144" s="41">
        <f t="shared" ca="1" si="2372"/>
        <v>0</v>
      </c>
      <c r="DG144" s="41">
        <f t="shared" ca="1" si="2373"/>
        <v>0</v>
      </c>
      <c r="DH144" s="41">
        <f t="shared" ca="1" si="2374"/>
        <v>0</v>
      </c>
      <c r="DI144" s="41">
        <f t="shared" ca="1" si="2375"/>
        <v>0</v>
      </c>
      <c r="DJ144" s="41">
        <f t="shared" ca="1" si="2376"/>
        <v>0</v>
      </c>
      <c r="DK144" s="41">
        <f t="shared" ca="1" si="2377"/>
        <v>0</v>
      </c>
      <c r="DL144" s="41">
        <f t="shared" ca="1" si="2378"/>
        <v>0</v>
      </c>
      <c r="DM144" s="41">
        <f t="shared" ca="1" si="2379"/>
        <v>0</v>
      </c>
      <c r="DN144" s="41">
        <f t="shared" ca="1" si="2380"/>
        <v>0.51856485828952603</v>
      </c>
      <c r="DP144" s="41">
        <f t="shared" ca="1" si="2381"/>
        <v>-1.0000000000000001E-5</v>
      </c>
      <c r="DQ144" s="41">
        <f t="shared" ca="1" si="2382"/>
        <v>-2.0000000000000002E-5</v>
      </c>
      <c r="DR144" s="41">
        <f t="shared" ca="1" si="2383"/>
        <v>0.21423577180046016</v>
      </c>
      <c r="DS144" s="41">
        <f t="shared" ca="1" si="2384"/>
        <v>9.7569962709098471E-2</v>
      </c>
      <c r="DT144" s="41">
        <f t="shared" ca="1" si="2385"/>
        <v>9.7343532636572749E-2</v>
      </c>
      <c r="DU144" s="41">
        <f t="shared" ca="1" si="2386"/>
        <v>1.6438464428635467E-2</v>
      </c>
      <c r="DV144" s="41">
        <f t="shared" ca="1" si="2387"/>
        <v>6.8495046976147236E-2</v>
      </c>
      <c r="DW144" s="41">
        <f t="shared" ca="1" si="2388"/>
        <v>0.17133261744036807</v>
      </c>
      <c r="DX144" s="41">
        <f t="shared" ca="1" si="2389"/>
        <v>4.2763154360092016E-2</v>
      </c>
      <c r="DY144" s="41">
        <f t="shared" ca="1" si="2390"/>
        <v>0.20559514092844175</v>
      </c>
      <c r="DZ144" s="41">
        <f t="shared" ca="1" si="2391"/>
        <v>8.5596308720184033E-2</v>
      </c>
      <c r="EA144" s="41">
        <f t="shared" ca="1" si="2392"/>
        <v>-1.2E-4</v>
      </c>
      <c r="EB144" s="41">
        <f t="shared" ca="1" si="2393"/>
        <v>-1.2999999999999999E-4</v>
      </c>
      <c r="EC144" s="41">
        <f t="shared" ca="1" si="2394"/>
        <v>-1.3999999999999999E-4</v>
      </c>
      <c r="ED144" s="41">
        <f t="shared" ca="1" si="2395"/>
        <v>-1.4999999999999999E-4</v>
      </c>
      <c r="EE144" s="41">
        <f t="shared" ca="1" si="2396"/>
        <v>-1.6000000000000001E-4</v>
      </c>
      <c r="EF144" s="41">
        <f t="shared" ca="1" si="2397"/>
        <v>-1.7000000000000001E-4</v>
      </c>
      <c r="EG144" s="41">
        <f t="shared" ca="1" si="2398"/>
        <v>-1.8000000000000001E-4</v>
      </c>
      <c r="EH144" s="41">
        <f t="shared" ca="1" si="2399"/>
        <v>-1.9000000000000001E-4</v>
      </c>
      <c r="EI144" s="41">
        <f t="shared" ca="1" si="2400"/>
        <v>-2.0000000000000001E-4</v>
      </c>
      <c r="EJ144" s="41">
        <f t="shared" ca="1" si="2401"/>
        <v>0.9978999999999999</v>
      </c>
      <c r="EL144" s="378">
        <f t="shared" ca="1" si="2402"/>
        <v>10</v>
      </c>
      <c r="EM144" s="378">
        <f t="shared" ca="1" si="2403"/>
        <v>11</v>
      </c>
      <c r="EN144" s="378">
        <f t="shared" ca="1" si="2404"/>
        <v>1</v>
      </c>
      <c r="EO144" s="378">
        <f t="shared" ca="1" si="2405"/>
        <v>4</v>
      </c>
      <c r="EP144" s="378">
        <f t="shared" ca="1" si="2406"/>
        <v>5</v>
      </c>
      <c r="EQ144" s="378">
        <f t="shared" ca="1" si="2407"/>
        <v>9</v>
      </c>
      <c r="ER144" s="378">
        <f t="shared" ca="1" si="2408"/>
        <v>7</v>
      </c>
      <c r="ES144" s="378">
        <f t="shared" ca="1" si="2409"/>
        <v>3</v>
      </c>
      <c r="ET144" s="378">
        <f t="shared" ca="1" si="2410"/>
        <v>8</v>
      </c>
      <c r="EU144" s="378">
        <f t="shared" ca="1" si="2411"/>
        <v>2</v>
      </c>
      <c r="EV144" s="378">
        <f t="shared" ca="1" si="2412"/>
        <v>6</v>
      </c>
      <c r="EW144" s="378">
        <f t="shared" ca="1" si="2413"/>
        <v>12</v>
      </c>
      <c r="EX144" s="378">
        <f t="shared" ca="1" si="2414"/>
        <v>13</v>
      </c>
      <c r="EY144" s="378">
        <f t="shared" ca="1" si="2415"/>
        <v>14</v>
      </c>
      <c r="EZ144" s="378">
        <f t="shared" ca="1" si="2416"/>
        <v>15</v>
      </c>
      <c r="FA144" s="378">
        <f t="shared" ca="1" si="2417"/>
        <v>16</v>
      </c>
      <c r="FB144" s="378">
        <f t="shared" ca="1" si="2418"/>
        <v>17</v>
      </c>
      <c r="FC144" s="378">
        <f t="shared" ca="1" si="2419"/>
        <v>18</v>
      </c>
      <c r="FD144" s="378">
        <f t="shared" ca="1" si="2420"/>
        <v>19</v>
      </c>
      <c r="FE144" s="378">
        <f t="shared" ca="1" si="2421"/>
        <v>20</v>
      </c>
      <c r="FG144" s="378">
        <f t="shared" ca="1" si="2422"/>
        <v>3</v>
      </c>
      <c r="FH144" s="378">
        <f t="shared" ca="1" si="2422"/>
        <v>10</v>
      </c>
      <c r="FI144" s="378">
        <f t="shared" ca="1" si="2422"/>
        <v>8</v>
      </c>
      <c r="FJ144" s="378">
        <f t="shared" ca="1" si="2422"/>
        <v>4</v>
      </c>
      <c r="FK144" s="378">
        <f t="shared" ca="1" si="2422"/>
        <v>5</v>
      </c>
      <c r="FL144" s="378">
        <f t="shared" ca="1" si="2422"/>
        <v>11</v>
      </c>
      <c r="FM144" s="378">
        <f t="shared" ca="1" si="2422"/>
        <v>7</v>
      </c>
      <c r="FN144" s="378">
        <f t="shared" ca="1" si="2422"/>
        <v>9</v>
      </c>
      <c r="FO144" s="378">
        <f t="shared" ca="1" si="2422"/>
        <v>6</v>
      </c>
      <c r="FP144" s="378">
        <f t="shared" ca="1" si="2422"/>
        <v>1</v>
      </c>
      <c r="FQ144" s="378">
        <f t="shared" ca="1" si="2422"/>
        <v>2</v>
      </c>
      <c r="FR144" s="378">
        <f t="shared" ca="1" si="2422"/>
        <v>12</v>
      </c>
      <c r="FS144" s="378">
        <f t="shared" ca="1" si="2422"/>
        <v>13</v>
      </c>
      <c r="FT144" s="378">
        <f t="shared" ca="1" si="2422"/>
        <v>14</v>
      </c>
      <c r="FU144" s="378">
        <f t="shared" ca="1" si="2422"/>
        <v>15</v>
      </c>
      <c r="FV144" s="378">
        <f t="shared" ca="1" si="2422"/>
        <v>16</v>
      </c>
      <c r="FW144" s="378">
        <f t="shared" ca="1" si="2423"/>
        <v>17</v>
      </c>
      <c r="FX144" s="378">
        <f t="shared" ca="1" si="2423"/>
        <v>18</v>
      </c>
      <c r="FY144" s="378">
        <f t="shared" ca="1" si="2423"/>
        <v>19</v>
      </c>
      <c r="FZ144" s="378">
        <f t="shared" ca="1" si="2423"/>
        <v>20</v>
      </c>
      <c r="GB144" s="275" t="str">
        <f t="shared" ca="1" si="2424"/>
        <v>Broad-reach analytic tools (21%)</v>
      </c>
      <c r="GC144" s="231" t="str">
        <f t="shared" ca="1" si="2425"/>
        <v>; Workflow and Collaboration (21%)</v>
      </c>
      <c r="GD144" s="231" t="str">
        <f t="shared" ca="1" si="2426"/>
        <v>; Scorecards / Dashboards (17%)</v>
      </c>
      <c r="GE144" s="231" t="str">
        <f t="shared" ca="1" si="2427"/>
        <v>; BI Applications (10%)</v>
      </c>
      <c r="GF144" s="231" t="str">
        <f t="shared" ca="1" si="2428"/>
        <v>; Source System Inclusion / Integration (10%)</v>
      </c>
      <c r="GG144" s="231" t="str">
        <f t="shared" ca="1" si="2429"/>
        <v>; Enhance BI Platform (9%)</v>
      </c>
      <c r="GH144" s="231" t="str">
        <f t="shared" ca="1" si="2430"/>
        <v>; Reporting (7%)</v>
      </c>
      <c r="GI144" s="231" t="str">
        <f t="shared" ca="1" si="2431"/>
        <v/>
      </c>
      <c r="GJ144" s="231" t="str">
        <f t="shared" ca="1" si="2432"/>
        <v/>
      </c>
      <c r="GK144" s="231" t="str">
        <f t="shared" ca="1" si="2433"/>
        <v/>
      </c>
      <c r="GL144" s="231" t="str">
        <f t="shared" ca="1" si="2434"/>
        <v/>
      </c>
      <c r="GM144" s="231" t="str">
        <f t="shared" ca="1" si="2435"/>
        <v/>
      </c>
      <c r="GN144" s="231" t="str">
        <f t="shared" ca="1" si="2436"/>
        <v/>
      </c>
      <c r="GO144" s="231" t="str">
        <f t="shared" ca="1" si="2437"/>
        <v/>
      </c>
      <c r="GP144" s="231" t="str">
        <f t="shared" ca="1" si="2438"/>
        <v/>
      </c>
      <c r="GQ144" s="231" t="str">
        <f t="shared" ca="1" si="2439"/>
        <v/>
      </c>
      <c r="GR144" s="231" t="str">
        <f t="shared" ca="1" si="2440"/>
        <v/>
      </c>
      <c r="GS144" s="231" t="str">
        <f t="shared" ca="1" si="2441"/>
        <v/>
      </c>
      <c r="GT144" s="231" t="str">
        <f t="shared" ca="1" si="2442"/>
        <v/>
      </c>
      <c r="GU144" s="231" t="str">
        <f t="shared" ca="1" si="2443"/>
        <v/>
      </c>
      <c r="GW144" s="377">
        <f ca="1">IF(ISERROR(OFFSET(Initiatives!$D$1,E144-1,$CB$3)),,OFFSET(Initiatives!$D$1,E144-1,$CB$3))</f>
        <v>0.65</v>
      </c>
      <c r="GX144" s="377">
        <f ca="1">IF(ISERROR(OFFSET(Initiatives!$D$1,F144-1,$CB$3)),,OFFSET(Initiatives!$D$1,F144-1,$CB$3))</f>
        <v>0.65</v>
      </c>
      <c r="GY144" s="377">
        <f ca="1">IF(ISERROR(OFFSET(Initiatives!$D$1,G144-1,$CB$3)),,OFFSET(Initiatives!$D$1,G144-1,$CB$3))</f>
        <v>0.25</v>
      </c>
      <c r="GZ144" s="377">
        <f ca="1">IF(ISERROR(OFFSET(Initiatives!$D$1,H144-1,$CB$3)),,OFFSET(Initiatives!$D$1,H144-1,$CB$3))</f>
        <v>0.34166666666666662</v>
      </c>
      <c r="HA144" s="377">
        <f ca="1">IF(ISERROR(OFFSET(Initiatives!$D$1,I144-1,$CB$3)),,OFFSET(Initiatives!$D$1,I144-1,$CB$3))</f>
        <v>0.43181818181818177</v>
      </c>
      <c r="HB144" s="377">
        <f ca="1">IF(ISERROR(OFFSET(Initiatives!$D$1,J144-1,$CB$3)),,OFFSET(Initiatives!$D$1,J144-1,$CB$3))</f>
        <v>0.77</v>
      </c>
      <c r="HC144" s="377">
        <f ca="1">IF(ISERROR(OFFSET(Initiatives!$D$1,K144-1,$CB$3)),,OFFSET(Initiatives!$D$1,K144-1,$CB$3))</f>
        <v>0.4</v>
      </c>
      <c r="HD144" s="377">
        <f ca="1">IF(ISERROR(OFFSET(Initiatives!$D$1,L144-1,$CB$3)),,OFFSET(Initiatives!$D$1,L144-1,$CB$3))</f>
        <v>0.25</v>
      </c>
      <c r="HE144" s="377">
        <f ca="1">IF(ISERROR(OFFSET(Initiatives!$D$1,M144-1,$CB$3)),,OFFSET(Initiatives!$D$1,M144-1,$CB$3))</f>
        <v>0.25</v>
      </c>
      <c r="HF144" s="377">
        <f ca="1">IF(ISERROR(OFFSET(Initiatives!$D$1,N144-1,$CB$3)),,OFFSET(Initiatives!$D$1,N144-1,$CB$3))</f>
        <v>0.1</v>
      </c>
      <c r="HG144" s="377">
        <f ca="1">IF(ISERROR(OFFSET(Initiatives!$D$1,O144-1,$CB$3)),,OFFSET(Initiatives!$D$1,O144-1,$CB$3))</f>
        <v>0.25</v>
      </c>
      <c r="HH144" s="377">
        <f ca="1">IF(ISERROR(OFFSET(Initiatives!$D$1,P144-1,$CB$3)),,OFFSET(Initiatives!$D$1,P144-1,$CB$3))</f>
        <v>0</v>
      </c>
      <c r="HI144" s="377">
        <f ca="1">IF(ISERROR(OFFSET(Initiatives!$D$1,Q144-1,$CB$3)),,OFFSET(Initiatives!$D$1,Q144-1,$CB$3))</f>
        <v>0</v>
      </c>
      <c r="HJ144" s="377">
        <f ca="1">IF(ISERROR(OFFSET(Initiatives!$D$1,R144-1,$CB$3)),,OFFSET(Initiatives!$D$1,R144-1,$CB$3))</f>
        <v>0</v>
      </c>
      <c r="HK144" s="377">
        <f ca="1">IF(ISERROR(OFFSET(Initiatives!$D$1,S144-1,$CB$3)),,OFFSET(Initiatives!$D$1,S144-1,$CB$3))</f>
        <v>0</v>
      </c>
      <c r="HL144" s="377">
        <f ca="1">IF(ISERROR(OFFSET(Initiatives!$D$1,T144-1,$CB$3)),,OFFSET(Initiatives!$D$1,T144-1,$CB$3))</f>
        <v>0</v>
      </c>
      <c r="HM144" s="377">
        <f ca="1">IF(ISERROR(OFFSET(Initiatives!$D$1,U144-1,$CB$3)),,OFFSET(Initiatives!$D$1,U144-1,$CB$3))</f>
        <v>0</v>
      </c>
      <c r="HN144" s="377">
        <f ca="1">IF(ISERROR(OFFSET(Initiatives!$D$1,V144-1,$CB$3)),,OFFSET(Initiatives!$D$1,V144-1,$CB$3))</f>
        <v>0</v>
      </c>
      <c r="HO144" s="377">
        <f ca="1">IF(ISERROR(OFFSET(Initiatives!$D$1,W144-1,$CB$3)),,OFFSET(Initiatives!$D$1,W144-1,$CB$3))</f>
        <v>0</v>
      </c>
      <c r="HP144" s="377">
        <f ca="1">IF(ISERROR(OFFSET(Initiatives!$D$1,X144-1,$CB$3)),,OFFSET(Initiatives!$D$1,X144-1,$CB$3))</f>
        <v>0</v>
      </c>
      <c r="HR144" s="41">
        <f t="shared" ca="1" si="2444"/>
        <v>0</v>
      </c>
      <c r="HS144" s="41">
        <f t="shared" ca="1" si="2445"/>
        <v>0</v>
      </c>
      <c r="HT144" s="41">
        <f t="shared" ca="1" si="2446"/>
        <v>4.6296124829167298E-2</v>
      </c>
      <c r="HU144" s="41">
        <f t="shared" ca="1" si="2447"/>
        <v>3.796282235991718E-2</v>
      </c>
      <c r="HV144" s="41">
        <f t="shared" ca="1" si="2448"/>
        <v>4.7979620277500655E-2</v>
      </c>
      <c r="HW144" s="41">
        <f t="shared" ca="1" si="2449"/>
        <v>8.5555238684301177E-2</v>
      </c>
      <c r="HX144" s="41">
        <f t="shared" ca="1" si="2450"/>
        <v>2.9629519890667075E-2</v>
      </c>
      <c r="HY144" s="41">
        <f t="shared" ca="1" si="2451"/>
        <v>3.703689986333384E-2</v>
      </c>
      <c r="HZ144" s="41">
        <f t="shared" ca="1" si="2452"/>
        <v>9.25922496583346E-3</v>
      </c>
      <c r="IA144" s="41">
        <f t="shared" ca="1" si="2453"/>
        <v>1.4814759945333537E-2</v>
      </c>
      <c r="IB144" s="41">
        <f t="shared" ca="1" si="2454"/>
        <v>1.851844993166692E-2</v>
      </c>
      <c r="IC144" s="41">
        <f t="shared" ca="1" si="2455"/>
        <v>0</v>
      </c>
      <c r="ID144" s="41">
        <f t="shared" ca="1" si="2456"/>
        <v>0</v>
      </c>
      <c r="IE144" s="41">
        <f t="shared" ca="1" si="2457"/>
        <v>0</v>
      </c>
      <c r="IF144" s="41">
        <f t="shared" ca="1" si="2458"/>
        <v>0</v>
      </c>
      <c r="IG144" s="41">
        <f t="shared" ca="1" si="2459"/>
        <v>0</v>
      </c>
      <c r="IH144" s="41">
        <f t="shared" ca="1" si="2460"/>
        <v>0</v>
      </c>
      <c r="II144" s="41">
        <f t="shared" ca="1" si="2461"/>
        <v>0</v>
      </c>
      <c r="IJ144" s="41">
        <f t="shared" ca="1" si="2462"/>
        <v>0</v>
      </c>
      <c r="IK144" s="41">
        <f t="shared" ca="1" si="2463"/>
        <v>0</v>
      </c>
      <c r="IL144" s="41">
        <f t="shared" ca="1" si="2464"/>
        <v>0.32705266074772116</v>
      </c>
    </row>
    <row r="145" spans="1:246" hidden="1">
      <c r="A145" s="409"/>
      <c r="B145" s="409"/>
      <c r="C145" s="409"/>
      <c r="D145" s="409"/>
    </row>
    <row r="146" spans="1:246" s="409" customFormat="1" ht="15" hidden="1">
      <c r="B146" s="6" t="str">
        <f>Maturity!A32</f>
        <v>Architecture</v>
      </c>
      <c r="BP146" s="29"/>
    </row>
    <row r="147" spans="1:246" s="409" customFormat="1" ht="13.5" hidden="1" customHeight="1">
      <c r="B147" s="373"/>
      <c r="C147" s="81" t="str">
        <f>Maturity!B33</f>
        <v>What is the PREDOMINANT ARCHITECTURE of your DW environment?</v>
      </c>
      <c r="D147" s="404">
        <f t="shared" ref="D147:D151" ca="1" si="2465">DN147</f>
        <v>0.15441484910677908</v>
      </c>
      <c r="E147" s="374">
        <f>ROW(Initiatives!$A$100)</f>
        <v>100</v>
      </c>
      <c r="F147" s="374">
        <f>ROW(Initiatives!$A$101)</f>
        <v>101</v>
      </c>
      <c r="G147" s="374">
        <f>ROW(Initiatives!$A$106)</f>
        <v>106</v>
      </c>
      <c r="H147" s="374">
        <f>ROW(Initiatives!$A$107)</f>
        <v>107</v>
      </c>
      <c r="I147" s="374">
        <f>ROW(Initiatives!$A$108)</f>
        <v>108</v>
      </c>
      <c r="J147" s="374">
        <f>ROW(Initiatives!$A$170)</f>
        <v>170</v>
      </c>
      <c r="K147" s="374">
        <f>ROW(Initiatives!$A$176)</f>
        <v>176</v>
      </c>
      <c r="L147" s="374">
        <f>ROW(Initiatives!$A$178)</f>
        <v>178</v>
      </c>
      <c r="M147" s="374">
        <f>ROW(Initiatives!$A$179)</f>
        <v>179</v>
      </c>
      <c r="N147" s="374">
        <f>ROW(Initiatives!$A$180)</f>
        <v>180</v>
      </c>
      <c r="O147" s="374">
        <f>ROW(Initiatives!$A$181)</f>
        <v>181</v>
      </c>
      <c r="P147" s="374">
        <f>ROW(Initiatives!$A$182)</f>
        <v>182</v>
      </c>
      <c r="Q147" s="374">
        <f>ROW(Initiatives!$A$189)</f>
        <v>189</v>
      </c>
      <c r="R147" s="374" t="s">
        <v>975</v>
      </c>
      <c r="S147" s="374" t="s">
        <v>975</v>
      </c>
      <c r="T147" s="374" t="s">
        <v>975</v>
      </c>
      <c r="U147" s="374" t="s">
        <v>975</v>
      </c>
      <c r="V147" s="374" t="s">
        <v>975</v>
      </c>
      <c r="W147" s="374" t="s">
        <v>975</v>
      </c>
      <c r="X147" s="374" t="s">
        <v>975</v>
      </c>
      <c r="Y147" s="392" t="str">
        <f ca="1">OFFSET(Initiatives!$D$1,E147-1,$BS$3)</f>
        <v>Governance</v>
      </c>
      <c r="Z147" s="375"/>
      <c r="AA147" s="392" t="str">
        <f ca="1">OFFSET(Initiatives!$D$1,F147-1,$BS$3)</f>
        <v>Architecture</v>
      </c>
      <c r="AB147" s="375"/>
      <c r="AC147" s="392" t="str">
        <f ca="1">OFFSET(Initiatives!$D$1,G147-1,$BS$3)</f>
        <v>Metadata definitions</v>
      </c>
      <c r="AD147" s="375"/>
      <c r="AE147" s="392" t="str">
        <f ca="1">OFFSET(Initiatives!$D$1,H147-1,$BS$3)</f>
        <v>Metadata management</v>
      </c>
      <c r="AF147" s="375"/>
      <c r="AG147" s="392" t="str">
        <f ca="1">OFFSET(Initiatives!$D$1,I147-1,$BS$3)</f>
        <v>High data quality</v>
      </c>
      <c r="AH147" s="375"/>
      <c r="AI147" s="392" t="str">
        <f ca="1">OFFSET(Initiatives!$D$1,J147-1,$BS$3)</f>
        <v>BI Applications</v>
      </c>
      <c r="AJ147" s="375"/>
      <c r="AK147" s="392" t="str">
        <f ca="1">OFFSET(Initiatives!$D$1,K147-1,$BS$3)</f>
        <v>Source System Inclusion / Integration</v>
      </c>
      <c r="AL147" s="375">
        <v>5</v>
      </c>
      <c r="AM147" s="392" t="str">
        <f ca="1">OFFSET(Initiatives!$D$1,L147-1,$BS$3)</f>
        <v>Architecture Standards &amp; Adherence</v>
      </c>
      <c r="AN147" s="375"/>
      <c r="AO147" s="392" t="str">
        <f ca="1">OFFSET(Initiatives!$D$1,M147-1,$BS$3)</f>
        <v>Data Management</v>
      </c>
      <c r="AP147" s="375"/>
      <c r="AQ147" s="392" t="str">
        <f ca="1">OFFSET(Initiatives!$D$1,N147-1,$BS$3)</f>
        <v>Data Integration/ETL</v>
      </c>
      <c r="AR147" s="375">
        <v>7</v>
      </c>
      <c r="AS147" s="392" t="str">
        <f ca="1">OFFSET(Initiatives!$D$1,O147-1,$BS$3)</f>
        <v>Data Warehouse / Data Marts</v>
      </c>
      <c r="AT147" s="375">
        <v>9</v>
      </c>
      <c r="AU147" s="392" t="str">
        <f ca="1">OFFSET(Initiatives!$D$1,P147-1,$BS$3)</f>
        <v>Development</v>
      </c>
      <c r="AV147" s="375"/>
      <c r="AW147" s="392" t="str">
        <f ca="1">OFFSET(Initiatives!$D$1,Q147-1,$BS$3)</f>
        <v>Enhance BI Platform</v>
      </c>
      <c r="AX147" s="375"/>
      <c r="AY147" s="392" t="e">
        <f ca="1">OFFSET(Initiatives!$D$1,R147-1,$BS$3)</f>
        <v>#VALUE!</v>
      </c>
      <c r="AZ147" s="375"/>
      <c r="BA147" s="392" t="e">
        <f ca="1">OFFSET(Initiatives!$D$1,S147-1,$BS$3)</f>
        <v>#VALUE!</v>
      </c>
      <c r="BB147" s="375"/>
      <c r="BC147" s="392" t="e">
        <f ca="1">OFFSET(Initiatives!$D$1,T147-1,$BS$3)</f>
        <v>#VALUE!</v>
      </c>
      <c r="BD147" s="375"/>
      <c r="BE147" s="392" t="e">
        <f ca="1">OFFSET(Initiatives!$D$1,U147-1,$BS$3)</f>
        <v>#VALUE!</v>
      </c>
      <c r="BF147" s="375"/>
      <c r="BG147" s="392" t="e">
        <f ca="1">OFFSET(Initiatives!$D$1,V147-1,$BS$3)</f>
        <v>#VALUE!</v>
      </c>
      <c r="BH147" s="375"/>
      <c r="BI147" s="392" t="e">
        <f ca="1">OFFSET(Initiatives!$D$1,W147-1,$BS$3)</f>
        <v>#VALUE!</v>
      </c>
      <c r="BJ147" s="375"/>
      <c r="BK147" s="392" t="e">
        <f ca="1">OFFSET(Initiatives!$D$1,X147-1,$BS$3)</f>
        <v>#VALUE!</v>
      </c>
      <c r="BL147" s="375"/>
      <c r="BN147" s="101">
        <f t="shared" ref="BN147:BN151" si="2466">SUM(Z147,AB147,AD147,AF147,AH147,AJ147,AL147,AN147,AP147,AR147,AT147,AV147,AX147,AZ147,BB147,BD147,BF147,BH147,BJ147,BL147)+0.0001</f>
        <v>21.0001</v>
      </c>
      <c r="BP147" s="231" t="str">
        <f t="shared" ref="BP147:BP151" ca="1" si="2467">CONCATENATE(GB147,GC147,GD147,GE147,GF147,GG147,GH147,GI147,GJ147,GK147,GL147,GM147,GN147,GO147,GP147,GQ147,GR147,GS147,GT147,GU147)</f>
        <v>Source System Inclusion / Integration (70%); Data Integration/ETL (22%); Data Warehouse / Data Marts (8%)</v>
      </c>
      <c r="BQ147" s="338">
        <v>0.01</v>
      </c>
      <c r="BR147" s="40">
        <f t="shared" ref="BR147:BR151" ca="1" si="2468">COUNTIF(CT147:DM147,"&gt;"&amp;BQ147)</f>
        <v>3</v>
      </c>
      <c r="BS147" s="274">
        <v>0.05</v>
      </c>
      <c r="BT147" s="40">
        <f t="shared" ref="BT147:BT151" ca="1" si="2469">COUNTIF(DP147:EI147,"&gt;"&amp;BS147)</f>
        <v>3</v>
      </c>
      <c r="BU147" s="376">
        <v>7</v>
      </c>
      <c r="BV147" s="40">
        <f t="shared" ref="BV147:BV151" ca="1" si="2470">MIN(BR147,BT147,BU147)</f>
        <v>3</v>
      </c>
      <c r="BY147" s="377">
        <f ca="1">IF(ISERROR(OFFSET(Initiatives!$D$1,E147-1,$BY$3)),,OFFSET(Initiatives!$D$1,E147-1,$BY$3))</f>
        <v>0.14000000000000001</v>
      </c>
      <c r="BZ147" s="377">
        <f ca="1">IF(ISERROR(OFFSET(Initiatives!$D$1,F147-1,$BY$3)),,OFFSET(Initiatives!$D$1,F147-1,$BY$3))</f>
        <v>0.14000000000000001</v>
      </c>
      <c r="CA147" s="377">
        <f ca="1">IF(ISERROR(OFFSET(Initiatives!$D$1,G147-1,$BY$3)),,OFFSET(Initiatives!$D$1,G147-1,$BY$3))</f>
        <v>9.9999999999999978E-2</v>
      </c>
      <c r="CB147" s="377">
        <f ca="1">IF(ISERROR(OFFSET(Initiatives!$D$1,H147-1,$BY$3)),,OFFSET(Initiatives!$D$1,H147-1,$BY$3))</f>
        <v>9.9999999999999978E-2</v>
      </c>
      <c r="CC147" s="377">
        <f ca="1">IF(ISERROR(OFFSET(Initiatives!$D$1,I147-1,$BY$3)),,OFFSET(Initiatives!$D$1,I147-1,$BY$3))</f>
        <v>9.9999999999999978E-2</v>
      </c>
      <c r="CD147" s="377">
        <f ca="1">IF(ISERROR(OFFSET(Initiatives!$D$1,J147-1,$BY$3)),,OFFSET(Initiatives!$D$1,J147-1,$BY$3))</f>
        <v>0.45555555555555544</v>
      </c>
      <c r="CE147" s="377">
        <f ca="1">IF(ISERROR(OFFSET(Initiatives!$D$1,K147-1,$BY$3)),,OFFSET(Initiatives!$D$1,K147-1,$BY$3))</f>
        <v>0.45454545454545436</v>
      </c>
      <c r="CF147" s="377">
        <f ca="1">IF(ISERROR(OFFSET(Initiatives!$D$1,L147-1,$BY$3)),,OFFSET(Initiatives!$D$1,L147-1,$BY$3))</f>
        <v>0.14000000000000012</v>
      </c>
      <c r="CG147" s="377">
        <f ca="1">IF(ISERROR(OFFSET(Initiatives!$D$1,M147-1,$BY$3)),,OFFSET(Initiatives!$D$1,M147-1,$BY$3))</f>
        <v>9.9999999999999978E-2</v>
      </c>
      <c r="CH147" s="377">
        <f ca="1">IF(ISERROR(OFFSET(Initiatives!$D$1,N147-1,$BY$3)),,OFFSET(Initiatives!$D$1,N147-1,$BY$3))</f>
        <v>9.9999999999999978E-2</v>
      </c>
      <c r="CI147" s="377">
        <f ca="1">IF(ISERROR(OFFSET(Initiatives!$D$1,O147-1,$BY$3)),,OFFSET(Initiatives!$D$1,O147-1,$BY$3))</f>
        <v>3.0000000000000027E-2</v>
      </c>
      <c r="CJ147" s="377">
        <f ca="1">IF(ISERROR(OFFSET(Initiatives!$D$1,P147-1,$BY$3)),,OFFSET(Initiatives!$D$1,P147-1,$BY$3))</f>
        <v>1.5000000000000124E-2</v>
      </c>
      <c r="CK147" s="377">
        <f ca="1">IF(ISERROR(OFFSET(Initiatives!$D$1,Q147-1,$BY$3)),,OFFSET(Initiatives!$D$1,Q147-1,$BY$3))</f>
        <v>0.6</v>
      </c>
      <c r="CL147" s="377">
        <f ca="1">IF(ISERROR(OFFSET(Initiatives!$D$1,R147-1,$BY$3)),,OFFSET(Initiatives!$D$1,R147-1,$BY$3))</f>
        <v>0</v>
      </c>
      <c r="CM147" s="377">
        <f ca="1">IF(ISERROR(OFFSET(Initiatives!$D$1,S147-1,$BY$3)),,OFFSET(Initiatives!$D$1,S147-1,$BY$3))</f>
        <v>0</v>
      </c>
      <c r="CN147" s="377">
        <f ca="1">IF(ISERROR(OFFSET(Initiatives!$D$1,T147-1,$BY$3)),,OFFSET(Initiatives!$D$1,T147-1,$BY$3))</f>
        <v>0</v>
      </c>
      <c r="CO147" s="377">
        <f ca="1">IF(ISERROR(OFFSET(Initiatives!$D$1,U147-1,$BY$3)),,OFFSET(Initiatives!$D$1,U147-1,$BY$3))</f>
        <v>0</v>
      </c>
      <c r="CP147" s="377">
        <f ca="1">IF(ISERROR(OFFSET(Initiatives!$D$1,V147-1,$BY$3)),,OFFSET(Initiatives!$D$1,V147-1,$BY$3))</f>
        <v>0</v>
      </c>
      <c r="CQ147" s="377">
        <f ca="1">IF(ISERROR(OFFSET(Initiatives!$D$1,W147-1,$BY$3)),,OFFSET(Initiatives!$D$1,W147-1,$BY$3))</f>
        <v>0</v>
      </c>
      <c r="CR147" s="377">
        <f ca="1">IF(ISERROR(OFFSET(Initiatives!$D$1,X147-1,$BY$3)),,OFFSET(Initiatives!$D$1,X147-1,$BY$3))</f>
        <v>0</v>
      </c>
      <c r="CT147" s="41">
        <f t="shared" ref="CT147:CT151" ca="1" si="2471">BY147*Z147/$BN147</f>
        <v>0</v>
      </c>
      <c r="CU147" s="41">
        <f t="shared" ref="CU147:CU151" ca="1" si="2472">BZ147*AB147/$BN147</f>
        <v>0</v>
      </c>
      <c r="CV147" s="41">
        <f t="shared" ref="CV147:CV151" ca="1" si="2473">CA147*AD147/$BN147</f>
        <v>0</v>
      </c>
      <c r="CW147" s="41">
        <f t="shared" ref="CW147:CW151" ca="1" si="2474">CB147*AF147/$BN147</f>
        <v>0</v>
      </c>
      <c r="CX147" s="41">
        <f t="shared" ref="CX147:CX151" ca="1" si="2475">CC147*AH147/$BN147</f>
        <v>0</v>
      </c>
      <c r="CY147" s="41">
        <f t="shared" ref="CY147:CY151" ca="1" si="2476">CD147*AJ147/$BN147</f>
        <v>0</v>
      </c>
      <c r="CZ147" s="41">
        <f t="shared" ref="CZ147:CZ151" ca="1" si="2477">CE147*AL147/$BN147</f>
        <v>0.10822459286990403</v>
      </c>
      <c r="DA147" s="41">
        <f t="shared" ref="DA147:DA151" ca="1" si="2478">CF147*AN147/$BN147</f>
        <v>0</v>
      </c>
      <c r="DB147" s="41">
        <f t="shared" ref="DB147:DB151" ca="1" si="2479">CG147*AP147/$BN147</f>
        <v>0</v>
      </c>
      <c r="DC147" s="41">
        <f t="shared" ref="DC147:DC151" ca="1" si="2480">CH147*AR147/$BN147</f>
        <v>3.3333174603930447E-2</v>
      </c>
      <c r="DD147" s="41">
        <f t="shared" ref="DD147:DD151" ca="1" si="2481">CI147*AT147/$BN147</f>
        <v>1.2857081632944616E-2</v>
      </c>
      <c r="DE147" s="41">
        <f t="shared" ref="DE147:DE151" ca="1" si="2482">CJ147*AV147/$BN147</f>
        <v>0</v>
      </c>
      <c r="DF147" s="41">
        <f t="shared" ref="DF147:DF151" ca="1" si="2483">CK147*AX147/$BN147</f>
        <v>0</v>
      </c>
      <c r="DG147" s="41">
        <f t="shared" ref="DG147:DG151" ca="1" si="2484">CL147*AZ147/$BN147</f>
        <v>0</v>
      </c>
      <c r="DH147" s="41">
        <f t="shared" ref="DH147:DH151" ca="1" si="2485">CM147*BB147/$BN147</f>
        <v>0</v>
      </c>
      <c r="DI147" s="41">
        <f t="shared" ref="DI147:DI151" ca="1" si="2486">CN147*BD147/$BN147</f>
        <v>0</v>
      </c>
      <c r="DJ147" s="41">
        <f t="shared" ref="DJ147:DJ151" ca="1" si="2487">CO147*BF147/$BN147</f>
        <v>0</v>
      </c>
      <c r="DK147" s="41">
        <f t="shared" ref="DK147:DK151" ca="1" si="2488">CP147*BH147/$BN147</f>
        <v>0</v>
      </c>
      <c r="DL147" s="41">
        <f t="shared" ref="DL147:DL151" ca="1" si="2489">CQ147*BJ147/$BN147</f>
        <v>0</v>
      </c>
      <c r="DM147" s="41">
        <f t="shared" ref="DM147:DM151" ca="1" si="2490">CR147*BL147/$BN147</f>
        <v>0</v>
      </c>
      <c r="DN147" s="41">
        <f t="shared" ref="DN147:DN151" ca="1" si="2491">SUM(CT147:DM147)</f>
        <v>0.15441484910677908</v>
      </c>
      <c r="DP147" s="41">
        <f t="shared" ref="DP147:DP151" ca="1" si="2492">CT147/$DN147-DP$5/100000</f>
        <v>-1.0000000000000001E-5</v>
      </c>
      <c r="DQ147" s="41">
        <f t="shared" ref="DQ147:DQ151" ca="1" si="2493">CU147/$DN147-DQ$5/100000</f>
        <v>-2.0000000000000002E-5</v>
      </c>
      <c r="DR147" s="41">
        <f t="shared" ref="DR147:DR151" ca="1" si="2494">CV147/$DN147-DR$5/100000</f>
        <v>-3.0000000000000001E-5</v>
      </c>
      <c r="DS147" s="41">
        <f t="shared" ref="DS147:DS151" ca="1" si="2495">CW147/$DN147-DS$5/100000</f>
        <v>-4.0000000000000003E-5</v>
      </c>
      <c r="DT147" s="41">
        <f t="shared" ref="DT147:DT151" ca="1" si="2496">CX147/$DN147-DT$5/100000</f>
        <v>-5.0000000000000002E-5</v>
      </c>
      <c r="DU147" s="41">
        <f t="shared" ref="DU147:DU151" ca="1" si="2497">CY147/$DN147-DU$5/100000</f>
        <v>-6.0000000000000002E-5</v>
      </c>
      <c r="DV147" s="41">
        <f t="shared" ref="DV147:DV151" ca="1" si="2498">CZ147/$DN147-DV$5/100000</f>
        <v>0.70079907765629379</v>
      </c>
      <c r="DW147" s="41">
        <f t="shared" ref="DW147:DW151" ca="1" si="2499">DA147/$DN147-DW$5/100000</f>
        <v>-8.0000000000000007E-5</v>
      </c>
      <c r="DX147" s="41">
        <f t="shared" ref="DX147:DX151" ca="1" si="2500">DB147/$DN147-DX$5/100000</f>
        <v>-9.0000000000000006E-5</v>
      </c>
      <c r="DY147" s="41">
        <f t="shared" ref="DY147:DY151" ca="1" si="2501">DC147/$DN147-DY$5/100000</f>
        <v>0.21576767591813853</v>
      </c>
      <c r="DZ147" s="41">
        <f t="shared" ref="DZ147:DZ151" ca="1" si="2502">DD147/$DN147-DZ$5/100000</f>
        <v>8.3153246425567817E-2</v>
      </c>
      <c r="EA147" s="41">
        <f t="shared" ref="EA147:EA151" ca="1" si="2503">DE147/$DN147-EA$5/100000</f>
        <v>-1.2E-4</v>
      </c>
      <c r="EB147" s="41">
        <f t="shared" ref="EB147:EB151" ca="1" si="2504">DF147/$DN147-EB$5/100000</f>
        <v>-1.2999999999999999E-4</v>
      </c>
      <c r="EC147" s="41">
        <f t="shared" ref="EC147:EC151" ca="1" si="2505">DG147/$DN147-EC$5/100000</f>
        <v>-1.3999999999999999E-4</v>
      </c>
      <c r="ED147" s="41">
        <f t="shared" ref="ED147:ED151" ca="1" si="2506">DH147/$DN147-ED$5/100000</f>
        <v>-1.4999999999999999E-4</v>
      </c>
      <c r="EE147" s="41">
        <f t="shared" ref="EE147:EE151" ca="1" si="2507">DI147/$DN147-EE$5/100000</f>
        <v>-1.6000000000000001E-4</v>
      </c>
      <c r="EF147" s="41">
        <f t="shared" ref="EF147:EF151" ca="1" si="2508">DJ147/$DN147-EF$5/100000</f>
        <v>-1.7000000000000001E-4</v>
      </c>
      <c r="EG147" s="41">
        <f t="shared" ref="EG147:EG151" ca="1" si="2509">DK147/$DN147-EG$5/100000</f>
        <v>-1.8000000000000001E-4</v>
      </c>
      <c r="EH147" s="41">
        <f t="shared" ref="EH147:EH151" ca="1" si="2510">DL147/$DN147-EH$5/100000</f>
        <v>-1.9000000000000001E-4</v>
      </c>
      <c r="EI147" s="41">
        <f t="shared" ref="EI147:EI151" ca="1" si="2511">DM147/$DN147-EI$5/100000</f>
        <v>-2.0000000000000001E-4</v>
      </c>
      <c r="EJ147" s="41">
        <f t="shared" ref="EJ147:EJ151" ca="1" si="2512">SUM(DP147:EI147)</f>
        <v>0.99790000000000012</v>
      </c>
      <c r="EL147" s="378">
        <f t="shared" ref="EL147:EL151" ca="1" si="2513">RANK(DP147,$DP147:$EI147)</f>
        <v>4</v>
      </c>
      <c r="EM147" s="378">
        <f t="shared" ref="EM147:EM151" ca="1" si="2514">RANK(DQ147,$DP147:$EI147)</f>
        <v>5</v>
      </c>
      <c r="EN147" s="378">
        <f t="shared" ref="EN147:EN151" ca="1" si="2515">RANK(DR147,$DP147:$EI147)</f>
        <v>6</v>
      </c>
      <c r="EO147" s="378">
        <f t="shared" ref="EO147:EO151" ca="1" si="2516">RANK(DS147,$DP147:$EI147)</f>
        <v>7</v>
      </c>
      <c r="EP147" s="378">
        <f t="shared" ref="EP147:EP151" ca="1" si="2517">RANK(DT147,$DP147:$EI147)</f>
        <v>8</v>
      </c>
      <c r="EQ147" s="378">
        <f t="shared" ref="EQ147:EQ151" ca="1" si="2518">RANK(DU147,$DP147:$EI147)</f>
        <v>9</v>
      </c>
      <c r="ER147" s="378">
        <f t="shared" ref="ER147:ER151" ca="1" si="2519">RANK(DV147,$DP147:$EI147)</f>
        <v>1</v>
      </c>
      <c r="ES147" s="378">
        <f t="shared" ref="ES147:ES151" ca="1" si="2520">RANK(DW147,$DP147:$EI147)</f>
        <v>10</v>
      </c>
      <c r="ET147" s="378">
        <f t="shared" ref="ET147:ET151" ca="1" si="2521">RANK(DX147,$DP147:$EI147)</f>
        <v>11</v>
      </c>
      <c r="EU147" s="378">
        <f t="shared" ref="EU147:EU151" ca="1" si="2522">RANK(DY147,$DP147:$EI147)</f>
        <v>2</v>
      </c>
      <c r="EV147" s="378">
        <f t="shared" ref="EV147:EV151" ca="1" si="2523">RANK(DZ147,$DP147:$EI147)</f>
        <v>3</v>
      </c>
      <c r="EW147" s="378">
        <f t="shared" ref="EW147:EW151" ca="1" si="2524">RANK(EA147,$DP147:$EI147)</f>
        <v>12</v>
      </c>
      <c r="EX147" s="378">
        <f t="shared" ref="EX147:EX151" ca="1" si="2525">RANK(EB147,$DP147:$EI147)</f>
        <v>13</v>
      </c>
      <c r="EY147" s="378">
        <f t="shared" ref="EY147:EY151" ca="1" si="2526">RANK(EC147,$DP147:$EI147)</f>
        <v>14</v>
      </c>
      <c r="EZ147" s="378">
        <f t="shared" ref="EZ147:EZ151" ca="1" si="2527">RANK(ED147,$DP147:$EI147)</f>
        <v>15</v>
      </c>
      <c r="FA147" s="378">
        <f t="shared" ref="FA147:FA151" ca="1" si="2528">RANK(EE147,$DP147:$EI147)</f>
        <v>16</v>
      </c>
      <c r="FB147" s="378">
        <f t="shared" ref="FB147:FB151" ca="1" si="2529">RANK(EF147,$DP147:$EI147)</f>
        <v>17</v>
      </c>
      <c r="FC147" s="378">
        <f t="shared" ref="FC147:FC151" ca="1" si="2530">RANK(EG147,$DP147:$EI147)</f>
        <v>18</v>
      </c>
      <c r="FD147" s="378">
        <f t="shared" ref="FD147:FD151" ca="1" si="2531">RANK(EH147,$DP147:$EI147)</f>
        <v>19</v>
      </c>
      <c r="FE147" s="378">
        <f t="shared" ref="FE147:FE151" ca="1" si="2532">RANK(EI147,$DP147:$EI147)</f>
        <v>20</v>
      </c>
      <c r="FG147" s="378">
        <f t="shared" ref="FG147:FV151" ca="1" si="2533">MATCH(FG$5,$EL147:$FE147,0)</f>
        <v>7</v>
      </c>
      <c r="FH147" s="378">
        <f t="shared" ca="1" si="2533"/>
        <v>10</v>
      </c>
      <c r="FI147" s="378">
        <f t="shared" ca="1" si="2533"/>
        <v>11</v>
      </c>
      <c r="FJ147" s="378">
        <f t="shared" ca="1" si="2533"/>
        <v>1</v>
      </c>
      <c r="FK147" s="378">
        <f t="shared" ca="1" si="2533"/>
        <v>2</v>
      </c>
      <c r="FL147" s="378">
        <f t="shared" ca="1" si="2533"/>
        <v>3</v>
      </c>
      <c r="FM147" s="378">
        <f t="shared" ca="1" si="2533"/>
        <v>4</v>
      </c>
      <c r="FN147" s="378">
        <f t="shared" ca="1" si="2533"/>
        <v>5</v>
      </c>
      <c r="FO147" s="378">
        <f t="shared" ca="1" si="2533"/>
        <v>6</v>
      </c>
      <c r="FP147" s="378">
        <f t="shared" ca="1" si="2533"/>
        <v>8</v>
      </c>
      <c r="FQ147" s="378">
        <f t="shared" ca="1" si="2533"/>
        <v>9</v>
      </c>
      <c r="FR147" s="378">
        <f t="shared" ca="1" si="2533"/>
        <v>12</v>
      </c>
      <c r="FS147" s="378">
        <f t="shared" ca="1" si="2533"/>
        <v>13</v>
      </c>
      <c r="FT147" s="378">
        <f t="shared" ca="1" si="2533"/>
        <v>14</v>
      </c>
      <c r="FU147" s="378">
        <f t="shared" ca="1" si="2533"/>
        <v>15</v>
      </c>
      <c r="FV147" s="378">
        <f t="shared" ca="1" si="2533"/>
        <v>16</v>
      </c>
      <c r="FW147" s="378">
        <f t="shared" ref="FW147:FZ151" ca="1" si="2534">MATCH(FW$5,$EL147:$FE147,0)</f>
        <v>17</v>
      </c>
      <c r="FX147" s="378">
        <f t="shared" ca="1" si="2534"/>
        <v>18</v>
      </c>
      <c r="FY147" s="378">
        <f t="shared" ca="1" si="2534"/>
        <v>19</v>
      </c>
      <c r="FZ147" s="378">
        <f t="shared" ca="1" si="2534"/>
        <v>20</v>
      </c>
      <c r="GB147" s="275" t="str">
        <f t="shared" ref="GB147:GB151" ca="1" si="2535">IF(GB$5&lt;=$BV147,INDEX($Y147:$BL147,1,FG147*2-1)&amp;" ("&amp;TEXT(INDEX($DP147:$EI147,1,FG147),"0%")&amp;")","")</f>
        <v>Source System Inclusion / Integration (70%)</v>
      </c>
      <c r="GC147" s="231" t="str">
        <f t="shared" ref="GC147:GC151" ca="1" si="2536">IF(GC$5&lt;=$BV147,"; "&amp;INDEX($Y147:$BL147,1,FH147*2-1)&amp;" ("&amp;TEXT(INDEX($DP147:$EI147,1,FH147),"0%")&amp;")","")</f>
        <v>; Data Integration/ETL (22%)</v>
      </c>
      <c r="GD147" s="231" t="str">
        <f t="shared" ref="GD147:GD151" ca="1" si="2537">IF(GD$5&lt;=$BV147,"; "&amp;INDEX($Y147:$BL147,1,FI147*2-1)&amp;" ("&amp;TEXT(INDEX($DP147:$EI147,1,FI147),"0%")&amp;")","")</f>
        <v>; Data Warehouse / Data Marts (8%)</v>
      </c>
      <c r="GE147" s="231" t="str">
        <f t="shared" ref="GE147:GE151" ca="1" si="2538">IF(GE$5&lt;=$BV147,"; "&amp;INDEX($Y147:$BL147,1,FJ147*2-1)&amp;" ("&amp;TEXT(INDEX($DP147:$EI147,1,FJ147),"0%")&amp;")","")</f>
        <v/>
      </c>
      <c r="GF147" s="231" t="str">
        <f t="shared" ref="GF147:GF151" ca="1" si="2539">IF(GF$5&lt;=$BV147,"; "&amp;INDEX($Y147:$BL147,1,FK147*2-1)&amp;" ("&amp;TEXT(INDEX($DP147:$EI147,1,FK147),"0%")&amp;")","")</f>
        <v/>
      </c>
      <c r="GG147" s="231" t="str">
        <f t="shared" ref="GG147:GG151" ca="1" si="2540">IF(GG$5&lt;=$BV147,"; "&amp;INDEX($Y147:$BL147,1,FL147*2-1)&amp;" ("&amp;TEXT(INDEX($DP147:$EI147,1,FL147),"0%")&amp;")","")</f>
        <v/>
      </c>
      <c r="GH147" s="231" t="str">
        <f t="shared" ref="GH147:GH151" ca="1" si="2541">IF(GH$5&lt;=$BV147,"; "&amp;INDEX($Y147:$BL147,1,FM147*2-1)&amp;" ("&amp;TEXT(INDEX($DP147:$EI147,1,FM147),"0%")&amp;")","")</f>
        <v/>
      </c>
      <c r="GI147" s="231" t="str">
        <f t="shared" ref="GI147:GI151" ca="1" si="2542">IF(GI$5&lt;=$BV147,"; "&amp;INDEX($Y147:$BL147,1,FN147*2-1)&amp;" ("&amp;TEXT(INDEX($DP147:$EI147,1,FN147),"0%")&amp;")","")</f>
        <v/>
      </c>
      <c r="GJ147" s="231" t="str">
        <f t="shared" ref="GJ147:GJ151" ca="1" si="2543">IF(GJ$5&lt;=$BV147,"; "&amp;INDEX($Y147:$BL147,1,FO147*2-1)&amp;" ("&amp;TEXT(INDEX($DP147:$EI147,1,FO147),"0%")&amp;")","")</f>
        <v/>
      </c>
      <c r="GK147" s="231" t="str">
        <f t="shared" ref="GK147:GK151" ca="1" si="2544">IF(GK$5&lt;=$BV147,"; "&amp;INDEX($Y147:$BL147,1,FP147*2-1)&amp;" ("&amp;TEXT(INDEX($DP147:$EI147,1,FP147),"0%")&amp;")","")</f>
        <v/>
      </c>
      <c r="GL147" s="231" t="str">
        <f t="shared" ref="GL147:GL151" ca="1" si="2545">IF(GL$5&lt;=$BV147,"; "&amp;INDEX($Y147:$BL147,1,FQ147*2-1)&amp;" ("&amp;TEXT(INDEX($DP147:$EI147,1,FQ147),"0%")&amp;")","")</f>
        <v/>
      </c>
      <c r="GM147" s="231" t="str">
        <f t="shared" ref="GM147:GM151" ca="1" si="2546">IF(GM$5&lt;=$BV147,"; "&amp;INDEX($Y147:$BL147,1,FR147*2-1)&amp;" ("&amp;TEXT(INDEX($DP147:$EI147,1,FR147),"0%")&amp;")","")</f>
        <v/>
      </c>
      <c r="GN147" s="231" t="str">
        <f t="shared" ref="GN147:GN151" ca="1" si="2547">IF(GN$5&lt;=$BV147,"; "&amp;INDEX($Y147:$BL147,1,FS147*2-1)&amp;" ("&amp;TEXT(INDEX($DP147:$EI147,1,FS147),"0%")&amp;")","")</f>
        <v/>
      </c>
      <c r="GO147" s="231" t="str">
        <f t="shared" ref="GO147:GO151" ca="1" si="2548">IF(GO$5&lt;=$BV147,"; "&amp;INDEX($Y147:$BL147,1,FT147*2-1)&amp;" ("&amp;TEXT(INDEX($DP147:$EI147,1,FT147),"0%")&amp;")","")</f>
        <v/>
      </c>
      <c r="GP147" s="231" t="str">
        <f t="shared" ref="GP147:GP151" ca="1" si="2549">IF(GP$5&lt;=$BV147,"; "&amp;INDEX($Y147:$BL147,1,FU147*2-1)&amp;" ("&amp;TEXT(INDEX($DP147:$EI147,1,FU147),"0%")&amp;")","")</f>
        <v/>
      </c>
      <c r="GQ147" s="231" t="str">
        <f t="shared" ref="GQ147:GQ151" ca="1" si="2550">IF(GQ$5&lt;=$BV147,"; "&amp;INDEX($Y147:$BL147,1,FV147*2-1)&amp;" ("&amp;TEXT(INDEX($DP147:$EI147,1,FV147),"0%")&amp;")","")</f>
        <v/>
      </c>
      <c r="GR147" s="231" t="str">
        <f t="shared" ref="GR147:GR151" ca="1" si="2551">IF(GR$5&lt;=$BV147,"; "&amp;INDEX($Y147:$BL147,1,FW147*2-1)&amp;" ("&amp;TEXT(INDEX($DP147:$EI147,1,FW147),"0%")&amp;")","")</f>
        <v/>
      </c>
      <c r="GS147" s="231" t="str">
        <f t="shared" ref="GS147:GS151" ca="1" si="2552">IF(GS$5&lt;=$BV147,"; "&amp;INDEX($Y147:$BL147,1,FX147*2-1)&amp;" ("&amp;TEXT(INDEX($DP147:$EI147,1,FX147),"0%")&amp;")","")</f>
        <v/>
      </c>
      <c r="GT147" s="231" t="str">
        <f t="shared" ref="GT147:GT151" ca="1" si="2553">IF(GT$5&lt;=$BV147,"; "&amp;INDEX($Y147:$BL147,1,FY147*2-1)&amp;" ("&amp;TEXT(INDEX($DP147:$EI147,1,FY147),"0%")&amp;")","")</f>
        <v/>
      </c>
      <c r="GU147" s="231" t="str">
        <f t="shared" ref="GU147:GU151" ca="1" si="2554">IF(GU$5&lt;=$BV147,"; "&amp;INDEX($Y147:$BL147,1,FZ147*2-1)&amp;" ("&amp;TEXT(INDEX($DP147:$EI147,1,FZ147),"0%")&amp;")","")</f>
        <v/>
      </c>
      <c r="GW147" s="377">
        <f ca="1">IF(ISERROR(OFFSET(Initiatives!$D$1,E147-1,$CB$3)),,OFFSET(Initiatives!$D$1,E147-1,$CB$3))</f>
        <v>0.65</v>
      </c>
      <c r="GX147" s="377">
        <f ca="1">IF(ISERROR(OFFSET(Initiatives!$D$1,F147-1,$CB$3)),,OFFSET(Initiatives!$D$1,F147-1,$CB$3))</f>
        <v>0.65</v>
      </c>
      <c r="GY147" s="377">
        <f ca="1">IF(ISERROR(OFFSET(Initiatives!$D$1,G147-1,$CB$3)),,OFFSET(Initiatives!$D$1,G147-1,$CB$3))</f>
        <v>0.75</v>
      </c>
      <c r="GZ147" s="377">
        <f ca="1">IF(ISERROR(OFFSET(Initiatives!$D$1,H147-1,$CB$3)),,OFFSET(Initiatives!$D$1,H147-1,$CB$3))</f>
        <v>0.75</v>
      </c>
      <c r="HA147" s="377">
        <f ca="1">IF(ISERROR(OFFSET(Initiatives!$D$1,I147-1,$CB$3)),,OFFSET(Initiatives!$D$1,I147-1,$CB$3))</f>
        <v>0.75</v>
      </c>
      <c r="HB147" s="377">
        <f ca="1">IF(ISERROR(OFFSET(Initiatives!$D$1,J147-1,$CB$3)),,OFFSET(Initiatives!$D$1,J147-1,$CB$3))</f>
        <v>0.34166666666666662</v>
      </c>
      <c r="HC147" s="377">
        <f ca="1">IF(ISERROR(OFFSET(Initiatives!$D$1,K147-1,$CB$3)),,OFFSET(Initiatives!$D$1,K147-1,$CB$3))</f>
        <v>0.43181818181818177</v>
      </c>
      <c r="HD147" s="377">
        <f ca="1">IF(ISERROR(OFFSET(Initiatives!$D$1,L147-1,$CB$3)),,OFFSET(Initiatives!$D$1,L147-1,$CB$3))</f>
        <v>0.65</v>
      </c>
      <c r="HE147" s="377">
        <f ca="1">IF(ISERROR(OFFSET(Initiatives!$D$1,M147-1,$CB$3)),,OFFSET(Initiatives!$D$1,M147-1,$CB$3))</f>
        <v>0.75</v>
      </c>
      <c r="HF147" s="377">
        <f ca="1">IF(ISERROR(OFFSET(Initiatives!$D$1,N147-1,$CB$3)),,OFFSET(Initiatives!$D$1,N147-1,$CB$3))</f>
        <v>0.75</v>
      </c>
      <c r="HG147" s="377">
        <f ca="1">IF(ISERROR(OFFSET(Initiatives!$D$1,O147-1,$CB$3)),,OFFSET(Initiatives!$D$1,O147-1,$CB$3))</f>
        <v>0.8</v>
      </c>
      <c r="HH147" s="377">
        <f ca="1">IF(ISERROR(OFFSET(Initiatives!$D$1,P147-1,$CB$3)),,OFFSET(Initiatives!$D$1,P147-1,$CB$3))</f>
        <v>0.9</v>
      </c>
      <c r="HI147" s="377">
        <f ca="1">IF(ISERROR(OFFSET(Initiatives!$D$1,Q147-1,$CB$3)),,OFFSET(Initiatives!$D$1,Q147-1,$CB$3))</f>
        <v>0.25</v>
      </c>
      <c r="HJ147" s="377">
        <f ca="1">IF(ISERROR(OFFSET(Initiatives!$D$1,R147-1,$CB$3)),,OFFSET(Initiatives!$D$1,R147-1,$CB$3))</f>
        <v>0</v>
      </c>
      <c r="HK147" s="377">
        <f ca="1">IF(ISERROR(OFFSET(Initiatives!$D$1,S147-1,$CB$3)),,OFFSET(Initiatives!$D$1,S147-1,$CB$3))</f>
        <v>0</v>
      </c>
      <c r="HL147" s="377">
        <f ca="1">IF(ISERROR(OFFSET(Initiatives!$D$1,T147-1,$CB$3)),,OFFSET(Initiatives!$D$1,T147-1,$CB$3))</f>
        <v>0</v>
      </c>
      <c r="HM147" s="377">
        <f ca="1">IF(ISERROR(OFFSET(Initiatives!$D$1,U147-1,$CB$3)),,OFFSET(Initiatives!$D$1,U147-1,$CB$3))</f>
        <v>0</v>
      </c>
      <c r="HN147" s="377">
        <f ca="1">IF(ISERROR(OFFSET(Initiatives!$D$1,V147-1,$CB$3)),,OFFSET(Initiatives!$D$1,V147-1,$CB$3))</f>
        <v>0</v>
      </c>
      <c r="HO147" s="377">
        <f ca="1">IF(ISERROR(OFFSET(Initiatives!$D$1,W147-1,$CB$3)),,OFFSET(Initiatives!$D$1,W147-1,$CB$3))</f>
        <v>0</v>
      </c>
      <c r="HP147" s="377">
        <f ca="1">IF(ISERROR(OFFSET(Initiatives!$D$1,X147-1,$CB$3)),,OFFSET(Initiatives!$D$1,X147-1,$CB$3))</f>
        <v>0</v>
      </c>
      <c r="HR147" s="41">
        <f t="shared" ref="HR147:HR151" ca="1" si="2555">GW147*Z147/$BN147</f>
        <v>0</v>
      </c>
      <c r="HS147" s="41">
        <f t="shared" ref="HS147:HS151" ca="1" si="2556">GX147*AB147/$BN147</f>
        <v>0</v>
      </c>
      <c r="HT147" s="41">
        <f t="shared" ref="HT147:HT151" ca="1" si="2557">GY147*AD147/$BN147</f>
        <v>0</v>
      </c>
      <c r="HU147" s="41">
        <f t="shared" ref="HU147:HU151" ca="1" si="2558">GZ147*AF147/$BN147</f>
        <v>0</v>
      </c>
      <c r="HV147" s="41">
        <f t="shared" ref="HV147:HV151" ca="1" si="2559">HA147*AH147/$BN147</f>
        <v>0</v>
      </c>
      <c r="HW147" s="41">
        <f t="shared" ref="HW147:HW151" ca="1" si="2560">HB147*AJ147/$BN147</f>
        <v>0</v>
      </c>
      <c r="HX147" s="41">
        <f t="shared" ref="HX147:HX151" ca="1" si="2561">HC147*AL147/$BN147</f>
        <v>0.10281336322640887</v>
      </c>
      <c r="HY147" s="41">
        <f t="shared" ref="HY147:HY151" ca="1" si="2562">HD147*AN147/$BN147</f>
        <v>0</v>
      </c>
      <c r="HZ147" s="41">
        <f t="shared" ref="HZ147:HZ151" ca="1" si="2563">HE147*AP147/$BN147</f>
        <v>0</v>
      </c>
      <c r="IA147" s="41">
        <f t="shared" ref="IA147:IA151" ca="1" si="2564">HF147*AR147/$BN147</f>
        <v>0.24999880952947842</v>
      </c>
      <c r="IB147" s="41">
        <f t="shared" ref="IB147:IB151" ca="1" si="2565">HG147*AT147/$BN147</f>
        <v>0.34285551021185617</v>
      </c>
      <c r="IC147" s="41">
        <f t="shared" ref="IC147:IC151" ca="1" si="2566">HH147*AV147/$BN147</f>
        <v>0</v>
      </c>
      <c r="ID147" s="41">
        <f t="shared" ref="ID147:ID151" ca="1" si="2567">HI147*AX147/$BN147</f>
        <v>0</v>
      </c>
      <c r="IE147" s="41">
        <f t="shared" ref="IE147:IE151" ca="1" si="2568">HJ147*BZ147/$BN147</f>
        <v>0</v>
      </c>
      <c r="IF147" s="41">
        <f t="shared" ref="IF147:IF151" ca="1" si="2569">HK147*BB147/$BN147</f>
        <v>0</v>
      </c>
      <c r="IG147" s="41">
        <f t="shared" ref="IG147:IG151" ca="1" si="2570">HL147*BD147/$BN147</f>
        <v>0</v>
      </c>
      <c r="IH147" s="41">
        <f t="shared" ref="IH147:IH151" ca="1" si="2571">HM147*BF147/$BN147</f>
        <v>0</v>
      </c>
      <c r="II147" s="41">
        <f t="shared" ref="II147:II151" ca="1" si="2572">HN147*BH147/$BN147</f>
        <v>0</v>
      </c>
      <c r="IJ147" s="41">
        <f t="shared" ref="IJ147:IJ151" ca="1" si="2573">HO147*BJ147/$BN147</f>
        <v>0</v>
      </c>
      <c r="IK147" s="41">
        <f t="shared" ref="IK147:IK151" ca="1" si="2574">HP147*BL147/$BN147</f>
        <v>0</v>
      </c>
      <c r="IL147" s="41">
        <f t="shared" ref="IL147:IL151" ca="1" si="2575">SUM(HR147:IK147)</f>
        <v>0.69566768296774351</v>
      </c>
    </row>
    <row r="148" spans="1:246" s="409" customFormat="1" ht="13.5" hidden="1" customHeight="1">
      <c r="B148" s="373"/>
      <c r="C148" s="81" t="str">
        <f>Maturity!B34</f>
        <v>To what degree can users directly ACCESS the data they need to make decisions from a single user interface?</v>
      </c>
      <c r="D148" s="404">
        <f t="shared" ca="1" si="2465"/>
        <v>0.37905471202582552</v>
      </c>
      <c r="E148" s="374">
        <f>ROW(Initiatives!$A$100)</f>
        <v>100</v>
      </c>
      <c r="F148" s="374">
        <f>ROW(Initiatives!$A$101)</f>
        <v>101</v>
      </c>
      <c r="G148" s="374">
        <f>ROW(Initiatives!$A$106)</f>
        <v>106</v>
      </c>
      <c r="H148" s="374">
        <f>ROW(Initiatives!$A$107)</f>
        <v>107</v>
      </c>
      <c r="I148" s="374">
        <f>ROW(Initiatives!$A$108)</f>
        <v>108</v>
      </c>
      <c r="J148" s="374">
        <f>ROW(Initiatives!$A$170)</f>
        <v>170</v>
      </c>
      <c r="K148" s="374">
        <f>ROW(Initiatives!$A$176)</f>
        <v>176</v>
      </c>
      <c r="L148" s="374">
        <f>ROW(Initiatives!$A$178)</f>
        <v>178</v>
      </c>
      <c r="M148" s="374">
        <f>ROW(Initiatives!$A$179)</f>
        <v>179</v>
      </c>
      <c r="N148" s="374">
        <f>ROW(Initiatives!$A$180)</f>
        <v>180</v>
      </c>
      <c r="O148" s="374">
        <f>ROW(Initiatives!$A$181)</f>
        <v>181</v>
      </c>
      <c r="P148" s="374">
        <f>ROW(Initiatives!$A$182)</f>
        <v>182</v>
      </c>
      <c r="Q148" s="374">
        <f>ROW(Initiatives!$A$189)</f>
        <v>189</v>
      </c>
      <c r="R148" s="374" t="s">
        <v>975</v>
      </c>
      <c r="S148" s="374" t="s">
        <v>975</v>
      </c>
      <c r="T148" s="374" t="s">
        <v>975</v>
      </c>
      <c r="U148" s="374" t="s">
        <v>975</v>
      </c>
      <c r="V148" s="374" t="s">
        <v>975</v>
      </c>
      <c r="W148" s="374" t="s">
        <v>975</v>
      </c>
      <c r="X148" s="374" t="s">
        <v>975</v>
      </c>
      <c r="Y148" s="392" t="str">
        <f ca="1">OFFSET(Initiatives!$D$1,E148-1,$BS$3)</f>
        <v>Governance</v>
      </c>
      <c r="Z148" s="375"/>
      <c r="AA148" s="392" t="str">
        <f ca="1">OFFSET(Initiatives!$D$1,F148-1,$BS$3)</f>
        <v>Architecture</v>
      </c>
      <c r="AB148" s="375">
        <v>5</v>
      </c>
      <c r="AC148" s="392" t="str">
        <f ca="1">OFFSET(Initiatives!$D$1,G148-1,$BS$3)</f>
        <v>Metadata definitions</v>
      </c>
      <c r="AD148" s="375"/>
      <c r="AE148" s="392" t="str">
        <f ca="1">OFFSET(Initiatives!$D$1,H148-1,$BS$3)</f>
        <v>Metadata management</v>
      </c>
      <c r="AF148" s="375"/>
      <c r="AG148" s="392" t="str">
        <f ca="1">OFFSET(Initiatives!$D$1,I148-1,$BS$3)</f>
        <v>High data quality</v>
      </c>
      <c r="AH148" s="375"/>
      <c r="AI148" s="392" t="str">
        <f ca="1">OFFSET(Initiatives!$D$1,J148-1,$BS$3)</f>
        <v>BI Applications</v>
      </c>
      <c r="AJ148" s="375">
        <v>4</v>
      </c>
      <c r="AK148" s="392" t="str">
        <f ca="1">OFFSET(Initiatives!$D$1,K148-1,$BS$3)</f>
        <v>Source System Inclusion / Integration</v>
      </c>
      <c r="AL148" s="375">
        <v>3</v>
      </c>
      <c r="AM148" s="392" t="str">
        <f ca="1">OFFSET(Initiatives!$D$1,L148-1,$BS$3)</f>
        <v>Architecture Standards &amp; Adherence</v>
      </c>
      <c r="AN148" s="375"/>
      <c r="AO148" s="392" t="str">
        <f ca="1">OFFSET(Initiatives!$D$1,M148-1,$BS$3)</f>
        <v>Data Management</v>
      </c>
      <c r="AP148" s="375"/>
      <c r="AQ148" s="392" t="str">
        <f ca="1">OFFSET(Initiatives!$D$1,N148-1,$BS$3)</f>
        <v>Data Integration/ETL</v>
      </c>
      <c r="AR148" s="375"/>
      <c r="AS148" s="392" t="str">
        <f ca="1">OFFSET(Initiatives!$D$1,O148-1,$BS$3)</f>
        <v>Data Warehouse / Data Marts</v>
      </c>
      <c r="AT148" s="375"/>
      <c r="AU148" s="392" t="str">
        <f ca="1">OFFSET(Initiatives!$D$1,P148-1,$BS$3)</f>
        <v>Development</v>
      </c>
      <c r="AV148" s="375"/>
      <c r="AW148" s="392" t="str">
        <f ca="1">OFFSET(Initiatives!$D$1,Q148-1,$BS$3)</f>
        <v>Enhance BI Platform</v>
      </c>
      <c r="AX148" s="375">
        <v>3</v>
      </c>
      <c r="AY148" s="392" t="e">
        <f ca="1">OFFSET(Initiatives!$D$1,R148-1,$BS$3)</f>
        <v>#VALUE!</v>
      </c>
      <c r="AZ148" s="375"/>
      <c r="BA148" s="392" t="e">
        <f ca="1">OFFSET(Initiatives!$D$1,S148-1,$BS$3)</f>
        <v>#VALUE!</v>
      </c>
      <c r="BB148" s="375"/>
      <c r="BC148" s="392" t="e">
        <f ca="1">OFFSET(Initiatives!$D$1,T148-1,$BS$3)</f>
        <v>#VALUE!</v>
      </c>
      <c r="BD148" s="375"/>
      <c r="BE148" s="392" t="e">
        <f ca="1">OFFSET(Initiatives!$D$1,U148-1,$BS$3)</f>
        <v>#VALUE!</v>
      </c>
      <c r="BF148" s="375"/>
      <c r="BG148" s="392" t="e">
        <f ca="1">OFFSET(Initiatives!$D$1,V148-1,$BS$3)</f>
        <v>#VALUE!</v>
      </c>
      <c r="BH148" s="375"/>
      <c r="BI148" s="392" t="e">
        <f ca="1">OFFSET(Initiatives!$D$1,W148-1,$BS$3)</f>
        <v>#VALUE!</v>
      </c>
      <c r="BJ148" s="375"/>
      <c r="BK148" s="392" t="e">
        <f ca="1">OFFSET(Initiatives!$D$1,X148-1,$BS$3)</f>
        <v>#VALUE!</v>
      </c>
      <c r="BL148" s="375"/>
      <c r="BN148" s="101">
        <f t="shared" si="2466"/>
        <v>15.0001</v>
      </c>
      <c r="BP148" s="231" t="str">
        <f t="shared" ca="1" si="2467"/>
        <v>BI Applications (32%); Enhance BI Platform (32%); Source System Inclusion / Integration (24%); Architecture (12%)</v>
      </c>
      <c r="BQ148" s="338">
        <v>0.01</v>
      </c>
      <c r="BR148" s="40">
        <f t="shared" ca="1" si="2468"/>
        <v>4</v>
      </c>
      <c r="BS148" s="274">
        <v>0.05</v>
      </c>
      <c r="BT148" s="40">
        <f t="shared" ca="1" si="2469"/>
        <v>4</v>
      </c>
      <c r="BU148" s="376">
        <v>7</v>
      </c>
      <c r="BV148" s="40">
        <f t="shared" ca="1" si="2470"/>
        <v>4</v>
      </c>
      <c r="BY148" s="377">
        <f ca="1">IF(ISERROR(OFFSET(Initiatives!$D$1,E148-1,$BY$3)),,OFFSET(Initiatives!$D$1,E148-1,$BY$3))</f>
        <v>0.14000000000000001</v>
      </c>
      <c r="BZ148" s="377">
        <f ca="1">IF(ISERROR(OFFSET(Initiatives!$D$1,F148-1,$BY$3)),,OFFSET(Initiatives!$D$1,F148-1,$BY$3))</f>
        <v>0.14000000000000001</v>
      </c>
      <c r="CA148" s="377">
        <f ca="1">IF(ISERROR(OFFSET(Initiatives!$D$1,G148-1,$BY$3)),,OFFSET(Initiatives!$D$1,G148-1,$BY$3))</f>
        <v>9.9999999999999978E-2</v>
      </c>
      <c r="CB148" s="377">
        <f ca="1">IF(ISERROR(OFFSET(Initiatives!$D$1,H148-1,$BY$3)),,OFFSET(Initiatives!$D$1,H148-1,$BY$3))</f>
        <v>9.9999999999999978E-2</v>
      </c>
      <c r="CC148" s="377">
        <f ca="1">IF(ISERROR(OFFSET(Initiatives!$D$1,I148-1,$BY$3)),,OFFSET(Initiatives!$D$1,I148-1,$BY$3))</f>
        <v>9.9999999999999978E-2</v>
      </c>
      <c r="CD148" s="377">
        <f ca="1">IF(ISERROR(OFFSET(Initiatives!$D$1,J148-1,$BY$3)),,OFFSET(Initiatives!$D$1,J148-1,$BY$3))</f>
        <v>0.45555555555555544</v>
      </c>
      <c r="CE148" s="377">
        <f ca="1">IF(ISERROR(OFFSET(Initiatives!$D$1,K148-1,$BY$3)),,OFFSET(Initiatives!$D$1,K148-1,$BY$3))</f>
        <v>0.45454545454545436</v>
      </c>
      <c r="CF148" s="377">
        <f ca="1">IF(ISERROR(OFFSET(Initiatives!$D$1,L148-1,$BY$3)),,OFFSET(Initiatives!$D$1,L148-1,$BY$3))</f>
        <v>0.14000000000000012</v>
      </c>
      <c r="CG148" s="377">
        <f ca="1">IF(ISERROR(OFFSET(Initiatives!$D$1,M148-1,$BY$3)),,OFFSET(Initiatives!$D$1,M148-1,$BY$3))</f>
        <v>9.9999999999999978E-2</v>
      </c>
      <c r="CH148" s="377">
        <f ca="1">IF(ISERROR(OFFSET(Initiatives!$D$1,N148-1,$BY$3)),,OFFSET(Initiatives!$D$1,N148-1,$BY$3))</f>
        <v>9.9999999999999978E-2</v>
      </c>
      <c r="CI148" s="377">
        <f ca="1">IF(ISERROR(OFFSET(Initiatives!$D$1,O148-1,$BY$3)),,OFFSET(Initiatives!$D$1,O148-1,$BY$3))</f>
        <v>3.0000000000000027E-2</v>
      </c>
      <c r="CJ148" s="377">
        <f ca="1">IF(ISERROR(OFFSET(Initiatives!$D$1,P148-1,$BY$3)),,OFFSET(Initiatives!$D$1,P148-1,$BY$3))</f>
        <v>1.5000000000000124E-2</v>
      </c>
      <c r="CK148" s="377">
        <f ca="1">IF(ISERROR(OFFSET(Initiatives!$D$1,Q148-1,$BY$3)),,OFFSET(Initiatives!$D$1,Q148-1,$BY$3))</f>
        <v>0.6</v>
      </c>
      <c r="CL148" s="377">
        <f ca="1">IF(ISERROR(OFFSET(Initiatives!$D$1,R148-1,$BY$3)),,OFFSET(Initiatives!$D$1,R148-1,$BY$3))</f>
        <v>0</v>
      </c>
      <c r="CM148" s="377">
        <f ca="1">IF(ISERROR(OFFSET(Initiatives!$D$1,S148-1,$BY$3)),,OFFSET(Initiatives!$D$1,S148-1,$BY$3))</f>
        <v>0</v>
      </c>
      <c r="CN148" s="377">
        <f ca="1">IF(ISERROR(OFFSET(Initiatives!$D$1,T148-1,$BY$3)),,OFFSET(Initiatives!$D$1,T148-1,$BY$3))</f>
        <v>0</v>
      </c>
      <c r="CO148" s="377">
        <f ca="1">IF(ISERROR(OFFSET(Initiatives!$D$1,U148-1,$BY$3)),,OFFSET(Initiatives!$D$1,U148-1,$BY$3))</f>
        <v>0</v>
      </c>
      <c r="CP148" s="377">
        <f ca="1">IF(ISERROR(OFFSET(Initiatives!$D$1,V148-1,$BY$3)),,OFFSET(Initiatives!$D$1,V148-1,$BY$3))</f>
        <v>0</v>
      </c>
      <c r="CQ148" s="377">
        <f ca="1">IF(ISERROR(OFFSET(Initiatives!$D$1,W148-1,$BY$3)),,OFFSET(Initiatives!$D$1,W148-1,$BY$3))</f>
        <v>0</v>
      </c>
      <c r="CR148" s="377">
        <f ca="1">IF(ISERROR(OFFSET(Initiatives!$D$1,X148-1,$BY$3)),,OFFSET(Initiatives!$D$1,X148-1,$BY$3))</f>
        <v>0</v>
      </c>
      <c r="CT148" s="41">
        <f t="shared" ca="1" si="2471"/>
        <v>0</v>
      </c>
      <c r="CU148" s="41">
        <f t="shared" ca="1" si="2472"/>
        <v>4.6666355557629623E-2</v>
      </c>
      <c r="CV148" s="41">
        <f t="shared" ca="1" si="2473"/>
        <v>0</v>
      </c>
      <c r="CW148" s="41">
        <f t="shared" ca="1" si="2474"/>
        <v>0</v>
      </c>
      <c r="CX148" s="41">
        <f t="shared" ca="1" si="2475"/>
        <v>0</v>
      </c>
      <c r="CY148" s="41">
        <f t="shared" ca="1" si="2476"/>
        <v>0.12148067161033738</v>
      </c>
      <c r="CZ148" s="41">
        <f t="shared" ca="1" si="2477"/>
        <v>9.0908484852525187E-2</v>
      </c>
      <c r="DA148" s="41">
        <f t="shared" ca="1" si="2478"/>
        <v>0</v>
      </c>
      <c r="DB148" s="41">
        <f t="shared" ca="1" si="2479"/>
        <v>0</v>
      </c>
      <c r="DC148" s="41">
        <f t="shared" ca="1" si="2480"/>
        <v>0</v>
      </c>
      <c r="DD148" s="41">
        <f t="shared" ca="1" si="2481"/>
        <v>0</v>
      </c>
      <c r="DE148" s="41">
        <f t="shared" ca="1" si="2482"/>
        <v>0</v>
      </c>
      <c r="DF148" s="41">
        <f t="shared" ca="1" si="2483"/>
        <v>0.11999920000533329</v>
      </c>
      <c r="DG148" s="41">
        <f t="shared" ca="1" si="2484"/>
        <v>0</v>
      </c>
      <c r="DH148" s="41">
        <f t="shared" ca="1" si="2485"/>
        <v>0</v>
      </c>
      <c r="DI148" s="41">
        <f t="shared" ca="1" si="2486"/>
        <v>0</v>
      </c>
      <c r="DJ148" s="41">
        <f t="shared" ca="1" si="2487"/>
        <v>0</v>
      </c>
      <c r="DK148" s="41">
        <f t="shared" ca="1" si="2488"/>
        <v>0</v>
      </c>
      <c r="DL148" s="41">
        <f t="shared" ca="1" si="2489"/>
        <v>0</v>
      </c>
      <c r="DM148" s="41">
        <f t="shared" ca="1" si="2490"/>
        <v>0</v>
      </c>
      <c r="DN148" s="41">
        <f t="shared" ca="1" si="2491"/>
        <v>0.37905471202582552</v>
      </c>
      <c r="DP148" s="41">
        <f t="shared" ca="1" si="2492"/>
        <v>-1.0000000000000001E-5</v>
      </c>
      <c r="DQ148" s="41">
        <f t="shared" ca="1" si="2493"/>
        <v>0.12309245336649496</v>
      </c>
      <c r="DR148" s="41">
        <f t="shared" ca="1" si="2494"/>
        <v>-3.0000000000000001E-5</v>
      </c>
      <c r="DS148" s="41">
        <f t="shared" ca="1" si="2495"/>
        <v>-4.0000000000000003E-5</v>
      </c>
      <c r="DT148" s="41">
        <f t="shared" ca="1" si="2496"/>
        <v>-5.0000000000000002E-5</v>
      </c>
      <c r="DU148" s="41">
        <f t="shared" ca="1" si="2497"/>
        <v>0.32042321193817724</v>
      </c>
      <c r="DV148" s="41">
        <f t="shared" ca="1" si="2498"/>
        <v>0.23975945461005499</v>
      </c>
      <c r="DW148" s="41">
        <f t="shared" ca="1" si="2499"/>
        <v>-8.0000000000000007E-5</v>
      </c>
      <c r="DX148" s="41">
        <f t="shared" ca="1" si="2500"/>
        <v>-9.0000000000000006E-5</v>
      </c>
      <c r="DY148" s="41">
        <f t="shared" ca="1" si="2501"/>
        <v>-1E-4</v>
      </c>
      <c r="DZ148" s="41">
        <f t="shared" ca="1" si="2502"/>
        <v>-1.1E-4</v>
      </c>
      <c r="EA148" s="41">
        <f t="shared" ca="1" si="2503"/>
        <v>-1.2E-4</v>
      </c>
      <c r="EB148" s="41">
        <f t="shared" ca="1" si="2504"/>
        <v>0.31644488008527266</v>
      </c>
      <c r="EC148" s="41">
        <f t="shared" ca="1" si="2505"/>
        <v>-1.3999999999999999E-4</v>
      </c>
      <c r="ED148" s="41">
        <f t="shared" ca="1" si="2506"/>
        <v>-1.4999999999999999E-4</v>
      </c>
      <c r="EE148" s="41">
        <f t="shared" ca="1" si="2507"/>
        <v>-1.6000000000000001E-4</v>
      </c>
      <c r="EF148" s="41">
        <f t="shared" ca="1" si="2508"/>
        <v>-1.7000000000000001E-4</v>
      </c>
      <c r="EG148" s="41">
        <f t="shared" ca="1" si="2509"/>
        <v>-1.8000000000000001E-4</v>
      </c>
      <c r="EH148" s="41">
        <f t="shared" ca="1" si="2510"/>
        <v>-1.9000000000000001E-4</v>
      </c>
      <c r="EI148" s="41">
        <f t="shared" ca="1" si="2511"/>
        <v>-2.0000000000000001E-4</v>
      </c>
      <c r="EJ148" s="41">
        <f t="shared" ca="1" si="2512"/>
        <v>0.99789999999999979</v>
      </c>
      <c r="EL148" s="378">
        <f t="shared" ca="1" si="2513"/>
        <v>5</v>
      </c>
      <c r="EM148" s="378">
        <f t="shared" ca="1" si="2514"/>
        <v>4</v>
      </c>
      <c r="EN148" s="378">
        <f t="shared" ca="1" si="2515"/>
        <v>6</v>
      </c>
      <c r="EO148" s="378">
        <f t="shared" ca="1" si="2516"/>
        <v>7</v>
      </c>
      <c r="EP148" s="378">
        <f t="shared" ca="1" si="2517"/>
        <v>8</v>
      </c>
      <c r="EQ148" s="378">
        <f t="shared" ca="1" si="2518"/>
        <v>1</v>
      </c>
      <c r="ER148" s="378">
        <f t="shared" ca="1" si="2519"/>
        <v>3</v>
      </c>
      <c r="ES148" s="378">
        <f t="shared" ca="1" si="2520"/>
        <v>9</v>
      </c>
      <c r="ET148" s="378">
        <f t="shared" ca="1" si="2521"/>
        <v>10</v>
      </c>
      <c r="EU148" s="378">
        <f t="shared" ca="1" si="2522"/>
        <v>11</v>
      </c>
      <c r="EV148" s="378">
        <f t="shared" ca="1" si="2523"/>
        <v>12</v>
      </c>
      <c r="EW148" s="378">
        <f t="shared" ca="1" si="2524"/>
        <v>13</v>
      </c>
      <c r="EX148" s="378">
        <f t="shared" ca="1" si="2525"/>
        <v>2</v>
      </c>
      <c r="EY148" s="378">
        <f t="shared" ca="1" si="2526"/>
        <v>14</v>
      </c>
      <c r="EZ148" s="378">
        <f t="shared" ca="1" si="2527"/>
        <v>15</v>
      </c>
      <c r="FA148" s="378">
        <f t="shared" ca="1" si="2528"/>
        <v>16</v>
      </c>
      <c r="FB148" s="378">
        <f t="shared" ca="1" si="2529"/>
        <v>17</v>
      </c>
      <c r="FC148" s="378">
        <f t="shared" ca="1" si="2530"/>
        <v>18</v>
      </c>
      <c r="FD148" s="378">
        <f t="shared" ca="1" si="2531"/>
        <v>19</v>
      </c>
      <c r="FE148" s="378">
        <f t="shared" ca="1" si="2532"/>
        <v>20</v>
      </c>
      <c r="FG148" s="378">
        <f t="shared" ca="1" si="2533"/>
        <v>6</v>
      </c>
      <c r="FH148" s="378">
        <f t="shared" ca="1" si="2533"/>
        <v>13</v>
      </c>
      <c r="FI148" s="378">
        <f t="shared" ca="1" si="2533"/>
        <v>7</v>
      </c>
      <c r="FJ148" s="378">
        <f t="shared" ca="1" si="2533"/>
        <v>2</v>
      </c>
      <c r="FK148" s="378">
        <f t="shared" ca="1" si="2533"/>
        <v>1</v>
      </c>
      <c r="FL148" s="378">
        <f t="shared" ca="1" si="2533"/>
        <v>3</v>
      </c>
      <c r="FM148" s="378">
        <f t="shared" ca="1" si="2533"/>
        <v>4</v>
      </c>
      <c r="FN148" s="378">
        <f t="shared" ca="1" si="2533"/>
        <v>5</v>
      </c>
      <c r="FO148" s="378">
        <f t="shared" ca="1" si="2533"/>
        <v>8</v>
      </c>
      <c r="FP148" s="378">
        <f t="shared" ca="1" si="2533"/>
        <v>9</v>
      </c>
      <c r="FQ148" s="378">
        <f t="shared" ca="1" si="2533"/>
        <v>10</v>
      </c>
      <c r="FR148" s="378">
        <f t="shared" ca="1" si="2533"/>
        <v>11</v>
      </c>
      <c r="FS148" s="378">
        <f t="shared" ca="1" si="2533"/>
        <v>12</v>
      </c>
      <c r="FT148" s="378">
        <f t="shared" ca="1" si="2533"/>
        <v>14</v>
      </c>
      <c r="FU148" s="378">
        <f t="shared" ca="1" si="2533"/>
        <v>15</v>
      </c>
      <c r="FV148" s="378">
        <f t="shared" ca="1" si="2533"/>
        <v>16</v>
      </c>
      <c r="FW148" s="378">
        <f t="shared" ca="1" si="2534"/>
        <v>17</v>
      </c>
      <c r="FX148" s="378">
        <f t="shared" ca="1" si="2534"/>
        <v>18</v>
      </c>
      <c r="FY148" s="378">
        <f t="shared" ca="1" si="2534"/>
        <v>19</v>
      </c>
      <c r="FZ148" s="378">
        <f t="shared" ca="1" si="2534"/>
        <v>20</v>
      </c>
      <c r="GB148" s="275" t="str">
        <f t="shared" ca="1" si="2535"/>
        <v>BI Applications (32%)</v>
      </c>
      <c r="GC148" s="231" t="str">
        <f t="shared" ca="1" si="2536"/>
        <v>; Enhance BI Platform (32%)</v>
      </c>
      <c r="GD148" s="231" t="str">
        <f t="shared" ca="1" si="2537"/>
        <v>; Source System Inclusion / Integration (24%)</v>
      </c>
      <c r="GE148" s="231" t="str">
        <f t="shared" ca="1" si="2538"/>
        <v>; Architecture (12%)</v>
      </c>
      <c r="GF148" s="231" t="str">
        <f t="shared" ca="1" si="2539"/>
        <v/>
      </c>
      <c r="GG148" s="231" t="str">
        <f t="shared" ca="1" si="2540"/>
        <v/>
      </c>
      <c r="GH148" s="231" t="str">
        <f t="shared" ca="1" si="2541"/>
        <v/>
      </c>
      <c r="GI148" s="231" t="str">
        <f t="shared" ca="1" si="2542"/>
        <v/>
      </c>
      <c r="GJ148" s="231" t="str">
        <f t="shared" ca="1" si="2543"/>
        <v/>
      </c>
      <c r="GK148" s="231" t="str">
        <f t="shared" ca="1" si="2544"/>
        <v/>
      </c>
      <c r="GL148" s="231" t="str">
        <f t="shared" ca="1" si="2545"/>
        <v/>
      </c>
      <c r="GM148" s="231" t="str">
        <f t="shared" ca="1" si="2546"/>
        <v/>
      </c>
      <c r="GN148" s="231" t="str">
        <f t="shared" ca="1" si="2547"/>
        <v/>
      </c>
      <c r="GO148" s="231" t="str">
        <f t="shared" ca="1" si="2548"/>
        <v/>
      </c>
      <c r="GP148" s="231" t="str">
        <f t="shared" ca="1" si="2549"/>
        <v/>
      </c>
      <c r="GQ148" s="231" t="str">
        <f t="shared" ca="1" si="2550"/>
        <v/>
      </c>
      <c r="GR148" s="231" t="str">
        <f t="shared" ca="1" si="2551"/>
        <v/>
      </c>
      <c r="GS148" s="231" t="str">
        <f t="shared" ca="1" si="2552"/>
        <v/>
      </c>
      <c r="GT148" s="231" t="str">
        <f t="shared" ca="1" si="2553"/>
        <v/>
      </c>
      <c r="GU148" s="231" t="str">
        <f t="shared" ca="1" si="2554"/>
        <v/>
      </c>
      <c r="GW148" s="377">
        <f ca="1">IF(ISERROR(OFFSET(Initiatives!$D$1,E148-1,$CB$3)),,OFFSET(Initiatives!$D$1,E148-1,$CB$3))</f>
        <v>0.65</v>
      </c>
      <c r="GX148" s="377">
        <f ca="1">IF(ISERROR(OFFSET(Initiatives!$D$1,F148-1,$CB$3)),,OFFSET(Initiatives!$D$1,F148-1,$CB$3))</f>
        <v>0.65</v>
      </c>
      <c r="GY148" s="377">
        <f ca="1">IF(ISERROR(OFFSET(Initiatives!$D$1,G148-1,$CB$3)),,OFFSET(Initiatives!$D$1,G148-1,$CB$3))</f>
        <v>0.75</v>
      </c>
      <c r="GZ148" s="377">
        <f ca="1">IF(ISERROR(OFFSET(Initiatives!$D$1,H148-1,$CB$3)),,OFFSET(Initiatives!$D$1,H148-1,$CB$3))</f>
        <v>0.75</v>
      </c>
      <c r="HA148" s="377">
        <f ca="1">IF(ISERROR(OFFSET(Initiatives!$D$1,I148-1,$CB$3)),,OFFSET(Initiatives!$D$1,I148-1,$CB$3))</f>
        <v>0.75</v>
      </c>
      <c r="HB148" s="377">
        <f ca="1">IF(ISERROR(OFFSET(Initiatives!$D$1,J148-1,$CB$3)),,OFFSET(Initiatives!$D$1,J148-1,$CB$3))</f>
        <v>0.34166666666666662</v>
      </c>
      <c r="HC148" s="377">
        <f ca="1">IF(ISERROR(OFFSET(Initiatives!$D$1,K148-1,$CB$3)),,OFFSET(Initiatives!$D$1,K148-1,$CB$3))</f>
        <v>0.43181818181818177</v>
      </c>
      <c r="HD148" s="377">
        <f ca="1">IF(ISERROR(OFFSET(Initiatives!$D$1,L148-1,$CB$3)),,OFFSET(Initiatives!$D$1,L148-1,$CB$3))</f>
        <v>0.65</v>
      </c>
      <c r="HE148" s="377">
        <f ca="1">IF(ISERROR(OFFSET(Initiatives!$D$1,M148-1,$CB$3)),,OFFSET(Initiatives!$D$1,M148-1,$CB$3))</f>
        <v>0.75</v>
      </c>
      <c r="HF148" s="377">
        <f ca="1">IF(ISERROR(OFFSET(Initiatives!$D$1,N148-1,$CB$3)),,OFFSET(Initiatives!$D$1,N148-1,$CB$3))</f>
        <v>0.75</v>
      </c>
      <c r="HG148" s="377">
        <f ca="1">IF(ISERROR(OFFSET(Initiatives!$D$1,O148-1,$CB$3)),,OFFSET(Initiatives!$D$1,O148-1,$CB$3))</f>
        <v>0.8</v>
      </c>
      <c r="HH148" s="377">
        <f ca="1">IF(ISERROR(OFFSET(Initiatives!$D$1,P148-1,$CB$3)),,OFFSET(Initiatives!$D$1,P148-1,$CB$3))</f>
        <v>0.9</v>
      </c>
      <c r="HI148" s="377">
        <f ca="1">IF(ISERROR(OFFSET(Initiatives!$D$1,Q148-1,$CB$3)),,OFFSET(Initiatives!$D$1,Q148-1,$CB$3))</f>
        <v>0.25</v>
      </c>
      <c r="HJ148" s="377">
        <f ca="1">IF(ISERROR(OFFSET(Initiatives!$D$1,R148-1,$CB$3)),,OFFSET(Initiatives!$D$1,R148-1,$CB$3))</f>
        <v>0</v>
      </c>
      <c r="HK148" s="377">
        <f ca="1">IF(ISERROR(OFFSET(Initiatives!$D$1,S148-1,$CB$3)),,OFFSET(Initiatives!$D$1,S148-1,$CB$3))</f>
        <v>0</v>
      </c>
      <c r="HL148" s="377">
        <f ca="1">IF(ISERROR(OFFSET(Initiatives!$D$1,T148-1,$CB$3)),,OFFSET(Initiatives!$D$1,T148-1,$CB$3))</f>
        <v>0</v>
      </c>
      <c r="HM148" s="377">
        <f ca="1">IF(ISERROR(OFFSET(Initiatives!$D$1,U148-1,$CB$3)),,OFFSET(Initiatives!$D$1,U148-1,$CB$3))</f>
        <v>0</v>
      </c>
      <c r="HN148" s="377">
        <f ca="1">IF(ISERROR(OFFSET(Initiatives!$D$1,V148-1,$CB$3)),,OFFSET(Initiatives!$D$1,V148-1,$CB$3))</f>
        <v>0</v>
      </c>
      <c r="HO148" s="377">
        <f ca="1">IF(ISERROR(OFFSET(Initiatives!$D$1,W148-1,$CB$3)),,OFFSET(Initiatives!$D$1,W148-1,$CB$3))</f>
        <v>0</v>
      </c>
      <c r="HP148" s="377">
        <f ca="1">IF(ISERROR(OFFSET(Initiatives!$D$1,X148-1,$CB$3)),,OFFSET(Initiatives!$D$1,X148-1,$CB$3))</f>
        <v>0</v>
      </c>
      <c r="HR148" s="41">
        <f t="shared" ca="1" si="2555"/>
        <v>0</v>
      </c>
      <c r="HS148" s="41">
        <f t="shared" ca="1" si="2556"/>
        <v>0.21666522223185178</v>
      </c>
      <c r="HT148" s="41">
        <f t="shared" ca="1" si="2557"/>
        <v>0</v>
      </c>
      <c r="HU148" s="41">
        <f t="shared" ca="1" si="2558"/>
        <v>0</v>
      </c>
      <c r="HV148" s="41">
        <f t="shared" ca="1" si="2559"/>
        <v>0</v>
      </c>
      <c r="HW148" s="41">
        <f t="shared" ca="1" si="2560"/>
        <v>9.1110503707753046E-2</v>
      </c>
      <c r="HX148" s="41">
        <f t="shared" ca="1" si="2561"/>
        <v>8.6363060609898956E-2</v>
      </c>
      <c r="HY148" s="41">
        <f t="shared" ca="1" si="2562"/>
        <v>0</v>
      </c>
      <c r="HZ148" s="41">
        <f t="shared" ca="1" si="2563"/>
        <v>0</v>
      </c>
      <c r="IA148" s="41">
        <f t="shared" ca="1" si="2564"/>
        <v>0</v>
      </c>
      <c r="IB148" s="41">
        <f t="shared" ca="1" si="2565"/>
        <v>0</v>
      </c>
      <c r="IC148" s="41">
        <f t="shared" ca="1" si="2566"/>
        <v>0</v>
      </c>
      <c r="ID148" s="41">
        <f t="shared" ca="1" si="2567"/>
        <v>4.9999666668888873E-2</v>
      </c>
      <c r="IE148" s="41">
        <f t="shared" ca="1" si="2568"/>
        <v>0</v>
      </c>
      <c r="IF148" s="41">
        <f t="shared" ca="1" si="2569"/>
        <v>0</v>
      </c>
      <c r="IG148" s="41">
        <f t="shared" ca="1" si="2570"/>
        <v>0</v>
      </c>
      <c r="IH148" s="41">
        <f t="shared" ca="1" si="2571"/>
        <v>0</v>
      </c>
      <c r="II148" s="41">
        <f t="shared" ca="1" si="2572"/>
        <v>0</v>
      </c>
      <c r="IJ148" s="41">
        <f t="shared" ca="1" si="2573"/>
        <v>0</v>
      </c>
      <c r="IK148" s="41">
        <f t="shared" ca="1" si="2574"/>
        <v>0</v>
      </c>
      <c r="IL148" s="41">
        <f t="shared" ca="1" si="2575"/>
        <v>0.44413845321839268</v>
      </c>
    </row>
    <row r="149" spans="1:246" s="409" customFormat="1" ht="13.5" hidden="1" customHeight="1">
      <c r="B149" s="373"/>
      <c r="C149" s="81" t="str">
        <f>Maturity!B35</f>
        <v>To what degree have you established standards for TECHNOLOGY AND TOOLS in your BI/DW environment?</v>
      </c>
      <c r="D149" s="404">
        <f t="shared" ca="1" si="2465"/>
        <v>9.1999386670755579E-2</v>
      </c>
      <c r="E149" s="374">
        <f>ROW(Initiatives!$A$100)</f>
        <v>100</v>
      </c>
      <c r="F149" s="374">
        <f>ROW(Initiatives!$A$101)</f>
        <v>101</v>
      </c>
      <c r="G149" s="374">
        <f>ROW(Initiatives!$A$106)</f>
        <v>106</v>
      </c>
      <c r="H149" s="374">
        <f>ROW(Initiatives!$A$107)</f>
        <v>107</v>
      </c>
      <c r="I149" s="374">
        <f>ROW(Initiatives!$A$108)</f>
        <v>108</v>
      </c>
      <c r="J149" s="374">
        <f>ROW(Initiatives!$A$170)</f>
        <v>170</v>
      </c>
      <c r="K149" s="374">
        <f>ROW(Initiatives!$A$176)</f>
        <v>176</v>
      </c>
      <c r="L149" s="374">
        <f>ROW(Initiatives!$A$178)</f>
        <v>178</v>
      </c>
      <c r="M149" s="374">
        <f>ROW(Initiatives!$A$179)</f>
        <v>179</v>
      </c>
      <c r="N149" s="374">
        <f>ROW(Initiatives!$A$180)</f>
        <v>180</v>
      </c>
      <c r="O149" s="374">
        <f>ROW(Initiatives!$A$181)</f>
        <v>181</v>
      </c>
      <c r="P149" s="374">
        <f>ROW(Initiatives!$A$182)</f>
        <v>182</v>
      </c>
      <c r="Q149" s="374">
        <f>ROW(Initiatives!$A$189)</f>
        <v>189</v>
      </c>
      <c r="R149" s="374" t="s">
        <v>975</v>
      </c>
      <c r="S149" s="374" t="s">
        <v>975</v>
      </c>
      <c r="T149" s="374" t="s">
        <v>975</v>
      </c>
      <c r="U149" s="374" t="s">
        <v>975</v>
      </c>
      <c r="V149" s="374" t="s">
        <v>975</v>
      </c>
      <c r="W149" s="374" t="s">
        <v>975</v>
      </c>
      <c r="X149" s="374" t="s">
        <v>975</v>
      </c>
      <c r="Y149" s="392" t="str">
        <f ca="1">OFFSET(Initiatives!$D$1,E149-1,$BS$3)</f>
        <v>Governance</v>
      </c>
      <c r="Z149" s="375"/>
      <c r="AA149" s="392" t="str">
        <f ca="1">OFFSET(Initiatives!$D$1,F149-1,$BS$3)</f>
        <v>Architecture</v>
      </c>
      <c r="AB149" s="375">
        <v>9</v>
      </c>
      <c r="AC149" s="392" t="str">
        <f ca="1">OFFSET(Initiatives!$D$1,G149-1,$BS$3)</f>
        <v>Metadata definitions</v>
      </c>
      <c r="AD149" s="375"/>
      <c r="AE149" s="392" t="str">
        <f ca="1">OFFSET(Initiatives!$D$1,H149-1,$BS$3)</f>
        <v>Metadata management</v>
      </c>
      <c r="AF149" s="375"/>
      <c r="AG149" s="392" t="str">
        <f ca="1">OFFSET(Initiatives!$D$1,I149-1,$BS$3)</f>
        <v>High data quality</v>
      </c>
      <c r="AH149" s="375"/>
      <c r="AI149" s="392" t="str">
        <f ca="1">OFFSET(Initiatives!$D$1,J149-1,$BS$3)</f>
        <v>BI Applications</v>
      </c>
      <c r="AJ149" s="375"/>
      <c r="AK149" s="392" t="str">
        <f ca="1">OFFSET(Initiatives!$D$1,K149-1,$BS$3)</f>
        <v>Source System Inclusion / Integration</v>
      </c>
      <c r="AL149" s="375"/>
      <c r="AM149" s="392" t="str">
        <f ca="1">OFFSET(Initiatives!$D$1,L149-1,$BS$3)</f>
        <v>Architecture Standards &amp; Adherence</v>
      </c>
      <c r="AN149" s="375"/>
      <c r="AO149" s="392" t="str">
        <f ca="1">OFFSET(Initiatives!$D$1,M149-1,$BS$3)</f>
        <v>Data Management</v>
      </c>
      <c r="AP149" s="375"/>
      <c r="AQ149" s="392" t="str">
        <f ca="1">OFFSET(Initiatives!$D$1,N149-1,$BS$3)</f>
        <v>Data Integration/ETL</v>
      </c>
      <c r="AR149" s="375"/>
      <c r="AS149" s="392" t="str">
        <f ca="1">OFFSET(Initiatives!$D$1,O149-1,$BS$3)</f>
        <v>Data Warehouse / Data Marts</v>
      </c>
      <c r="AT149" s="375">
        <v>2</v>
      </c>
      <c r="AU149" s="392" t="str">
        <f ca="1">OFFSET(Initiatives!$D$1,P149-1,$BS$3)</f>
        <v>Development</v>
      </c>
      <c r="AV149" s="375">
        <v>4</v>
      </c>
      <c r="AW149" s="392" t="str">
        <f ca="1">OFFSET(Initiatives!$D$1,Q149-1,$BS$3)</f>
        <v>Enhance BI Platform</v>
      </c>
      <c r="AX149" s="375"/>
      <c r="AY149" s="392" t="e">
        <f ca="1">OFFSET(Initiatives!$D$1,R149-1,$BS$3)</f>
        <v>#VALUE!</v>
      </c>
      <c r="AZ149" s="375"/>
      <c r="BA149" s="392" t="e">
        <f ca="1">OFFSET(Initiatives!$D$1,S149-1,$BS$3)</f>
        <v>#VALUE!</v>
      </c>
      <c r="BB149" s="375"/>
      <c r="BC149" s="392" t="e">
        <f ca="1">OFFSET(Initiatives!$D$1,T149-1,$BS$3)</f>
        <v>#VALUE!</v>
      </c>
      <c r="BD149" s="375"/>
      <c r="BE149" s="392" t="e">
        <f ca="1">OFFSET(Initiatives!$D$1,U149-1,$BS$3)</f>
        <v>#VALUE!</v>
      </c>
      <c r="BF149" s="375"/>
      <c r="BG149" s="392" t="e">
        <f ca="1">OFFSET(Initiatives!$D$1,V149-1,$BS$3)</f>
        <v>#VALUE!</v>
      </c>
      <c r="BH149" s="375"/>
      <c r="BI149" s="392" t="e">
        <f ca="1">OFFSET(Initiatives!$D$1,W149-1,$BS$3)</f>
        <v>#VALUE!</v>
      </c>
      <c r="BJ149" s="375"/>
      <c r="BK149" s="392" t="e">
        <f ca="1">OFFSET(Initiatives!$D$1,X149-1,$BS$3)</f>
        <v>#VALUE!</v>
      </c>
      <c r="BL149" s="375"/>
      <c r="BN149" s="101">
        <f t="shared" si="2466"/>
        <v>15.0001</v>
      </c>
      <c r="BP149" s="231" t="str">
        <f t="shared" ca="1" si="2467"/>
        <v>Architecture (91%)</v>
      </c>
      <c r="BQ149" s="338">
        <v>0.01</v>
      </c>
      <c r="BR149" s="40">
        <f t="shared" ca="1" si="2468"/>
        <v>1</v>
      </c>
      <c r="BS149" s="274">
        <v>0.05</v>
      </c>
      <c r="BT149" s="40">
        <f t="shared" ca="1" si="2469"/>
        <v>1</v>
      </c>
      <c r="BU149" s="376">
        <v>7</v>
      </c>
      <c r="BV149" s="40">
        <f t="shared" ca="1" si="2470"/>
        <v>1</v>
      </c>
      <c r="BY149" s="377">
        <f ca="1">IF(ISERROR(OFFSET(Initiatives!$D$1,E149-1,$BY$3)),,OFFSET(Initiatives!$D$1,E149-1,$BY$3))</f>
        <v>0.14000000000000001</v>
      </c>
      <c r="BZ149" s="377">
        <f ca="1">IF(ISERROR(OFFSET(Initiatives!$D$1,F149-1,$BY$3)),,OFFSET(Initiatives!$D$1,F149-1,$BY$3))</f>
        <v>0.14000000000000001</v>
      </c>
      <c r="CA149" s="377">
        <f ca="1">IF(ISERROR(OFFSET(Initiatives!$D$1,G149-1,$BY$3)),,OFFSET(Initiatives!$D$1,G149-1,$BY$3))</f>
        <v>9.9999999999999978E-2</v>
      </c>
      <c r="CB149" s="377">
        <f ca="1">IF(ISERROR(OFFSET(Initiatives!$D$1,H149-1,$BY$3)),,OFFSET(Initiatives!$D$1,H149-1,$BY$3))</f>
        <v>9.9999999999999978E-2</v>
      </c>
      <c r="CC149" s="377">
        <f ca="1">IF(ISERROR(OFFSET(Initiatives!$D$1,I149-1,$BY$3)),,OFFSET(Initiatives!$D$1,I149-1,$BY$3))</f>
        <v>9.9999999999999978E-2</v>
      </c>
      <c r="CD149" s="377">
        <f ca="1">IF(ISERROR(OFFSET(Initiatives!$D$1,J149-1,$BY$3)),,OFFSET(Initiatives!$D$1,J149-1,$BY$3))</f>
        <v>0.45555555555555544</v>
      </c>
      <c r="CE149" s="377">
        <f ca="1">IF(ISERROR(OFFSET(Initiatives!$D$1,K149-1,$BY$3)),,OFFSET(Initiatives!$D$1,K149-1,$BY$3))</f>
        <v>0.45454545454545436</v>
      </c>
      <c r="CF149" s="377">
        <f ca="1">IF(ISERROR(OFFSET(Initiatives!$D$1,L149-1,$BY$3)),,OFFSET(Initiatives!$D$1,L149-1,$BY$3))</f>
        <v>0.14000000000000012</v>
      </c>
      <c r="CG149" s="377">
        <f ca="1">IF(ISERROR(OFFSET(Initiatives!$D$1,M149-1,$BY$3)),,OFFSET(Initiatives!$D$1,M149-1,$BY$3))</f>
        <v>9.9999999999999978E-2</v>
      </c>
      <c r="CH149" s="377">
        <f ca="1">IF(ISERROR(OFFSET(Initiatives!$D$1,N149-1,$BY$3)),,OFFSET(Initiatives!$D$1,N149-1,$BY$3))</f>
        <v>9.9999999999999978E-2</v>
      </c>
      <c r="CI149" s="377">
        <f ca="1">IF(ISERROR(OFFSET(Initiatives!$D$1,O149-1,$BY$3)),,OFFSET(Initiatives!$D$1,O149-1,$BY$3))</f>
        <v>3.0000000000000027E-2</v>
      </c>
      <c r="CJ149" s="377">
        <f ca="1">IF(ISERROR(OFFSET(Initiatives!$D$1,P149-1,$BY$3)),,OFFSET(Initiatives!$D$1,P149-1,$BY$3))</f>
        <v>1.5000000000000124E-2</v>
      </c>
      <c r="CK149" s="377">
        <f ca="1">IF(ISERROR(OFFSET(Initiatives!$D$1,Q149-1,$BY$3)),,OFFSET(Initiatives!$D$1,Q149-1,$BY$3))</f>
        <v>0.6</v>
      </c>
      <c r="CL149" s="377">
        <f ca="1">IF(ISERROR(OFFSET(Initiatives!$D$1,R149-1,$BY$3)),,OFFSET(Initiatives!$D$1,R149-1,$BY$3))</f>
        <v>0</v>
      </c>
      <c r="CM149" s="377">
        <f ca="1">IF(ISERROR(OFFSET(Initiatives!$D$1,S149-1,$BY$3)),,OFFSET(Initiatives!$D$1,S149-1,$BY$3))</f>
        <v>0</v>
      </c>
      <c r="CN149" s="377">
        <f ca="1">IF(ISERROR(OFFSET(Initiatives!$D$1,T149-1,$BY$3)),,OFFSET(Initiatives!$D$1,T149-1,$BY$3))</f>
        <v>0</v>
      </c>
      <c r="CO149" s="377">
        <f ca="1">IF(ISERROR(OFFSET(Initiatives!$D$1,U149-1,$BY$3)),,OFFSET(Initiatives!$D$1,U149-1,$BY$3))</f>
        <v>0</v>
      </c>
      <c r="CP149" s="377">
        <f ca="1">IF(ISERROR(OFFSET(Initiatives!$D$1,V149-1,$BY$3)),,OFFSET(Initiatives!$D$1,V149-1,$BY$3))</f>
        <v>0</v>
      </c>
      <c r="CQ149" s="377">
        <f ca="1">IF(ISERROR(OFFSET(Initiatives!$D$1,W149-1,$BY$3)),,OFFSET(Initiatives!$D$1,W149-1,$BY$3))</f>
        <v>0</v>
      </c>
      <c r="CR149" s="377">
        <f ca="1">IF(ISERROR(OFFSET(Initiatives!$D$1,X149-1,$BY$3)),,OFFSET(Initiatives!$D$1,X149-1,$BY$3))</f>
        <v>0</v>
      </c>
      <c r="CT149" s="41">
        <f t="shared" ca="1" si="2471"/>
        <v>0</v>
      </c>
      <c r="CU149" s="41">
        <f t="shared" ca="1" si="2472"/>
        <v>8.3999440003733328E-2</v>
      </c>
      <c r="CV149" s="41">
        <f t="shared" ca="1" si="2473"/>
        <v>0</v>
      </c>
      <c r="CW149" s="41">
        <f t="shared" ca="1" si="2474"/>
        <v>0</v>
      </c>
      <c r="CX149" s="41">
        <f t="shared" ca="1" si="2475"/>
        <v>0</v>
      </c>
      <c r="CY149" s="41">
        <f t="shared" ca="1" si="2476"/>
        <v>0</v>
      </c>
      <c r="CZ149" s="41">
        <f t="shared" ca="1" si="2477"/>
        <v>0</v>
      </c>
      <c r="DA149" s="41">
        <f t="shared" ca="1" si="2478"/>
        <v>0</v>
      </c>
      <c r="DB149" s="41">
        <f t="shared" ca="1" si="2479"/>
        <v>0</v>
      </c>
      <c r="DC149" s="41">
        <f t="shared" ca="1" si="2480"/>
        <v>0</v>
      </c>
      <c r="DD149" s="41">
        <f t="shared" ca="1" si="2481"/>
        <v>3.9999733335111132E-3</v>
      </c>
      <c r="DE149" s="41">
        <f t="shared" ca="1" si="2482"/>
        <v>3.9999733335111427E-3</v>
      </c>
      <c r="DF149" s="41">
        <f t="shared" ca="1" si="2483"/>
        <v>0</v>
      </c>
      <c r="DG149" s="41">
        <f t="shared" ca="1" si="2484"/>
        <v>0</v>
      </c>
      <c r="DH149" s="41">
        <f t="shared" ca="1" si="2485"/>
        <v>0</v>
      </c>
      <c r="DI149" s="41">
        <f t="shared" ca="1" si="2486"/>
        <v>0</v>
      </c>
      <c r="DJ149" s="41">
        <f t="shared" ca="1" si="2487"/>
        <v>0</v>
      </c>
      <c r="DK149" s="41">
        <f t="shared" ca="1" si="2488"/>
        <v>0</v>
      </c>
      <c r="DL149" s="41">
        <f t="shared" ca="1" si="2489"/>
        <v>0</v>
      </c>
      <c r="DM149" s="41">
        <f t="shared" ca="1" si="2490"/>
        <v>0</v>
      </c>
      <c r="DN149" s="41">
        <f t="shared" ca="1" si="2491"/>
        <v>9.1999386670755579E-2</v>
      </c>
      <c r="DP149" s="41">
        <f t="shared" ca="1" si="2492"/>
        <v>-1.0000000000000001E-5</v>
      </c>
      <c r="DQ149" s="41">
        <f t="shared" ca="1" si="2493"/>
        <v>0.91302347826086927</v>
      </c>
      <c r="DR149" s="41">
        <f t="shared" ca="1" si="2494"/>
        <v>-3.0000000000000001E-5</v>
      </c>
      <c r="DS149" s="41">
        <f t="shared" ca="1" si="2495"/>
        <v>-4.0000000000000003E-5</v>
      </c>
      <c r="DT149" s="41">
        <f t="shared" ca="1" si="2496"/>
        <v>-5.0000000000000002E-5</v>
      </c>
      <c r="DU149" s="41">
        <f t="shared" ca="1" si="2497"/>
        <v>-6.0000000000000002E-5</v>
      </c>
      <c r="DV149" s="41">
        <f t="shared" ca="1" si="2498"/>
        <v>-6.9999999999999994E-5</v>
      </c>
      <c r="DW149" s="41">
        <f t="shared" ca="1" si="2499"/>
        <v>-8.0000000000000007E-5</v>
      </c>
      <c r="DX149" s="41">
        <f t="shared" ca="1" si="2500"/>
        <v>-9.0000000000000006E-5</v>
      </c>
      <c r="DY149" s="41">
        <f t="shared" ca="1" si="2501"/>
        <v>-1E-4</v>
      </c>
      <c r="DZ149" s="41">
        <f t="shared" ca="1" si="2502"/>
        <v>4.3368260869565231E-2</v>
      </c>
      <c r="EA149" s="41">
        <f t="shared" ca="1" si="2503"/>
        <v>4.3358260869565547E-2</v>
      </c>
      <c r="EB149" s="41">
        <f t="shared" ca="1" si="2504"/>
        <v>-1.2999999999999999E-4</v>
      </c>
      <c r="EC149" s="41">
        <f t="shared" ca="1" si="2505"/>
        <v>-1.3999999999999999E-4</v>
      </c>
      <c r="ED149" s="41">
        <f t="shared" ca="1" si="2506"/>
        <v>-1.4999999999999999E-4</v>
      </c>
      <c r="EE149" s="41">
        <f t="shared" ca="1" si="2507"/>
        <v>-1.6000000000000001E-4</v>
      </c>
      <c r="EF149" s="41">
        <f t="shared" ca="1" si="2508"/>
        <v>-1.7000000000000001E-4</v>
      </c>
      <c r="EG149" s="41">
        <f t="shared" ca="1" si="2509"/>
        <v>-1.8000000000000001E-4</v>
      </c>
      <c r="EH149" s="41">
        <f t="shared" ca="1" si="2510"/>
        <v>-1.9000000000000001E-4</v>
      </c>
      <c r="EI149" s="41">
        <f t="shared" ca="1" si="2511"/>
        <v>-2.0000000000000001E-4</v>
      </c>
      <c r="EJ149" s="41">
        <f t="shared" ca="1" si="2512"/>
        <v>0.99790000000000012</v>
      </c>
      <c r="EL149" s="378">
        <f t="shared" ca="1" si="2513"/>
        <v>4</v>
      </c>
      <c r="EM149" s="378">
        <f t="shared" ca="1" si="2514"/>
        <v>1</v>
      </c>
      <c r="EN149" s="378">
        <f t="shared" ca="1" si="2515"/>
        <v>5</v>
      </c>
      <c r="EO149" s="378">
        <f t="shared" ca="1" si="2516"/>
        <v>6</v>
      </c>
      <c r="EP149" s="378">
        <f t="shared" ca="1" si="2517"/>
        <v>7</v>
      </c>
      <c r="EQ149" s="378">
        <f t="shared" ca="1" si="2518"/>
        <v>8</v>
      </c>
      <c r="ER149" s="378">
        <f t="shared" ca="1" si="2519"/>
        <v>9</v>
      </c>
      <c r="ES149" s="378">
        <f t="shared" ca="1" si="2520"/>
        <v>10</v>
      </c>
      <c r="ET149" s="378">
        <f t="shared" ca="1" si="2521"/>
        <v>11</v>
      </c>
      <c r="EU149" s="378">
        <f t="shared" ca="1" si="2522"/>
        <v>12</v>
      </c>
      <c r="EV149" s="378">
        <f t="shared" ca="1" si="2523"/>
        <v>2</v>
      </c>
      <c r="EW149" s="378">
        <f t="shared" ca="1" si="2524"/>
        <v>3</v>
      </c>
      <c r="EX149" s="378">
        <f t="shared" ca="1" si="2525"/>
        <v>13</v>
      </c>
      <c r="EY149" s="378">
        <f t="shared" ca="1" si="2526"/>
        <v>14</v>
      </c>
      <c r="EZ149" s="378">
        <f t="shared" ca="1" si="2527"/>
        <v>15</v>
      </c>
      <c r="FA149" s="378">
        <f t="shared" ca="1" si="2528"/>
        <v>16</v>
      </c>
      <c r="FB149" s="378">
        <f t="shared" ca="1" si="2529"/>
        <v>17</v>
      </c>
      <c r="FC149" s="378">
        <f t="shared" ca="1" si="2530"/>
        <v>18</v>
      </c>
      <c r="FD149" s="378">
        <f t="shared" ca="1" si="2531"/>
        <v>19</v>
      </c>
      <c r="FE149" s="378">
        <f t="shared" ca="1" si="2532"/>
        <v>20</v>
      </c>
      <c r="FG149" s="378">
        <f t="shared" ca="1" si="2533"/>
        <v>2</v>
      </c>
      <c r="FH149" s="378">
        <f t="shared" ca="1" si="2533"/>
        <v>11</v>
      </c>
      <c r="FI149" s="378">
        <f t="shared" ca="1" si="2533"/>
        <v>12</v>
      </c>
      <c r="FJ149" s="378">
        <f t="shared" ca="1" si="2533"/>
        <v>1</v>
      </c>
      <c r="FK149" s="378">
        <f t="shared" ca="1" si="2533"/>
        <v>3</v>
      </c>
      <c r="FL149" s="378">
        <f t="shared" ca="1" si="2533"/>
        <v>4</v>
      </c>
      <c r="FM149" s="378">
        <f t="shared" ca="1" si="2533"/>
        <v>5</v>
      </c>
      <c r="FN149" s="378">
        <f t="shared" ca="1" si="2533"/>
        <v>6</v>
      </c>
      <c r="FO149" s="378">
        <f t="shared" ca="1" si="2533"/>
        <v>7</v>
      </c>
      <c r="FP149" s="378">
        <f t="shared" ca="1" si="2533"/>
        <v>8</v>
      </c>
      <c r="FQ149" s="378">
        <f t="shared" ca="1" si="2533"/>
        <v>9</v>
      </c>
      <c r="FR149" s="378">
        <f t="shared" ca="1" si="2533"/>
        <v>10</v>
      </c>
      <c r="FS149" s="378">
        <f t="shared" ca="1" si="2533"/>
        <v>13</v>
      </c>
      <c r="FT149" s="378">
        <f t="shared" ca="1" si="2533"/>
        <v>14</v>
      </c>
      <c r="FU149" s="378">
        <f t="shared" ca="1" si="2533"/>
        <v>15</v>
      </c>
      <c r="FV149" s="378">
        <f t="shared" ca="1" si="2533"/>
        <v>16</v>
      </c>
      <c r="FW149" s="378">
        <f t="shared" ca="1" si="2534"/>
        <v>17</v>
      </c>
      <c r="FX149" s="378">
        <f t="shared" ca="1" si="2534"/>
        <v>18</v>
      </c>
      <c r="FY149" s="378">
        <f t="shared" ca="1" si="2534"/>
        <v>19</v>
      </c>
      <c r="FZ149" s="378">
        <f t="shared" ca="1" si="2534"/>
        <v>20</v>
      </c>
      <c r="GB149" s="275" t="str">
        <f t="shared" ca="1" si="2535"/>
        <v>Architecture (91%)</v>
      </c>
      <c r="GC149" s="231" t="str">
        <f t="shared" ca="1" si="2536"/>
        <v/>
      </c>
      <c r="GD149" s="231" t="str">
        <f t="shared" ca="1" si="2537"/>
        <v/>
      </c>
      <c r="GE149" s="231" t="str">
        <f t="shared" ca="1" si="2538"/>
        <v/>
      </c>
      <c r="GF149" s="231" t="str">
        <f t="shared" ca="1" si="2539"/>
        <v/>
      </c>
      <c r="GG149" s="231" t="str">
        <f t="shared" ca="1" si="2540"/>
        <v/>
      </c>
      <c r="GH149" s="231" t="str">
        <f t="shared" ca="1" si="2541"/>
        <v/>
      </c>
      <c r="GI149" s="231" t="str">
        <f t="shared" ca="1" si="2542"/>
        <v/>
      </c>
      <c r="GJ149" s="231" t="str">
        <f t="shared" ca="1" si="2543"/>
        <v/>
      </c>
      <c r="GK149" s="231" t="str">
        <f t="shared" ca="1" si="2544"/>
        <v/>
      </c>
      <c r="GL149" s="231" t="str">
        <f t="shared" ca="1" si="2545"/>
        <v/>
      </c>
      <c r="GM149" s="231" t="str">
        <f t="shared" ca="1" si="2546"/>
        <v/>
      </c>
      <c r="GN149" s="231" t="str">
        <f t="shared" ca="1" si="2547"/>
        <v/>
      </c>
      <c r="GO149" s="231" t="str">
        <f t="shared" ca="1" si="2548"/>
        <v/>
      </c>
      <c r="GP149" s="231" t="str">
        <f t="shared" ca="1" si="2549"/>
        <v/>
      </c>
      <c r="GQ149" s="231" t="str">
        <f t="shared" ca="1" si="2550"/>
        <v/>
      </c>
      <c r="GR149" s="231" t="str">
        <f t="shared" ca="1" si="2551"/>
        <v/>
      </c>
      <c r="GS149" s="231" t="str">
        <f t="shared" ca="1" si="2552"/>
        <v/>
      </c>
      <c r="GT149" s="231" t="str">
        <f t="shared" ca="1" si="2553"/>
        <v/>
      </c>
      <c r="GU149" s="231" t="str">
        <f t="shared" ca="1" si="2554"/>
        <v/>
      </c>
      <c r="GW149" s="377">
        <f ca="1">IF(ISERROR(OFFSET(Initiatives!$D$1,E149-1,$CB$3)),,OFFSET(Initiatives!$D$1,E149-1,$CB$3))</f>
        <v>0.65</v>
      </c>
      <c r="GX149" s="377">
        <f ca="1">IF(ISERROR(OFFSET(Initiatives!$D$1,F149-1,$CB$3)),,OFFSET(Initiatives!$D$1,F149-1,$CB$3))</f>
        <v>0.65</v>
      </c>
      <c r="GY149" s="377">
        <f ca="1">IF(ISERROR(OFFSET(Initiatives!$D$1,G149-1,$CB$3)),,OFFSET(Initiatives!$D$1,G149-1,$CB$3))</f>
        <v>0.75</v>
      </c>
      <c r="GZ149" s="377">
        <f ca="1">IF(ISERROR(OFFSET(Initiatives!$D$1,H149-1,$CB$3)),,OFFSET(Initiatives!$D$1,H149-1,$CB$3))</f>
        <v>0.75</v>
      </c>
      <c r="HA149" s="377">
        <f ca="1">IF(ISERROR(OFFSET(Initiatives!$D$1,I149-1,$CB$3)),,OFFSET(Initiatives!$D$1,I149-1,$CB$3))</f>
        <v>0.75</v>
      </c>
      <c r="HB149" s="377">
        <f ca="1">IF(ISERROR(OFFSET(Initiatives!$D$1,J149-1,$CB$3)),,OFFSET(Initiatives!$D$1,J149-1,$CB$3))</f>
        <v>0.34166666666666662</v>
      </c>
      <c r="HC149" s="377">
        <f ca="1">IF(ISERROR(OFFSET(Initiatives!$D$1,K149-1,$CB$3)),,OFFSET(Initiatives!$D$1,K149-1,$CB$3))</f>
        <v>0.43181818181818177</v>
      </c>
      <c r="HD149" s="377">
        <f ca="1">IF(ISERROR(OFFSET(Initiatives!$D$1,L149-1,$CB$3)),,OFFSET(Initiatives!$D$1,L149-1,$CB$3))</f>
        <v>0.65</v>
      </c>
      <c r="HE149" s="377">
        <f ca="1">IF(ISERROR(OFFSET(Initiatives!$D$1,M149-1,$CB$3)),,OFFSET(Initiatives!$D$1,M149-1,$CB$3))</f>
        <v>0.75</v>
      </c>
      <c r="HF149" s="377">
        <f ca="1">IF(ISERROR(OFFSET(Initiatives!$D$1,N149-1,$CB$3)),,OFFSET(Initiatives!$D$1,N149-1,$CB$3))</f>
        <v>0.75</v>
      </c>
      <c r="HG149" s="377">
        <f ca="1">IF(ISERROR(OFFSET(Initiatives!$D$1,O149-1,$CB$3)),,OFFSET(Initiatives!$D$1,O149-1,$CB$3))</f>
        <v>0.8</v>
      </c>
      <c r="HH149" s="377">
        <f ca="1">IF(ISERROR(OFFSET(Initiatives!$D$1,P149-1,$CB$3)),,OFFSET(Initiatives!$D$1,P149-1,$CB$3))</f>
        <v>0.9</v>
      </c>
      <c r="HI149" s="377">
        <f ca="1">IF(ISERROR(OFFSET(Initiatives!$D$1,Q149-1,$CB$3)),,OFFSET(Initiatives!$D$1,Q149-1,$CB$3))</f>
        <v>0.25</v>
      </c>
      <c r="HJ149" s="377">
        <f ca="1">IF(ISERROR(OFFSET(Initiatives!$D$1,R149-1,$CB$3)),,OFFSET(Initiatives!$D$1,R149-1,$CB$3))</f>
        <v>0</v>
      </c>
      <c r="HK149" s="377">
        <f ca="1">IF(ISERROR(OFFSET(Initiatives!$D$1,S149-1,$CB$3)),,OFFSET(Initiatives!$D$1,S149-1,$CB$3))</f>
        <v>0</v>
      </c>
      <c r="HL149" s="377">
        <f ca="1">IF(ISERROR(OFFSET(Initiatives!$D$1,T149-1,$CB$3)),,OFFSET(Initiatives!$D$1,T149-1,$CB$3))</f>
        <v>0</v>
      </c>
      <c r="HM149" s="377">
        <f ca="1">IF(ISERROR(OFFSET(Initiatives!$D$1,U149-1,$CB$3)),,OFFSET(Initiatives!$D$1,U149-1,$CB$3))</f>
        <v>0</v>
      </c>
      <c r="HN149" s="377">
        <f ca="1">IF(ISERROR(OFFSET(Initiatives!$D$1,V149-1,$CB$3)),,OFFSET(Initiatives!$D$1,V149-1,$CB$3))</f>
        <v>0</v>
      </c>
      <c r="HO149" s="377">
        <f ca="1">IF(ISERROR(OFFSET(Initiatives!$D$1,W149-1,$CB$3)),,OFFSET(Initiatives!$D$1,W149-1,$CB$3))</f>
        <v>0</v>
      </c>
      <c r="HP149" s="377">
        <f ca="1">IF(ISERROR(OFFSET(Initiatives!$D$1,X149-1,$CB$3)),,OFFSET(Initiatives!$D$1,X149-1,$CB$3))</f>
        <v>0</v>
      </c>
      <c r="HR149" s="41">
        <f t="shared" ca="1" si="2555"/>
        <v>0</v>
      </c>
      <c r="HS149" s="41">
        <f t="shared" ca="1" si="2556"/>
        <v>0.38999740001733324</v>
      </c>
      <c r="HT149" s="41">
        <f t="shared" ca="1" si="2557"/>
        <v>0</v>
      </c>
      <c r="HU149" s="41">
        <f t="shared" ca="1" si="2558"/>
        <v>0</v>
      </c>
      <c r="HV149" s="41">
        <f t="shared" ca="1" si="2559"/>
        <v>0</v>
      </c>
      <c r="HW149" s="41">
        <f t="shared" ca="1" si="2560"/>
        <v>0</v>
      </c>
      <c r="HX149" s="41">
        <f t="shared" ca="1" si="2561"/>
        <v>0</v>
      </c>
      <c r="HY149" s="41">
        <f t="shared" ca="1" si="2562"/>
        <v>0</v>
      </c>
      <c r="HZ149" s="41">
        <f t="shared" ca="1" si="2563"/>
        <v>0</v>
      </c>
      <c r="IA149" s="41">
        <f t="shared" ca="1" si="2564"/>
        <v>0</v>
      </c>
      <c r="IB149" s="41">
        <f t="shared" ca="1" si="2565"/>
        <v>0.10666595556029627</v>
      </c>
      <c r="IC149" s="41">
        <f t="shared" ca="1" si="2566"/>
        <v>0.23999840001066661</v>
      </c>
      <c r="ID149" s="41">
        <f t="shared" ca="1" si="2567"/>
        <v>0</v>
      </c>
      <c r="IE149" s="41">
        <f t="shared" ca="1" si="2568"/>
        <v>0</v>
      </c>
      <c r="IF149" s="41">
        <f t="shared" ca="1" si="2569"/>
        <v>0</v>
      </c>
      <c r="IG149" s="41">
        <f t="shared" ca="1" si="2570"/>
        <v>0</v>
      </c>
      <c r="IH149" s="41">
        <f t="shared" ca="1" si="2571"/>
        <v>0</v>
      </c>
      <c r="II149" s="41">
        <f t="shared" ca="1" si="2572"/>
        <v>0</v>
      </c>
      <c r="IJ149" s="41">
        <f t="shared" ca="1" si="2573"/>
        <v>0</v>
      </c>
      <c r="IK149" s="41">
        <f t="shared" ca="1" si="2574"/>
        <v>0</v>
      </c>
      <c r="IL149" s="41">
        <f t="shared" ca="1" si="2575"/>
        <v>0.73666175558829616</v>
      </c>
    </row>
    <row r="150" spans="1:246" s="409" customFormat="1" ht="13.5" hidden="1" customHeight="1">
      <c r="B150" s="373"/>
      <c r="C150" s="81" t="str">
        <f>Maturity!B36</f>
        <v>To what degree do individuals and groups ADHERE to the technology and tool standards that your group has established?</v>
      </c>
      <c r="D150" s="404">
        <f t="shared" ca="1" si="2465"/>
        <v>0.13999844446172832</v>
      </c>
      <c r="E150" s="374">
        <f>ROW(Initiatives!$A$100)</f>
        <v>100</v>
      </c>
      <c r="F150" s="374">
        <f>ROW(Initiatives!$A$101)</f>
        <v>101</v>
      </c>
      <c r="G150" s="374">
        <f>ROW(Initiatives!$A$106)</f>
        <v>106</v>
      </c>
      <c r="H150" s="374">
        <f>ROW(Initiatives!$A$107)</f>
        <v>107</v>
      </c>
      <c r="I150" s="374">
        <f>ROW(Initiatives!$A$108)</f>
        <v>108</v>
      </c>
      <c r="J150" s="374">
        <f>ROW(Initiatives!$A$170)</f>
        <v>170</v>
      </c>
      <c r="K150" s="374">
        <f>ROW(Initiatives!$A$176)</f>
        <v>176</v>
      </c>
      <c r="L150" s="374">
        <f>ROW(Initiatives!$A$178)</f>
        <v>178</v>
      </c>
      <c r="M150" s="374">
        <f>ROW(Initiatives!$A$179)</f>
        <v>179</v>
      </c>
      <c r="N150" s="374">
        <f>ROW(Initiatives!$A$180)</f>
        <v>180</v>
      </c>
      <c r="O150" s="374">
        <f>ROW(Initiatives!$A$181)</f>
        <v>181</v>
      </c>
      <c r="P150" s="374">
        <f>ROW(Initiatives!$A$182)</f>
        <v>182</v>
      </c>
      <c r="Q150" s="374">
        <f>ROW(Initiatives!$A$189)</f>
        <v>189</v>
      </c>
      <c r="R150" s="374" t="s">
        <v>975</v>
      </c>
      <c r="S150" s="374" t="s">
        <v>975</v>
      </c>
      <c r="T150" s="374" t="s">
        <v>975</v>
      </c>
      <c r="U150" s="374" t="s">
        <v>975</v>
      </c>
      <c r="V150" s="374" t="s">
        <v>975</v>
      </c>
      <c r="W150" s="374" t="s">
        <v>975</v>
      </c>
      <c r="X150" s="374" t="s">
        <v>975</v>
      </c>
      <c r="Y150" s="392" t="str">
        <f ca="1">OFFSET(Initiatives!$D$1,E150-1,$BS$3)</f>
        <v>Governance</v>
      </c>
      <c r="Z150" s="375"/>
      <c r="AA150" s="392" t="str">
        <f ca="1">OFFSET(Initiatives!$D$1,F150-1,$BS$3)</f>
        <v>Architecture</v>
      </c>
      <c r="AB150" s="375"/>
      <c r="AC150" s="392" t="str">
        <f ca="1">OFFSET(Initiatives!$D$1,G150-1,$BS$3)</f>
        <v>Metadata definitions</v>
      </c>
      <c r="AD150" s="375"/>
      <c r="AE150" s="392" t="str">
        <f ca="1">OFFSET(Initiatives!$D$1,H150-1,$BS$3)</f>
        <v>Metadata management</v>
      </c>
      <c r="AF150" s="375"/>
      <c r="AG150" s="392" t="str">
        <f ca="1">OFFSET(Initiatives!$D$1,I150-1,$BS$3)</f>
        <v>High data quality</v>
      </c>
      <c r="AH150" s="375"/>
      <c r="AI150" s="392" t="str">
        <f ca="1">OFFSET(Initiatives!$D$1,J150-1,$BS$3)</f>
        <v>BI Applications</v>
      </c>
      <c r="AJ150" s="375"/>
      <c r="AK150" s="392" t="str">
        <f ca="1">OFFSET(Initiatives!$D$1,K150-1,$BS$3)</f>
        <v>Source System Inclusion / Integration</v>
      </c>
      <c r="AL150" s="375"/>
      <c r="AM150" s="392" t="str">
        <f ca="1">OFFSET(Initiatives!$D$1,L150-1,$BS$3)</f>
        <v>Architecture Standards &amp; Adherence</v>
      </c>
      <c r="AN150" s="375">
        <v>9</v>
      </c>
      <c r="AO150" s="392" t="str">
        <f ca="1">OFFSET(Initiatives!$D$1,M150-1,$BS$3)</f>
        <v>Data Management</v>
      </c>
      <c r="AP150" s="375"/>
      <c r="AQ150" s="392" t="str">
        <f ca="1">OFFSET(Initiatives!$D$1,N150-1,$BS$3)</f>
        <v>Data Integration/ETL</v>
      </c>
      <c r="AR150" s="375"/>
      <c r="AS150" s="392" t="str">
        <f ca="1">OFFSET(Initiatives!$D$1,O150-1,$BS$3)</f>
        <v>Data Warehouse / Data Marts</v>
      </c>
      <c r="AT150" s="375"/>
      <c r="AU150" s="392" t="str">
        <f ca="1">OFFSET(Initiatives!$D$1,P150-1,$BS$3)</f>
        <v>Development</v>
      </c>
      <c r="AV150" s="375"/>
      <c r="AW150" s="392" t="str">
        <f ca="1">OFFSET(Initiatives!$D$1,Q150-1,$BS$3)</f>
        <v>Enhance BI Platform</v>
      </c>
      <c r="AX150" s="375"/>
      <c r="AY150" s="392" t="e">
        <f ca="1">OFFSET(Initiatives!$D$1,R150-1,$BS$3)</f>
        <v>#VALUE!</v>
      </c>
      <c r="AZ150" s="375"/>
      <c r="BA150" s="392" t="e">
        <f ca="1">OFFSET(Initiatives!$D$1,S150-1,$BS$3)</f>
        <v>#VALUE!</v>
      </c>
      <c r="BB150" s="375"/>
      <c r="BC150" s="392" t="e">
        <f ca="1">OFFSET(Initiatives!$D$1,T150-1,$BS$3)</f>
        <v>#VALUE!</v>
      </c>
      <c r="BD150" s="375"/>
      <c r="BE150" s="392" t="e">
        <f ca="1">OFFSET(Initiatives!$D$1,U150-1,$BS$3)</f>
        <v>#VALUE!</v>
      </c>
      <c r="BF150" s="375"/>
      <c r="BG150" s="392" t="e">
        <f ca="1">OFFSET(Initiatives!$D$1,V150-1,$BS$3)</f>
        <v>#VALUE!</v>
      </c>
      <c r="BH150" s="375"/>
      <c r="BI150" s="392" t="e">
        <f ca="1">OFFSET(Initiatives!$D$1,W150-1,$BS$3)</f>
        <v>#VALUE!</v>
      </c>
      <c r="BJ150" s="375"/>
      <c r="BK150" s="392" t="e">
        <f ca="1">OFFSET(Initiatives!$D$1,X150-1,$BS$3)</f>
        <v>#VALUE!</v>
      </c>
      <c r="BL150" s="375"/>
      <c r="BN150" s="101">
        <f t="shared" si="2466"/>
        <v>9.0000999999999998</v>
      </c>
      <c r="BP150" s="231" t="str">
        <f t="shared" ca="1" si="2467"/>
        <v>Architecture Standards &amp; Adherence (100%)</v>
      </c>
      <c r="BQ150" s="338">
        <v>0.01</v>
      </c>
      <c r="BR150" s="40">
        <f t="shared" ca="1" si="2468"/>
        <v>1</v>
      </c>
      <c r="BS150" s="274">
        <v>0.05</v>
      </c>
      <c r="BT150" s="40">
        <f t="shared" ca="1" si="2469"/>
        <v>1</v>
      </c>
      <c r="BU150" s="376">
        <v>7</v>
      </c>
      <c r="BV150" s="40">
        <f t="shared" ca="1" si="2470"/>
        <v>1</v>
      </c>
      <c r="BY150" s="377">
        <f ca="1">IF(ISERROR(OFFSET(Initiatives!$D$1,E150-1,$BY$3)),,OFFSET(Initiatives!$D$1,E150-1,$BY$3))</f>
        <v>0.14000000000000001</v>
      </c>
      <c r="BZ150" s="377">
        <f ca="1">IF(ISERROR(OFFSET(Initiatives!$D$1,F150-1,$BY$3)),,OFFSET(Initiatives!$D$1,F150-1,$BY$3))</f>
        <v>0.14000000000000001</v>
      </c>
      <c r="CA150" s="377">
        <f ca="1">IF(ISERROR(OFFSET(Initiatives!$D$1,G150-1,$BY$3)),,OFFSET(Initiatives!$D$1,G150-1,$BY$3))</f>
        <v>9.9999999999999978E-2</v>
      </c>
      <c r="CB150" s="377">
        <f ca="1">IF(ISERROR(OFFSET(Initiatives!$D$1,H150-1,$BY$3)),,OFFSET(Initiatives!$D$1,H150-1,$BY$3))</f>
        <v>9.9999999999999978E-2</v>
      </c>
      <c r="CC150" s="377">
        <f ca="1">IF(ISERROR(OFFSET(Initiatives!$D$1,I150-1,$BY$3)),,OFFSET(Initiatives!$D$1,I150-1,$BY$3))</f>
        <v>9.9999999999999978E-2</v>
      </c>
      <c r="CD150" s="377">
        <f ca="1">IF(ISERROR(OFFSET(Initiatives!$D$1,J150-1,$BY$3)),,OFFSET(Initiatives!$D$1,J150-1,$BY$3))</f>
        <v>0.45555555555555544</v>
      </c>
      <c r="CE150" s="377">
        <f ca="1">IF(ISERROR(OFFSET(Initiatives!$D$1,K150-1,$BY$3)),,OFFSET(Initiatives!$D$1,K150-1,$BY$3))</f>
        <v>0.45454545454545436</v>
      </c>
      <c r="CF150" s="377">
        <f ca="1">IF(ISERROR(OFFSET(Initiatives!$D$1,L150-1,$BY$3)),,OFFSET(Initiatives!$D$1,L150-1,$BY$3))</f>
        <v>0.14000000000000012</v>
      </c>
      <c r="CG150" s="377">
        <f ca="1">IF(ISERROR(OFFSET(Initiatives!$D$1,M150-1,$BY$3)),,OFFSET(Initiatives!$D$1,M150-1,$BY$3))</f>
        <v>9.9999999999999978E-2</v>
      </c>
      <c r="CH150" s="377">
        <f ca="1">IF(ISERROR(OFFSET(Initiatives!$D$1,N150-1,$BY$3)),,OFFSET(Initiatives!$D$1,N150-1,$BY$3))</f>
        <v>9.9999999999999978E-2</v>
      </c>
      <c r="CI150" s="377">
        <f ca="1">IF(ISERROR(OFFSET(Initiatives!$D$1,O150-1,$BY$3)),,OFFSET(Initiatives!$D$1,O150-1,$BY$3))</f>
        <v>3.0000000000000027E-2</v>
      </c>
      <c r="CJ150" s="377">
        <f ca="1">IF(ISERROR(OFFSET(Initiatives!$D$1,P150-1,$BY$3)),,OFFSET(Initiatives!$D$1,P150-1,$BY$3))</f>
        <v>1.5000000000000124E-2</v>
      </c>
      <c r="CK150" s="377">
        <f ca="1">IF(ISERROR(OFFSET(Initiatives!$D$1,Q150-1,$BY$3)),,OFFSET(Initiatives!$D$1,Q150-1,$BY$3))</f>
        <v>0.6</v>
      </c>
      <c r="CL150" s="377">
        <f ca="1">IF(ISERROR(OFFSET(Initiatives!$D$1,R150-1,$BY$3)),,OFFSET(Initiatives!$D$1,R150-1,$BY$3))</f>
        <v>0</v>
      </c>
      <c r="CM150" s="377">
        <f ca="1">IF(ISERROR(OFFSET(Initiatives!$D$1,S150-1,$BY$3)),,OFFSET(Initiatives!$D$1,S150-1,$BY$3))</f>
        <v>0</v>
      </c>
      <c r="CN150" s="377">
        <f ca="1">IF(ISERROR(OFFSET(Initiatives!$D$1,T150-1,$BY$3)),,OFFSET(Initiatives!$D$1,T150-1,$BY$3))</f>
        <v>0</v>
      </c>
      <c r="CO150" s="377">
        <f ca="1">IF(ISERROR(OFFSET(Initiatives!$D$1,U150-1,$BY$3)),,OFFSET(Initiatives!$D$1,U150-1,$BY$3))</f>
        <v>0</v>
      </c>
      <c r="CP150" s="377">
        <f ca="1">IF(ISERROR(OFFSET(Initiatives!$D$1,V150-1,$BY$3)),,OFFSET(Initiatives!$D$1,V150-1,$BY$3))</f>
        <v>0</v>
      </c>
      <c r="CQ150" s="377">
        <f ca="1">IF(ISERROR(OFFSET(Initiatives!$D$1,W150-1,$BY$3)),,OFFSET(Initiatives!$D$1,W150-1,$BY$3))</f>
        <v>0</v>
      </c>
      <c r="CR150" s="377">
        <f ca="1">IF(ISERROR(OFFSET(Initiatives!$D$1,X150-1,$BY$3)),,OFFSET(Initiatives!$D$1,X150-1,$BY$3))</f>
        <v>0</v>
      </c>
      <c r="CT150" s="41">
        <f t="shared" ca="1" si="2471"/>
        <v>0</v>
      </c>
      <c r="CU150" s="41">
        <f t="shared" ca="1" si="2472"/>
        <v>0</v>
      </c>
      <c r="CV150" s="41">
        <f t="shared" ca="1" si="2473"/>
        <v>0</v>
      </c>
      <c r="CW150" s="41">
        <f t="shared" ca="1" si="2474"/>
        <v>0</v>
      </c>
      <c r="CX150" s="41">
        <f t="shared" ca="1" si="2475"/>
        <v>0</v>
      </c>
      <c r="CY150" s="41">
        <f t="shared" ca="1" si="2476"/>
        <v>0</v>
      </c>
      <c r="CZ150" s="41">
        <f t="shared" ca="1" si="2477"/>
        <v>0</v>
      </c>
      <c r="DA150" s="41">
        <f t="shared" ca="1" si="2478"/>
        <v>0.13999844446172832</v>
      </c>
      <c r="DB150" s="41">
        <f t="shared" ca="1" si="2479"/>
        <v>0</v>
      </c>
      <c r="DC150" s="41">
        <f t="shared" ca="1" si="2480"/>
        <v>0</v>
      </c>
      <c r="DD150" s="41">
        <f t="shared" ca="1" si="2481"/>
        <v>0</v>
      </c>
      <c r="DE150" s="41">
        <f t="shared" ca="1" si="2482"/>
        <v>0</v>
      </c>
      <c r="DF150" s="41">
        <f t="shared" ca="1" si="2483"/>
        <v>0</v>
      </c>
      <c r="DG150" s="41">
        <f t="shared" ca="1" si="2484"/>
        <v>0</v>
      </c>
      <c r="DH150" s="41">
        <f t="shared" ca="1" si="2485"/>
        <v>0</v>
      </c>
      <c r="DI150" s="41">
        <f t="shared" ca="1" si="2486"/>
        <v>0</v>
      </c>
      <c r="DJ150" s="41">
        <f t="shared" ca="1" si="2487"/>
        <v>0</v>
      </c>
      <c r="DK150" s="41">
        <f t="shared" ca="1" si="2488"/>
        <v>0</v>
      </c>
      <c r="DL150" s="41">
        <f t="shared" ca="1" si="2489"/>
        <v>0</v>
      </c>
      <c r="DM150" s="41">
        <f t="shared" ca="1" si="2490"/>
        <v>0</v>
      </c>
      <c r="DN150" s="41">
        <f t="shared" ca="1" si="2491"/>
        <v>0.13999844446172832</v>
      </c>
      <c r="DP150" s="41">
        <f t="shared" ca="1" si="2492"/>
        <v>-1.0000000000000001E-5</v>
      </c>
      <c r="DQ150" s="41">
        <f t="shared" ca="1" si="2493"/>
        <v>-2.0000000000000002E-5</v>
      </c>
      <c r="DR150" s="41">
        <f t="shared" ca="1" si="2494"/>
        <v>-3.0000000000000001E-5</v>
      </c>
      <c r="DS150" s="41">
        <f t="shared" ca="1" si="2495"/>
        <v>-4.0000000000000003E-5</v>
      </c>
      <c r="DT150" s="41">
        <f t="shared" ca="1" si="2496"/>
        <v>-5.0000000000000002E-5</v>
      </c>
      <c r="DU150" s="41">
        <f t="shared" ca="1" si="2497"/>
        <v>-6.0000000000000002E-5</v>
      </c>
      <c r="DV150" s="41">
        <f t="shared" ca="1" si="2498"/>
        <v>-6.9999999999999994E-5</v>
      </c>
      <c r="DW150" s="41">
        <f t="shared" ca="1" si="2499"/>
        <v>0.99992000000000003</v>
      </c>
      <c r="DX150" s="41">
        <f t="shared" ca="1" si="2500"/>
        <v>-9.0000000000000006E-5</v>
      </c>
      <c r="DY150" s="41">
        <f t="shared" ca="1" si="2501"/>
        <v>-1E-4</v>
      </c>
      <c r="DZ150" s="41">
        <f t="shared" ca="1" si="2502"/>
        <v>-1.1E-4</v>
      </c>
      <c r="EA150" s="41">
        <f t="shared" ca="1" si="2503"/>
        <v>-1.2E-4</v>
      </c>
      <c r="EB150" s="41">
        <f t="shared" ca="1" si="2504"/>
        <v>-1.2999999999999999E-4</v>
      </c>
      <c r="EC150" s="41">
        <f t="shared" ca="1" si="2505"/>
        <v>-1.3999999999999999E-4</v>
      </c>
      <c r="ED150" s="41">
        <f t="shared" ca="1" si="2506"/>
        <v>-1.4999999999999999E-4</v>
      </c>
      <c r="EE150" s="41">
        <f t="shared" ca="1" si="2507"/>
        <v>-1.6000000000000001E-4</v>
      </c>
      <c r="EF150" s="41">
        <f t="shared" ca="1" si="2508"/>
        <v>-1.7000000000000001E-4</v>
      </c>
      <c r="EG150" s="41">
        <f t="shared" ca="1" si="2509"/>
        <v>-1.8000000000000001E-4</v>
      </c>
      <c r="EH150" s="41">
        <f t="shared" ca="1" si="2510"/>
        <v>-1.9000000000000001E-4</v>
      </c>
      <c r="EI150" s="41">
        <f t="shared" ca="1" si="2511"/>
        <v>-2.0000000000000001E-4</v>
      </c>
      <c r="EJ150" s="41">
        <f t="shared" ca="1" si="2512"/>
        <v>0.99790000000000001</v>
      </c>
      <c r="EL150" s="378">
        <f t="shared" ca="1" si="2513"/>
        <v>2</v>
      </c>
      <c r="EM150" s="378">
        <f t="shared" ca="1" si="2514"/>
        <v>3</v>
      </c>
      <c r="EN150" s="378">
        <f t="shared" ca="1" si="2515"/>
        <v>4</v>
      </c>
      <c r="EO150" s="378">
        <f t="shared" ca="1" si="2516"/>
        <v>5</v>
      </c>
      <c r="EP150" s="378">
        <f t="shared" ca="1" si="2517"/>
        <v>6</v>
      </c>
      <c r="EQ150" s="378">
        <f t="shared" ca="1" si="2518"/>
        <v>7</v>
      </c>
      <c r="ER150" s="378">
        <f t="shared" ca="1" si="2519"/>
        <v>8</v>
      </c>
      <c r="ES150" s="378">
        <f t="shared" ca="1" si="2520"/>
        <v>1</v>
      </c>
      <c r="ET150" s="378">
        <f t="shared" ca="1" si="2521"/>
        <v>9</v>
      </c>
      <c r="EU150" s="378">
        <f t="shared" ca="1" si="2522"/>
        <v>10</v>
      </c>
      <c r="EV150" s="378">
        <f t="shared" ca="1" si="2523"/>
        <v>11</v>
      </c>
      <c r="EW150" s="378">
        <f t="shared" ca="1" si="2524"/>
        <v>12</v>
      </c>
      <c r="EX150" s="378">
        <f t="shared" ca="1" si="2525"/>
        <v>13</v>
      </c>
      <c r="EY150" s="378">
        <f t="shared" ca="1" si="2526"/>
        <v>14</v>
      </c>
      <c r="EZ150" s="378">
        <f t="shared" ca="1" si="2527"/>
        <v>15</v>
      </c>
      <c r="FA150" s="378">
        <f t="shared" ca="1" si="2528"/>
        <v>16</v>
      </c>
      <c r="FB150" s="378">
        <f t="shared" ca="1" si="2529"/>
        <v>17</v>
      </c>
      <c r="FC150" s="378">
        <f t="shared" ca="1" si="2530"/>
        <v>18</v>
      </c>
      <c r="FD150" s="378">
        <f t="shared" ca="1" si="2531"/>
        <v>19</v>
      </c>
      <c r="FE150" s="378">
        <f t="shared" ca="1" si="2532"/>
        <v>20</v>
      </c>
      <c r="FG150" s="378">
        <f t="shared" ca="1" si="2533"/>
        <v>8</v>
      </c>
      <c r="FH150" s="378">
        <f t="shared" ca="1" si="2533"/>
        <v>1</v>
      </c>
      <c r="FI150" s="378">
        <f t="shared" ca="1" si="2533"/>
        <v>2</v>
      </c>
      <c r="FJ150" s="378">
        <f t="shared" ca="1" si="2533"/>
        <v>3</v>
      </c>
      <c r="FK150" s="378">
        <f t="shared" ca="1" si="2533"/>
        <v>4</v>
      </c>
      <c r="FL150" s="378">
        <f t="shared" ca="1" si="2533"/>
        <v>5</v>
      </c>
      <c r="FM150" s="378">
        <f t="shared" ca="1" si="2533"/>
        <v>6</v>
      </c>
      <c r="FN150" s="378">
        <f t="shared" ca="1" si="2533"/>
        <v>7</v>
      </c>
      <c r="FO150" s="378">
        <f t="shared" ca="1" si="2533"/>
        <v>9</v>
      </c>
      <c r="FP150" s="378">
        <f t="shared" ca="1" si="2533"/>
        <v>10</v>
      </c>
      <c r="FQ150" s="378">
        <f t="shared" ca="1" si="2533"/>
        <v>11</v>
      </c>
      <c r="FR150" s="378">
        <f t="shared" ca="1" si="2533"/>
        <v>12</v>
      </c>
      <c r="FS150" s="378">
        <f t="shared" ca="1" si="2533"/>
        <v>13</v>
      </c>
      <c r="FT150" s="378">
        <f t="shared" ca="1" si="2533"/>
        <v>14</v>
      </c>
      <c r="FU150" s="378">
        <f t="shared" ca="1" si="2533"/>
        <v>15</v>
      </c>
      <c r="FV150" s="378">
        <f t="shared" ca="1" si="2533"/>
        <v>16</v>
      </c>
      <c r="FW150" s="378">
        <f t="shared" ca="1" si="2534"/>
        <v>17</v>
      </c>
      <c r="FX150" s="378">
        <f t="shared" ca="1" si="2534"/>
        <v>18</v>
      </c>
      <c r="FY150" s="378">
        <f t="shared" ca="1" si="2534"/>
        <v>19</v>
      </c>
      <c r="FZ150" s="378">
        <f t="shared" ca="1" si="2534"/>
        <v>20</v>
      </c>
      <c r="GB150" s="275" t="str">
        <f t="shared" ca="1" si="2535"/>
        <v>Architecture Standards &amp; Adherence (100%)</v>
      </c>
      <c r="GC150" s="231" t="str">
        <f t="shared" ca="1" si="2536"/>
        <v/>
      </c>
      <c r="GD150" s="231" t="str">
        <f t="shared" ca="1" si="2537"/>
        <v/>
      </c>
      <c r="GE150" s="231" t="str">
        <f t="shared" ca="1" si="2538"/>
        <v/>
      </c>
      <c r="GF150" s="231" t="str">
        <f t="shared" ca="1" si="2539"/>
        <v/>
      </c>
      <c r="GG150" s="231" t="str">
        <f t="shared" ca="1" si="2540"/>
        <v/>
      </c>
      <c r="GH150" s="231" t="str">
        <f t="shared" ca="1" si="2541"/>
        <v/>
      </c>
      <c r="GI150" s="231" t="str">
        <f t="shared" ca="1" si="2542"/>
        <v/>
      </c>
      <c r="GJ150" s="231" t="str">
        <f t="shared" ca="1" si="2543"/>
        <v/>
      </c>
      <c r="GK150" s="231" t="str">
        <f t="shared" ca="1" si="2544"/>
        <v/>
      </c>
      <c r="GL150" s="231" t="str">
        <f t="shared" ca="1" si="2545"/>
        <v/>
      </c>
      <c r="GM150" s="231" t="str">
        <f t="shared" ca="1" si="2546"/>
        <v/>
      </c>
      <c r="GN150" s="231" t="str">
        <f t="shared" ca="1" si="2547"/>
        <v/>
      </c>
      <c r="GO150" s="231" t="str">
        <f t="shared" ca="1" si="2548"/>
        <v/>
      </c>
      <c r="GP150" s="231" t="str">
        <f t="shared" ca="1" si="2549"/>
        <v/>
      </c>
      <c r="GQ150" s="231" t="str">
        <f t="shared" ca="1" si="2550"/>
        <v/>
      </c>
      <c r="GR150" s="231" t="str">
        <f t="shared" ca="1" si="2551"/>
        <v/>
      </c>
      <c r="GS150" s="231" t="str">
        <f t="shared" ca="1" si="2552"/>
        <v/>
      </c>
      <c r="GT150" s="231" t="str">
        <f t="shared" ca="1" si="2553"/>
        <v/>
      </c>
      <c r="GU150" s="231" t="str">
        <f t="shared" ca="1" si="2554"/>
        <v/>
      </c>
      <c r="GW150" s="377">
        <f ca="1">IF(ISERROR(OFFSET(Initiatives!$D$1,E150-1,$CB$3)),,OFFSET(Initiatives!$D$1,E150-1,$CB$3))</f>
        <v>0.65</v>
      </c>
      <c r="GX150" s="377">
        <f ca="1">IF(ISERROR(OFFSET(Initiatives!$D$1,F150-1,$CB$3)),,OFFSET(Initiatives!$D$1,F150-1,$CB$3))</f>
        <v>0.65</v>
      </c>
      <c r="GY150" s="377">
        <f ca="1">IF(ISERROR(OFFSET(Initiatives!$D$1,G150-1,$CB$3)),,OFFSET(Initiatives!$D$1,G150-1,$CB$3))</f>
        <v>0.75</v>
      </c>
      <c r="GZ150" s="377">
        <f ca="1">IF(ISERROR(OFFSET(Initiatives!$D$1,H150-1,$CB$3)),,OFFSET(Initiatives!$D$1,H150-1,$CB$3))</f>
        <v>0.75</v>
      </c>
      <c r="HA150" s="377">
        <f ca="1">IF(ISERROR(OFFSET(Initiatives!$D$1,I150-1,$CB$3)),,OFFSET(Initiatives!$D$1,I150-1,$CB$3))</f>
        <v>0.75</v>
      </c>
      <c r="HB150" s="377">
        <f ca="1">IF(ISERROR(OFFSET(Initiatives!$D$1,J150-1,$CB$3)),,OFFSET(Initiatives!$D$1,J150-1,$CB$3))</f>
        <v>0.34166666666666662</v>
      </c>
      <c r="HC150" s="377">
        <f ca="1">IF(ISERROR(OFFSET(Initiatives!$D$1,K150-1,$CB$3)),,OFFSET(Initiatives!$D$1,K150-1,$CB$3))</f>
        <v>0.43181818181818177</v>
      </c>
      <c r="HD150" s="377">
        <f ca="1">IF(ISERROR(OFFSET(Initiatives!$D$1,L150-1,$CB$3)),,OFFSET(Initiatives!$D$1,L150-1,$CB$3))</f>
        <v>0.65</v>
      </c>
      <c r="HE150" s="377">
        <f ca="1">IF(ISERROR(OFFSET(Initiatives!$D$1,M150-1,$CB$3)),,OFFSET(Initiatives!$D$1,M150-1,$CB$3))</f>
        <v>0.75</v>
      </c>
      <c r="HF150" s="377">
        <f ca="1">IF(ISERROR(OFFSET(Initiatives!$D$1,N150-1,$CB$3)),,OFFSET(Initiatives!$D$1,N150-1,$CB$3))</f>
        <v>0.75</v>
      </c>
      <c r="HG150" s="377">
        <f ca="1">IF(ISERROR(OFFSET(Initiatives!$D$1,O150-1,$CB$3)),,OFFSET(Initiatives!$D$1,O150-1,$CB$3))</f>
        <v>0.8</v>
      </c>
      <c r="HH150" s="377">
        <f ca="1">IF(ISERROR(OFFSET(Initiatives!$D$1,P150-1,$CB$3)),,OFFSET(Initiatives!$D$1,P150-1,$CB$3))</f>
        <v>0.9</v>
      </c>
      <c r="HI150" s="377">
        <f ca="1">IF(ISERROR(OFFSET(Initiatives!$D$1,Q150-1,$CB$3)),,OFFSET(Initiatives!$D$1,Q150-1,$CB$3))</f>
        <v>0.25</v>
      </c>
      <c r="HJ150" s="377">
        <f ca="1">IF(ISERROR(OFFSET(Initiatives!$D$1,R150-1,$CB$3)),,OFFSET(Initiatives!$D$1,R150-1,$CB$3))</f>
        <v>0</v>
      </c>
      <c r="HK150" s="377">
        <f ca="1">IF(ISERROR(OFFSET(Initiatives!$D$1,S150-1,$CB$3)),,OFFSET(Initiatives!$D$1,S150-1,$CB$3))</f>
        <v>0</v>
      </c>
      <c r="HL150" s="377">
        <f ca="1">IF(ISERROR(OFFSET(Initiatives!$D$1,T150-1,$CB$3)),,OFFSET(Initiatives!$D$1,T150-1,$CB$3))</f>
        <v>0</v>
      </c>
      <c r="HM150" s="377">
        <f ca="1">IF(ISERROR(OFFSET(Initiatives!$D$1,U150-1,$CB$3)),,OFFSET(Initiatives!$D$1,U150-1,$CB$3))</f>
        <v>0</v>
      </c>
      <c r="HN150" s="377">
        <f ca="1">IF(ISERROR(OFFSET(Initiatives!$D$1,V150-1,$CB$3)),,OFFSET(Initiatives!$D$1,V150-1,$CB$3))</f>
        <v>0</v>
      </c>
      <c r="HO150" s="377">
        <f ca="1">IF(ISERROR(OFFSET(Initiatives!$D$1,W150-1,$CB$3)),,OFFSET(Initiatives!$D$1,W150-1,$CB$3))</f>
        <v>0</v>
      </c>
      <c r="HP150" s="377">
        <f ca="1">IF(ISERROR(OFFSET(Initiatives!$D$1,X150-1,$CB$3)),,OFFSET(Initiatives!$D$1,X150-1,$CB$3))</f>
        <v>0</v>
      </c>
      <c r="HR150" s="41">
        <f t="shared" ca="1" si="2555"/>
        <v>0</v>
      </c>
      <c r="HS150" s="41">
        <f t="shared" ca="1" si="2556"/>
        <v>0</v>
      </c>
      <c r="HT150" s="41">
        <f t="shared" ca="1" si="2557"/>
        <v>0</v>
      </c>
      <c r="HU150" s="41">
        <f t="shared" ca="1" si="2558"/>
        <v>0</v>
      </c>
      <c r="HV150" s="41">
        <f t="shared" ca="1" si="2559"/>
        <v>0</v>
      </c>
      <c r="HW150" s="41">
        <f t="shared" ca="1" si="2560"/>
        <v>0</v>
      </c>
      <c r="HX150" s="41">
        <f t="shared" ca="1" si="2561"/>
        <v>0</v>
      </c>
      <c r="HY150" s="41">
        <f t="shared" ca="1" si="2562"/>
        <v>0.6499927778580239</v>
      </c>
      <c r="HZ150" s="41">
        <f t="shared" ca="1" si="2563"/>
        <v>0</v>
      </c>
      <c r="IA150" s="41">
        <f t="shared" ca="1" si="2564"/>
        <v>0</v>
      </c>
      <c r="IB150" s="41">
        <f t="shared" ca="1" si="2565"/>
        <v>0</v>
      </c>
      <c r="IC150" s="41">
        <f t="shared" ca="1" si="2566"/>
        <v>0</v>
      </c>
      <c r="ID150" s="41">
        <f t="shared" ca="1" si="2567"/>
        <v>0</v>
      </c>
      <c r="IE150" s="41">
        <f t="shared" ca="1" si="2568"/>
        <v>0</v>
      </c>
      <c r="IF150" s="41">
        <f t="shared" ca="1" si="2569"/>
        <v>0</v>
      </c>
      <c r="IG150" s="41">
        <f t="shared" ca="1" si="2570"/>
        <v>0</v>
      </c>
      <c r="IH150" s="41">
        <f t="shared" ca="1" si="2571"/>
        <v>0</v>
      </c>
      <c r="II150" s="41">
        <f t="shared" ca="1" si="2572"/>
        <v>0</v>
      </c>
      <c r="IJ150" s="41">
        <f t="shared" ca="1" si="2573"/>
        <v>0</v>
      </c>
      <c r="IK150" s="41">
        <f t="shared" ca="1" si="2574"/>
        <v>0</v>
      </c>
      <c r="IL150" s="41">
        <f t="shared" ca="1" si="2575"/>
        <v>0.6499927778580239</v>
      </c>
    </row>
    <row r="151" spans="1:246" s="409" customFormat="1" ht="13.5" hidden="1" customHeight="1">
      <c r="B151" s="373"/>
      <c r="C151" s="81" t="str">
        <f>Maturity!B37</f>
        <v>To what degree has your group defined, documented, and implemented DEFINITIONS AND RULES for key terms and metrics?</v>
      </c>
      <c r="D151" s="404">
        <f t="shared" ca="1" si="2465"/>
        <v>0.11428489796501456</v>
      </c>
      <c r="E151" s="374">
        <f>ROW(Initiatives!$A$100)</f>
        <v>100</v>
      </c>
      <c r="F151" s="374">
        <f>ROW(Initiatives!$A$101)</f>
        <v>101</v>
      </c>
      <c r="G151" s="374">
        <f>ROW(Initiatives!$A$106)</f>
        <v>106</v>
      </c>
      <c r="H151" s="374">
        <f>ROW(Initiatives!$A$107)</f>
        <v>107</v>
      </c>
      <c r="I151" s="374">
        <f>ROW(Initiatives!$A$108)</f>
        <v>108</v>
      </c>
      <c r="J151" s="374">
        <f>ROW(Initiatives!$A$170)</f>
        <v>170</v>
      </c>
      <c r="K151" s="374">
        <f>ROW(Initiatives!$A$176)</f>
        <v>176</v>
      </c>
      <c r="L151" s="374">
        <f>ROW(Initiatives!$A$178)</f>
        <v>178</v>
      </c>
      <c r="M151" s="374">
        <f>ROW(Initiatives!$A$179)</f>
        <v>179</v>
      </c>
      <c r="N151" s="374">
        <f>ROW(Initiatives!$A$180)</f>
        <v>180</v>
      </c>
      <c r="O151" s="374">
        <f>ROW(Initiatives!$A$181)</f>
        <v>181</v>
      </c>
      <c r="P151" s="374">
        <f>ROW(Initiatives!$A$182)</f>
        <v>182</v>
      </c>
      <c r="Q151" s="374">
        <f>ROW(Initiatives!$A$189)</f>
        <v>189</v>
      </c>
      <c r="R151" s="374" t="s">
        <v>975</v>
      </c>
      <c r="S151" s="374" t="s">
        <v>975</v>
      </c>
      <c r="T151" s="374" t="s">
        <v>975</v>
      </c>
      <c r="U151" s="374" t="s">
        <v>975</v>
      </c>
      <c r="V151" s="374" t="s">
        <v>975</v>
      </c>
      <c r="W151" s="374" t="s">
        <v>975</v>
      </c>
      <c r="X151" s="374" t="s">
        <v>975</v>
      </c>
      <c r="Y151" s="392" t="str">
        <f ca="1">OFFSET(Initiatives!$D$1,E151-1,$BS$3)</f>
        <v>Governance</v>
      </c>
      <c r="Z151" s="375"/>
      <c r="AA151" s="392" t="str">
        <f ca="1">OFFSET(Initiatives!$D$1,F151-1,$BS$3)</f>
        <v>Architecture</v>
      </c>
      <c r="AB151" s="375"/>
      <c r="AC151" s="392" t="str">
        <f ca="1">OFFSET(Initiatives!$D$1,G151-1,$BS$3)</f>
        <v>Metadata definitions</v>
      </c>
      <c r="AD151" s="375">
        <v>9</v>
      </c>
      <c r="AE151" s="392" t="str">
        <f ca="1">OFFSET(Initiatives!$D$1,H151-1,$BS$3)</f>
        <v>Metadata management</v>
      </c>
      <c r="AF151" s="375"/>
      <c r="AG151" s="392" t="str">
        <f ca="1">OFFSET(Initiatives!$D$1,I151-1,$BS$3)</f>
        <v>High data quality</v>
      </c>
      <c r="AH151" s="375"/>
      <c r="AI151" s="392" t="str">
        <f ca="1">OFFSET(Initiatives!$D$1,J151-1,$BS$3)</f>
        <v>BI Applications</v>
      </c>
      <c r="AJ151" s="375"/>
      <c r="AK151" s="392" t="str">
        <f ca="1">OFFSET(Initiatives!$D$1,K151-1,$BS$3)</f>
        <v>Source System Inclusion / Integration</v>
      </c>
      <c r="AL151" s="375"/>
      <c r="AM151" s="392" t="str">
        <f ca="1">OFFSET(Initiatives!$D$1,L151-1,$BS$3)</f>
        <v>Architecture Standards &amp; Adherence</v>
      </c>
      <c r="AN151" s="375">
        <v>5</v>
      </c>
      <c r="AO151" s="392" t="str">
        <f ca="1">OFFSET(Initiatives!$D$1,M151-1,$BS$3)</f>
        <v>Data Management</v>
      </c>
      <c r="AP151" s="375"/>
      <c r="AQ151" s="392" t="str">
        <f ca="1">OFFSET(Initiatives!$D$1,N151-1,$BS$3)</f>
        <v>Data Integration/ETL</v>
      </c>
      <c r="AR151" s="375"/>
      <c r="AS151" s="392" t="str">
        <f ca="1">OFFSET(Initiatives!$D$1,O151-1,$BS$3)</f>
        <v>Data Warehouse / Data Marts</v>
      </c>
      <c r="AT151" s="375"/>
      <c r="AU151" s="392" t="str">
        <f ca="1">OFFSET(Initiatives!$D$1,P151-1,$BS$3)</f>
        <v>Development</v>
      </c>
      <c r="AV151" s="375"/>
      <c r="AW151" s="392" t="str">
        <f ca="1">OFFSET(Initiatives!$D$1,Q151-1,$BS$3)</f>
        <v>Enhance BI Platform</v>
      </c>
      <c r="AX151" s="375"/>
      <c r="AY151" s="392" t="e">
        <f ca="1">OFFSET(Initiatives!$D$1,R151-1,$BS$3)</f>
        <v>#VALUE!</v>
      </c>
      <c r="AZ151" s="375"/>
      <c r="BA151" s="392" t="e">
        <f ca="1">OFFSET(Initiatives!$D$1,S151-1,$BS$3)</f>
        <v>#VALUE!</v>
      </c>
      <c r="BB151" s="375"/>
      <c r="BC151" s="392" t="e">
        <f ca="1">OFFSET(Initiatives!$D$1,T151-1,$BS$3)</f>
        <v>#VALUE!</v>
      </c>
      <c r="BD151" s="375"/>
      <c r="BE151" s="392" t="e">
        <f ca="1">OFFSET(Initiatives!$D$1,U151-1,$BS$3)</f>
        <v>#VALUE!</v>
      </c>
      <c r="BF151" s="375"/>
      <c r="BG151" s="392" t="e">
        <f ca="1">OFFSET(Initiatives!$D$1,V151-1,$BS$3)</f>
        <v>#VALUE!</v>
      </c>
      <c r="BH151" s="375"/>
      <c r="BI151" s="392" t="e">
        <f ca="1">OFFSET(Initiatives!$D$1,W151-1,$BS$3)</f>
        <v>#VALUE!</v>
      </c>
      <c r="BJ151" s="375"/>
      <c r="BK151" s="392" t="e">
        <f ca="1">OFFSET(Initiatives!$D$1,X151-1,$BS$3)</f>
        <v>#VALUE!</v>
      </c>
      <c r="BL151" s="375"/>
      <c r="BN151" s="101">
        <f t="shared" si="2466"/>
        <v>14.0001</v>
      </c>
      <c r="BP151" s="231" t="str">
        <f t="shared" ca="1" si="2467"/>
        <v>Metadata definitions (56%); Architecture Standards &amp; Adherence (44%)</v>
      </c>
      <c r="BQ151" s="338">
        <v>0.01</v>
      </c>
      <c r="BR151" s="40">
        <f t="shared" ca="1" si="2468"/>
        <v>2</v>
      </c>
      <c r="BS151" s="274">
        <v>0.05</v>
      </c>
      <c r="BT151" s="40">
        <f t="shared" ca="1" si="2469"/>
        <v>2</v>
      </c>
      <c r="BU151" s="376">
        <v>7</v>
      </c>
      <c r="BV151" s="40">
        <f t="shared" ca="1" si="2470"/>
        <v>2</v>
      </c>
      <c r="BY151" s="377">
        <f ca="1">IF(ISERROR(OFFSET(Initiatives!$D$1,E151-1,$BY$3)),,OFFSET(Initiatives!$D$1,E151-1,$BY$3))</f>
        <v>0.14000000000000001</v>
      </c>
      <c r="BZ151" s="377">
        <f ca="1">IF(ISERROR(OFFSET(Initiatives!$D$1,F151-1,$BY$3)),,OFFSET(Initiatives!$D$1,F151-1,$BY$3))</f>
        <v>0.14000000000000001</v>
      </c>
      <c r="CA151" s="377">
        <f ca="1">IF(ISERROR(OFFSET(Initiatives!$D$1,G151-1,$BY$3)),,OFFSET(Initiatives!$D$1,G151-1,$BY$3))</f>
        <v>9.9999999999999978E-2</v>
      </c>
      <c r="CB151" s="377">
        <f ca="1">IF(ISERROR(OFFSET(Initiatives!$D$1,H151-1,$BY$3)),,OFFSET(Initiatives!$D$1,H151-1,$BY$3))</f>
        <v>9.9999999999999978E-2</v>
      </c>
      <c r="CC151" s="377">
        <f ca="1">IF(ISERROR(OFFSET(Initiatives!$D$1,I151-1,$BY$3)),,OFFSET(Initiatives!$D$1,I151-1,$BY$3))</f>
        <v>9.9999999999999978E-2</v>
      </c>
      <c r="CD151" s="377">
        <f ca="1">IF(ISERROR(OFFSET(Initiatives!$D$1,J151-1,$BY$3)),,OFFSET(Initiatives!$D$1,J151-1,$BY$3))</f>
        <v>0.45555555555555544</v>
      </c>
      <c r="CE151" s="377">
        <f ca="1">IF(ISERROR(OFFSET(Initiatives!$D$1,K151-1,$BY$3)),,OFFSET(Initiatives!$D$1,K151-1,$BY$3))</f>
        <v>0.45454545454545436</v>
      </c>
      <c r="CF151" s="377">
        <f ca="1">IF(ISERROR(OFFSET(Initiatives!$D$1,L151-1,$BY$3)),,OFFSET(Initiatives!$D$1,L151-1,$BY$3))</f>
        <v>0.14000000000000012</v>
      </c>
      <c r="CG151" s="377">
        <f ca="1">IF(ISERROR(OFFSET(Initiatives!$D$1,M151-1,$BY$3)),,OFFSET(Initiatives!$D$1,M151-1,$BY$3))</f>
        <v>9.9999999999999978E-2</v>
      </c>
      <c r="CH151" s="377">
        <f ca="1">IF(ISERROR(OFFSET(Initiatives!$D$1,N151-1,$BY$3)),,OFFSET(Initiatives!$D$1,N151-1,$BY$3))</f>
        <v>9.9999999999999978E-2</v>
      </c>
      <c r="CI151" s="377">
        <f ca="1">IF(ISERROR(OFFSET(Initiatives!$D$1,O151-1,$BY$3)),,OFFSET(Initiatives!$D$1,O151-1,$BY$3))</f>
        <v>3.0000000000000027E-2</v>
      </c>
      <c r="CJ151" s="377">
        <f ca="1">IF(ISERROR(OFFSET(Initiatives!$D$1,P151-1,$BY$3)),,OFFSET(Initiatives!$D$1,P151-1,$BY$3))</f>
        <v>1.5000000000000124E-2</v>
      </c>
      <c r="CK151" s="377">
        <f ca="1">IF(ISERROR(OFFSET(Initiatives!$D$1,Q151-1,$BY$3)),,OFFSET(Initiatives!$D$1,Q151-1,$BY$3))</f>
        <v>0.6</v>
      </c>
      <c r="CL151" s="377">
        <f ca="1">IF(ISERROR(OFFSET(Initiatives!$D$1,R151-1,$BY$3)),,OFFSET(Initiatives!$D$1,R151-1,$BY$3))</f>
        <v>0</v>
      </c>
      <c r="CM151" s="377">
        <f ca="1">IF(ISERROR(OFFSET(Initiatives!$D$1,S151-1,$BY$3)),,OFFSET(Initiatives!$D$1,S151-1,$BY$3))</f>
        <v>0</v>
      </c>
      <c r="CN151" s="377">
        <f ca="1">IF(ISERROR(OFFSET(Initiatives!$D$1,T151-1,$BY$3)),,OFFSET(Initiatives!$D$1,T151-1,$BY$3))</f>
        <v>0</v>
      </c>
      <c r="CO151" s="377">
        <f ca="1">IF(ISERROR(OFFSET(Initiatives!$D$1,U151-1,$BY$3)),,OFFSET(Initiatives!$D$1,U151-1,$BY$3))</f>
        <v>0</v>
      </c>
      <c r="CP151" s="377">
        <f ca="1">IF(ISERROR(OFFSET(Initiatives!$D$1,V151-1,$BY$3)),,OFFSET(Initiatives!$D$1,V151-1,$BY$3))</f>
        <v>0</v>
      </c>
      <c r="CQ151" s="377">
        <f ca="1">IF(ISERROR(OFFSET(Initiatives!$D$1,W151-1,$BY$3)),,OFFSET(Initiatives!$D$1,W151-1,$BY$3))</f>
        <v>0</v>
      </c>
      <c r="CR151" s="377">
        <f ca="1">IF(ISERROR(OFFSET(Initiatives!$D$1,X151-1,$BY$3)),,OFFSET(Initiatives!$D$1,X151-1,$BY$3))</f>
        <v>0</v>
      </c>
      <c r="CT151" s="41">
        <f t="shared" ca="1" si="2471"/>
        <v>0</v>
      </c>
      <c r="CU151" s="41">
        <f t="shared" ca="1" si="2472"/>
        <v>0</v>
      </c>
      <c r="CV151" s="41">
        <f t="shared" ca="1" si="2473"/>
        <v>6.4285255105320668E-2</v>
      </c>
      <c r="CW151" s="41">
        <f t="shared" ca="1" si="2474"/>
        <v>0</v>
      </c>
      <c r="CX151" s="41">
        <f t="shared" ca="1" si="2475"/>
        <v>0</v>
      </c>
      <c r="CY151" s="41">
        <f t="shared" ca="1" si="2476"/>
        <v>0</v>
      </c>
      <c r="CZ151" s="41">
        <f t="shared" ca="1" si="2477"/>
        <v>0</v>
      </c>
      <c r="DA151" s="41">
        <f t="shared" ca="1" si="2478"/>
        <v>4.9999642859693903E-2</v>
      </c>
      <c r="DB151" s="41">
        <f t="shared" ca="1" si="2479"/>
        <v>0</v>
      </c>
      <c r="DC151" s="41">
        <f t="shared" ca="1" si="2480"/>
        <v>0</v>
      </c>
      <c r="DD151" s="41">
        <f t="shared" ca="1" si="2481"/>
        <v>0</v>
      </c>
      <c r="DE151" s="41">
        <f t="shared" ca="1" si="2482"/>
        <v>0</v>
      </c>
      <c r="DF151" s="41">
        <f t="shared" ca="1" si="2483"/>
        <v>0</v>
      </c>
      <c r="DG151" s="41">
        <f t="shared" ca="1" si="2484"/>
        <v>0</v>
      </c>
      <c r="DH151" s="41">
        <f t="shared" ca="1" si="2485"/>
        <v>0</v>
      </c>
      <c r="DI151" s="41">
        <f t="shared" ca="1" si="2486"/>
        <v>0</v>
      </c>
      <c r="DJ151" s="41">
        <f t="shared" ca="1" si="2487"/>
        <v>0</v>
      </c>
      <c r="DK151" s="41">
        <f t="shared" ca="1" si="2488"/>
        <v>0</v>
      </c>
      <c r="DL151" s="41">
        <f t="shared" ca="1" si="2489"/>
        <v>0</v>
      </c>
      <c r="DM151" s="41">
        <f t="shared" ca="1" si="2490"/>
        <v>0</v>
      </c>
      <c r="DN151" s="41">
        <f t="shared" ca="1" si="2491"/>
        <v>0.11428489796501456</v>
      </c>
      <c r="DP151" s="41">
        <f t="shared" ca="1" si="2492"/>
        <v>-1.0000000000000001E-5</v>
      </c>
      <c r="DQ151" s="41">
        <f t="shared" ca="1" si="2493"/>
        <v>-2.0000000000000002E-5</v>
      </c>
      <c r="DR151" s="41">
        <f t="shared" ca="1" si="2494"/>
        <v>0.5624699999999998</v>
      </c>
      <c r="DS151" s="41">
        <f t="shared" ca="1" si="2495"/>
        <v>-4.0000000000000003E-5</v>
      </c>
      <c r="DT151" s="41">
        <f t="shared" ca="1" si="2496"/>
        <v>-5.0000000000000002E-5</v>
      </c>
      <c r="DU151" s="41">
        <f t="shared" ca="1" si="2497"/>
        <v>-6.0000000000000002E-5</v>
      </c>
      <c r="DV151" s="41">
        <f t="shared" ca="1" si="2498"/>
        <v>-6.9999999999999994E-5</v>
      </c>
      <c r="DW151" s="41">
        <f t="shared" ca="1" si="2499"/>
        <v>0.43742000000000025</v>
      </c>
      <c r="DX151" s="41">
        <f t="shared" ca="1" si="2500"/>
        <v>-9.0000000000000006E-5</v>
      </c>
      <c r="DY151" s="41">
        <f t="shared" ca="1" si="2501"/>
        <v>-1E-4</v>
      </c>
      <c r="DZ151" s="41">
        <f t="shared" ca="1" si="2502"/>
        <v>-1.1E-4</v>
      </c>
      <c r="EA151" s="41">
        <f t="shared" ca="1" si="2503"/>
        <v>-1.2E-4</v>
      </c>
      <c r="EB151" s="41">
        <f t="shared" ca="1" si="2504"/>
        <v>-1.2999999999999999E-4</v>
      </c>
      <c r="EC151" s="41">
        <f t="shared" ca="1" si="2505"/>
        <v>-1.3999999999999999E-4</v>
      </c>
      <c r="ED151" s="41">
        <f t="shared" ca="1" si="2506"/>
        <v>-1.4999999999999999E-4</v>
      </c>
      <c r="EE151" s="41">
        <f t="shared" ca="1" si="2507"/>
        <v>-1.6000000000000001E-4</v>
      </c>
      <c r="EF151" s="41">
        <f t="shared" ca="1" si="2508"/>
        <v>-1.7000000000000001E-4</v>
      </c>
      <c r="EG151" s="41">
        <f t="shared" ca="1" si="2509"/>
        <v>-1.8000000000000001E-4</v>
      </c>
      <c r="EH151" s="41">
        <f t="shared" ca="1" si="2510"/>
        <v>-1.9000000000000001E-4</v>
      </c>
      <c r="EI151" s="41">
        <f t="shared" ca="1" si="2511"/>
        <v>-2.0000000000000001E-4</v>
      </c>
      <c r="EJ151" s="41">
        <f t="shared" ca="1" si="2512"/>
        <v>0.99790000000000001</v>
      </c>
      <c r="EL151" s="378">
        <f t="shared" ca="1" si="2513"/>
        <v>3</v>
      </c>
      <c r="EM151" s="378">
        <f t="shared" ca="1" si="2514"/>
        <v>4</v>
      </c>
      <c r="EN151" s="378">
        <f t="shared" ca="1" si="2515"/>
        <v>1</v>
      </c>
      <c r="EO151" s="378">
        <f t="shared" ca="1" si="2516"/>
        <v>5</v>
      </c>
      <c r="EP151" s="378">
        <f t="shared" ca="1" si="2517"/>
        <v>6</v>
      </c>
      <c r="EQ151" s="378">
        <f t="shared" ca="1" si="2518"/>
        <v>7</v>
      </c>
      <c r="ER151" s="378">
        <f t="shared" ca="1" si="2519"/>
        <v>8</v>
      </c>
      <c r="ES151" s="378">
        <f t="shared" ca="1" si="2520"/>
        <v>2</v>
      </c>
      <c r="ET151" s="378">
        <f t="shared" ca="1" si="2521"/>
        <v>9</v>
      </c>
      <c r="EU151" s="378">
        <f t="shared" ca="1" si="2522"/>
        <v>10</v>
      </c>
      <c r="EV151" s="378">
        <f t="shared" ca="1" si="2523"/>
        <v>11</v>
      </c>
      <c r="EW151" s="378">
        <f t="shared" ca="1" si="2524"/>
        <v>12</v>
      </c>
      <c r="EX151" s="378">
        <f t="shared" ca="1" si="2525"/>
        <v>13</v>
      </c>
      <c r="EY151" s="378">
        <f t="shared" ca="1" si="2526"/>
        <v>14</v>
      </c>
      <c r="EZ151" s="378">
        <f t="shared" ca="1" si="2527"/>
        <v>15</v>
      </c>
      <c r="FA151" s="378">
        <f t="shared" ca="1" si="2528"/>
        <v>16</v>
      </c>
      <c r="FB151" s="378">
        <f t="shared" ca="1" si="2529"/>
        <v>17</v>
      </c>
      <c r="FC151" s="378">
        <f t="shared" ca="1" si="2530"/>
        <v>18</v>
      </c>
      <c r="FD151" s="378">
        <f t="shared" ca="1" si="2531"/>
        <v>19</v>
      </c>
      <c r="FE151" s="378">
        <f t="shared" ca="1" si="2532"/>
        <v>20</v>
      </c>
      <c r="FG151" s="378">
        <f t="shared" ca="1" si="2533"/>
        <v>3</v>
      </c>
      <c r="FH151" s="378">
        <f t="shared" ca="1" si="2533"/>
        <v>8</v>
      </c>
      <c r="FI151" s="378">
        <f t="shared" ca="1" si="2533"/>
        <v>1</v>
      </c>
      <c r="FJ151" s="378">
        <f t="shared" ca="1" si="2533"/>
        <v>2</v>
      </c>
      <c r="FK151" s="378">
        <f t="shared" ca="1" si="2533"/>
        <v>4</v>
      </c>
      <c r="FL151" s="378">
        <f t="shared" ca="1" si="2533"/>
        <v>5</v>
      </c>
      <c r="FM151" s="378">
        <f t="shared" ca="1" si="2533"/>
        <v>6</v>
      </c>
      <c r="FN151" s="378">
        <f t="shared" ca="1" si="2533"/>
        <v>7</v>
      </c>
      <c r="FO151" s="378">
        <f t="shared" ca="1" si="2533"/>
        <v>9</v>
      </c>
      <c r="FP151" s="378">
        <f t="shared" ca="1" si="2533"/>
        <v>10</v>
      </c>
      <c r="FQ151" s="378">
        <f t="shared" ca="1" si="2533"/>
        <v>11</v>
      </c>
      <c r="FR151" s="378">
        <f t="shared" ca="1" si="2533"/>
        <v>12</v>
      </c>
      <c r="FS151" s="378">
        <f t="shared" ca="1" si="2533"/>
        <v>13</v>
      </c>
      <c r="FT151" s="378">
        <f t="shared" ca="1" si="2533"/>
        <v>14</v>
      </c>
      <c r="FU151" s="378">
        <f t="shared" ca="1" si="2533"/>
        <v>15</v>
      </c>
      <c r="FV151" s="378">
        <f t="shared" ca="1" si="2533"/>
        <v>16</v>
      </c>
      <c r="FW151" s="378">
        <f t="shared" ca="1" si="2534"/>
        <v>17</v>
      </c>
      <c r="FX151" s="378">
        <f t="shared" ca="1" si="2534"/>
        <v>18</v>
      </c>
      <c r="FY151" s="378">
        <f t="shared" ca="1" si="2534"/>
        <v>19</v>
      </c>
      <c r="FZ151" s="378">
        <f t="shared" ca="1" si="2534"/>
        <v>20</v>
      </c>
      <c r="GB151" s="275" t="str">
        <f t="shared" ca="1" si="2535"/>
        <v>Metadata definitions (56%)</v>
      </c>
      <c r="GC151" s="231" t="str">
        <f t="shared" ca="1" si="2536"/>
        <v>; Architecture Standards &amp; Adherence (44%)</v>
      </c>
      <c r="GD151" s="231" t="str">
        <f t="shared" ca="1" si="2537"/>
        <v/>
      </c>
      <c r="GE151" s="231" t="str">
        <f t="shared" ca="1" si="2538"/>
        <v/>
      </c>
      <c r="GF151" s="231" t="str">
        <f t="shared" ca="1" si="2539"/>
        <v/>
      </c>
      <c r="GG151" s="231" t="str">
        <f t="shared" ca="1" si="2540"/>
        <v/>
      </c>
      <c r="GH151" s="231" t="str">
        <f t="shared" ca="1" si="2541"/>
        <v/>
      </c>
      <c r="GI151" s="231" t="str">
        <f t="shared" ca="1" si="2542"/>
        <v/>
      </c>
      <c r="GJ151" s="231" t="str">
        <f t="shared" ca="1" si="2543"/>
        <v/>
      </c>
      <c r="GK151" s="231" t="str">
        <f t="shared" ca="1" si="2544"/>
        <v/>
      </c>
      <c r="GL151" s="231" t="str">
        <f t="shared" ca="1" si="2545"/>
        <v/>
      </c>
      <c r="GM151" s="231" t="str">
        <f t="shared" ca="1" si="2546"/>
        <v/>
      </c>
      <c r="GN151" s="231" t="str">
        <f t="shared" ca="1" si="2547"/>
        <v/>
      </c>
      <c r="GO151" s="231" t="str">
        <f t="shared" ca="1" si="2548"/>
        <v/>
      </c>
      <c r="GP151" s="231" t="str">
        <f t="shared" ca="1" si="2549"/>
        <v/>
      </c>
      <c r="GQ151" s="231" t="str">
        <f t="shared" ca="1" si="2550"/>
        <v/>
      </c>
      <c r="GR151" s="231" t="str">
        <f t="shared" ca="1" si="2551"/>
        <v/>
      </c>
      <c r="GS151" s="231" t="str">
        <f t="shared" ca="1" si="2552"/>
        <v/>
      </c>
      <c r="GT151" s="231" t="str">
        <f t="shared" ca="1" si="2553"/>
        <v/>
      </c>
      <c r="GU151" s="231" t="str">
        <f t="shared" ca="1" si="2554"/>
        <v/>
      </c>
      <c r="GW151" s="377">
        <f ca="1">IF(ISERROR(OFFSET(Initiatives!$D$1,E151-1,$CB$3)),,OFFSET(Initiatives!$D$1,E151-1,$CB$3))</f>
        <v>0.65</v>
      </c>
      <c r="GX151" s="377">
        <f ca="1">IF(ISERROR(OFFSET(Initiatives!$D$1,F151-1,$CB$3)),,OFFSET(Initiatives!$D$1,F151-1,$CB$3))</f>
        <v>0.65</v>
      </c>
      <c r="GY151" s="377">
        <f ca="1">IF(ISERROR(OFFSET(Initiatives!$D$1,G151-1,$CB$3)),,OFFSET(Initiatives!$D$1,G151-1,$CB$3))</f>
        <v>0.75</v>
      </c>
      <c r="GZ151" s="377">
        <f ca="1">IF(ISERROR(OFFSET(Initiatives!$D$1,H151-1,$CB$3)),,OFFSET(Initiatives!$D$1,H151-1,$CB$3))</f>
        <v>0.75</v>
      </c>
      <c r="HA151" s="377">
        <f ca="1">IF(ISERROR(OFFSET(Initiatives!$D$1,I151-1,$CB$3)),,OFFSET(Initiatives!$D$1,I151-1,$CB$3))</f>
        <v>0.75</v>
      </c>
      <c r="HB151" s="377">
        <f ca="1">IF(ISERROR(OFFSET(Initiatives!$D$1,J151-1,$CB$3)),,OFFSET(Initiatives!$D$1,J151-1,$CB$3))</f>
        <v>0.34166666666666662</v>
      </c>
      <c r="HC151" s="377">
        <f ca="1">IF(ISERROR(OFFSET(Initiatives!$D$1,K151-1,$CB$3)),,OFFSET(Initiatives!$D$1,K151-1,$CB$3))</f>
        <v>0.43181818181818177</v>
      </c>
      <c r="HD151" s="377">
        <f ca="1">IF(ISERROR(OFFSET(Initiatives!$D$1,L151-1,$CB$3)),,OFFSET(Initiatives!$D$1,L151-1,$CB$3))</f>
        <v>0.65</v>
      </c>
      <c r="HE151" s="377">
        <f ca="1">IF(ISERROR(OFFSET(Initiatives!$D$1,M151-1,$CB$3)),,OFFSET(Initiatives!$D$1,M151-1,$CB$3))</f>
        <v>0.75</v>
      </c>
      <c r="HF151" s="377">
        <f ca="1">IF(ISERROR(OFFSET(Initiatives!$D$1,N151-1,$CB$3)),,OFFSET(Initiatives!$D$1,N151-1,$CB$3))</f>
        <v>0.75</v>
      </c>
      <c r="HG151" s="377">
        <f ca="1">IF(ISERROR(OFFSET(Initiatives!$D$1,O151-1,$CB$3)),,OFFSET(Initiatives!$D$1,O151-1,$CB$3))</f>
        <v>0.8</v>
      </c>
      <c r="HH151" s="377">
        <f ca="1">IF(ISERROR(OFFSET(Initiatives!$D$1,P151-1,$CB$3)),,OFFSET(Initiatives!$D$1,P151-1,$CB$3))</f>
        <v>0.9</v>
      </c>
      <c r="HI151" s="377">
        <f ca="1">IF(ISERROR(OFFSET(Initiatives!$D$1,Q151-1,$CB$3)),,OFFSET(Initiatives!$D$1,Q151-1,$CB$3))</f>
        <v>0.25</v>
      </c>
      <c r="HJ151" s="377">
        <f ca="1">IF(ISERROR(OFFSET(Initiatives!$D$1,R151-1,$CB$3)),,OFFSET(Initiatives!$D$1,R151-1,$CB$3))</f>
        <v>0</v>
      </c>
      <c r="HK151" s="377">
        <f ca="1">IF(ISERROR(OFFSET(Initiatives!$D$1,S151-1,$CB$3)),,OFFSET(Initiatives!$D$1,S151-1,$CB$3))</f>
        <v>0</v>
      </c>
      <c r="HL151" s="377">
        <f ca="1">IF(ISERROR(OFFSET(Initiatives!$D$1,T151-1,$CB$3)),,OFFSET(Initiatives!$D$1,T151-1,$CB$3))</f>
        <v>0</v>
      </c>
      <c r="HM151" s="377">
        <f ca="1">IF(ISERROR(OFFSET(Initiatives!$D$1,U151-1,$CB$3)),,OFFSET(Initiatives!$D$1,U151-1,$CB$3))</f>
        <v>0</v>
      </c>
      <c r="HN151" s="377">
        <f ca="1">IF(ISERROR(OFFSET(Initiatives!$D$1,V151-1,$CB$3)),,OFFSET(Initiatives!$D$1,V151-1,$CB$3))</f>
        <v>0</v>
      </c>
      <c r="HO151" s="377">
        <f ca="1">IF(ISERROR(OFFSET(Initiatives!$D$1,W151-1,$CB$3)),,OFFSET(Initiatives!$D$1,W151-1,$CB$3))</f>
        <v>0</v>
      </c>
      <c r="HP151" s="377">
        <f ca="1">IF(ISERROR(OFFSET(Initiatives!$D$1,X151-1,$CB$3)),,OFFSET(Initiatives!$D$1,X151-1,$CB$3))</f>
        <v>0</v>
      </c>
      <c r="HR151" s="41">
        <f t="shared" ca="1" si="2555"/>
        <v>0</v>
      </c>
      <c r="HS151" s="41">
        <f t="shared" ca="1" si="2556"/>
        <v>0</v>
      </c>
      <c r="HT151" s="41">
        <f t="shared" ca="1" si="2557"/>
        <v>0.48213941328990506</v>
      </c>
      <c r="HU151" s="41">
        <f t="shared" ca="1" si="2558"/>
        <v>0</v>
      </c>
      <c r="HV151" s="41">
        <f t="shared" ca="1" si="2559"/>
        <v>0</v>
      </c>
      <c r="HW151" s="41">
        <f t="shared" ca="1" si="2560"/>
        <v>0</v>
      </c>
      <c r="HX151" s="41">
        <f t="shared" ca="1" si="2561"/>
        <v>0</v>
      </c>
      <c r="HY151" s="41">
        <f t="shared" ca="1" si="2562"/>
        <v>0.23214119899143579</v>
      </c>
      <c r="HZ151" s="41">
        <f t="shared" ca="1" si="2563"/>
        <v>0</v>
      </c>
      <c r="IA151" s="41">
        <f t="shared" ca="1" si="2564"/>
        <v>0</v>
      </c>
      <c r="IB151" s="41">
        <f t="shared" ca="1" si="2565"/>
        <v>0</v>
      </c>
      <c r="IC151" s="41">
        <f t="shared" ca="1" si="2566"/>
        <v>0</v>
      </c>
      <c r="ID151" s="41">
        <f t="shared" ca="1" si="2567"/>
        <v>0</v>
      </c>
      <c r="IE151" s="41">
        <f t="shared" ca="1" si="2568"/>
        <v>0</v>
      </c>
      <c r="IF151" s="41">
        <f t="shared" ca="1" si="2569"/>
        <v>0</v>
      </c>
      <c r="IG151" s="41">
        <f t="shared" ca="1" si="2570"/>
        <v>0</v>
      </c>
      <c r="IH151" s="41">
        <f t="shared" ca="1" si="2571"/>
        <v>0</v>
      </c>
      <c r="II151" s="41">
        <f t="shared" ca="1" si="2572"/>
        <v>0</v>
      </c>
      <c r="IJ151" s="41">
        <f t="shared" ca="1" si="2573"/>
        <v>0</v>
      </c>
      <c r="IK151" s="41">
        <f t="shared" ca="1" si="2574"/>
        <v>0</v>
      </c>
      <c r="IL151" s="41">
        <f t="shared" ca="1" si="2575"/>
        <v>0.71428061228134088</v>
      </c>
    </row>
    <row r="152" spans="1:246" hidden="1">
      <c r="A152" s="409"/>
      <c r="B152" s="409"/>
      <c r="C152" s="409"/>
      <c r="D152" s="409"/>
    </row>
    <row r="153" spans="1:246" s="409" customFormat="1" ht="15" hidden="1">
      <c r="B153" s="6" t="str">
        <f>Maturity!A39</f>
        <v>Data</v>
      </c>
      <c r="BP153" s="29"/>
    </row>
    <row r="154" spans="1:246" s="409" customFormat="1" ht="14.25" hidden="1" customHeight="1">
      <c r="B154" s="373"/>
      <c r="C154" s="81" t="str">
        <f>Maturity!B40</f>
        <v>To what degree do end users TRUST THE DATA in your BI/DW environment?</v>
      </c>
      <c r="D154" s="404">
        <f t="shared" ref="D154:D158" ca="1" si="2576">DN154</f>
        <v>0.14885310775328645</v>
      </c>
      <c r="E154" s="374">
        <f>ROW(Initiatives!$A$100)</f>
        <v>100</v>
      </c>
      <c r="F154" s="374">
        <f>ROW(Initiatives!$A$101)</f>
        <v>101</v>
      </c>
      <c r="G154" s="374">
        <f>ROW(Initiatives!$A$102)</f>
        <v>102</v>
      </c>
      <c r="H154" s="374">
        <f>ROW(Initiatives!$A$103)</f>
        <v>103</v>
      </c>
      <c r="I154" s="374">
        <f>ROW(Initiatives!$A$106)</f>
        <v>106</v>
      </c>
      <c r="J154" s="374">
        <f>ROW(Initiatives!$A$107)</f>
        <v>107</v>
      </c>
      <c r="K154" s="374">
        <f>ROW(Initiatives!$A$108)</f>
        <v>108</v>
      </c>
      <c r="L154" s="374">
        <f>ROW(Initiatives!$A$109)</f>
        <v>109</v>
      </c>
      <c r="M154" s="374">
        <f>ROW(Initiatives!$A$112)</f>
        <v>112</v>
      </c>
      <c r="N154" s="374">
        <f>ROW(Initiatives!$A$113)</f>
        <v>113</v>
      </c>
      <c r="O154" s="374">
        <f>ROW(Initiatives!$A$114)</f>
        <v>114</v>
      </c>
      <c r="P154" s="374">
        <f>ROW(Initiatives!$A$117)</f>
        <v>117</v>
      </c>
      <c r="Q154" s="374">
        <f>ROW(Initiatives!$A$118)</f>
        <v>118</v>
      </c>
      <c r="R154" s="374">
        <f>ROW(Initiatives!$A$119)</f>
        <v>119</v>
      </c>
      <c r="S154" s="374">
        <f>ROW(Initiatives!$A$120)</f>
        <v>120</v>
      </c>
      <c r="T154" s="374">
        <f>ROW(Initiatives!$A$176)</f>
        <v>176</v>
      </c>
      <c r="U154" s="374" t="s">
        <v>975</v>
      </c>
      <c r="V154" s="374" t="s">
        <v>975</v>
      </c>
      <c r="W154" s="374" t="s">
        <v>975</v>
      </c>
      <c r="X154" s="374" t="s">
        <v>975</v>
      </c>
      <c r="Y154" s="392" t="str">
        <f ca="1">OFFSET(Initiatives!$D$1,E154-1,$BS$3)</f>
        <v>Governance</v>
      </c>
      <c r="Z154" s="375"/>
      <c r="AA154" s="392" t="str">
        <f ca="1">OFFSET(Initiatives!$D$1,F154-1,$BS$3)</f>
        <v>Architecture</v>
      </c>
      <c r="AB154" s="375"/>
      <c r="AC154" s="392" t="str">
        <f ca="1">OFFSET(Initiatives!$D$1,G154-1,$BS$3)</f>
        <v>Robust security</v>
      </c>
      <c r="AD154" s="375"/>
      <c r="AE154" s="392" t="str">
        <f ca="1">OFFSET(Initiatives!$D$1,H154-1,$BS$3)</f>
        <v>Architecture Standards &amp; Adherence</v>
      </c>
      <c r="AF154" s="375">
        <v>5</v>
      </c>
      <c r="AG154" s="392" t="str">
        <f ca="1">OFFSET(Initiatives!$D$1,I154-1,$BS$3)</f>
        <v>Metadata definitions</v>
      </c>
      <c r="AH154" s="375"/>
      <c r="AI154" s="392" t="str">
        <f ca="1">OFFSET(Initiatives!$D$1,J154-1,$BS$3)</f>
        <v>Metadata management</v>
      </c>
      <c r="AJ154" s="375"/>
      <c r="AK154" s="392" t="str">
        <f ca="1">OFFSET(Initiatives!$D$1,K154-1,$BS$3)</f>
        <v>High data quality</v>
      </c>
      <c r="AL154" s="375"/>
      <c r="AM154" s="392" t="str">
        <f ca="1">OFFSET(Initiatives!$D$1,L154-1,$BS$3)</f>
        <v>Data Management</v>
      </c>
      <c r="AN154" s="375">
        <v>7</v>
      </c>
      <c r="AO154" s="392" t="str">
        <f ca="1">OFFSET(Initiatives!$D$1,M154-1,$BS$3)</f>
        <v>Automated DW synchronization</v>
      </c>
      <c r="AP154" s="375"/>
      <c r="AQ154" s="392" t="str">
        <f ca="1">OFFSET(Initiatives!$D$1,N154-1,$BS$3)</f>
        <v>DW refresh rate</v>
      </c>
      <c r="AR154" s="375"/>
      <c r="AS154" s="392" t="str">
        <f ca="1">OFFSET(Initiatives!$D$1,O154-1,$BS$3)</f>
        <v>Data Integration/ETL</v>
      </c>
      <c r="AT154" s="375">
        <v>6</v>
      </c>
      <c r="AU154" s="392" t="str">
        <f ca="1">OFFSET(Initiatives!$D$1,P154-1,$BS$3)</f>
        <v>Standardized data marts</v>
      </c>
      <c r="AV154" s="375"/>
      <c r="AW154" s="392" t="str">
        <f ca="1">OFFSET(Initiatives!$D$1,Q154-1,$BS$3)</f>
        <v>A single, central DW</v>
      </c>
      <c r="AX154" s="375"/>
      <c r="AY154" s="392" t="str">
        <f ca="1">OFFSET(Initiatives!$D$1,R154-1,$BS$3)</f>
        <v>High performance/reliability infrastructure</v>
      </c>
      <c r="AZ154" s="375"/>
      <c r="BA154" s="392" t="str">
        <f ca="1">OFFSET(Initiatives!$D$1,S154-1,$BS$3)</f>
        <v>Data Warehouse / Data Marts</v>
      </c>
      <c r="BB154" s="375">
        <v>2</v>
      </c>
      <c r="BC154" s="392" t="str">
        <f ca="1">OFFSET(Initiatives!$D$1,T154-1,$BS$3)</f>
        <v>Source System Inclusion / Integration</v>
      </c>
      <c r="BD154" s="375">
        <v>3</v>
      </c>
      <c r="BE154" s="392" t="e">
        <f ca="1">OFFSET(Initiatives!$D$1,U154-1,$BS$3)</f>
        <v>#VALUE!</v>
      </c>
      <c r="BF154" s="375"/>
      <c r="BG154" s="392" t="e">
        <f ca="1">OFFSET(Initiatives!$D$1,V154-1,$BS$3)</f>
        <v>#VALUE!</v>
      </c>
      <c r="BH154" s="375"/>
      <c r="BI154" s="392" t="e">
        <f ca="1">OFFSET(Initiatives!$D$1,W154-1,$BS$3)</f>
        <v>#VALUE!</v>
      </c>
      <c r="BJ154" s="375"/>
      <c r="BK154" s="392" t="e">
        <f ca="1">OFFSET(Initiatives!$D$1,X154-1,$BS$3)</f>
        <v>#VALUE!</v>
      </c>
      <c r="BL154" s="375"/>
      <c r="BN154" s="101">
        <f t="shared" ref="BN154:BN158" si="2577">SUM(Z154,AB154,AD154,AF154,AH154,AJ154,AL154,AN154,AP154,AR154,AT154,AV154,AX154,AZ154,BB154,BD154,BF154,BH154,BJ154,BL154)+0.0001</f>
        <v>23.0001</v>
      </c>
      <c r="BP154" s="231" t="str">
        <f t="shared" ref="BP154:BP158" ca="1" si="2578">CONCATENATE(GB154,GC154,GD154,GE154,GF154,GG154,GH154,GI154,GJ154,GK154,GL154,GM154,GN154,GO154,GP154,GQ154,GR154,GS154,GT154,GU154)</f>
        <v>Source System Inclusion / Integration (40%); Architecture Standards &amp; Adherence (20%); Data Management (20%); Data Integration/ETL (18%)</v>
      </c>
      <c r="BQ154" s="338">
        <v>0.01</v>
      </c>
      <c r="BR154" s="40">
        <f t="shared" ref="BR154:BR158" ca="1" si="2579">COUNTIF(CT154:DM154,"&gt;"&amp;BQ154)</f>
        <v>4</v>
      </c>
      <c r="BS154" s="274">
        <v>0.05</v>
      </c>
      <c r="BT154" s="40">
        <f t="shared" ref="BT154:BT158" ca="1" si="2580">COUNTIF(DP154:EI154,"&gt;"&amp;BS154)</f>
        <v>4</v>
      </c>
      <c r="BU154" s="376">
        <v>7</v>
      </c>
      <c r="BV154" s="40">
        <f t="shared" ref="BV154:BV158" ca="1" si="2581">MIN(BR154,BT154,BU154)</f>
        <v>4</v>
      </c>
      <c r="BY154" s="377">
        <f ca="1">IF(ISERROR(OFFSET(Initiatives!$D$1,E154-1,$BY$3)),,OFFSET(Initiatives!$D$1,E154-1,$BY$3))</f>
        <v>0.14000000000000001</v>
      </c>
      <c r="BZ154" s="377">
        <f ca="1">IF(ISERROR(OFFSET(Initiatives!$D$1,F154-1,$BY$3)),,OFFSET(Initiatives!$D$1,F154-1,$BY$3))</f>
        <v>0.14000000000000001</v>
      </c>
      <c r="CA154" s="377">
        <f ca="1">IF(ISERROR(OFFSET(Initiatives!$D$1,G154-1,$BY$3)),,OFFSET(Initiatives!$D$1,G154-1,$BY$3))</f>
        <v>0.14000000000000001</v>
      </c>
      <c r="CB154" s="377">
        <f ca="1">IF(ISERROR(OFFSET(Initiatives!$D$1,H154-1,$BY$3)),,OFFSET(Initiatives!$D$1,H154-1,$BY$3))</f>
        <v>0.14000000000000012</v>
      </c>
      <c r="CC154" s="377">
        <f ca="1">IF(ISERROR(OFFSET(Initiatives!$D$1,I154-1,$BY$3)),,OFFSET(Initiatives!$D$1,I154-1,$BY$3))</f>
        <v>9.9999999999999978E-2</v>
      </c>
      <c r="CD154" s="377">
        <f ca="1">IF(ISERROR(OFFSET(Initiatives!$D$1,J154-1,$BY$3)),,OFFSET(Initiatives!$D$1,J154-1,$BY$3))</f>
        <v>9.9999999999999978E-2</v>
      </c>
      <c r="CE154" s="377">
        <f ca="1">IF(ISERROR(OFFSET(Initiatives!$D$1,K154-1,$BY$3)),,OFFSET(Initiatives!$D$1,K154-1,$BY$3))</f>
        <v>9.9999999999999978E-2</v>
      </c>
      <c r="CF154" s="377">
        <f ca="1">IF(ISERROR(OFFSET(Initiatives!$D$1,L154-1,$BY$3)),,OFFSET(Initiatives!$D$1,L154-1,$BY$3))</f>
        <v>9.9999999999999978E-2</v>
      </c>
      <c r="CG154" s="377">
        <f ca="1">IF(ISERROR(OFFSET(Initiatives!$D$1,M154-1,$BY$3)),,OFFSET(Initiatives!$D$1,M154-1,$BY$3))</f>
        <v>9.9999999999999978E-2</v>
      </c>
      <c r="CH154" s="377">
        <f ca="1">IF(ISERROR(OFFSET(Initiatives!$D$1,N154-1,$BY$3)),,OFFSET(Initiatives!$D$1,N154-1,$BY$3))</f>
        <v>9.9999999999999978E-2</v>
      </c>
      <c r="CI154" s="377">
        <f ca="1">IF(ISERROR(OFFSET(Initiatives!$D$1,O154-1,$BY$3)),,OFFSET(Initiatives!$D$1,O154-1,$BY$3))</f>
        <v>9.9999999999999978E-2</v>
      </c>
      <c r="CJ154" s="377">
        <f ca="1">IF(ISERROR(OFFSET(Initiatives!$D$1,P154-1,$BY$3)),,OFFSET(Initiatives!$D$1,P154-1,$BY$3))</f>
        <v>3.0000000000000027E-2</v>
      </c>
      <c r="CK154" s="377">
        <f ca="1">IF(ISERROR(OFFSET(Initiatives!$D$1,Q154-1,$BY$3)),,OFFSET(Initiatives!$D$1,Q154-1,$BY$3))</f>
        <v>3.0000000000000027E-2</v>
      </c>
      <c r="CL154" s="377">
        <f ca="1">IF(ISERROR(OFFSET(Initiatives!$D$1,R154-1,$BY$3)),,OFFSET(Initiatives!$D$1,R154-1,$BY$3))</f>
        <v>3.0000000000000027E-2</v>
      </c>
      <c r="CM154" s="377">
        <f ca="1">IF(ISERROR(OFFSET(Initiatives!$D$1,S154-1,$BY$3)),,OFFSET(Initiatives!$D$1,S154-1,$BY$3))</f>
        <v>3.0000000000000027E-2</v>
      </c>
      <c r="CN154" s="377">
        <f ca="1">IF(ISERROR(OFFSET(Initiatives!$D$1,T154-1,$BY$3)),,OFFSET(Initiatives!$D$1,T154-1,$BY$3))</f>
        <v>0.45454545454545436</v>
      </c>
      <c r="CO154" s="377">
        <f ca="1">IF(ISERROR(OFFSET(Initiatives!$D$1,U154-1,$BY$3)),,OFFSET(Initiatives!$D$1,U154-1,$BY$3))</f>
        <v>0</v>
      </c>
      <c r="CP154" s="377">
        <f ca="1">IF(ISERROR(OFFSET(Initiatives!$D$1,V154-1,$BY$3)),,OFFSET(Initiatives!$D$1,V154-1,$BY$3))</f>
        <v>0</v>
      </c>
      <c r="CQ154" s="377">
        <f ca="1">IF(ISERROR(OFFSET(Initiatives!$D$1,W154-1,$BY$3)),,OFFSET(Initiatives!$D$1,W154-1,$BY$3))</f>
        <v>0</v>
      </c>
      <c r="CR154" s="377">
        <f ca="1">IF(ISERROR(OFFSET(Initiatives!$D$1,X154-1,$BY$3)),,OFFSET(Initiatives!$D$1,X154-1,$BY$3))</f>
        <v>0</v>
      </c>
      <c r="CT154" s="41">
        <f t="shared" ref="CT154:CT158" ca="1" si="2582">BY154*Z154/$BN154</f>
        <v>0</v>
      </c>
      <c r="CU154" s="41">
        <f t="shared" ref="CU154:CU158" ca="1" si="2583">BZ154*AB154/$BN154</f>
        <v>0</v>
      </c>
      <c r="CV154" s="41">
        <f t="shared" ref="CV154:CV158" ca="1" si="2584">CA154*AD154/$BN154</f>
        <v>0</v>
      </c>
      <c r="CW154" s="41">
        <f t="shared" ref="CW154:CW158" ca="1" si="2585">CB154*AF154/$BN154</f>
        <v>3.0434650284129228E-2</v>
      </c>
      <c r="CX154" s="41">
        <f t="shared" ref="CX154:CX158" ca="1" si="2586">CC154*AH154/$BN154</f>
        <v>0</v>
      </c>
      <c r="CY154" s="41">
        <f t="shared" ref="CY154:CY158" ca="1" si="2587">CD154*AJ154/$BN154</f>
        <v>0</v>
      </c>
      <c r="CZ154" s="41">
        <f t="shared" ref="CZ154:CZ158" ca="1" si="2588">CE154*AL154/$BN154</f>
        <v>0</v>
      </c>
      <c r="DA154" s="41">
        <f t="shared" ref="DA154:DA158" ca="1" si="2589">CF154*AN154/$BN154</f>
        <v>3.0434650284129193E-2</v>
      </c>
      <c r="DB154" s="41">
        <f t="shared" ref="DB154:DB158" ca="1" si="2590">CG154*AP154/$BN154</f>
        <v>0</v>
      </c>
      <c r="DC154" s="41">
        <f t="shared" ref="DC154:DC158" ca="1" si="2591">CH154*AR154/$BN154</f>
        <v>0</v>
      </c>
      <c r="DD154" s="41">
        <f t="shared" ref="DD154:DD158" ca="1" si="2592">CI154*AT154/$BN154</f>
        <v>2.6086843100682166E-2</v>
      </c>
      <c r="DE154" s="41">
        <f t="shared" ref="DE154:DE158" ca="1" si="2593">CJ154*AV154/$BN154</f>
        <v>0</v>
      </c>
      <c r="DF154" s="41">
        <f t="shared" ref="DF154:DF158" ca="1" si="2594">CK154*AX154/$BN154</f>
        <v>0</v>
      </c>
      <c r="DG154" s="41">
        <f t="shared" ref="DG154:DG158" ca="1" si="2595">CL154*AZ154/$BN154</f>
        <v>0</v>
      </c>
      <c r="DH154" s="41">
        <f t="shared" ref="DH154:DH158" ca="1" si="2596">CM154*BB154/$BN154</f>
        <v>2.6086843100682194E-3</v>
      </c>
      <c r="DI154" s="41">
        <f t="shared" ref="DI154:DI158" ca="1" si="2597">CN154*BD154/$BN154</f>
        <v>5.9288279774277641E-2</v>
      </c>
      <c r="DJ154" s="41">
        <f t="shared" ref="DJ154:DJ158" ca="1" si="2598">CO154*BF154/$BN154</f>
        <v>0</v>
      </c>
      <c r="DK154" s="41">
        <f t="shared" ref="DK154:DK158" ca="1" si="2599">CP154*BH154/$BN154</f>
        <v>0</v>
      </c>
      <c r="DL154" s="41">
        <f t="shared" ref="DL154:DL158" ca="1" si="2600">CQ154*BJ154/$BN154</f>
        <v>0</v>
      </c>
      <c r="DM154" s="41">
        <f t="shared" ref="DM154:DM158" ca="1" si="2601">CR154*BL154/$BN154</f>
        <v>0</v>
      </c>
      <c r="DN154" s="41">
        <f t="shared" ref="DN154:DN158" ca="1" si="2602">SUM(CT154:DM154)</f>
        <v>0.14885310775328645</v>
      </c>
      <c r="DP154" s="41">
        <f t="shared" ref="DP154:DP158" ca="1" si="2603">CT154/$DN154-DP$5/100000</f>
        <v>-1.0000000000000001E-5</v>
      </c>
      <c r="DQ154" s="41">
        <f t="shared" ref="DQ154:DQ158" ca="1" si="2604">CU154/$DN154-DQ$5/100000</f>
        <v>-2.0000000000000002E-5</v>
      </c>
      <c r="DR154" s="41">
        <f t="shared" ref="DR154:DR158" ca="1" si="2605">CV154/$DN154-DR$5/100000</f>
        <v>-3.0000000000000001E-5</v>
      </c>
      <c r="DS154" s="41">
        <f t="shared" ref="DS154:DS158" ca="1" si="2606">CW154/$DN154-DS$5/100000</f>
        <v>0.2044209665427511</v>
      </c>
      <c r="DT154" s="41">
        <f t="shared" ref="DT154:DT158" ca="1" si="2607">CX154/$DN154-DT$5/100000</f>
        <v>-5.0000000000000002E-5</v>
      </c>
      <c r="DU154" s="41">
        <f t="shared" ref="DU154:DU158" ca="1" si="2608">CY154/$DN154-DU$5/100000</f>
        <v>-6.0000000000000002E-5</v>
      </c>
      <c r="DV154" s="41">
        <f t="shared" ref="DV154:DV158" ca="1" si="2609">CZ154/$DN154-DV$5/100000</f>
        <v>-6.9999999999999994E-5</v>
      </c>
      <c r="DW154" s="41">
        <f t="shared" ref="DW154:DW158" ca="1" si="2610">DA154/$DN154-DW$5/100000</f>
        <v>0.2043809665427509</v>
      </c>
      <c r="DX154" s="41">
        <f t="shared" ref="DX154:DX158" ca="1" si="2611">DB154/$DN154-DX$5/100000</f>
        <v>-9.0000000000000006E-5</v>
      </c>
      <c r="DY154" s="41">
        <f t="shared" ref="DY154:DY158" ca="1" si="2612">DC154/$DN154-DY$5/100000</f>
        <v>-1E-4</v>
      </c>
      <c r="DZ154" s="41">
        <f t="shared" ref="DZ154:DZ158" ca="1" si="2613">DD154/$DN154-DZ$5/100000</f>
        <v>0.17514225703664363</v>
      </c>
      <c r="EA154" s="41">
        <f t="shared" ref="EA154:EA158" ca="1" si="2614">DE154/$DN154-EA$5/100000</f>
        <v>-1.2E-4</v>
      </c>
      <c r="EB154" s="41">
        <f t="shared" ref="EB154:EB158" ca="1" si="2615">DF154/$DN154-EB$5/100000</f>
        <v>-1.2999999999999999E-4</v>
      </c>
      <c r="EC154" s="41">
        <f t="shared" ref="EC154:EC158" ca="1" si="2616">DG154/$DN154-EC$5/100000</f>
        <v>-1.3999999999999999E-4</v>
      </c>
      <c r="ED154" s="41">
        <f t="shared" ref="ED154:ED158" ca="1" si="2617">DH154/$DN154-ED$5/100000</f>
        <v>1.7375225703664381E-2</v>
      </c>
      <c r="EE154" s="41">
        <f t="shared" ref="EE154:EE158" ca="1" si="2618">DI154/$DN154-EE$5/100000</f>
        <v>0.39814058417419002</v>
      </c>
      <c r="EF154" s="41">
        <f t="shared" ref="EF154:EF158" ca="1" si="2619">DJ154/$DN154-EF$5/100000</f>
        <v>-1.7000000000000001E-4</v>
      </c>
      <c r="EG154" s="41">
        <f t="shared" ref="EG154:EG158" ca="1" si="2620">DK154/$DN154-EG$5/100000</f>
        <v>-1.8000000000000001E-4</v>
      </c>
      <c r="EH154" s="41">
        <f t="shared" ref="EH154:EH158" ca="1" si="2621">DL154/$DN154-EH$5/100000</f>
        <v>-1.9000000000000001E-4</v>
      </c>
      <c r="EI154" s="41">
        <f t="shared" ref="EI154:EI158" ca="1" si="2622">DM154/$DN154-EI$5/100000</f>
        <v>-2.0000000000000001E-4</v>
      </c>
      <c r="EJ154" s="41">
        <f t="shared" ref="EJ154:EJ158" ca="1" si="2623">SUM(DP154:EI154)</f>
        <v>0.99790000000000001</v>
      </c>
      <c r="EL154" s="378">
        <f t="shared" ref="EL154:EL158" ca="1" si="2624">RANK(DP154,$DP154:$EI154)</f>
        <v>6</v>
      </c>
      <c r="EM154" s="378">
        <f t="shared" ref="EM154:EM158" ca="1" si="2625">RANK(DQ154,$DP154:$EI154)</f>
        <v>7</v>
      </c>
      <c r="EN154" s="378">
        <f t="shared" ref="EN154:EN158" ca="1" si="2626">RANK(DR154,$DP154:$EI154)</f>
        <v>8</v>
      </c>
      <c r="EO154" s="378">
        <f t="shared" ref="EO154:EO158" ca="1" si="2627">RANK(DS154,$DP154:$EI154)</f>
        <v>2</v>
      </c>
      <c r="EP154" s="378">
        <f t="shared" ref="EP154:EP158" ca="1" si="2628">RANK(DT154,$DP154:$EI154)</f>
        <v>9</v>
      </c>
      <c r="EQ154" s="378">
        <f t="shared" ref="EQ154:EQ158" ca="1" si="2629">RANK(DU154,$DP154:$EI154)</f>
        <v>10</v>
      </c>
      <c r="ER154" s="378">
        <f t="shared" ref="ER154:ER158" ca="1" si="2630">RANK(DV154,$DP154:$EI154)</f>
        <v>11</v>
      </c>
      <c r="ES154" s="378">
        <f t="shared" ref="ES154:ES158" ca="1" si="2631">RANK(DW154,$DP154:$EI154)</f>
        <v>3</v>
      </c>
      <c r="ET154" s="378">
        <f t="shared" ref="ET154:ET158" ca="1" si="2632">RANK(DX154,$DP154:$EI154)</f>
        <v>12</v>
      </c>
      <c r="EU154" s="378">
        <f t="shared" ref="EU154:EU158" ca="1" si="2633">RANK(DY154,$DP154:$EI154)</f>
        <v>13</v>
      </c>
      <c r="EV154" s="378">
        <f t="shared" ref="EV154:EV158" ca="1" si="2634">RANK(DZ154,$DP154:$EI154)</f>
        <v>4</v>
      </c>
      <c r="EW154" s="378">
        <f t="shared" ref="EW154:EW158" ca="1" si="2635">RANK(EA154,$DP154:$EI154)</f>
        <v>14</v>
      </c>
      <c r="EX154" s="378">
        <f t="shared" ref="EX154:EX158" ca="1" si="2636">RANK(EB154,$DP154:$EI154)</f>
        <v>15</v>
      </c>
      <c r="EY154" s="378">
        <f t="shared" ref="EY154:EY158" ca="1" si="2637">RANK(EC154,$DP154:$EI154)</f>
        <v>16</v>
      </c>
      <c r="EZ154" s="378">
        <f t="shared" ref="EZ154:EZ158" ca="1" si="2638">RANK(ED154,$DP154:$EI154)</f>
        <v>5</v>
      </c>
      <c r="FA154" s="378">
        <f t="shared" ref="FA154:FA158" ca="1" si="2639">RANK(EE154,$DP154:$EI154)</f>
        <v>1</v>
      </c>
      <c r="FB154" s="378">
        <f t="shared" ref="FB154:FB158" ca="1" si="2640">RANK(EF154,$DP154:$EI154)</f>
        <v>17</v>
      </c>
      <c r="FC154" s="378">
        <f t="shared" ref="FC154:FC158" ca="1" si="2641">RANK(EG154,$DP154:$EI154)</f>
        <v>18</v>
      </c>
      <c r="FD154" s="378">
        <f t="shared" ref="FD154:FD158" ca="1" si="2642">RANK(EH154,$DP154:$EI154)</f>
        <v>19</v>
      </c>
      <c r="FE154" s="378">
        <f t="shared" ref="FE154:FE158" ca="1" si="2643">RANK(EI154,$DP154:$EI154)</f>
        <v>20</v>
      </c>
      <c r="FG154" s="378">
        <f t="shared" ref="FG154:FV158" ca="1" si="2644">MATCH(FG$5,$EL154:$FE154,0)</f>
        <v>16</v>
      </c>
      <c r="FH154" s="378">
        <f t="shared" ca="1" si="2644"/>
        <v>4</v>
      </c>
      <c r="FI154" s="378">
        <f t="shared" ca="1" si="2644"/>
        <v>8</v>
      </c>
      <c r="FJ154" s="378">
        <f t="shared" ca="1" si="2644"/>
        <v>11</v>
      </c>
      <c r="FK154" s="378">
        <f t="shared" ca="1" si="2644"/>
        <v>15</v>
      </c>
      <c r="FL154" s="378">
        <f t="shared" ca="1" si="2644"/>
        <v>1</v>
      </c>
      <c r="FM154" s="378">
        <f t="shared" ca="1" si="2644"/>
        <v>2</v>
      </c>
      <c r="FN154" s="378">
        <f t="shared" ca="1" si="2644"/>
        <v>3</v>
      </c>
      <c r="FO154" s="378">
        <f t="shared" ca="1" si="2644"/>
        <v>5</v>
      </c>
      <c r="FP154" s="378">
        <f t="shared" ca="1" si="2644"/>
        <v>6</v>
      </c>
      <c r="FQ154" s="378">
        <f t="shared" ca="1" si="2644"/>
        <v>7</v>
      </c>
      <c r="FR154" s="378">
        <f t="shared" ca="1" si="2644"/>
        <v>9</v>
      </c>
      <c r="FS154" s="378">
        <f t="shared" ca="1" si="2644"/>
        <v>10</v>
      </c>
      <c r="FT154" s="378">
        <f t="shared" ca="1" si="2644"/>
        <v>12</v>
      </c>
      <c r="FU154" s="378">
        <f t="shared" ca="1" si="2644"/>
        <v>13</v>
      </c>
      <c r="FV154" s="378">
        <f t="shared" ca="1" si="2644"/>
        <v>14</v>
      </c>
      <c r="FW154" s="378">
        <f t="shared" ref="FW154:FZ158" ca="1" si="2645">MATCH(FW$5,$EL154:$FE154,0)</f>
        <v>17</v>
      </c>
      <c r="FX154" s="378">
        <f t="shared" ca="1" si="2645"/>
        <v>18</v>
      </c>
      <c r="FY154" s="378">
        <f t="shared" ca="1" si="2645"/>
        <v>19</v>
      </c>
      <c r="FZ154" s="378">
        <f t="shared" ca="1" si="2645"/>
        <v>20</v>
      </c>
      <c r="GB154" s="275" t="str">
        <f t="shared" ref="GB154:GB158" ca="1" si="2646">IF(GB$5&lt;=$BV154,INDEX($Y154:$BL154,1,FG154*2-1)&amp;" ("&amp;TEXT(INDEX($DP154:$EI154,1,FG154),"0%")&amp;")","")</f>
        <v>Source System Inclusion / Integration (40%)</v>
      </c>
      <c r="GC154" s="231" t="str">
        <f t="shared" ref="GC154:GC158" ca="1" si="2647">IF(GC$5&lt;=$BV154,"; "&amp;INDEX($Y154:$BL154,1,FH154*2-1)&amp;" ("&amp;TEXT(INDEX($DP154:$EI154,1,FH154),"0%")&amp;")","")</f>
        <v>; Architecture Standards &amp; Adherence (20%)</v>
      </c>
      <c r="GD154" s="231" t="str">
        <f t="shared" ref="GD154:GD158" ca="1" si="2648">IF(GD$5&lt;=$BV154,"; "&amp;INDEX($Y154:$BL154,1,FI154*2-1)&amp;" ("&amp;TEXT(INDEX($DP154:$EI154,1,FI154),"0%")&amp;")","")</f>
        <v>; Data Management (20%)</v>
      </c>
      <c r="GE154" s="231" t="str">
        <f t="shared" ref="GE154:GE158" ca="1" si="2649">IF(GE$5&lt;=$BV154,"; "&amp;INDEX($Y154:$BL154,1,FJ154*2-1)&amp;" ("&amp;TEXT(INDEX($DP154:$EI154,1,FJ154),"0%")&amp;")","")</f>
        <v>; Data Integration/ETL (18%)</v>
      </c>
      <c r="GF154" s="231" t="str">
        <f t="shared" ref="GF154:GF158" ca="1" si="2650">IF(GF$5&lt;=$BV154,"; "&amp;INDEX($Y154:$BL154,1,FK154*2-1)&amp;" ("&amp;TEXT(INDEX($DP154:$EI154,1,FK154),"0%")&amp;")","")</f>
        <v/>
      </c>
      <c r="GG154" s="231" t="str">
        <f t="shared" ref="GG154:GG158" ca="1" si="2651">IF(GG$5&lt;=$BV154,"; "&amp;INDEX($Y154:$BL154,1,FL154*2-1)&amp;" ("&amp;TEXT(INDEX($DP154:$EI154,1,FL154),"0%")&amp;")","")</f>
        <v/>
      </c>
      <c r="GH154" s="231" t="str">
        <f t="shared" ref="GH154:GH158" ca="1" si="2652">IF(GH$5&lt;=$BV154,"; "&amp;INDEX($Y154:$BL154,1,FM154*2-1)&amp;" ("&amp;TEXT(INDEX($DP154:$EI154,1,FM154),"0%")&amp;")","")</f>
        <v/>
      </c>
      <c r="GI154" s="231" t="str">
        <f t="shared" ref="GI154:GI158" ca="1" si="2653">IF(GI$5&lt;=$BV154,"; "&amp;INDEX($Y154:$BL154,1,FN154*2-1)&amp;" ("&amp;TEXT(INDEX($DP154:$EI154,1,FN154),"0%")&amp;")","")</f>
        <v/>
      </c>
      <c r="GJ154" s="231" t="str">
        <f t="shared" ref="GJ154:GJ158" ca="1" si="2654">IF(GJ$5&lt;=$BV154,"; "&amp;INDEX($Y154:$BL154,1,FO154*2-1)&amp;" ("&amp;TEXT(INDEX($DP154:$EI154,1,FO154),"0%")&amp;")","")</f>
        <v/>
      </c>
      <c r="GK154" s="231" t="str">
        <f t="shared" ref="GK154:GK158" ca="1" si="2655">IF(GK$5&lt;=$BV154,"; "&amp;INDEX($Y154:$BL154,1,FP154*2-1)&amp;" ("&amp;TEXT(INDEX($DP154:$EI154,1,FP154),"0%")&amp;")","")</f>
        <v/>
      </c>
      <c r="GL154" s="231" t="str">
        <f t="shared" ref="GL154:GL158" ca="1" si="2656">IF(GL$5&lt;=$BV154,"; "&amp;INDEX($Y154:$BL154,1,FQ154*2-1)&amp;" ("&amp;TEXT(INDEX($DP154:$EI154,1,FQ154),"0%")&amp;")","")</f>
        <v/>
      </c>
      <c r="GM154" s="231" t="str">
        <f t="shared" ref="GM154:GM158" ca="1" si="2657">IF(GM$5&lt;=$BV154,"; "&amp;INDEX($Y154:$BL154,1,FR154*2-1)&amp;" ("&amp;TEXT(INDEX($DP154:$EI154,1,FR154),"0%")&amp;")","")</f>
        <v/>
      </c>
      <c r="GN154" s="231" t="str">
        <f t="shared" ref="GN154:GN158" ca="1" si="2658">IF(GN$5&lt;=$BV154,"; "&amp;INDEX($Y154:$BL154,1,FS154*2-1)&amp;" ("&amp;TEXT(INDEX($DP154:$EI154,1,FS154),"0%")&amp;")","")</f>
        <v/>
      </c>
      <c r="GO154" s="231" t="str">
        <f t="shared" ref="GO154:GO158" ca="1" si="2659">IF(GO$5&lt;=$BV154,"; "&amp;INDEX($Y154:$BL154,1,FT154*2-1)&amp;" ("&amp;TEXT(INDEX($DP154:$EI154,1,FT154),"0%")&amp;")","")</f>
        <v/>
      </c>
      <c r="GP154" s="231" t="str">
        <f t="shared" ref="GP154:GP158" ca="1" si="2660">IF(GP$5&lt;=$BV154,"; "&amp;INDEX($Y154:$BL154,1,FU154*2-1)&amp;" ("&amp;TEXT(INDEX($DP154:$EI154,1,FU154),"0%")&amp;")","")</f>
        <v/>
      </c>
      <c r="GQ154" s="231" t="str">
        <f t="shared" ref="GQ154:GQ158" ca="1" si="2661">IF(GQ$5&lt;=$BV154,"; "&amp;INDEX($Y154:$BL154,1,FV154*2-1)&amp;" ("&amp;TEXT(INDEX($DP154:$EI154,1,FV154),"0%")&amp;")","")</f>
        <v/>
      </c>
      <c r="GR154" s="231" t="str">
        <f t="shared" ref="GR154:GR158" ca="1" si="2662">IF(GR$5&lt;=$BV154,"; "&amp;INDEX($Y154:$BL154,1,FW154*2-1)&amp;" ("&amp;TEXT(INDEX($DP154:$EI154,1,FW154),"0%")&amp;")","")</f>
        <v/>
      </c>
      <c r="GS154" s="231" t="str">
        <f t="shared" ref="GS154:GS158" ca="1" si="2663">IF(GS$5&lt;=$BV154,"; "&amp;INDEX($Y154:$BL154,1,FX154*2-1)&amp;" ("&amp;TEXT(INDEX($DP154:$EI154,1,FX154),"0%")&amp;")","")</f>
        <v/>
      </c>
      <c r="GT154" s="231" t="str">
        <f t="shared" ref="GT154:GT158" ca="1" si="2664">IF(GT$5&lt;=$BV154,"; "&amp;INDEX($Y154:$BL154,1,FY154*2-1)&amp;" ("&amp;TEXT(INDEX($DP154:$EI154,1,FY154),"0%")&amp;")","")</f>
        <v/>
      </c>
      <c r="GU154" s="231" t="str">
        <f t="shared" ref="GU154:GU158" ca="1" si="2665">IF(GU$5&lt;=$BV154,"; "&amp;INDEX($Y154:$BL154,1,FZ154*2-1)&amp;" ("&amp;TEXT(INDEX($DP154:$EI154,1,FZ154),"0%")&amp;")","")</f>
        <v/>
      </c>
      <c r="GW154" s="377">
        <f ca="1">IF(ISERROR(OFFSET(Initiatives!$D$1,E154-1,$CB$3)),,OFFSET(Initiatives!$D$1,E154-1,$CB$3))</f>
        <v>0.65</v>
      </c>
      <c r="GX154" s="377">
        <f ca="1">IF(ISERROR(OFFSET(Initiatives!$D$1,F154-1,$CB$3)),,OFFSET(Initiatives!$D$1,F154-1,$CB$3))</f>
        <v>0.65</v>
      </c>
      <c r="GY154" s="377">
        <f ca="1">IF(ISERROR(OFFSET(Initiatives!$D$1,G154-1,$CB$3)),,OFFSET(Initiatives!$D$1,G154-1,$CB$3))</f>
        <v>0.65</v>
      </c>
      <c r="GZ154" s="377">
        <f ca="1">IF(ISERROR(OFFSET(Initiatives!$D$1,H154-1,$CB$3)),,OFFSET(Initiatives!$D$1,H154-1,$CB$3))</f>
        <v>0.65</v>
      </c>
      <c r="HA154" s="377">
        <f ca="1">IF(ISERROR(OFFSET(Initiatives!$D$1,I154-1,$CB$3)),,OFFSET(Initiatives!$D$1,I154-1,$CB$3))</f>
        <v>0.75</v>
      </c>
      <c r="HB154" s="377">
        <f ca="1">IF(ISERROR(OFFSET(Initiatives!$D$1,J154-1,$CB$3)),,OFFSET(Initiatives!$D$1,J154-1,$CB$3))</f>
        <v>0.75</v>
      </c>
      <c r="HC154" s="377">
        <f ca="1">IF(ISERROR(OFFSET(Initiatives!$D$1,K154-1,$CB$3)),,OFFSET(Initiatives!$D$1,K154-1,$CB$3))</f>
        <v>0.75</v>
      </c>
      <c r="HD154" s="377">
        <f ca="1">IF(ISERROR(OFFSET(Initiatives!$D$1,L154-1,$CB$3)),,OFFSET(Initiatives!$D$1,L154-1,$CB$3))</f>
        <v>0.75</v>
      </c>
      <c r="HE154" s="377">
        <f ca="1">IF(ISERROR(OFFSET(Initiatives!$D$1,M154-1,$CB$3)),,OFFSET(Initiatives!$D$1,M154-1,$CB$3))</f>
        <v>0.75</v>
      </c>
      <c r="HF154" s="377">
        <f ca="1">IF(ISERROR(OFFSET(Initiatives!$D$1,N154-1,$CB$3)),,OFFSET(Initiatives!$D$1,N154-1,$CB$3))</f>
        <v>0.75</v>
      </c>
      <c r="HG154" s="377">
        <f ca="1">IF(ISERROR(OFFSET(Initiatives!$D$1,O154-1,$CB$3)),,OFFSET(Initiatives!$D$1,O154-1,$CB$3))</f>
        <v>0.75</v>
      </c>
      <c r="HH154" s="377">
        <f ca="1">IF(ISERROR(OFFSET(Initiatives!$D$1,P154-1,$CB$3)),,OFFSET(Initiatives!$D$1,P154-1,$CB$3))</f>
        <v>0.8</v>
      </c>
      <c r="HI154" s="377">
        <f ca="1">IF(ISERROR(OFFSET(Initiatives!$D$1,Q154-1,$CB$3)),,OFFSET(Initiatives!$D$1,Q154-1,$CB$3))</f>
        <v>0.8</v>
      </c>
      <c r="HJ154" s="377">
        <f ca="1">IF(ISERROR(OFFSET(Initiatives!$D$1,R154-1,$CB$3)),,OFFSET(Initiatives!$D$1,R154-1,$CB$3))</f>
        <v>0.8</v>
      </c>
      <c r="HK154" s="377">
        <f ca="1">IF(ISERROR(OFFSET(Initiatives!$D$1,S154-1,$CB$3)),,OFFSET(Initiatives!$D$1,S154-1,$CB$3))</f>
        <v>0.8</v>
      </c>
      <c r="HL154" s="377">
        <f ca="1">IF(ISERROR(OFFSET(Initiatives!$D$1,T154-1,$CB$3)),,OFFSET(Initiatives!$D$1,T154-1,$CB$3))</f>
        <v>0.43181818181818177</v>
      </c>
      <c r="HM154" s="377">
        <f ca="1">IF(ISERROR(OFFSET(Initiatives!$D$1,U154-1,$CB$3)),,OFFSET(Initiatives!$D$1,U154-1,$CB$3))</f>
        <v>0</v>
      </c>
      <c r="HN154" s="377">
        <f ca="1">IF(ISERROR(OFFSET(Initiatives!$D$1,V154-1,$CB$3)),,OFFSET(Initiatives!$D$1,V154-1,$CB$3))</f>
        <v>0</v>
      </c>
      <c r="HO154" s="377">
        <f ca="1">IF(ISERROR(OFFSET(Initiatives!$D$1,W154-1,$CB$3)),,OFFSET(Initiatives!$D$1,W154-1,$CB$3))</f>
        <v>0</v>
      </c>
      <c r="HP154" s="377">
        <f ca="1">IF(ISERROR(OFFSET(Initiatives!$D$1,X154-1,$CB$3)),,OFFSET(Initiatives!$D$1,X154-1,$CB$3))</f>
        <v>0</v>
      </c>
      <c r="HR154" s="41">
        <f t="shared" ref="HR154:HR158" ca="1" si="2666">GW154*Z154/$BN154</f>
        <v>0</v>
      </c>
      <c r="HS154" s="41">
        <f t="shared" ref="HS154:HS158" ca="1" si="2667">GX154*AB154/$BN154</f>
        <v>0</v>
      </c>
      <c r="HT154" s="41">
        <f t="shared" ref="HT154:HT158" ca="1" si="2668">GY154*AD154/$BN154</f>
        <v>0</v>
      </c>
      <c r="HU154" s="41">
        <f t="shared" ref="HU154:HU158" ca="1" si="2669">GZ154*AF154/$BN154</f>
        <v>0.14130373346202843</v>
      </c>
      <c r="HV154" s="41">
        <f t="shared" ref="HV154:HV158" ca="1" si="2670">HA154*AH154/$BN154</f>
        <v>0</v>
      </c>
      <c r="HW154" s="41">
        <f t="shared" ref="HW154:HW158" ca="1" si="2671">HB154*AJ154/$BN154</f>
        <v>0</v>
      </c>
      <c r="HX154" s="41">
        <f t="shared" ref="HX154:HX158" ca="1" si="2672">HC154*AL154/$BN154</f>
        <v>0</v>
      </c>
      <c r="HY154" s="41">
        <f t="shared" ref="HY154:HY158" ca="1" si="2673">HD154*AN154/$BN154</f>
        <v>0.22825987713096899</v>
      </c>
      <c r="HZ154" s="41">
        <f t="shared" ref="HZ154:HZ158" ca="1" si="2674">HE154*AP154/$BN154</f>
        <v>0</v>
      </c>
      <c r="IA154" s="41">
        <f t="shared" ref="IA154:IA158" ca="1" si="2675">HF154*AR154/$BN154</f>
        <v>0</v>
      </c>
      <c r="IB154" s="41">
        <f t="shared" ref="IB154:IB158" ca="1" si="2676">HG154*AT154/$BN154</f>
        <v>0.19565132325511628</v>
      </c>
      <c r="IC154" s="41">
        <f t="shared" ref="IC154:IC158" ca="1" si="2677">HH154*AV154/$BN154</f>
        <v>0</v>
      </c>
      <c r="ID154" s="41">
        <f t="shared" ref="ID154:ID158" ca="1" si="2678">HI154*AX154/$BN154</f>
        <v>0</v>
      </c>
      <c r="IE154" s="41">
        <f t="shared" ref="IE154:IE158" ca="1" si="2679">HJ154*BZ154/$BN154</f>
        <v>4.8695440454606725E-3</v>
      </c>
      <c r="IF154" s="41">
        <f t="shared" ref="IF154:IF158" ca="1" si="2680">HK154*BB154/$BN154</f>
        <v>6.9564914935152461E-2</v>
      </c>
      <c r="IG154" s="41">
        <f t="shared" ref="IG154:IG158" ca="1" si="2681">HL154*BD154/$BN154</f>
        <v>5.6323865785563774E-2</v>
      </c>
      <c r="IH154" s="41">
        <f t="shared" ref="IH154:IH158" ca="1" si="2682">HM154*BF154/$BN154</f>
        <v>0</v>
      </c>
      <c r="II154" s="41">
        <f t="shared" ref="II154:II158" ca="1" si="2683">HN154*BH154/$BN154</f>
        <v>0</v>
      </c>
      <c r="IJ154" s="41">
        <f t="shared" ref="IJ154:IJ158" ca="1" si="2684">HO154*BJ154/$BN154</f>
        <v>0</v>
      </c>
      <c r="IK154" s="41">
        <f t="shared" ref="IK154:IK158" ca="1" si="2685">HP154*BL154/$BN154</f>
        <v>0</v>
      </c>
      <c r="IL154" s="41">
        <f t="shared" ref="IL154:IL158" ca="1" si="2686">SUM(HR154:IK154)</f>
        <v>0.69597325861429071</v>
      </c>
    </row>
    <row r="155" spans="1:246" s="409" customFormat="1" ht="14.25" hidden="1" customHeight="1">
      <c r="B155" s="373"/>
      <c r="C155" s="81" t="str">
        <f>Maturity!B41</f>
        <v>What portion of desired/beneficial DATA SOURCES does your BI/DW environment draw from?</v>
      </c>
      <c r="D155" s="404">
        <f t="shared" ca="1" si="2576"/>
        <v>0.45454040409651997</v>
      </c>
      <c r="E155" s="374">
        <f>ROW(Initiatives!$A$100)</f>
        <v>100</v>
      </c>
      <c r="F155" s="374">
        <f>ROW(Initiatives!$A$101)</f>
        <v>101</v>
      </c>
      <c r="G155" s="374">
        <f>ROW(Initiatives!$A$102)</f>
        <v>102</v>
      </c>
      <c r="H155" s="374">
        <f>ROW(Initiatives!$A$103)</f>
        <v>103</v>
      </c>
      <c r="I155" s="374">
        <f>ROW(Initiatives!$A$106)</f>
        <v>106</v>
      </c>
      <c r="J155" s="374">
        <f>ROW(Initiatives!$A$107)</f>
        <v>107</v>
      </c>
      <c r="K155" s="374">
        <f>ROW(Initiatives!$A$108)</f>
        <v>108</v>
      </c>
      <c r="L155" s="374">
        <f>ROW(Initiatives!$A$109)</f>
        <v>109</v>
      </c>
      <c r="M155" s="374">
        <f>ROW(Initiatives!$A$112)</f>
        <v>112</v>
      </c>
      <c r="N155" s="374">
        <f>ROW(Initiatives!$A$113)</f>
        <v>113</v>
      </c>
      <c r="O155" s="374">
        <f>ROW(Initiatives!$A$114)</f>
        <v>114</v>
      </c>
      <c r="P155" s="374">
        <f>ROW(Initiatives!$A$117)</f>
        <v>117</v>
      </c>
      <c r="Q155" s="374">
        <f>ROW(Initiatives!$A$118)</f>
        <v>118</v>
      </c>
      <c r="R155" s="374">
        <f>ROW(Initiatives!$A$119)</f>
        <v>119</v>
      </c>
      <c r="S155" s="374">
        <f>ROW(Initiatives!$A$120)</f>
        <v>120</v>
      </c>
      <c r="T155" s="374">
        <f>ROW(Initiatives!$A$176)</f>
        <v>176</v>
      </c>
      <c r="U155" s="374" t="s">
        <v>975</v>
      </c>
      <c r="V155" s="374" t="s">
        <v>975</v>
      </c>
      <c r="W155" s="374" t="s">
        <v>975</v>
      </c>
      <c r="X155" s="374" t="s">
        <v>975</v>
      </c>
      <c r="Y155" s="392" t="str">
        <f ca="1">OFFSET(Initiatives!$D$1,E155-1,$BS$3)</f>
        <v>Governance</v>
      </c>
      <c r="Z155" s="375"/>
      <c r="AA155" s="392" t="str">
        <f ca="1">OFFSET(Initiatives!$D$1,F155-1,$BS$3)</f>
        <v>Architecture</v>
      </c>
      <c r="AB155" s="375"/>
      <c r="AC155" s="392" t="str">
        <f ca="1">OFFSET(Initiatives!$D$1,G155-1,$BS$3)</f>
        <v>Robust security</v>
      </c>
      <c r="AD155" s="375"/>
      <c r="AE155" s="392" t="str">
        <f ca="1">OFFSET(Initiatives!$D$1,H155-1,$BS$3)</f>
        <v>Architecture Standards &amp; Adherence</v>
      </c>
      <c r="AF155" s="375"/>
      <c r="AG155" s="392" t="str">
        <f ca="1">OFFSET(Initiatives!$D$1,I155-1,$BS$3)</f>
        <v>Metadata definitions</v>
      </c>
      <c r="AH155" s="375"/>
      <c r="AI155" s="392" t="str">
        <f ca="1">OFFSET(Initiatives!$D$1,J155-1,$BS$3)</f>
        <v>Metadata management</v>
      </c>
      <c r="AJ155" s="375"/>
      <c r="AK155" s="392" t="str">
        <f ca="1">OFFSET(Initiatives!$D$1,K155-1,$BS$3)</f>
        <v>High data quality</v>
      </c>
      <c r="AL155" s="375"/>
      <c r="AM155" s="392" t="str">
        <f ca="1">OFFSET(Initiatives!$D$1,L155-1,$BS$3)</f>
        <v>Data Management</v>
      </c>
      <c r="AN155" s="375"/>
      <c r="AO155" s="392" t="str">
        <f ca="1">OFFSET(Initiatives!$D$1,M155-1,$BS$3)</f>
        <v>Automated DW synchronization</v>
      </c>
      <c r="AP155" s="375"/>
      <c r="AQ155" s="392" t="str">
        <f ca="1">OFFSET(Initiatives!$D$1,N155-1,$BS$3)</f>
        <v>DW refresh rate</v>
      </c>
      <c r="AR155" s="375"/>
      <c r="AS155" s="392" t="str">
        <f ca="1">OFFSET(Initiatives!$D$1,O155-1,$BS$3)</f>
        <v>Data Integration/ETL</v>
      </c>
      <c r="AT155" s="375"/>
      <c r="AU155" s="392" t="str">
        <f ca="1">OFFSET(Initiatives!$D$1,P155-1,$BS$3)</f>
        <v>Standardized data marts</v>
      </c>
      <c r="AV155" s="375"/>
      <c r="AW155" s="392" t="str">
        <f ca="1">OFFSET(Initiatives!$D$1,Q155-1,$BS$3)</f>
        <v>A single, central DW</v>
      </c>
      <c r="AX155" s="375"/>
      <c r="AY155" s="392" t="str">
        <f ca="1">OFFSET(Initiatives!$D$1,R155-1,$BS$3)</f>
        <v>High performance/reliability infrastructure</v>
      </c>
      <c r="AZ155" s="375"/>
      <c r="BA155" s="392" t="str">
        <f ca="1">OFFSET(Initiatives!$D$1,S155-1,$BS$3)</f>
        <v>Data Warehouse / Data Marts</v>
      </c>
      <c r="BB155" s="375"/>
      <c r="BC155" s="392" t="str">
        <f ca="1">OFFSET(Initiatives!$D$1,T155-1,$BS$3)</f>
        <v>Source System Inclusion / Integration</v>
      </c>
      <c r="BD155" s="375">
        <v>9</v>
      </c>
      <c r="BE155" s="392" t="e">
        <f ca="1">OFFSET(Initiatives!$D$1,U155-1,$BS$3)</f>
        <v>#VALUE!</v>
      </c>
      <c r="BF155" s="375"/>
      <c r="BG155" s="392" t="e">
        <f ca="1">OFFSET(Initiatives!$D$1,V155-1,$BS$3)</f>
        <v>#VALUE!</v>
      </c>
      <c r="BH155" s="375"/>
      <c r="BI155" s="392" t="e">
        <f ca="1">OFFSET(Initiatives!$D$1,W155-1,$BS$3)</f>
        <v>#VALUE!</v>
      </c>
      <c r="BJ155" s="375"/>
      <c r="BK155" s="392" t="e">
        <f ca="1">OFFSET(Initiatives!$D$1,X155-1,$BS$3)</f>
        <v>#VALUE!</v>
      </c>
      <c r="BL155" s="375"/>
      <c r="BN155" s="101">
        <f t="shared" si="2577"/>
        <v>9.0000999999999998</v>
      </c>
      <c r="BP155" s="231" t="str">
        <f t="shared" ca="1" si="2578"/>
        <v>Source System Inclusion / Integration (100%)</v>
      </c>
      <c r="BQ155" s="338">
        <v>0.01</v>
      </c>
      <c r="BR155" s="40">
        <f t="shared" ca="1" si="2579"/>
        <v>1</v>
      </c>
      <c r="BS155" s="274">
        <v>0.05</v>
      </c>
      <c r="BT155" s="40">
        <f t="shared" ca="1" si="2580"/>
        <v>1</v>
      </c>
      <c r="BU155" s="376">
        <v>7</v>
      </c>
      <c r="BV155" s="40">
        <f t="shared" ca="1" si="2581"/>
        <v>1</v>
      </c>
      <c r="BY155" s="377">
        <f ca="1">IF(ISERROR(OFFSET(Initiatives!$D$1,E155-1,$BY$3)),,OFFSET(Initiatives!$D$1,E155-1,$BY$3))</f>
        <v>0.14000000000000001</v>
      </c>
      <c r="BZ155" s="377">
        <f ca="1">IF(ISERROR(OFFSET(Initiatives!$D$1,F155-1,$BY$3)),,OFFSET(Initiatives!$D$1,F155-1,$BY$3))</f>
        <v>0.14000000000000001</v>
      </c>
      <c r="CA155" s="377">
        <f ca="1">IF(ISERROR(OFFSET(Initiatives!$D$1,G155-1,$BY$3)),,OFFSET(Initiatives!$D$1,G155-1,$BY$3))</f>
        <v>0.14000000000000001</v>
      </c>
      <c r="CB155" s="377">
        <f ca="1">IF(ISERROR(OFFSET(Initiatives!$D$1,H155-1,$BY$3)),,OFFSET(Initiatives!$D$1,H155-1,$BY$3))</f>
        <v>0.14000000000000012</v>
      </c>
      <c r="CC155" s="377">
        <f ca="1">IF(ISERROR(OFFSET(Initiatives!$D$1,I155-1,$BY$3)),,OFFSET(Initiatives!$D$1,I155-1,$BY$3))</f>
        <v>9.9999999999999978E-2</v>
      </c>
      <c r="CD155" s="377">
        <f ca="1">IF(ISERROR(OFFSET(Initiatives!$D$1,J155-1,$BY$3)),,OFFSET(Initiatives!$D$1,J155-1,$BY$3))</f>
        <v>9.9999999999999978E-2</v>
      </c>
      <c r="CE155" s="377">
        <f ca="1">IF(ISERROR(OFFSET(Initiatives!$D$1,K155-1,$BY$3)),,OFFSET(Initiatives!$D$1,K155-1,$BY$3))</f>
        <v>9.9999999999999978E-2</v>
      </c>
      <c r="CF155" s="377">
        <f ca="1">IF(ISERROR(OFFSET(Initiatives!$D$1,L155-1,$BY$3)),,OFFSET(Initiatives!$D$1,L155-1,$BY$3))</f>
        <v>9.9999999999999978E-2</v>
      </c>
      <c r="CG155" s="377">
        <f ca="1">IF(ISERROR(OFFSET(Initiatives!$D$1,M155-1,$BY$3)),,OFFSET(Initiatives!$D$1,M155-1,$BY$3))</f>
        <v>9.9999999999999978E-2</v>
      </c>
      <c r="CH155" s="377">
        <f ca="1">IF(ISERROR(OFFSET(Initiatives!$D$1,N155-1,$BY$3)),,OFFSET(Initiatives!$D$1,N155-1,$BY$3))</f>
        <v>9.9999999999999978E-2</v>
      </c>
      <c r="CI155" s="377">
        <f ca="1">IF(ISERROR(OFFSET(Initiatives!$D$1,O155-1,$BY$3)),,OFFSET(Initiatives!$D$1,O155-1,$BY$3))</f>
        <v>9.9999999999999978E-2</v>
      </c>
      <c r="CJ155" s="377">
        <f ca="1">IF(ISERROR(OFFSET(Initiatives!$D$1,P155-1,$BY$3)),,OFFSET(Initiatives!$D$1,P155-1,$BY$3))</f>
        <v>3.0000000000000027E-2</v>
      </c>
      <c r="CK155" s="377">
        <f ca="1">IF(ISERROR(OFFSET(Initiatives!$D$1,Q155-1,$BY$3)),,OFFSET(Initiatives!$D$1,Q155-1,$BY$3))</f>
        <v>3.0000000000000027E-2</v>
      </c>
      <c r="CL155" s="377">
        <f ca="1">IF(ISERROR(OFFSET(Initiatives!$D$1,R155-1,$BY$3)),,OFFSET(Initiatives!$D$1,R155-1,$BY$3))</f>
        <v>3.0000000000000027E-2</v>
      </c>
      <c r="CM155" s="377">
        <f ca="1">IF(ISERROR(OFFSET(Initiatives!$D$1,S155-1,$BY$3)),,OFFSET(Initiatives!$D$1,S155-1,$BY$3))</f>
        <v>3.0000000000000027E-2</v>
      </c>
      <c r="CN155" s="377">
        <f ca="1">IF(ISERROR(OFFSET(Initiatives!$D$1,T155-1,$BY$3)),,OFFSET(Initiatives!$D$1,T155-1,$BY$3))</f>
        <v>0.45454545454545436</v>
      </c>
      <c r="CO155" s="377">
        <f ca="1">IF(ISERROR(OFFSET(Initiatives!$D$1,U155-1,$BY$3)),,OFFSET(Initiatives!$D$1,U155-1,$BY$3))</f>
        <v>0</v>
      </c>
      <c r="CP155" s="377">
        <f ca="1">IF(ISERROR(OFFSET(Initiatives!$D$1,V155-1,$BY$3)),,OFFSET(Initiatives!$D$1,V155-1,$BY$3))</f>
        <v>0</v>
      </c>
      <c r="CQ155" s="377">
        <f ca="1">IF(ISERROR(OFFSET(Initiatives!$D$1,W155-1,$BY$3)),,OFFSET(Initiatives!$D$1,W155-1,$BY$3))</f>
        <v>0</v>
      </c>
      <c r="CR155" s="377">
        <f ca="1">IF(ISERROR(OFFSET(Initiatives!$D$1,X155-1,$BY$3)),,OFFSET(Initiatives!$D$1,X155-1,$BY$3))</f>
        <v>0</v>
      </c>
      <c r="CT155" s="41">
        <f t="shared" ca="1" si="2582"/>
        <v>0</v>
      </c>
      <c r="CU155" s="41">
        <f t="shared" ca="1" si="2583"/>
        <v>0</v>
      </c>
      <c r="CV155" s="41">
        <f t="shared" ca="1" si="2584"/>
        <v>0</v>
      </c>
      <c r="CW155" s="41">
        <f t="shared" ca="1" si="2585"/>
        <v>0</v>
      </c>
      <c r="CX155" s="41">
        <f t="shared" ca="1" si="2586"/>
        <v>0</v>
      </c>
      <c r="CY155" s="41">
        <f t="shared" ca="1" si="2587"/>
        <v>0</v>
      </c>
      <c r="CZ155" s="41">
        <f t="shared" ca="1" si="2588"/>
        <v>0</v>
      </c>
      <c r="DA155" s="41">
        <f t="shared" ca="1" si="2589"/>
        <v>0</v>
      </c>
      <c r="DB155" s="41">
        <f t="shared" ca="1" si="2590"/>
        <v>0</v>
      </c>
      <c r="DC155" s="41">
        <f t="shared" ca="1" si="2591"/>
        <v>0</v>
      </c>
      <c r="DD155" s="41">
        <f t="shared" ca="1" si="2592"/>
        <v>0</v>
      </c>
      <c r="DE155" s="41">
        <f t="shared" ca="1" si="2593"/>
        <v>0</v>
      </c>
      <c r="DF155" s="41">
        <f t="shared" ca="1" si="2594"/>
        <v>0</v>
      </c>
      <c r="DG155" s="41">
        <f t="shared" ca="1" si="2595"/>
        <v>0</v>
      </c>
      <c r="DH155" s="41">
        <f t="shared" ca="1" si="2596"/>
        <v>0</v>
      </c>
      <c r="DI155" s="41">
        <f t="shared" ca="1" si="2597"/>
        <v>0.45454040409651997</v>
      </c>
      <c r="DJ155" s="41">
        <f t="shared" ca="1" si="2598"/>
        <v>0</v>
      </c>
      <c r="DK155" s="41">
        <f t="shared" ca="1" si="2599"/>
        <v>0</v>
      </c>
      <c r="DL155" s="41">
        <f t="shared" ca="1" si="2600"/>
        <v>0</v>
      </c>
      <c r="DM155" s="41">
        <f t="shared" ca="1" si="2601"/>
        <v>0</v>
      </c>
      <c r="DN155" s="41">
        <f t="shared" ca="1" si="2602"/>
        <v>0.45454040409651997</v>
      </c>
      <c r="DP155" s="41">
        <f t="shared" ca="1" si="2603"/>
        <v>-1.0000000000000001E-5</v>
      </c>
      <c r="DQ155" s="41">
        <f t="shared" ca="1" si="2604"/>
        <v>-2.0000000000000002E-5</v>
      </c>
      <c r="DR155" s="41">
        <f t="shared" ca="1" si="2605"/>
        <v>-3.0000000000000001E-5</v>
      </c>
      <c r="DS155" s="41">
        <f t="shared" ca="1" si="2606"/>
        <v>-4.0000000000000003E-5</v>
      </c>
      <c r="DT155" s="41">
        <f t="shared" ca="1" si="2607"/>
        <v>-5.0000000000000002E-5</v>
      </c>
      <c r="DU155" s="41">
        <f t="shared" ca="1" si="2608"/>
        <v>-6.0000000000000002E-5</v>
      </c>
      <c r="DV155" s="41">
        <f t="shared" ca="1" si="2609"/>
        <v>-6.9999999999999994E-5</v>
      </c>
      <c r="DW155" s="41">
        <f t="shared" ca="1" si="2610"/>
        <v>-8.0000000000000007E-5</v>
      </c>
      <c r="DX155" s="41">
        <f t="shared" ca="1" si="2611"/>
        <v>-9.0000000000000006E-5</v>
      </c>
      <c r="DY155" s="41">
        <f t="shared" ca="1" si="2612"/>
        <v>-1E-4</v>
      </c>
      <c r="DZ155" s="41">
        <f t="shared" ca="1" si="2613"/>
        <v>-1.1E-4</v>
      </c>
      <c r="EA155" s="41">
        <f t="shared" ca="1" si="2614"/>
        <v>-1.2E-4</v>
      </c>
      <c r="EB155" s="41">
        <f t="shared" ca="1" si="2615"/>
        <v>-1.2999999999999999E-4</v>
      </c>
      <c r="EC155" s="41">
        <f t="shared" ca="1" si="2616"/>
        <v>-1.3999999999999999E-4</v>
      </c>
      <c r="ED155" s="41">
        <f t="shared" ca="1" si="2617"/>
        <v>-1.4999999999999999E-4</v>
      </c>
      <c r="EE155" s="41">
        <f t="shared" ca="1" si="2618"/>
        <v>0.99983999999999995</v>
      </c>
      <c r="EF155" s="41">
        <f t="shared" ca="1" si="2619"/>
        <v>-1.7000000000000001E-4</v>
      </c>
      <c r="EG155" s="41">
        <f t="shared" ca="1" si="2620"/>
        <v>-1.8000000000000001E-4</v>
      </c>
      <c r="EH155" s="41">
        <f t="shared" ca="1" si="2621"/>
        <v>-1.9000000000000001E-4</v>
      </c>
      <c r="EI155" s="41">
        <f t="shared" ca="1" si="2622"/>
        <v>-2.0000000000000001E-4</v>
      </c>
      <c r="EJ155" s="41">
        <f t="shared" ca="1" si="2623"/>
        <v>0.99790000000000001</v>
      </c>
      <c r="EL155" s="378">
        <f t="shared" ca="1" si="2624"/>
        <v>2</v>
      </c>
      <c r="EM155" s="378">
        <f t="shared" ca="1" si="2625"/>
        <v>3</v>
      </c>
      <c r="EN155" s="378">
        <f t="shared" ca="1" si="2626"/>
        <v>4</v>
      </c>
      <c r="EO155" s="378">
        <f t="shared" ca="1" si="2627"/>
        <v>5</v>
      </c>
      <c r="EP155" s="378">
        <f t="shared" ca="1" si="2628"/>
        <v>6</v>
      </c>
      <c r="EQ155" s="378">
        <f t="shared" ca="1" si="2629"/>
        <v>7</v>
      </c>
      <c r="ER155" s="378">
        <f t="shared" ca="1" si="2630"/>
        <v>8</v>
      </c>
      <c r="ES155" s="378">
        <f t="shared" ca="1" si="2631"/>
        <v>9</v>
      </c>
      <c r="ET155" s="378">
        <f t="shared" ca="1" si="2632"/>
        <v>10</v>
      </c>
      <c r="EU155" s="378">
        <f t="shared" ca="1" si="2633"/>
        <v>11</v>
      </c>
      <c r="EV155" s="378">
        <f t="shared" ca="1" si="2634"/>
        <v>12</v>
      </c>
      <c r="EW155" s="378">
        <f t="shared" ca="1" si="2635"/>
        <v>13</v>
      </c>
      <c r="EX155" s="378">
        <f t="shared" ca="1" si="2636"/>
        <v>14</v>
      </c>
      <c r="EY155" s="378">
        <f t="shared" ca="1" si="2637"/>
        <v>15</v>
      </c>
      <c r="EZ155" s="378">
        <f t="shared" ca="1" si="2638"/>
        <v>16</v>
      </c>
      <c r="FA155" s="378">
        <f t="shared" ca="1" si="2639"/>
        <v>1</v>
      </c>
      <c r="FB155" s="378">
        <f t="shared" ca="1" si="2640"/>
        <v>17</v>
      </c>
      <c r="FC155" s="378">
        <f t="shared" ca="1" si="2641"/>
        <v>18</v>
      </c>
      <c r="FD155" s="378">
        <f t="shared" ca="1" si="2642"/>
        <v>19</v>
      </c>
      <c r="FE155" s="378">
        <f t="shared" ca="1" si="2643"/>
        <v>20</v>
      </c>
      <c r="FG155" s="378">
        <f t="shared" ca="1" si="2644"/>
        <v>16</v>
      </c>
      <c r="FH155" s="378">
        <f t="shared" ca="1" si="2644"/>
        <v>1</v>
      </c>
      <c r="FI155" s="378">
        <f t="shared" ca="1" si="2644"/>
        <v>2</v>
      </c>
      <c r="FJ155" s="378">
        <f t="shared" ca="1" si="2644"/>
        <v>3</v>
      </c>
      <c r="FK155" s="378">
        <f t="shared" ca="1" si="2644"/>
        <v>4</v>
      </c>
      <c r="FL155" s="378">
        <f t="shared" ca="1" si="2644"/>
        <v>5</v>
      </c>
      <c r="FM155" s="378">
        <f t="shared" ca="1" si="2644"/>
        <v>6</v>
      </c>
      <c r="FN155" s="378">
        <f t="shared" ca="1" si="2644"/>
        <v>7</v>
      </c>
      <c r="FO155" s="378">
        <f t="shared" ca="1" si="2644"/>
        <v>8</v>
      </c>
      <c r="FP155" s="378">
        <f t="shared" ca="1" si="2644"/>
        <v>9</v>
      </c>
      <c r="FQ155" s="378">
        <f t="shared" ca="1" si="2644"/>
        <v>10</v>
      </c>
      <c r="FR155" s="378">
        <f t="shared" ca="1" si="2644"/>
        <v>11</v>
      </c>
      <c r="FS155" s="378">
        <f t="shared" ca="1" si="2644"/>
        <v>12</v>
      </c>
      <c r="FT155" s="378">
        <f t="shared" ca="1" si="2644"/>
        <v>13</v>
      </c>
      <c r="FU155" s="378">
        <f t="shared" ca="1" si="2644"/>
        <v>14</v>
      </c>
      <c r="FV155" s="378">
        <f t="shared" ca="1" si="2644"/>
        <v>15</v>
      </c>
      <c r="FW155" s="378">
        <f t="shared" ca="1" si="2645"/>
        <v>17</v>
      </c>
      <c r="FX155" s="378">
        <f t="shared" ca="1" si="2645"/>
        <v>18</v>
      </c>
      <c r="FY155" s="378">
        <f t="shared" ca="1" si="2645"/>
        <v>19</v>
      </c>
      <c r="FZ155" s="378">
        <f t="shared" ca="1" si="2645"/>
        <v>20</v>
      </c>
      <c r="GB155" s="275" t="str">
        <f t="shared" ca="1" si="2646"/>
        <v>Source System Inclusion / Integration (100%)</v>
      </c>
      <c r="GC155" s="231" t="str">
        <f t="shared" ca="1" si="2647"/>
        <v/>
      </c>
      <c r="GD155" s="231" t="str">
        <f t="shared" ca="1" si="2648"/>
        <v/>
      </c>
      <c r="GE155" s="231" t="str">
        <f t="shared" ca="1" si="2649"/>
        <v/>
      </c>
      <c r="GF155" s="231" t="str">
        <f t="shared" ca="1" si="2650"/>
        <v/>
      </c>
      <c r="GG155" s="231" t="str">
        <f t="shared" ca="1" si="2651"/>
        <v/>
      </c>
      <c r="GH155" s="231" t="str">
        <f t="shared" ca="1" si="2652"/>
        <v/>
      </c>
      <c r="GI155" s="231" t="str">
        <f t="shared" ca="1" si="2653"/>
        <v/>
      </c>
      <c r="GJ155" s="231" t="str">
        <f t="shared" ca="1" si="2654"/>
        <v/>
      </c>
      <c r="GK155" s="231" t="str">
        <f t="shared" ca="1" si="2655"/>
        <v/>
      </c>
      <c r="GL155" s="231" t="str">
        <f t="shared" ca="1" si="2656"/>
        <v/>
      </c>
      <c r="GM155" s="231" t="str">
        <f t="shared" ca="1" si="2657"/>
        <v/>
      </c>
      <c r="GN155" s="231" t="str">
        <f t="shared" ca="1" si="2658"/>
        <v/>
      </c>
      <c r="GO155" s="231" t="str">
        <f t="shared" ca="1" si="2659"/>
        <v/>
      </c>
      <c r="GP155" s="231" t="str">
        <f t="shared" ca="1" si="2660"/>
        <v/>
      </c>
      <c r="GQ155" s="231" t="str">
        <f t="shared" ca="1" si="2661"/>
        <v/>
      </c>
      <c r="GR155" s="231" t="str">
        <f t="shared" ca="1" si="2662"/>
        <v/>
      </c>
      <c r="GS155" s="231" t="str">
        <f t="shared" ca="1" si="2663"/>
        <v/>
      </c>
      <c r="GT155" s="231" t="str">
        <f t="shared" ca="1" si="2664"/>
        <v/>
      </c>
      <c r="GU155" s="231" t="str">
        <f t="shared" ca="1" si="2665"/>
        <v/>
      </c>
      <c r="GW155" s="377">
        <f ca="1">IF(ISERROR(OFFSET(Initiatives!$D$1,E155-1,$CB$3)),,OFFSET(Initiatives!$D$1,E155-1,$CB$3))</f>
        <v>0.65</v>
      </c>
      <c r="GX155" s="377">
        <f ca="1">IF(ISERROR(OFFSET(Initiatives!$D$1,F155-1,$CB$3)),,OFFSET(Initiatives!$D$1,F155-1,$CB$3))</f>
        <v>0.65</v>
      </c>
      <c r="GY155" s="377">
        <f ca="1">IF(ISERROR(OFFSET(Initiatives!$D$1,G155-1,$CB$3)),,OFFSET(Initiatives!$D$1,G155-1,$CB$3))</f>
        <v>0.65</v>
      </c>
      <c r="GZ155" s="377">
        <f ca="1">IF(ISERROR(OFFSET(Initiatives!$D$1,H155-1,$CB$3)),,OFFSET(Initiatives!$D$1,H155-1,$CB$3))</f>
        <v>0.65</v>
      </c>
      <c r="HA155" s="377">
        <f ca="1">IF(ISERROR(OFFSET(Initiatives!$D$1,I155-1,$CB$3)),,OFFSET(Initiatives!$D$1,I155-1,$CB$3))</f>
        <v>0.75</v>
      </c>
      <c r="HB155" s="377">
        <f ca="1">IF(ISERROR(OFFSET(Initiatives!$D$1,J155-1,$CB$3)),,OFFSET(Initiatives!$D$1,J155-1,$CB$3))</f>
        <v>0.75</v>
      </c>
      <c r="HC155" s="377">
        <f ca="1">IF(ISERROR(OFFSET(Initiatives!$D$1,K155-1,$CB$3)),,OFFSET(Initiatives!$D$1,K155-1,$CB$3))</f>
        <v>0.75</v>
      </c>
      <c r="HD155" s="377">
        <f ca="1">IF(ISERROR(OFFSET(Initiatives!$D$1,L155-1,$CB$3)),,OFFSET(Initiatives!$D$1,L155-1,$CB$3))</f>
        <v>0.75</v>
      </c>
      <c r="HE155" s="377">
        <f ca="1">IF(ISERROR(OFFSET(Initiatives!$D$1,M155-1,$CB$3)),,OFFSET(Initiatives!$D$1,M155-1,$CB$3))</f>
        <v>0.75</v>
      </c>
      <c r="HF155" s="377">
        <f ca="1">IF(ISERROR(OFFSET(Initiatives!$D$1,N155-1,$CB$3)),,OFFSET(Initiatives!$D$1,N155-1,$CB$3))</f>
        <v>0.75</v>
      </c>
      <c r="HG155" s="377">
        <f ca="1">IF(ISERROR(OFFSET(Initiatives!$D$1,O155-1,$CB$3)),,OFFSET(Initiatives!$D$1,O155-1,$CB$3))</f>
        <v>0.75</v>
      </c>
      <c r="HH155" s="377">
        <f ca="1">IF(ISERROR(OFFSET(Initiatives!$D$1,P155-1,$CB$3)),,OFFSET(Initiatives!$D$1,P155-1,$CB$3))</f>
        <v>0.8</v>
      </c>
      <c r="HI155" s="377">
        <f ca="1">IF(ISERROR(OFFSET(Initiatives!$D$1,Q155-1,$CB$3)),,OFFSET(Initiatives!$D$1,Q155-1,$CB$3))</f>
        <v>0.8</v>
      </c>
      <c r="HJ155" s="377">
        <f ca="1">IF(ISERROR(OFFSET(Initiatives!$D$1,R155-1,$CB$3)),,OFFSET(Initiatives!$D$1,R155-1,$CB$3))</f>
        <v>0.8</v>
      </c>
      <c r="HK155" s="377">
        <f ca="1">IF(ISERROR(OFFSET(Initiatives!$D$1,S155-1,$CB$3)),,OFFSET(Initiatives!$D$1,S155-1,$CB$3))</f>
        <v>0.8</v>
      </c>
      <c r="HL155" s="377">
        <f ca="1">IF(ISERROR(OFFSET(Initiatives!$D$1,T155-1,$CB$3)),,OFFSET(Initiatives!$D$1,T155-1,$CB$3))</f>
        <v>0.43181818181818177</v>
      </c>
      <c r="HM155" s="377">
        <f ca="1">IF(ISERROR(OFFSET(Initiatives!$D$1,U155-1,$CB$3)),,OFFSET(Initiatives!$D$1,U155-1,$CB$3))</f>
        <v>0</v>
      </c>
      <c r="HN155" s="377">
        <f ca="1">IF(ISERROR(OFFSET(Initiatives!$D$1,V155-1,$CB$3)),,OFFSET(Initiatives!$D$1,V155-1,$CB$3))</f>
        <v>0</v>
      </c>
      <c r="HO155" s="377">
        <f ca="1">IF(ISERROR(OFFSET(Initiatives!$D$1,W155-1,$CB$3)),,OFFSET(Initiatives!$D$1,W155-1,$CB$3))</f>
        <v>0</v>
      </c>
      <c r="HP155" s="377">
        <f ca="1">IF(ISERROR(OFFSET(Initiatives!$D$1,X155-1,$CB$3)),,OFFSET(Initiatives!$D$1,X155-1,$CB$3))</f>
        <v>0</v>
      </c>
      <c r="HR155" s="41">
        <f t="shared" ca="1" si="2666"/>
        <v>0</v>
      </c>
      <c r="HS155" s="41">
        <f t="shared" ca="1" si="2667"/>
        <v>0</v>
      </c>
      <c r="HT155" s="41">
        <f t="shared" ca="1" si="2668"/>
        <v>0</v>
      </c>
      <c r="HU155" s="41">
        <f t="shared" ca="1" si="2669"/>
        <v>0</v>
      </c>
      <c r="HV155" s="41">
        <f t="shared" ca="1" si="2670"/>
        <v>0</v>
      </c>
      <c r="HW155" s="41">
        <f t="shared" ca="1" si="2671"/>
        <v>0</v>
      </c>
      <c r="HX155" s="41">
        <f t="shared" ca="1" si="2672"/>
        <v>0</v>
      </c>
      <c r="HY155" s="41">
        <f t="shared" ca="1" si="2673"/>
        <v>0</v>
      </c>
      <c r="HZ155" s="41">
        <f t="shared" ca="1" si="2674"/>
        <v>0</v>
      </c>
      <c r="IA155" s="41">
        <f t="shared" ca="1" si="2675"/>
        <v>0</v>
      </c>
      <c r="IB155" s="41">
        <f t="shared" ca="1" si="2676"/>
        <v>0</v>
      </c>
      <c r="IC155" s="41">
        <f t="shared" ca="1" si="2677"/>
        <v>0</v>
      </c>
      <c r="ID155" s="41">
        <f t="shared" ca="1" si="2678"/>
        <v>0</v>
      </c>
      <c r="IE155" s="41">
        <f t="shared" ca="1" si="2679"/>
        <v>1.2444306174375842E-2</v>
      </c>
      <c r="IF155" s="41">
        <f t="shared" ca="1" si="2680"/>
        <v>0</v>
      </c>
      <c r="IG155" s="41">
        <f t="shared" ca="1" si="2681"/>
        <v>0.4318133838916941</v>
      </c>
      <c r="IH155" s="41">
        <f t="shared" ca="1" si="2682"/>
        <v>0</v>
      </c>
      <c r="II155" s="41">
        <f t="shared" ca="1" si="2683"/>
        <v>0</v>
      </c>
      <c r="IJ155" s="41">
        <f t="shared" ca="1" si="2684"/>
        <v>0</v>
      </c>
      <c r="IK155" s="41">
        <f t="shared" ca="1" si="2685"/>
        <v>0</v>
      </c>
      <c r="IL155" s="41">
        <f t="shared" ca="1" si="2686"/>
        <v>0.44425769006606997</v>
      </c>
    </row>
    <row r="156" spans="1:246" s="409" customFormat="1" ht="14.25" hidden="1" customHeight="1">
      <c r="B156" s="373"/>
      <c r="C156" s="81" t="str">
        <f>Maturity!B42</f>
        <v>On average, how often are the MAJORITY of data elements in your BI/DW environment REFRESHED?</v>
      </c>
      <c r="D156" s="404">
        <f t="shared" ca="1" si="2576"/>
        <v>9.9998888901234415E-2</v>
      </c>
      <c r="E156" s="374">
        <f>ROW(Initiatives!$A$100)</f>
        <v>100</v>
      </c>
      <c r="F156" s="374">
        <f>ROW(Initiatives!$A$101)</f>
        <v>101</v>
      </c>
      <c r="G156" s="374">
        <f>ROW(Initiatives!$A$102)</f>
        <v>102</v>
      </c>
      <c r="H156" s="374">
        <f>ROW(Initiatives!$A$103)</f>
        <v>103</v>
      </c>
      <c r="I156" s="374">
        <f>ROW(Initiatives!$A$106)</f>
        <v>106</v>
      </c>
      <c r="J156" s="374">
        <f>ROW(Initiatives!$A$107)</f>
        <v>107</v>
      </c>
      <c r="K156" s="374">
        <f>ROW(Initiatives!$A$108)</f>
        <v>108</v>
      </c>
      <c r="L156" s="374">
        <f>ROW(Initiatives!$A$109)</f>
        <v>109</v>
      </c>
      <c r="M156" s="374">
        <f>ROW(Initiatives!$A$112)</f>
        <v>112</v>
      </c>
      <c r="N156" s="374">
        <f>ROW(Initiatives!$A$113)</f>
        <v>113</v>
      </c>
      <c r="O156" s="374">
        <f>ROW(Initiatives!$A$114)</f>
        <v>114</v>
      </c>
      <c r="P156" s="374">
        <f>ROW(Initiatives!$A$117)</f>
        <v>117</v>
      </c>
      <c r="Q156" s="374">
        <f>ROW(Initiatives!$A$118)</f>
        <v>118</v>
      </c>
      <c r="R156" s="374">
        <f>ROW(Initiatives!$A$119)</f>
        <v>119</v>
      </c>
      <c r="S156" s="374">
        <f>ROW(Initiatives!$A$120)</f>
        <v>120</v>
      </c>
      <c r="T156" s="374">
        <f>ROW(Initiatives!$A$176)</f>
        <v>176</v>
      </c>
      <c r="U156" s="374" t="s">
        <v>975</v>
      </c>
      <c r="V156" s="374" t="s">
        <v>975</v>
      </c>
      <c r="W156" s="374" t="s">
        <v>975</v>
      </c>
      <c r="X156" s="374" t="s">
        <v>975</v>
      </c>
      <c r="Y156" s="392" t="str">
        <f ca="1">OFFSET(Initiatives!$D$1,E156-1,$BS$3)</f>
        <v>Governance</v>
      </c>
      <c r="Z156" s="375"/>
      <c r="AA156" s="392" t="str">
        <f ca="1">OFFSET(Initiatives!$D$1,F156-1,$BS$3)</f>
        <v>Architecture</v>
      </c>
      <c r="AB156" s="375"/>
      <c r="AC156" s="392" t="str">
        <f ca="1">OFFSET(Initiatives!$D$1,G156-1,$BS$3)</f>
        <v>Robust security</v>
      </c>
      <c r="AD156" s="375"/>
      <c r="AE156" s="392" t="str">
        <f ca="1">OFFSET(Initiatives!$D$1,H156-1,$BS$3)</f>
        <v>Architecture Standards &amp; Adherence</v>
      </c>
      <c r="AF156" s="375"/>
      <c r="AG156" s="392" t="str">
        <f ca="1">OFFSET(Initiatives!$D$1,I156-1,$BS$3)</f>
        <v>Metadata definitions</v>
      </c>
      <c r="AH156" s="375"/>
      <c r="AI156" s="392" t="str">
        <f ca="1">OFFSET(Initiatives!$D$1,J156-1,$BS$3)</f>
        <v>Metadata management</v>
      </c>
      <c r="AJ156" s="375"/>
      <c r="AK156" s="392" t="str">
        <f ca="1">OFFSET(Initiatives!$D$1,K156-1,$BS$3)</f>
        <v>High data quality</v>
      </c>
      <c r="AL156" s="375"/>
      <c r="AM156" s="392" t="str">
        <f ca="1">OFFSET(Initiatives!$D$1,L156-1,$BS$3)</f>
        <v>Data Management</v>
      </c>
      <c r="AN156" s="375"/>
      <c r="AO156" s="392" t="str">
        <f ca="1">OFFSET(Initiatives!$D$1,M156-1,$BS$3)</f>
        <v>Automated DW synchronization</v>
      </c>
      <c r="AP156" s="375"/>
      <c r="AQ156" s="392" t="str">
        <f ca="1">OFFSET(Initiatives!$D$1,N156-1,$BS$3)</f>
        <v>DW refresh rate</v>
      </c>
      <c r="AR156" s="375">
        <v>9</v>
      </c>
      <c r="AS156" s="392" t="str">
        <f ca="1">OFFSET(Initiatives!$D$1,O156-1,$BS$3)</f>
        <v>Data Integration/ETL</v>
      </c>
      <c r="AT156" s="375"/>
      <c r="AU156" s="392" t="str">
        <f ca="1">OFFSET(Initiatives!$D$1,P156-1,$BS$3)</f>
        <v>Standardized data marts</v>
      </c>
      <c r="AV156" s="375"/>
      <c r="AW156" s="392" t="str">
        <f ca="1">OFFSET(Initiatives!$D$1,Q156-1,$BS$3)</f>
        <v>A single, central DW</v>
      </c>
      <c r="AX156" s="375"/>
      <c r="AY156" s="392" t="str">
        <f ca="1">OFFSET(Initiatives!$D$1,R156-1,$BS$3)</f>
        <v>High performance/reliability infrastructure</v>
      </c>
      <c r="AZ156" s="375"/>
      <c r="BA156" s="392" t="str">
        <f ca="1">OFFSET(Initiatives!$D$1,S156-1,$BS$3)</f>
        <v>Data Warehouse / Data Marts</v>
      </c>
      <c r="BB156" s="375"/>
      <c r="BC156" s="392" t="str">
        <f ca="1">OFFSET(Initiatives!$D$1,T156-1,$BS$3)</f>
        <v>Source System Inclusion / Integration</v>
      </c>
      <c r="BD156" s="375"/>
      <c r="BE156" s="392" t="e">
        <f ca="1">OFFSET(Initiatives!$D$1,U156-1,$BS$3)</f>
        <v>#VALUE!</v>
      </c>
      <c r="BF156" s="375"/>
      <c r="BG156" s="392" t="e">
        <f ca="1">OFFSET(Initiatives!$D$1,V156-1,$BS$3)</f>
        <v>#VALUE!</v>
      </c>
      <c r="BH156" s="375"/>
      <c r="BI156" s="392" t="e">
        <f ca="1">OFFSET(Initiatives!$D$1,W156-1,$BS$3)</f>
        <v>#VALUE!</v>
      </c>
      <c r="BJ156" s="375"/>
      <c r="BK156" s="392" t="e">
        <f ca="1">OFFSET(Initiatives!$D$1,X156-1,$BS$3)</f>
        <v>#VALUE!</v>
      </c>
      <c r="BL156" s="375"/>
      <c r="BN156" s="101">
        <f t="shared" si="2577"/>
        <v>9.0000999999999998</v>
      </c>
      <c r="BP156" s="231" t="str">
        <f t="shared" ca="1" si="2578"/>
        <v>DW refresh rate (100%)</v>
      </c>
      <c r="BQ156" s="338">
        <v>0.01</v>
      </c>
      <c r="BR156" s="40">
        <f t="shared" ca="1" si="2579"/>
        <v>1</v>
      </c>
      <c r="BS156" s="274">
        <v>0.05</v>
      </c>
      <c r="BT156" s="40">
        <f t="shared" ca="1" si="2580"/>
        <v>1</v>
      </c>
      <c r="BU156" s="376">
        <v>7</v>
      </c>
      <c r="BV156" s="40">
        <f t="shared" ca="1" si="2581"/>
        <v>1</v>
      </c>
      <c r="BY156" s="377">
        <f ca="1">IF(ISERROR(OFFSET(Initiatives!$D$1,E156-1,$BY$3)),,OFFSET(Initiatives!$D$1,E156-1,$BY$3))</f>
        <v>0.14000000000000001</v>
      </c>
      <c r="BZ156" s="377">
        <f ca="1">IF(ISERROR(OFFSET(Initiatives!$D$1,F156-1,$BY$3)),,OFFSET(Initiatives!$D$1,F156-1,$BY$3))</f>
        <v>0.14000000000000001</v>
      </c>
      <c r="CA156" s="377">
        <f ca="1">IF(ISERROR(OFFSET(Initiatives!$D$1,G156-1,$BY$3)),,OFFSET(Initiatives!$D$1,G156-1,$BY$3))</f>
        <v>0.14000000000000001</v>
      </c>
      <c r="CB156" s="377">
        <f ca="1">IF(ISERROR(OFFSET(Initiatives!$D$1,H156-1,$BY$3)),,OFFSET(Initiatives!$D$1,H156-1,$BY$3))</f>
        <v>0.14000000000000012</v>
      </c>
      <c r="CC156" s="377">
        <f ca="1">IF(ISERROR(OFFSET(Initiatives!$D$1,I156-1,$BY$3)),,OFFSET(Initiatives!$D$1,I156-1,$BY$3))</f>
        <v>9.9999999999999978E-2</v>
      </c>
      <c r="CD156" s="377">
        <f ca="1">IF(ISERROR(OFFSET(Initiatives!$D$1,J156-1,$BY$3)),,OFFSET(Initiatives!$D$1,J156-1,$BY$3))</f>
        <v>9.9999999999999978E-2</v>
      </c>
      <c r="CE156" s="377">
        <f ca="1">IF(ISERROR(OFFSET(Initiatives!$D$1,K156-1,$BY$3)),,OFFSET(Initiatives!$D$1,K156-1,$BY$3))</f>
        <v>9.9999999999999978E-2</v>
      </c>
      <c r="CF156" s="377">
        <f ca="1">IF(ISERROR(OFFSET(Initiatives!$D$1,L156-1,$BY$3)),,OFFSET(Initiatives!$D$1,L156-1,$BY$3))</f>
        <v>9.9999999999999978E-2</v>
      </c>
      <c r="CG156" s="377">
        <f ca="1">IF(ISERROR(OFFSET(Initiatives!$D$1,M156-1,$BY$3)),,OFFSET(Initiatives!$D$1,M156-1,$BY$3))</f>
        <v>9.9999999999999978E-2</v>
      </c>
      <c r="CH156" s="377">
        <f ca="1">IF(ISERROR(OFFSET(Initiatives!$D$1,N156-1,$BY$3)),,OFFSET(Initiatives!$D$1,N156-1,$BY$3))</f>
        <v>9.9999999999999978E-2</v>
      </c>
      <c r="CI156" s="377">
        <f ca="1">IF(ISERROR(OFFSET(Initiatives!$D$1,O156-1,$BY$3)),,OFFSET(Initiatives!$D$1,O156-1,$BY$3))</f>
        <v>9.9999999999999978E-2</v>
      </c>
      <c r="CJ156" s="377">
        <f ca="1">IF(ISERROR(OFFSET(Initiatives!$D$1,P156-1,$BY$3)),,OFFSET(Initiatives!$D$1,P156-1,$BY$3))</f>
        <v>3.0000000000000027E-2</v>
      </c>
      <c r="CK156" s="377">
        <f ca="1">IF(ISERROR(OFFSET(Initiatives!$D$1,Q156-1,$BY$3)),,OFFSET(Initiatives!$D$1,Q156-1,$BY$3))</f>
        <v>3.0000000000000027E-2</v>
      </c>
      <c r="CL156" s="377">
        <f ca="1">IF(ISERROR(OFFSET(Initiatives!$D$1,R156-1,$BY$3)),,OFFSET(Initiatives!$D$1,R156-1,$BY$3))</f>
        <v>3.0000000000000027E-2</v>
      </c>
      <c r="CM156" s="377">
        <f ca="1">IF(ISERROR(OFFSET(Initiatives!$D$1,S156-1,$BY$3)),,OFFSET(Initiatives!$D$1,S156-1,$BY$3))</f>
        <v>3.0000000000000027E-2</v>
      </c>
      <c r="CN156" s="377">
        <f ca="1">IF(ISERROR(OFFSET(Initiatives!$D$1,T156-1,$BY$3)),,OFFSET(Initiatives!$D$1,T156-1,$BY$3))</f>
        <v>0.45454545454545436</v>
      </c>
      <c r="CO156" s="377">
        <f ca="1">IF(ISERROR(OFFSET(Initiatives!$D$1,U156-1,$BY$3)),,OFFSET(Initiatives!$D$1,U156-1,$BY$3))</f>
        <v>0</v>
      </c>
      <c r="CP156" s="377">
        <f ca="1">IF(ISERROR(OFFSET(Initiatives!$D$1,V156-1,$BY$3)),,OFFSET(Initiatives!$D$1,V156-1,$BY$3))</f>
        <v>0</v>
      </c>
      <c r="CQ156" s="377">
        <f ca="1">IF(ISERROR(OFFSET(Initiatives!$D$1,W156-1,$BY$3)),,OFFSET(Initiatives!$D$1,W156-1,$BY$3))</f>
        <v>0</v>
      </c>
      <c r="CR156" s="377">
        <f ca="1">IF(ISERROR(OFFSET(Initiatives!$D$1,X156-1,$BY$3)),,OFFSET(Initiatives!$D$1,X156-1,$BY$3))</f>
        <v>0</v>
      </c>
      <c r="CT156" s="41">
        <f t="shared" ca="1" si="2582"/>
        <v>0</v>
      </c>
      <c r="CU156" s="41">
        <f t="shared" ca="1" si="2583"/>
        <v>0</v>
      </c>
      <c r="CV156" s="41">
        <f t="shared" ca="1" si="2584"/>
        <v>0</v>
      </c>
      <c r="CW156" s="41">
        <f t="shared" ca="1" si="2585"/>
        <v>0</v>
      </c>
      <c r="CX156" s="41">
        <f t="shared" ca="1" si="2586"/>
        <v>0</v>
      </c>
      <c r="CY156" s="41">
        <f t="shared" ca="1" si="2587"/>
        <v>0</v>
      </c>
      <c r="CZ156" s="41">
        <f t="shared" ca="1" si="2588"/>
        <v>0</v>
      </c>
      <c r="DA156" s="41">
        <f t="shared" ca="1" si="2589"/>
        <v>0</v>
      </c>
      <c r="DB156" s="41">
        <f t="shared" ca="1" si="2590"/>
        <v>0</v>
      </c>
      <c r="DC156" s="41">
        <f t="shared" ca="1" si="2591"/>
        <v>9.9998888901234415E-2</v>
      </c>
      <c r="DD156" s="41">
        <f t="shared" ca="1" si="2592"/>
        <v>0</v>
      </c>
      <c r="DE156" s="41">
        <f t="shared" ca="1" si="2593"/>
        <v>0</v>
      </c>
      <c r="DF156" s="41">
        <f t="shared" ca="1" si="2594"/>
        <v>0</v>
      </c>
      <c r="DG156" s="41">
        <f t="shared" ca="1" si="2595"/>
        <v>0</v>
      </c>
      <c r="DH156" s="41">
        <f t="shared" ca="1" si="2596"/>
        <v>0</v>
      </c>
      <c r="DI156" s="41">
        <f t="shared" ca="1" si="2597"/>
        <v>0</v>
      </c>
      <c r="DJ156" s="41">
        <f t="shared" ca="1" si="2598"/>
        <v>0</v>
      </c>
      <c r="DK156" s="41">
        <f t="shared" ca="1" si="2599"/>
        <v>0</v>
      </c>
      <c r="DL156" s="41">
        <f t="shared" ca="1" si="2600"/>
        <v>0</v>
      </c>
      <c r="DM156" s="41">
        <f t="shared" ca="1" si="2601"/>
        <v>0</v>
      </c>
      <c r="DN156" s="41">
        <f t="shared" ca="1" si="2602"/>
        <v>9.9998888901234415E-2</v>
      </c>
      <c r="DP156" s="41">
        <f t="shared" ca="1" si="2603"/>
        <v>-1.0000000000000001E-5</v>
      </c>
      <c r="DQ156" s="41">
        <f t="shared" ca="1" si="2604"/>
        <v>-2.0000000000000002E-5</v>
      </c>
      <c r="DR156" s="41">
        <f t="shared" ca="1" si="2605"/>
        <v>-3.0000000000000001E-5</v>
      </c>
      <c r="DS156" s="41">
        <f t="shared" ca="1" si="2606"/>
        <v>-4.0000000000000003E-5</v>
      </c>
      <c r="DT156" s="41">
        <f t="shared" ca="1" si="2607"/>
        <v>-5.0000000000000002E-5</v>
      </c>
      <c r="DU156" s="41">
        <f t="shared" ca="1" si="2608"/>
        <v>-6.0000000000000002E-5</v>
      </c>
      <c r="DV156" s="41">
        <f t="shared" ca="1" si="2609"/>
        <v>-6.9999999999999994E-5</v>
      </c>
      <c r="DW156" s="41">
        <f t="shared" ca="1" si="2610"/>
        <v>-8.0000000000000007E-5</v>
      </c>
      <c r="DX156" s="41">
        <f t="shared" ca="1" si="2611"/>
        <v>-9.0000000000000006E-5</v>
      </c>
      <c r="DY156" s="41">
        <f t="shared" ca="1" si="2612"/>
        <v>0.99990000000000001</v>
      </c>
      <c r="DZ156" s="41">
        <f t="shared" ca="1" si="2613"/>
        <v>-1.1E-4</v>
      </c>
      <c r="EA156" s="41">
        <f t="shared" ca="1" si="2614"/>
        <v>-1.2E-4</v>
      </c>
      <c r="EB156" s="41">
        <f t="shared" ca="1" si="2615"/>
        <v>-1.2999999999999999E-4</v>
      </c>
      <c r="EC156" s="41">
        <f t="shared" ca="1" si="2616"/>
        <v>-1.3999999999999999E-4</v>
      </c>
      <c r="ED156" s="41">
        <f t="shared" ca="1" si="2617"/>
        <v>-1.4999999999999999E-4</v>
      </c>
      <c r="EE156" s="41">
        <f t="shared" ca="1" si="2618"/>
        <v>-1.6000000000000001E-4</v>
      </c>
      <c r="EF156" s="41">
        <f t="shared" ca="1" si="2619"/>
        <v>-1.7000000000000001E-4</v>
      </c>
      <c r="EG156" s="41">
        <f t="shared" ca="1" si="2620"/>
        <v>-1.8000000000000001E-4</v>
      </c>
      <c r="EH156" s="41">
        <f t="shared" ca="1" si="2621"/>
        <v>-1.9000000000000001E-4</v>
      </c>
      <c r="EI156" s="41">
        <f t="shared" ca="1" si="2622"/>
        <v>-2.0000000000000001E-4</v>
      </c>
      <c r="EJ156" s="41">
        <f t="shared" ca="1" si="2623"/>
        <v>0.99790000000000001</v>
      </c>
      <c r="EL156" s="378">
        <f t="shared" ca="1" si="2624"/>
        <v>2</v>
      </c>
      <c r="EM156" s="378">
        <f t="shared" ca="1" si="2625"/>
        <v>3</v>
      </c>
      <c r="EN156" s="378">
        <f t="shared" ca="1" si="2626"/>
        <v>4</v>
      </c>
      <c r="EO156" s="378">
        <f t="shared" ca="1" si="2627"/>
        <v>5</v>
      </c>
      <c r="EP156" s="378">
        <f t="shared" ca="1" si="2628"/>
        <v>6</v>
      </c>
      <c r="EQ156" s="378">
        <f t="shared" ca="1" si="2629"/>
        <v>7</v>
      </c>
      <c r="ER156" s="378">
        <f t="shared" ca="1" si="2630"/>
        <v>8</v>
      </c>
      <c r="ES156" s="378">
        <f t="shared" ca="1" si="2631"/>
        <v>9</v>
      </c>
      <c r="ET156" s="378">
        <f t="shared" ca="1" si="2632"/>
        <v>10</v>
      </c>
      <c r="EU156" s="378">
        <f t="shared" ca="1" si="2633"/>
        <v>1</v>
      </c>
      <c r="EV156" s="378">
        <f t="shared" ca="1" si="2634"/>
        <v>11</v>
      </c>
      <c r="EW156" s="378">
        <f t="shared" ca="1" si="2635"/>
        <v>12</v>
      </c>
      <c r="EX156" s="378">
        <f t="shared" ca="1" si="2636"/>
        <v>13</v>
      </c>
      <c r="EY156" s="378">
        <f t="shared" ca="1" si="2637"/>
        <v>14</v>
      </c>
      <c r="EZ156" s="378">
        <f t="shared" ca="1" si="2638"/>
        <v>15</v>
      </c>
      <c r="FA156" s="378">
        <f t="shared" ca="1" si="2639"/>
        <v>16</v>
      </c>
      <c r="FB156" s="378">
        <f t="shared" ca="1" si="2640"/>
        <v>17</v>
      </c>
      <c r="FC156" s="378">
        <f t="shared" ca="1" si="2641"/>
        <v>18</v>
      </c>
      <c r="FD156" s="378">
        <f t="shared" ca="1" si="2642"/>
        <v>19</v>
      </c>
      <c r="FE156" s="378">
        <f t="shared" ca="1" si="2643"/>
        <v>20</v>
      </c>
      <c r="FG156" s="378">
        <f t="shared" ca="1" si="2644"/>
        <v>10</v>
      </c>
      <c r="FH156" s="378">
        <f t="shared" ca="1" si="2644"/>
        <v>1</v>
      </c>
      <c r="FI156" s="378">
        <f t="shared" ca="1" si="2644"/>
        <v>2</v>
      </c>
      <c r="FJ156" s="378">
        <f t="shared" ca="1" si="2644"/>
        <v>3</v>
      </c>
      <c r="FK156" s="378">
        <f t="shared" ca="1" si="2644"/>
        <v>4</v>
      </c>
      <c r="FL156" s="378">
        <f t="shared" ca="1" si="2644"/>
        <v>5</v>
      </c>
      <c r="FM156" s="378">
        <f t="shared" ca="1" si="2644"/>
        <v>6</v>
      </c>
      <c r="FN156" s="378">
        <f t="shared" ca="1" si="2644"/>
        <v>7</v>
      </c>
      <c r="FO156" s="378">
        <f t="shared" ca="1" si="2644"/>
        <v>8</v>
      </c>
      <c r="FP156" s="378">
        <f t="shared" ca="1" si="2644"/>
        <v>9</v>
      </c>
      <c r="FQ156" s="378">
        <f t="shared" ca="1" si="2644"/>
        <v>11</v>
      </c>
      <c r="FR156" s="378">
        <f t="shared" ca="1" si="2644"/>
        <v>12</v>
      </c>
      <c r="FS156" s="378">
        <f t="shared" ca="1" si="2644"/>
        <v>13</v>
      </c>
      <c r="FT156" s="378">
        <f t="shared" ca="1" si="2644"/>
        <v>14</v>
      </c>
      <c r="FU156" s="378">
        <f t="shared" ca="1" si="2644"/>
        <v>15</v>
      </c>
      <c r="FV156" s="378">
        <f t="shared" ca="1" si="2644"/>
        <v>16</v>
      </c>
      <c r="FW156" s="378">
        <f t="shared" ca="1" si="2645"/>
        <v>17</v>
      </c>
      <c r="FX156" s="378">
        <f t="shared" ca="1" si="2645"/>
        <v>18</v>
      </c>
      <c r="FY156" s="378">
        <f t="shared" ca="1" si="2645"/>
        <v>19</v>
      </c>
      <c r="FZ156" s="378">
        <f t="shared" ca="1" si="2645"/>
        <v>20</v>
      </c>
      <c r="GB156" s="275" t="str">
        <f t="shared" ca="1" si="2646"/>
        <v>DW refresh rate (100%)</v>
      </c>
      <c r="GC156" s="231" t="str">
        <f t="shared" ca="1" si="2647"/>
        <v/>
      </c>
      <c r="GD156" s="231" t="str">
        <f t="shared" ca="1" si="2648"/>
        <v/>
      </c>
      <c r="GE156" s="231" t="str">
        <f t="shared" ca="1" si="2649"/>
        <v/>
      </c>
      <c r="GF156" s="231" t="str">
        <f t="shared" ca="1" si="2650"/>
        <v/>
      </c>
      <c r="GG156" s="231" t="str">
        <f t="shared" ca="1" si="2651"/>
        <v/>
      </c>
      <c r="GH156" s="231" t="str">
        <f t="shared" ca="1" si="2652"/>
        <v/>
      </c>
      <c r="GI156" s="231" t="str">
        <f t="shared" ca="1" si="2653"/>
        <v/>
      </c>
      <c r="GJ156" s="231" t="str">
        <f t="shared" ca="1" si="2654"/>
        <v/>
      </c>
      <c r="GK156" s="231" t="str">
        <f t="shared" ca="1" si="2655"/>
        <v/>
      </c>
      <c r="GL156" s="231" t="str">
        <f t="shared" ca="1" si="2656"/>
        <v/>
      </c>
      <c r="GM156" s="231" t="str">
        <f t="shared" ca="1" si="2657"/>
        <v/>
      </c>
      <c r="GN156" s="231" t="str">
        <f t="shared" ca="1" si="2658"/>
        <v/>
      </c>
      <c r="GO156" s="231" t="str">
        <f t="shared" ca="1" si="2659"/>
        <v/>
      </c>
      <c r="GP156" s="231" t="str">
        <f t="shared" ca="1" si="2660"/>
        <v/>
      </c>
      <c r="GQ156" s="231" t="str">
        <f t="shared" ca="1" si="2661"/>
        <v/>
      </c>
      <c r="GR156" s="231" t="str">
        <f t="shared" ca="1" si="2662"/>
        <v/>
      </c>
      <c r="GS156" s="231" t="str">
        <f t="shared" ca="1" si="2663"/>
        <v/>
      </c>
      <c r="GT156" s="231" t="str">
        <f t="shared" ca="1" si="2664"/>
        <v/>
      </c>
      <c r="GU156" s="231" t="str">
        <f t="shared" ca="1" si="2665"/>
        <v/>
      </c>
      <c r="GW156" s="377">
        <f ca="1">IF(ISERROR(OFFSET(Initiatives!$D$1,E156-1,$CB$3)),,OFFSET(Initiatives!$D$1,E156-1,$CB$3))</f>
        <v>0.65</v>
      </c>
      <c r="GX156" s="377">
        <f ca="1">IF(ISERROR(OFFSET(Initiatives!$D$1,F156-1,$CB$3)),,OFFSET(Initiatives!$D$1,F156-1,$CB$3))</f>
        <v>0.65</v>
      </c>
      <c r="GY156" s="377">
        <f ca="1">IF(ISERROR(OFFSET(Initiatives!$D$1,G156-1,$CB$3)),,OFFSET(Initiatives!$D$1,G156-1,$CB$3))</f>
        <v>0.65</v>
      </c>
      <c r="GZ156" s="377">
        <f ca="1">IF(ISERROR(OFFSET(Initiatives!$D$1,H156-1,$CB$3)),,OFFSET(Initiatives!$D$1,H156-1,$CB$3))</f>
        <v>0.65</v>
      </c>
      <c r="HA156" s="377">
        <f ca="1">IF(ISERROR(OFFSET(Initiatives!$D$1,I156-1,$CB$3)),,OFFSET(Initiatives!$D$1,I156-1,$CB$3))</f>
        <v>0.75</v>
      </c>
      <c r="HB156" s="377">
        <f ca="1">IF(ISERROR(OFFSET(Initiatives!$D$1,J156-1,$CB$3)),,OFFSET(Initiatives!$D$1,J156-1,$CB$3))</f>
        <v>0.75</v>
      </c>
      <c r="HC156" s="377">
        <f ca="1">IF(ISERROR(OFFSET(Initiatives!$D$1,K156-1,$CB$3)),,OFFSET(Initiatives!$D$1,K156-1,$CB$3))</f>
        <v>0.75</v>
      </c>
      <c r="HD156" s="377">
        <f ca="1">IF(ISERROR(OFFSET(Initiatives!$D$1,L156-1,$CB$3)),,OFFSET(Initiatives!$D$1,L156-1,$CB$3))</f>
        <v>0.75</v>
      </c>
      <c r="HE156" s="377">
        <f ca="1">IF(ISERROR(OFFSET(Initiatives!$D$1,M156-1,$CB$3)),,OFFSET(Initiatives!$D$1,M156-1,$CB$3))</f>
        <v>0.75</v>
      </c>
      <c r="HF156" s="377">
        <f ca="1">IF(ISERROR(OFFSET(Initiatives!$D$1,N156-1,$CB$3)),,OFFSET(Initiatives!$D$1,N156-1,$CB$3))</f>
        <v>0.75</v>
      </c>
      <c r="HG156" s="377">
        <f ca="1">IF(ISERROR(OFFSET(Initiatives!$D$1,O156-1,$CB$3)),,OFFSET(Initiatives!$D$1,O156-1,$CB$3))</f>
        <v>0.75</v>
      </c>
      <c r="HH156" s="377">
        <f ca="1">IF(ISERROR(OFFSET(Initiatives!$D$1,P156-1,$CB$3)),,OFFSET(Initiatives!$D$1,P156-1,$CB$3))</f>
        <v>0.8</v>
      </c>
      <c r="HI156" s="377">
        <f ca="1">IF(ISERROR(OFFSET(Initiatives!$D$1,Q156-1,$CB$3)),,OFFSET(Initiatives!$D$1,Q156-1,$CB$3))</f>
        <v>0.8</v>
      </c>
      <c r="HJ156" s="377">
        <f ca="1">IF(ISERROR(OFFSET(Initiatives!$D$1,R156-1,$CB$3)),,OFFSET(Initiatives!$D$1,R156-1,$CB$3))</f>
        <v>0.8</v>
      </c>
      <c r="HK156" s="377">
        <f ca="1">IF(ISERROR(OFFSET(Initiatives!$D$1,S156-1,$CB$3)),,OFFSET(Initiatives!$D$1,S156-1,$CB$3))</f>
        <v>0.8</v>
      </c>
      <c r="HL156" s="377">
        <f ca="1">IF(ISERROR(OFFSET(Initiatives!$D$1,T156-1,$CB$3)),,OFFSET(Initiatives!$D$1,T156-1,$CB$3))</f>
        <v>0.43181818181818177</v>
      </c>
      <c r="HM156" s="377">
        <f ca="1">IF(ISERROR(OFFSET(Initiatives!$D$1,U156-1,$CB$3)),,OFFSET(Initiatives!$D$1,U156-1,$CB$3))</f>
        <v>0</v>
      </c>
      <c r="HN156" s="377">
        <f ca="1">IF(ISERROR(OFFSET(Initiatives!$D$1,V156-1,$CB$3)),,OFFSET(Initiatives!$D$1,V156-1,$CB$3))</f>
        <v>0</v>
      </c>
      <c r="HO156" s="377">
        <f ca="1">IF(ISERROR(OFFSET(Initiatives!$D$1,W156-1,$CB$3)),,OFFSET(Initiatives!$D$1,W156-1,$CB$3))</f>
        <v>0</v>
      </c>
      <c r="HP156" s="377">
        <f ca="1">IF(ISERROR(OFFSET(Initiatives!$D$1,X156-1,$CB$3)),,OFFSET(Initiatives!$D$1,X156-1,$CB$3))</f>
        <v>0</v>
      </c>
      <c r="HR156" s="41">
        <f t="shared" ca="1" si="2666"/>
        <v>0</v>
      </c>
      <c r="HS156" s="41">
        <f t="shared" ca="1" si="2667"/>
        <v>0</v>
      </c>
      <c r="HT156" s="41">
        <f t="shared" ca="1" si="2668"/>
        <v>0</v>
      </c>
      <c r="HU156" s="41">
        <f t="shared" ca="1" si="2669"/>
        <v>0</v>
      </c>
      <c r="HV156" s="41">
        <f t="shared" ca="1" si="2670"/>
        <v>0</v>
      </c>
      <c r="HW156" s="41">
        <f t="shared" ca="1" si="2671"/>
        <v>0</v>
      </c>
      <c r="HX156" s="41">
        <f t="shared" ca="1" si="2672"/>
        <v>0</v>
      </c>
      <c r="HY156" s="41">
        <f t="shared" ca="1" si="2673"/>
        <v>0</v>
      </c>
      <c r="HZ156" s="41">
        <f t="shared" ca="1" si="2674"/>
        <v>0</v>
      </c>
      <c r="IA156" s="41">
        <f t="shared" ca="1" si="2675"/>
        <v>0.74999166675925821</v>
      </c>
      <c r="IB156" s="41">
        <f t="shared" ca="1" si="2676"/>
        <v>0</v>
      </c>
      <c r="IC156" s="41">
        <f t="shared" ca="1" si="2677"/>
        <v>0</v>
      </c>
      <c r="ID156" s="41">
        <f t="shared" ca="1" si="2678"/>
        <v>0</v>
      </c>
      <c r="IE156" s="41">
        <f t="shared" ca="1" si="2679"/>
        <v>1.2444306174375842E-2</v>
      </c>
      <c r="IF156" s="41">
        <f t="shared" ca="1" si="2680"/>
        <v>0</v>
      </c>
      <c r="IG156" s="41">
        <f t="shared" ca="1" si="2681"/>
        <v>0</v>
      </c>
      <c r="IH156" s="41">
        <f t="shared" ca="1" si="2682"/>
        <v>0</v>
      </c>
      <c r="II156" s="41">
        <f t="shared" ca="1" si="2683"/>
        <v>0</v>
      </c>
      <c r="IJ156" s="41">
        <f t="shared" ca="1" si="2684"/>
        <v>0</v>
      </c>
      <c r="IK156" s="41">
        <f t="shared" ca="1" si="2685"/>
        <v>0</v>
      </c>
      <c r="IL156" s="41">
        <f t="shared" ca="1" si="2686"/>
        <v>0.76243597293363408</v>
      </c>
    </row>
    <row r="157" spans="1:246" s="409" customFormat="1" ht="14.25" hidden="1" customHeight="1">
      <c r="B157" s="373"/>
      <c r="C157" s="81" t="str">
        <f>Maturity!B43</f>
        <v>To what degree has your group integrated UNSTRUCTURED DATA in the BI/DW environment?</v>
      </c>
      <c r="D157" s="404">
        <f t="shared" ca="1" si="2576"/>
        <v>7.6998460030799562E-2</v>
      </c>
      <c r="E157" s="374">
        <f>ROW(Initiatives!$A$183)</f>
        <v>183</v>
      </c>
      <c r="F157" s="374"/>
      <c r="G157" s="374"/>
      <c r="H157" s="374"/>
      <c r="I157" s="374"/>
      <c r="J157" s="374"/>
      <c r="K157" s="374"/>
      <c r="L157" s="374"/>
      <c r="M157" s="374"/>
      <c r="N157" s="374"/>
      <c r="O157" s="374"/>
      <c r="P157" s="374"/>
      <c r="Q157" s="374"/>
      <c r="R157" s="374"/>
      <c r="S157" s="374"/>
      <c r="T157" s="374"/>
      <c r="U157" s="374" t="s">
        <v>975</v>
      </c>
      <c r="V157" s="374" t="s">
        <v>975</v>
      </c>
      <c r="W157" s="374" t="s">
        <v>975</v>
      </c>
      <c r="X157" s="374" t="s">
        <v>975</v>
      </c>
      <c r="Y157" s="392" t="str">
        <f ca="1">OFFSET(Initiatives!$D$1,E157-1,$BS$3)</f>
        <v>Enhance DW Platform</v>
      </c>
      <c r="Z157" s="375">
        <v>5</v>
      </c>
      <c r="AA157" s="392" t="e">
        <f ca="1">OFFSET(Initiatives!$D$1,F157-1,$BS$3)</f>
        <v>#REF!</v>
      </c>
      <c r="AB157" s="375"/>
      <c r="AC157" s="392" t="e">
        <f ca="1">OFFSET(Initiatives!$D$1,G157-1,$BS$3)</f>
        <v>#REF!</v>
      </c>
      <c r="AD157" s="375"/>
      <c r="AE157" s="392" t="e">
        <f ca="1">OFFSET(Initiatives!$D$1,H157-1,$BS$3)</f>
        <v>#REF!</v>
      </c>
      <c r="AF157" s="375"/>
      <c r="AG157" s="392" t="e">
        <f ca="1">OFFSET(Initiatives!$D$1,I157-1,$BS$3)</f>
        <v>#REF!</v>
      </c>
      <c r="AH157" s="375"/>
      <c r="AI157" s="392" t="e">
        <f ca="1">OFFSET(Initiatives!$D$1,J157-1,$BS$3)</f>
        <v>#REF!</v>
      </c>
      <c r="AJ157" s="375"/>
      <c r="AK157" s="392" t="e">
        <f ca="1">OFFSET(Initiatives!$D$1,K157-1,$BS$3)</f>
        <v>#REF!</v>
      </c>
      <c r="AL157" s="375"/>
      <c r="AM157" s="392" t="e">
        <f ca="1">OFFSET(Initiatives!$D$1,L157-1,$BS$3)</f>
        <v>#REF!</v>
      </c>
      <c r="AN157" s="375"/>
      <c r="AO157" s="392" t="e">
        <f ca="1">OFFSET(Initiatives!$D$1,M157-1,$BS$3)</f>
        <v>#REF!</v>
      </c>
      <c r="AP157" s="375"/>
      <c r="AQ157" s="392" t="e">
        <f ca="1">OFFSET(Initiatives!$D$1,N157-1,$BS$3)</f>
        <v>#REF!</v>
      </c>
      <c r="AR157" s="375"/>
      <c r="AS157" s="392" t="e">
        <f ca="1">OFFSET(Initiatives!$D$1,O157-1,$BS$3)</f>
        <v>#REF!</v>
      </c>
      <c r="AT157" s="375"/>
      <c r="AU157" s="392" t="e">
        <f ca="1">OFFSET(Initiatives!$D$1,P157-1,$BS$3)</f>
        <v>#REF!</v>
      </c>
      <c r="AV157" s="375"/>
      <c r="AW157" s="392" t="e">
        <f ca="1">OFFSET(Initiatives!$D$1,Q157-1,$BS$3)</f>
        <v>#REF!</v>
      </c>
      <c r="AX157" s="375"/>
      <c r="AY157" s="392" t="e">
        <f ca="1">OFFSET(Initiatives!$D$1,R157-1,$BS$3)</f>
        <v>#REF!</v>
      </c>
      <c r="AZ157" s="375"/>
      <c r="BA157" s="392" t="e">
        <f ca="1">OFFSET(Initiatives!$D$1,S157-1,$BS$3)</f>
        <v>#REF!</v>
      </c>
      <c r="BB157" s="375"/>
      <c r="BC157" s="392" t="e">
        <f ca="1">OFFSET(Initiatives!$D$1,T157-1,$BS$3)</f>
        <v>#REF!</v>
      </c>
      <c r="BD157" s="375"/>
      <c r="BE157" s="392" t="e">
        <f ca="1">OFFSET(Initiatives!$D$1,U157-1,$BS$3)</f>
        <v>#VALUE!</v>
      </c>
      <c r="BF157" s="375"/>
      <c r="BG157" s="392" t="e">
        <f ca="1">OFFSET(Initiatives!$D$1,V157-1,$BS$3)</f>
        <v>#VALUE!</v>
      </c>
      <c r="BH157" s="375"/>
      <c r="BI157" s="392" t="e">
        <f ca="1">OFFSET(Initiatives!$D$1,W157-1,$BS$3)</f>
        <v>#VALUE!</v>
      </c>
      <c r="BJ157" s="375"/>
      <c r="BK157" s="392" t="e">
        <f ca="1">OFFSET(Initiatives!$D$1,X157-1,$BS$3)</f>
        <v>#VALUE!</v>
      </c>
      <c r="BL157" s="375"/>
      <c r="BN157" s="101">
        <f t="shared" si="2577"/>
        <v>5.0000999999999998</v>
      </c>
      <c r="BP157" s="231" t="str">
        <f t="shared" ca="1" si="2578"/>
        <v>Enhance DW Platform (100%)</v>
      </c>
      <c r="BQ157" s="338">
        <v>0.01</v>
      </c>
      <c r="BR157" s="40">
        <f t="shared" ca="1" si="2579"/>
        <v>1</v>
      </c>
      <c r="BS157" s="274">
        <v>0.05</v>
      </c>
      <c r="BT157" s="40">
        <f t="shared" ca="1" si="2580"/>
        <v>1</v>
      </c>
      <c r="BU157" s="376">
        <v>7</v>
      </c>
      <c r="BV157" s="40">
        <f t="shared" ca="1" si="2581"/>
        <v>1</v>
      </c>
      <c r="BY157" s="377">
        <f ca="1">IF(ISERROR(OFFSET(Initiatives!$D$1,E157-1,$BY$3)),,OFFSET(Initiatives!$D$1,E157-1,$BY$3))</f>
        <v>7.7000000000000179E-2</v>
      </c>
      <c r="BZ157" s="377">
        <f ca="1">IF(ISERROR(OFFSET(Initiatives!$D$1,F157-1,$BY$3)),,OFFSET(Initiatives!$D$1,F157-1,$BY$3))</f>
        <v>0</v>
      </c>
      <c r="CA157" s="377">
        <f ca="1">IF(ISERROR(OFFSET(Initiatives!$D$1,G157-1,$BY$3)),,OFFSET(Initiatives!$D$1,G157-1,$BY$3))</f>
        <v>0</v>
      </c>
      <c r="CB157" s="377">
        <f ca="1">IF(ISERROR(OFFSET(Initiatives!$D$1,H157-1,$BY$3)),,OFFSET(Initiatives!$D$1,H157-1,$BY$3))</f>
        <v>0</v>
      </c>
      <c r="CC157" s="377">
        <f ca="1">IF(ISERROR(OFFSET(Initiatives!$D$1,I157-1,$BY$3)),,OFFSET(Initiatives!$D$1,I157-1,$BY$3))</f>
        <v>0</v>
      </c>
      <c r="CD157" s="377">
        <f ca="1">IF(ISERROR(OFFSET(Initiatives!$D$1,J157-1,$BY$3)),,OFFSET(Initiatives!$D$1,J157-1,$BY$3))</f>
        <v>0</v>
      </c>
      <c r="CE157" s="377">
        <f ca="1">IF(ISERROR(OFFSET(Initiatives!$D$1,K157-1,$BY$3)),,OFFSET(Initiatives!$D$1,K157-1,$BY$3))</f>
        <v>0</v>
      </c>
      <c r="CF157" s="377">
        <f ca="1">IF(ISERROR(OFFSET(Initiatives!$D$1,L157-1,$BY$3)),,OFFSET(Initiatives!$D$1,L157-1,$BY$3))</f>
        <v>0</v>
      </c>
      <c r="CG157" s="377">
        <f ca="1">IF(ISERROR(OFFSET(Initiatives!$D$1,M157-1,$BY$3)),,OFFSET(Initiatives!$D$1,M157-1,$BY$3))</f>
        <v>0</v>
      </c>
      <c r="CH157" s="377">
        <f ca="1">IF(ISERROR(OFFSET(Initiatives!$D$1,N157-1,$BY$3)),,OFFSET(Initiatives!$D$1,N157-1,$BY$3))</f>
        <v>0</v>
      </c>
      <c r="CI157" s="377">
        <f ca="1">IF(ISERROR(OFFSET(Initiatives!$D$1,O157-1,$BY$3)),,OFFSET(Initiatives!$D$1,O157-1,$BY$3))</f>
        <v>0</v>
      </c>
      <c r="CJ157" s="377">
        <f ca="1">IF(ISERROR(OFFSET(Initiatives!$D$1,P157-1,$BY$3)),,OFFSET(Initiatives!$D$1,P157-1,$BY$3))</f>
        <v>0</v>
      </c>
      <c r="CK157" s="377">
        <f ca="1">IF(ISERROR(OFFSET(Initiatives!$D$1,Q157-1,$BY$3)),,OFFSET(Initiatives!$D$1,Q157-1,$BY$3))</f>
        <v>0</v>
      </c>
      <c r="CL157" s="377">
        <f ca="1">IF(ISERROR(OFFSET(Initiatives!$D$1,R157-1,$BY$3)),,OFFSET(Initiatives!$D$1,R157-1,$BY$3))</f>
        <v>0</v>
      </c>
      <c r="CM157" s="377">
        <f ca="1">IF(ISERROR(OFFSET(Initiatives!$D$1,S157-1,$BY$3)),,OFFSET(Initiatives!$D$1,S157-1,$BY$3))</f>
        <v>0</v>
      </c>
      <c r="CN157" s="377">
        <f ca="1">IF(ISERROR(OFFSET(Initiatives!$D$1,T157-1,$BY$3)),,OFFSET(Initiatives!$D$1,T157-1,$BY$3))</f>
        <v>0</v>
      </c>
      <c r="CO157" s="377">
        <f ca="1">IF(ISERROR(OFFSET(Initiatives!$D$1,U157-1,$BY$3)),,OFFSET(Initiatives!$D$1,U157-1,$BY$3))</f>
        <v>0</v>
      </c>
      <c r="CP157" s="377">
        <f ca="1">IF(ISERROR(OFFSET(Initiatives!$D$1,V157-1,$BY$3)),,OFFSET(Initiatives!$D$1,V157-1,$BY$3))</f>
        <v>0</v>
      </c>
      <c r="CQ157" s="377">
        <f ca="1">IF(ISERROR(OFFSET(Initiatives!$D$1,W157-1,$BY$3)),,OFFSET(Initiatives!$D$1,W157-1,$BY$3))</f>
        <v>0</v>
      </c>
      <c r="CR157" s="377">
        <f ca="1">IF(ISERROR(OFFSET(Initiatives!$D$1,X157-1,$BY$3)),,OFFSET(Initiatives!$D$1,X157-1,$BY$3))</f>
        <v>0</v>
      </c>
      <c r="CT157" s="41">
        <f t="shared" ca="1" si="2582"/>
        <v>7.6998460030799562E-2</v>
      </c>
      <c r="CU157" s="41">
        <f t="shared" ca="1" si="2583"/>
        <v>0</v>
      </c>
      <c r="CV157" s="41">
        <f t="shared" ca="1" si="2584"/>
        <v>0</v>
      </c>
      <c r="CW157" s="41">
        <f t="shared" ca="1" si="2585"/>
        <v>0</v>
      </c>
      <c r="CX157" s="41">
        <f t="shared" ca="1" si="2586"/>
        <v>0</v>
      </c>
      <c r="CY157" s="41">
        <f t="shared" ca="1" si="2587"/>
        <v>0</v>
      </c>
      <c r="CZ157" s="41">
        <f t="shared" ca="1" si="2588"/>
        <v>0</v>
      </c>
      <c r="DA157" s="41">
        <f t="shared" ca="1" si="2589"/>
        <v>0</v>
      </c>
      <c r="DB157" s="41">
        <f t="shared" ca="1" si="2590"/>
        <v>0</v>
      </c>
      <c r="DC157" s="41">
        <f t="shared" ca="1" si="2591"/>
        <v>0</v>
      </c>
      <c r="DD157" s="41">
        <f t="shared" ca="1" si="2592"/>
        <v>0</v>
      </c>
      <c r="DE157" s="41">
        <f t="shared" ca="1" si="2593"/>
        <v>0</v>
      </c>
      <c r="DF157" s="41">
        <f t="shared" ca="1" si="2594"/>
        <v>0</v>
      </c>
      <c r="DG157" s="41">
        <f t="shared" ca="1" si="2595"/>
        <v>0</v>
      </c>
      <c r="DH157" s="41">
        <f t="shared" ca="1" si="2596"/>
        <v>0</v>
      </c>
      <c r="DI157" s="41">
        <f t="shared" ca="1" si="2597"/>
        <v>0</v>
      </c>
      <c r="DJ157" s="41">
        <f t="shared" ca="1" si="2598"/>
        <v>0</v>
      </c>
      <c r="DK157" s="41">
        <f t="shared" ca="1" si="2599"/>
        <v>0</v>
      </c>
      <c r="DL157" s="41">
        <f t="shared" ca="1" si="2600"/>
        <v>0</v>
      </c>
      <c r="DM157" s="41">
        <f t="shared" ca="1" si="2601"/>
        <v>0</v>
      </c>
      <c r="DN157" s="41">
        <f t="shared" ca="1" si="2602"/>
        <v>7.6998460030799562E-2</v>
      </c>
      <c r="DP157" s="41">
        <f t="shared" ca="1" si="2603"/>
        <v>0.99999000000000005</v>
      </c>
      <c r="DQ157" s="41">
        <f t="shared" ca="1" si="2604"/>
        <v>-2.0000000000000002E-5</v>
      </c>
      <c r="DR157" s="41">
        <f t="shared" ca="1" si="2605"/>
        <v>-3.0000000000000001E-5</v>
      </c>
      <c r="DS157" s="41">
        <f t="shared" ca="1" si="2606"/>
        <v>-4.0000000000000003E-5</v>
      </c>
      <c r="DT157" s="41">
        <f t="shared" ca="1" si="2607"/>
        <v>-5.0000000000000002E-5</v>
      </c>
      <c r="DU157" s="41">
        <f t="shared" ca="1" si="2608"/>
        <v>-6.0000000000000002E-5</v>
      </c>
      <c r="DV157" s="41">
        <f t="shared" ca="1" si="2609"/>
        <v>-6.9999999999999994E-5</v>
      </c>
      <c r="DW157" s="41">
        <f t="shared" ca="1" si="2610"/>
        <v>-8.0000000000000007E-5</v>
      </c>
      <c r="DX157" s="41">
        <f t="shared" ca="1" si="2611"/>
        <v>-9.0000000000000006E-5</v>
      </c>
      <c r="DY157" s="41">
        <f t="shared" ca="1" si="2612"/>
        <v>-1E-4</v>
      </c>
      <c r="DZ157" s="41">
        <f t="shared" ca="1" si="2613"/>
        <v>-1.1E-4</v>
      </c>
      <c r="EA157" s="41">
        <f t="shared" ca="1" si="2614"/>
        <v>-1.2E-4</v>
      </c>
      <c r="EB157" s="41">
        <f t="shared" ca="1" si="2615"/>
        <v>-1.2999999999999999E-4</v>
      </c>
      <c r="EC157" s="41">
        <f t="shared" ca="1" si="2616"/>
        <v>-1.3999999999999999E-4</v>
      </c>
      <c r="ED157" s="41">
        <f t="shared" ca="1" si="2617"/>
        <v>-1.4999999999999999E-4</v>
      </c>
      <c r="EE157" s="41">
        <f t="shared" ca="1" si="2618"/>
        <v>-1.6000000000000001E-4</v>
      </c>
      <c r="EF157" s="41">
        <f t="shared" ca="1" si="2619"/>
        <v>-1.7000000000000001E-4</v>
      </c>
      <c r="EG157" s="41">
        <f t="shared" ca="1" si="2620"/>
        <v>-1.8000000000000001E-4</v>
      </c>
      <c r="EH157" s="41">
        <f t="shared" ca="1" si="2621"/>
        <v>-1.9000000000000001E-4</v>
      </c>
      <c r="EI157" s="41">
        <f t="shared" ca="1" si="2622"/>
        <v>-2.0000000000000001E-4</v>
      </c>
      <c r="EJ157" s="41">
        <f t="shared" ca="1" si="2623"/>
        <v>0.99790000000000001</v>
      </c>
      <c r="EL157" s="378">
        <f t="shared" ca="1" si="2624"/>
        <v>1</v>
      </c>
      <c r="EM157" s="378">
        <f t="shared" ca="1" si="2625"/>
        <v>2</v>
      </c>
      <c r="EN157" s="378">
        <f t="shared" ca="1" si="2626"/>
        <v>3</v>
      </c>
      <c r="EO157" s="378">
        <f t="shared" ca="1" si="2627"/>
        <v>4</v>
      </c>
      <c r="EP157" s="378">
        <f t="shared" ca="1" si="2628"/>
        <v>5</v>
      </c>
      <c r="EQ157" s="378">
        <f t="shared" ca="1" si="2629"/>
        <v>6</v>
      </c>
      <c r="ER157" s="378">
        <f t="shared" ca="1" si="2630"/>
        <v>7</v>
      </c>
      <c r="ES157" s="378">
        <f t="shared" ca="1" si="2631"/>
        <v>8</v>
      </c>
      <c r="ET157" s="378">
        <f t="shared" ca="1" si="2632"/>
        <v>9</v>
      </c>
      <c r="EU157" s="378">
        <f t="shared" ca="1" si="2633"/>
        <v>10</v>
      </c>
      <c r="EV157" s="378">
        <f t="shared" ca="1" si="2634"/>
        <v>11</v>
      </c>
      <c r="EW157" s="378">
        <f t="shared" ca="1" si="2635"/>
        <v>12</v>
      </c>
      <c r="EX157" s="378">
        <f t="shared" ca="1" si="2636"/>
        <v>13</v>
      </c>
      <c r="EY157" s="378">
        <f t="shared" ca="1" si="2637"/>
        <v>14</v>
      </c>
      <c r="EZ157" s="378">
        <f t="shared" ca="1" si="2638"/>
        <v>15</v>
      </c>
      <c r="FA157" s="378">
        <f t="shared" ca="1" si="2639"/>
        <v>16</v>
      </c>
      <c r="FB157" s="378">
        <f t="shared" ca="1" si="2640"/>
        <v>17</v>
      </c>
      <c r="FC157" s="378">
        <f t="shared" ca="1" si="2641"/>
        <v>18</v>
      </c>
      <c r="FD157" s="378">
        <f t="shared" ca="1" si="2642"/>
        <v>19</v>
      </c>
      <c r="FE157" s="378">
        <f t="shared" ca="1" si="2643"/>
        <v>20</v>
      </c>
      <c r="FG157" s="378">
        <f t="shared" ca="1" si="2644"/>
        <v>1</v>
      </c>
      <c r="FH157" s="378">
        <f t="shared" ca="1" si="2644"/>
        <v>2</v>
      </c>
      <c r="FI157" s="378">
        <f t="shared" ca="1" si="2644"/>
        <v>3</v>
      </c>
      <c r="FJ157" s="378">
        <f t="shared" ca="1" si="2644"/>
        <v>4</v>
      </c>
      <c r="FK157" s="378">
        <f t="shared" ca="1" si="2644"/>
        <v>5</v>
      </c>
      <c r="FL157" s="378">
        <f t="shared" ca="1" si="2644"/>
        <v>6</v>
      </c>
      <c r="FM157" s="378">
        <f t="shared" ca="1" si="2644"/>
        <v>7</v>
      </c>
      <c r="FN157" s="378">
        <f t="shared" ca="1" si="2644"/>
        <v>8</v>
      </c>
      <c r="FO157" s="378">
        <f t="shared" ca="1" si="2644"/>
        <v>9</v>
      </c>
      <c r="FP157" s="378">
        <f t="shared" ca="1" si="2644"/>
        <v>10</v>
      </c>
      <c r="FQ157" s="378">
        <f t="shared" ca="1" si="2644"/>
        <v>11</v>
      </c>
      <c r="FR157" s="378">
        <f t="shared" ca="1" si="2644"/>
        <v>12</v>
      </c>
      <c r="FS157" s="378">
        <f t="shared" ca="1" si="2644"/>
        <v>13</v>
      </c>
      <c r="FT157" s="378">
        <f t="shared" ca="1" si="2644"/>
        <v>14</v>
      </c>
      <c r="FU157" s="378">
        <f t="shared" ca="1" si="2644"/>
        <v>15</v>
      </c>
      <c r="FV157" s="378">
        <f t="shared" ca="1" si="2644"/>
        <v>16</v>
      </c>
      <c r="FW157" s="378">
        <f t="shared" ca="1" si="2645"/>
        <v>17</v>
      </c>
      <c r="FX157" s="378">
        <f t="shared" ca="1" si="2645"/>
        <v>18</v>
      </c>
      <c r="FY157" s="378">
        <f t="shared" ca="1" si="2645"/>
        <v>19</v>
      </c>
      <c r="FZ157" s="378">
        <f t="shared" ca="1" si="2645"/>
        <v>20</v>
      </c>
      <c r="GB157" s="275" t="str">
        <f t="shared" ca="1" si="2646"/>
        <v>Enhance DW Platform (100%)</v>
      </c>
      <c r="GC157" s="231" t="str">
        <f t="shared" ca="1" si="2647"/>
        <v/>
      </c>
      <c r="GD157" s="231" t="str">
        <f t="shared" ca="1" si="2648"/>
        <v/>
      </c>
      <c r="GE157" s="231" t="str">
        <f t="shared" ca="1" si="2649"/>
        <v/>
      </c>
      <c r="GF157" s="231" t="str">
        <f t="shared" ca="1" si="2650"/>
        <v/>
      </c>
      <c r="GG157" s="231" t="str">
        <f t="shared" ca="1" si="2651"/>
        <v/>
      </c>
      <c r="GH157" s="231" t="str">
        <f t="shared" ca="1" si="2652"/>
        <v/>
      </c>
      <c r="GI157" s="231" t="str">
        <f t="shared" ca="1" si="2653"/>
        <v/>
      </c>
      <c r="GJ157" s="231" t="str">
        <f t="shared" ca="1" si="2654"/>
        <v/>
      </c>
      <c r="GK157" s="231" t="str">
        <f t="shared" ca="1" si="2655"/>
        <v/>
      </c>
      <c r="GL157" s="231" t="str">
        <f t="shared" ca="1" si="2656"/>
        <v/>
      </c>
      <c r="GM157" s="231" t="str">
        <f t="shared" ca="1" si="2657"/>
        <v/>
      </c>
      <c r="GN157" s="231" t="str">
        <f t="shared" ca="1" si="2658"/>
        <v/>
      </c>
      <c r="GO157" s="231" t="str">
        <f t="shared" ca="1" si="2659"/>
        <v/>
      </c>
      <c r="GP157" s="231" t="str">
        <f t="shared" ca="1" si="2660"/>
        <v/>
      </c>
      <c r="GQ157" s="231" t="str">
        <f t="shared" ca="1" si="2661"/>
        <v/>
      </c>
      <c r="GR157" s="231" t="str">
        <f t="shared" ca="1" si="2662"/>
        <v/>
      </c>
      <c r="GS157" s="231" t="str">
        <f t="shared" ca="1" si="2663"/>
        <v/>
      </c>
      <c r="GT157" s="231" t="str">
        <f t="shared" ca="1" si="2664"/>
        <v/>
      </c>
      <c r="GU157" s="231" t="str">
        <f t="shared" ca="1" si="2665"/>
        <v/>
      </c>
      <c r="GW157" s="377">
        <f ca="1">IF(ISERROR(OFFSET(Initiatives!$D$1,E157-1,$CB$3)),,OFFSET(Initiatives!$D$1,E157-1,$CB$3))</f>
        <v>0.77</v>
      </c>
      <c r="GX157" s="377">
        <f ca="1">IF(ISERROR(OFFSET(Initiatives!$D$1,F157-1,$CB$3)),,OFFSET(Initiatives!$D$1,F157-1,$CB$3))</f>
        <v>0</v>
      </c>
      <c r="GY157" s="377">
        <f ca="1">IF(ISERROR(OFFSET(Initiatives!$D$1,G157-1,$CB$3)),,OFFSET(Initiatives!$D$1,G157-1,$CB$3))</f>
        <v>0</v>
      </c>
      <c r="GZ157" s="377">
        <f ca="1">IF(ISERROR(OFFSET(Initiatives!$D$1,H157-1,$CB$3)),,OFFSET(Initiatives!$D$1,H157-1,$CB$3))</f>
        <v>0</v>
      </c>
      <c r="HA157" s="377">
        <f ca="1">IF(ISERROR(OFFSET(Initiatives!$D$1,I157-1,$CB$3)),,OFFSET(Initiatives!$D$1,I157-1,$CB$3))</f>
        <v>0</v>
      </c>
      <c r="HB157" s="377">
        <f ca="1">IF(ISERROR(OFFSET(Initiatives!$D$1,J157-1,$CB$3)),,OFFSET(Initiatives!$D$1,J157-1,$CB$3))</f>
        <v>0</v>
      </c>
      <c r="HC157" s="377">
        <f ca="1">IF(ISERROR(OFFSET(Initiatives!$D$1,K157-1,$CB$3)),,OFFSET(Initiatives!$D$1,K157-1,$CB$3))</f>
        <v>0</v>
      </c>
      <c r="HD157" s="377">
        <f ca="1">IF(ISERROR(OFFSET(Initiatives!$D$1,L157-1,$CB$3)),,OFFSET(Initiatives!$D$1,L157-1,$CB$3))</f>
        <v>0</v>
      </c>
      <c r="HE157" s="377">
        <f ca="1">IF(ISERROR(OFFSET(Initiatives!$D$1,M157-1,$CB$3)),,OFFSET(Initiatives!$D$1,M157-1,$CB$3))</f>
        <v>0</v>
      </c>
      <c r="HF157" s="377">
        <f ca="1">IF(ISERROR(OFFSET(Initiatives!$D$1,N157-1,$CB$3)),,OFFSET(Initiatives!$D$1,N157-1,$CB$3))</f>
        <v>0</v>
      </c>
      <c r="HG157" s="377">
        <f ca="1">IF(ISERROR(OFFSET(Initiatives!$D$1,O157-1,$CB$3)),,OFFSET(Initiatives!$D$1,O157-1,$CB$3))</f>
        <v>0</v>
      </c>
      <c r="HH157" s="377">
        <f ca="1">IF(ISERROR(OFFSET(Initiatives!$D$1,P157-1,$CB$3)),,OFFSET(Initiatives!$D$1,P157-1,$CB$3))</f>
        <v>0</v>
      </c>
      <c r="HI157" s="377">
        <f ca="1">IF(ISERROR(OFFSET(Initiatives!$D$1,Q157-1,$CB$3)),,OFFSET(Initiatives!$D$1,Q157-1,$CB$3))</f>
        <v>0</v>
      </c>
      <c r="HJ157" s="377">
        <f ca="1">IF(ISERROR(OFFSET(Initiatives!$D$1,R157-1,$CB$3)),,OFFSET(Initiatives!$D$1,R157-1,$CB$3))</f>
        <v>0</v>
      </c>
      <c r="HK157" s="377">
        <f ca="1">IF(ISERROR(OFFSET(Initiatives!$D$1,S157-1,$CB$3)),,OFFSET(Initiatives!$D$1,S157-1,$CB$3))</f>
        <v>0</v>
      </c>
      <c r="HL157" s="377">
        <f ca="1">IF(ISERROR(OFFSET(Initiatives!$D$1,T157-1,$CB$3)),,OFFSET(Initiatives!$D$1,T157-1,$CB$3))</f>
        <v>0</v>
      </c>
      <c r="HM157" s="377">
        <f ca="1">IF(ISERROR(OFFSET(Initiatives!$D$1,U157-1,$CB$3)),,OFFSET(Initiatives!$D$1,U157-1,$CB$3))</f>
        <v>0</v>
      </c>
      <c r="HN157" s="377">
        <f ca="1">IF(ISERROR(OFFSET(Initiatives!$D$1,V157-1,$CB$3)),,OFFSET(Initiatives!$D$1,V157-1,$CB$3))</f>
        <v>0</v>
      </c>
      <c r="HO157" s="377">
        <f ca="1">IF(ISERROR(OFFSET(Initiatives!$D$1,W157-1,$CB$3)),,OFFSET(Initiatives!$D$1,W157-1,$CB$3))</f>
        <v>0</v>
      </c>
      <c r="HP157" s="377">
        <f ca="1">IF(ISERROR(OFFSET(Initiatives!$D$1,X157-1,$CB$3)),,OFFSET(Initiatives!$D$1,X157-1,$CB$3))</f>
        <v>0</v>
      </c>
      <c r="HR157" s="41">
        <f t="shared" ca="1" si="2666"/>
        <v>0.76998460030799387</v>
      </c>
      <c r="HS157" s="41">
        <f t="shared" ca="1" si="2667"/>
        <v>0</v>
      </c>
      <c r="HT157" s="41">
        <f t="shared" ca="1" si="2668"/>
        <v>0</v>
      </c>
      <c r="HU157" s="41">
        <f t="shared" ca="1" si="2669"/>
        <v>0</v>
      </c>
      <c r="HV157" s="41">
        <f t="shared" ca="1" si="2670"/>
        <v>0</v>
      </c>
      <c r="HW157" s="41">
        <f t="shared" ca="1" si="2671"/>
        <v>0</v>
      </c>
      <c r="HX157" s="41">
        <f t="shared" ca="1" si="2672"/>
        <v>0</v>
      </c>
      <c r="HY157" s="41">
        <f t="shared" ca="1" si="2673"/>
        <v>0</v>
      </c>
      <c r="HZ157" s="41">
        <f t="shared" ca="1" si="2674"/>
        <v>0</v>
      </c>
      <c r="IA157" s="41">
        <f t="shared" ca="1" si="2675"/>
        <v>0</v>
      </c>
      <c r="IB157" s="41">
        <f t="shared" ca="1" si="2676"/>
        <v>0</v>
      </c>
      <c r="IC157" s="41">
        <f t="shared" ca="1" si="2677"/>
        <v>0</v>
      </c>
      <c r="ID157" s="41">
        <f t="shared" ca="1" si="2678"/>
        <v>0</v>
      </c>
      <c r="IE157" s="41">
        <f t="shared" ca="1" si="2679"/>
        <v>0</v>
      </c>
      <c r="IF157" s="41">
        <f t="shared" ca="1" si="2680"/>
        <v>0</v>
      </c>
      <c r="IG157" s="41">
        <f t="shared" ca="1" si="2681"/>
        <v>0</v>
      </c>
      <c r="IH157" s="41">
        <f t="shared" ca="1" si="2682"/>
        <v>0</v>
      </c>
      <c r="II157" s="41">
        <f t="shared" ca="1" si="2683"/>
        <v>0</v>
      </c>
      <c r="IJ157" s="41">
        <f t="shared" ca="1" si="2684"/>
        <v>0</v>
      </c>
      <c r="IK157" s="41">
        <f t="shared" ca="1" si="2685"/>
        <v>0</v>
      </c>
      <c r="IL157" s="41">
        <f t="shared" ca="1" si="2686"/>
        <v>0.76998460030799387</v>
      </c>
    </row>
    <row r="158" spans="1:246" s="409" customFormat="1" ht="14.25" hidden="1" customHeight="1">
      <c r="B158" s="373"/>
      <c r="C158" s="81" t="str">
        <f>Maturity!B44</f>
        <v>Which best describes the degree of synchronization among the DATA MODELS below that your group maintains? - ETL source and target models - Data warehouse and data mart models - BI semantic or query object models</v>
      </c>
      <c r="D158" s="404">
        <f t="shared" ca="1" si="2576"/>
        <v>9.9998888901234415E-2</v>
      </c>
      <c r="E158" s="374">
        <f>ROW(Initiatives!$A$100)</f>
        <v>100</v>
      </c>
      <c r="F158" s="374">
        <f>ROW(Initiatives!$A$101)</f>
        <v>101</v>
      </c>
      <c r="G158" s="374">
        <f>ROW(Initiatives!$A$102)</f>
        <v>102</v>
      </c>
      <c r="H158" s="374">
        <f>ROW(Initiatives!$A$103)</f>
        <v>103</v>
      </c>
      <c r="I158" s="374">
        <f>ROW(Initiatives!$A$106)</f>
        <v>106</v>
      </c>
      <c r="J158" s="374">
        <f>ROW(Initiatives!$A$107)</f>
        <v>107</v>
      </c>
      <c r="K158" s="374">
        <f>ROW(Initiatives!$A$108)</f>
        <v>108</v>
      </c>
      <c r="L158" s="374">
        <f>ROW(Initiatives!$A$109)</f>
        <v>109</v>
      </c>
      <c r="M158" s="374">
        <f>ROW(Initiatives!$A$112)</f>
        <v>112</v>
      </c>
      <c r="N158" s="374">
        <f>ROW(Initiatives!$A$113)</f>
        <v>113</v>
      </c>
      <c r="O158" s="374">
        <f>ROW(Initiatives!$A$114)</f>
        <v>114</v>
      </c>
      <c r="P158" s="374">
        <f>ROW(Initiatives!$A$117)</f>
        <v>117</v>
      </c>
      <c r="Q158" s="374">
        <f>ROW(Initiatives!$A$118)</f>
        <v>118</v>
      </c>
      <c r="R158" s="374">
        <f>ROW(Initiatives!$A$119)</f>
        <v>119</v>
      </c>
      <c r="S158" s="374">
        <f>ROW(Initiatives!$A$120)</f>
        <v>120</v>
      </c>
      <c r="T158" s="374">
        <f>ROW(Initiatives!$A$176)</f>
        <v>176</v>
      </c>
      <c r="U158" s="374" t="s">
        <v>975</v>
      </c>
      <c r="V158" s="374" t="s">
        <v>975</v>
      </c>
      <c r="W158" s="374" t="s">
        <v>975</v>
      </c>
      <c r="X158" s="374" t="s">
        <v>975</v>
      </c>
      <c r="Y158" s="392" t="str">
        <f ca="1">OFFSET(Initiatives!$D$1,E158-1,$BS$3)</f>
        <v>Governance</v>
      </c>
      <c r="Z158" s="375"/>
      <c r="AA158" s="392" t="str">
        <f ca="1">OFFSET(Initiatives!$D$1,F158-1,$BS$3)</f>
        <v>Architecture</v>
      </c>
      <c r="AB158" s="375"/>
      <c r="AC158" s="392" t="str">
        <f ca="1">OFFSET(Initiatives!$D$1,G158-1,$BS$3)</f>
        <v>Robust security</v>
      </c>
      <c r="AD158" s="375"/>
      <c r="AE158" s="392" t="str">
        <f ca="1">OFFSET(Initiatives!$D$1,H158-1,$BS$3)</f>
        <v>Architecture Standards &amp; Adherence</v>
      </c>
      <c r="AF158" s="375"/>
      <c r="AG158" s="392" t="str">
        <f ca="1">OFFSET(Initiatives!$D$1,I158-1,$BS$3)</f>
        <v>Metadata definitions</v>
      </c>
      <c r="AH158" s="375"/>
      <c r="AI158" s="392" t="str">
        <f ca="1">OFFSET(Initiatives!$D$1,J158-1,$BS$3)</f>
        <v>Metadata management</v>
      </c>
      <c r="AJ158" s="375"/>
      <c r="AK158" s="392" t="str">
        <f ca="1">OFFSET(Initiatives!$D$1,K158-1,$BS$3)</f>
        <v>High data quality</v>
      </c>
      <c r="AL158" s="375"/>
      <c r="AM158" s="392" t="str">
        <f ca="1">OFFSET(Initiatives!$D$1,L158-1,$BS$3)</f>
        <v>Data Management</v>
      </c>
      <c r="AN158" s="375"/>
      <c r="AO158" s="392" t="str">
        <f ca="1">OFFSET(Initiatives!$D$1,M158-1,$BS$3)</f>
        <v>Automated DW synchronization</v>
      </c>
      <c r="AP158" s="375">
        <v>9</v>
      </c>
      <c r="AQ158" s="392" t="str">
        <f ca="1">OFFSET(Initiatives!$D$1,N158-1,$BS$3)</f>
        <v>DW refresh rate</v>
      </c>
      <c r="AR158" s="375"/>
      <c r="AS158" s="392" t="str">
        <f ca="1">OFFSET(Initiatives!$D$1,O158-1,$BS$3)</f>
        <v>Data Integration/ETL</v>
      </c>
      <c r="AT158" s="375"/>
      <c r="AU158" s="392" t="str">
        <f ca="1">OFFSET(Initiatives!$D$1,P158-1,$BS$3)</f>
        <v>Standardized data marts</v>
      </c>
      <c r="AV158" s="375"/>
      <c r="AW158" s="392" t="str">
        <f ca="1">OFFSET(Initiatives!$D$1,Q158-1,$BS$3)</f>
        <v>A single, central DW</v>
      </c>
      <c r="AX158" s="375"/>
      <c r="AY158" s="392" t="str">
        <f ca="1">OFFSET(Initiatives!$D$1,R158-1,$BS$3)</f>
        <v>High performance/reliability infrastructure</v>
      </c>
      <c r="AZ158" s="375"/>
      <c r="BA158" s="392" t="str">
        <f ca="1">OFFSET(Initiatives!$D$1,S158-1,$BS$3)</f>
        <v>Data Warehouse / Data Marts</v>
      </c>
      <c r="BB158" s="375"/>
      <c r="BC158" s="392" t="str">
        <f ca="1">OFFSET(Initiatives!$D$1,T158-1,$BS$3)</f>
        <v>Source System Inclusion / Integration</v>
      </c>
      <c r="BD158" s="375"/>
      <c r="BE158" s="392" t="e">
        <f ca="1">OFFSET(Initiatives!$D$1,U158-1,$BS$3)</f>
        <v>#VALUE!</v>
      </c>
      <c r="BF158" s="375"/>
      <c r="BG158" s="392" t="e">
        <f ca="1">OFFSET(Initiatives!$D$1,V158-1,$BS$3)</f>
        <v>#VALUE!</v>
      </c>
      <c r="BH158" s="375"/>
      <c r="BI158" s="392" t="e">
        <f ca="1">OFFSET(Initiatives!$D$1,W158-1,$BS$3)</f>
        <v>#VALUE!</v>
      </c>
      <c r="BJ158" s="375"/>
      <c r="BK158" s="392" t="e">
        <f ca="1">OFFSET(Initiatives!$D$1,X158-1,$BS$3)</f>
        <v>#VALUE!</v>
      </c>
      <c r="BL158" s="375"/>
      <c r="BN158" s="101">
        <f t="shared" si="2577"/>
        <v>9.0000999999999998</v>
      </c>
      <c r="BP158" s="231" t="str">
        <f t="shared" ca="1" si="2578"/>
        <v>Automated DW synchronization (100%)</v>
      </c>
      <c r="BQ158" s="338">
        <v>0.01</v>
      </c>
      <c r="BR158" s="40">
        <f t="shared" ca="1" si="2579"/>
        <v>1</v>
      </c>
      <c r="BS158" s="274">
        <v>0.05</v>
      </c>
      <c r="BT158" s="40">
        <f t="shared" ca="1" si="2580"/>
        <v>1</v>
      </c>
      <c r="BU158" s="376">
        <v>7</v>
      </c>
      <c r="BV158" s="40">
        <f t="shared" ca="1" si="2581"/>
        <v>1</v>
      </c>
      <c r="BY158" s="377">
        <f ca="1">IF(ISERROR(OFFSET(Initiatives!$D$1,E158-1,$BY$3)),,OFFSET(Initiatives!$D$1,E158-1,$BY$3))</f>
        <v>0.14000000000000001</v>
      </c>
      <c r="BZ158" s="377">
        <f ca="1">IF(ISERROR(OFFSET(Initiatives!$D$1,F158-1,$BY$3)),,OFFSET(Initiatives!$D$1,F158-1,$BY$3))</f>
        <v>0.14000000000000001</v>
      </c>
      <c r="CA158" s="377">
        <f ca="1">IF(ISERROR(OFFSET(Initiatives!$D$1,G158-1,$BY$3)),,OFFSET(Initiatives!$D$1,G158-1,$BY$3))</f>
        <v>0.14000000000000001</v>
      </c>
      <c r="CB158" s="377">
        <f ca="1">IF(ISERROR(OFFSET(Initiatives!$D$1,H158-1,$BY$3)),,OFFSET(Initiatives!$D$1,H158-1,$BY$3))</f>
        <v>0.14000000000000012</v>
      </c>
      <c r="CC158" s="377">
        <f ca="1">IF(ISERROR(OFFSET(Initiatives!$D$1,I158-1,$BY$3)),,OFFSET(Initiatives!$D$1,I158-1,$BY$3))</f>
        <v>9.9999999999999978E-2</v>
      </c>
      <c r="CD158" s="377">
        <f ca="1">IF(ISERROR(OFFSET(Initiatives!$D$1,J158-1,$BY$3)),,OFFSET(Initiatives!$D$1,J158-1,$BY$3))</f>
        <v>9.9999999999999978E-2</v>
      </c>
      <c r="CE158" s="377">
        <f ca="1">IF(ISERROR(OFFSET(Initiatives!$D$1,K158-1,$BY$3)),,OFFSET(Initiatives!$D$1,K158-1,$BY$3))</f>
        <v>9.9999999999999978E-2</v>
      </c>
      <c r="CF158" s="377">
        <f ca="1">IF(ISERROR(OFFSET(Initiatives!$D$1,L158-1,$BY$3)),,OFFSET(Initiatives!$D$1,L158-1,$BY$3))</f>
        <v>9.9999999999999978E-2</v>
      </c>
      <c r="CG158" s="377">
        <f ca="1">IF(ISERROR(OFFSET(Initiatives!$D$1,M158-1,$BY$3)),,OFFSET(Initiatives!$D$1,M158-1,$BY$3))</f>
        <v>9.9999999999999978E-2</v>
      </c>
      <c r="CH158" s="377">
        <f ca="1">IF(ISERROR(OFFSET(Initiatives!$D$1,N158-1,$BY$3)),,OFFSET(Initiatives!$D$1,N158-1,$BY$3))</f>
        <v>9.9999999999999978E-2</v>
      </c>
      <c r="CI158" s="377">
        <f ca="1">IF(ISERROR(OFFSET(Initiatives!$D$1,O158-1,$BY$3)),,OFFSET(Initiatives!$D$1,O158-1,$BY$3))</f>
        <v>9.9999999999999978E-2</v>
      </c>
      <c r="CJ158" s="377">
        <f ca="1">IF(ISERROR(OFFSET(Initiatives!$D$1,P158-1,$BY$3)),,OFFSET(Initiatives!$D$1,P158-1,$BY$3))</f>
        <v>3.0000000000000027E-2</v>
      </c>
      <c r="CK158" s="377">
        <f ca="1">IF(ISERROR(OFFSET(Initiatives!$D$1,Q158-1,$BY$3)),,OFFSET(Initiatives!$D$1,Q158-1,$BY$3))</f>
        <v>3.0000000000000027E-2</v>
      </c>
      <c r="CL158" s="377">
        <f ca="1">IF(ISERROR(OFFSET(Initiatives!$D$1,R158-1,$BY$3)),,OFFSET(Initiatives!$D$1,R158-1,$BY$3))</f>
        <v>3.0000000000000027E-2</v>
      </c>
      <c r="CM158" s="377">
        <f ca="1">IF(ISERROR(OFFSET(Initiatives!$D$1,S158-1,$BY$3)),,OFFSET(Initiatives!$D$1,S158-1,$BY$3))</f>
        <v>3.0000000000000027E-2</v>
      </c>
      <c r="CN158" s="377">
        <f ca="1">IF(ISERROR(OFFSET(Initiatives!$D$1,T158-1,$BY$3)),,OFFSET(Initiatives!$D$1,T158-1,$BY$3))</f>
        <v>0.45454545454545436</v>
      </c>
      <c r="CO158" s="377">
        <f ca="1">IF(ISERROR(OFFSET(Initiatives!$D$1,U158-1,$BY$3)),,OFFSET(Initiatives!$D$1,U158-1,$BY$3))</f>
        <v>0</v>
      </c>
      <c r="CP158" s="377">
        <f ca="1">IF(ISERROR(OFFSET(Initiatives!$D$1,V158-1,$BY$3)),,OFFSET(Initiatives!$D$1,V158-1,$BY$3))</f>
        <v>0</v>
      </c>
      <c r="CQ158" s="377">
        <f ca="1">IF(ISERROR(OFFSET(Initiatives!$D$1,W158-1,$BY$3)),,OFFSET(Initiatives!$D$1,W158-1,$BY$3))</f>
        <v>0</v>
      </c>
      <c r="CR158" s="377">
        <f ca="1">IF(ISERROR(OFFSET(Initiatives!$D$1,X158-1,$BY$3)),,OFFSET(Initiatives!$D$1,X158-1,$BY$3))</f>
        <v>0</v>
      </c>
      <c r="CT158" s="41">
        <f t="shared" ca="1" si="2582"/>
        <v>0</v>
      </c>
      <c r="CU158" s="41">
        <f t="shared" ca="1" si="2583"/>
        <v>0</v>
      </c>
      <c r="CV158" s="41">
        <f t="shared" ca="1" si="2584"/>
        <v>0</v>
      </c>
      <c r="CW158" s="41">
        <f t="shared" ca="1" si="2585"/>
        <v>0</v>
      </c>
      <c r="CX158" s="41">
        <f t="shared" ca="1" si="2586"/>
        <v>0</v>
      </c>
      <c r="CY158" s="41">
        <f t="shared" ca="1" si="2587"/>
        <v>0</v>
      </c>
      <c r="CZ158" s="41">
        <f t="shared" ca="1" si="2588"/>
        <v>0</v>
      </c>
      <c r="DA158" s="41">
        <f t="shared" ca="1" si="2589"/>
        <v>0</v>
      </c>
      <c r="DB158" s="41">
        <f t="shared" ca="1" si="2590"/>
        <v>9.9998888901234415E-2</v>
      </c>
      <c r="DC158" s="41">
        <f t="shared" ca="1" si="2591"/>
        <v>0</v>
      </c>
      <c r="DD158" s="41">
        <f t="shared" ca="1" si="2592"/>
        <v>0</v>
      </c>
      <c r="DE158" s="41">
        <f t="shared" ca="1" si="2593"/>
        <v>0</v>
      </c>
      <c r="DF158" s="41">
        <f t="shared" ca="1" si="2594"/>
        <v>0</v>
      </c>
      <c r="DG158" s="41">
        <f t="shared" ca="1" si="2595"/>
        <v>0</v>
      </c>
      <c r="DH158" s="41">
        <f t="shared" ca="1" si="2596"/>
        <v>0</v>
      </c>
      <c r="DI158" s="41">
        <f t="shared" ca="1" si="2597"/>
        <v>0</v>
      </c>
      <c r="DJ158" s="41">
        <f t="shared" ca="1" si="2598"/>
        <v>0</v>
      </c>
      <c r="DK158" s="41">
        <f t="shared" ca="1" si="2599"/>
        <v>0</v>
      </c>
      <c r="DL158" s="41">
        <f t="shared" ca="1" si="2600"/>
        <v>0</v>
      </c>
      <c r="DM158" s="41">
        <f t="shared" ca="1" si="2601"/>
        <v>0</v>
      </c>
      <c r="DN158" s="41">
        <f t="shared" ca="1" si="2602"/>
        <v>9.9998888901234415E-2</v>
      </c>
      <c r="DP158" s="41">
        <f t="shared" ca="1" si="2603"/>
        <v>-1.0000000000000001E-5</v>
      </c>
      <c r="DQ158" s="41">
        <f t="shared" ca="1" si="2604"/>
        <v>-2.0000000000000002E-5</v>
      </c>
      <c r="DR158" s="41">
        <f t="shared" ca="1" si="2605"/>
        <v>-3.0000000000000001E-5</v>
      </c>
      <c r="DS158" s="41">
        <f t="shared" ca="1" si="2606"/>
        <v>-4.0000000000000003E-5</v>
      </c>
      <c r="DT158" s="41">
        <f t="shared" ca="1" si="2607"/>
        <v>-5.0000000000000002E-5</v>
      </c>
      <c r="DU158" s="41">
        <f t="shared" ca="1" si="2608"/>
        <v>-6.0000000000000002E-5</v>
      </c>
      <c r="DV158" s="41">
        <f t="shared" ca="1" si="2609"/>
        <v>-6.9999999999999994E-5</v>
      </c>
      <c r="DW158" s="41">
        <f t="shared" ca="1" si="2610"/>
        <v>-8.0000000000000007E-5</v>
      </c>
      <c r="DX158" s="41">
        <f t="shared" ca="1" si="2611"/>
        <v>0.99990999999999997</v>
      </c>
      <c r="DY158" s="41">
        <f t="shared" ca="1" si="2612"/>
        <v>-1E-4</v>
      </c>
      <c r="DZ158" s="41">
        <f t="shared" ca="1" si="2613"/>
        <v>-1.1E-4</v>
      </c>
      <c r="EA158" s="41">
        <f t="shared" ca="1" si="2614"/>
        <v>-1.2E-4</v>
      </c>
      <c r="EB158" s="41">
        <f t="shared" ca="1" si="2615"/>
        <v>-1.2999999999999999E-4</v>
      </c>
      <c r="EC158" s="41">
        <f t="shared" ca="1" si="2616"/>
        <v>-1.3999999999999999E-4</v>
      </c>
      <c r="ED158" s="41">
        <f t="shared" ca="1" si="2617"/>
        <v>-1.4999999999999999E-4</v>
      </c>
      <c r="EE158" s="41">
        <f t="shared" ca="1" si="2618"/>
        <v>-1.6000000000000001E-4</v>
      </c>
      <c r="EF158" s="41">
        <f t="shared" ca="1" si="2619"/>
        <v>-1.7000000000000001E-4</v>
      </c>
      <c r="EG158" s="41">
        <f t="shared" ca="1" si="2620"/>
        <v>-1.8000000000000001E-4</v>
      </c>
      <c r="EH158" s="41">
        <f t="shared" ca="1" si="2621"/>
        <v>-1.9000000000000001E-4</v>
      </c>
      <c r="EI158" s="41">
        <f t="shared" ca="1" si="2622"/>
        <v>-2.0000000000000001E-4</v>
      </c>
      <c r="EJ158" s="41">
        <f t="shared" ca="1" si="2623"/>
        <v>0.9978999999999999</v>
      </c>
      <c r="EL158" s="378">
        <f t="shared" ca="1" si="2624"/>
        <v>2</v>
      </c>
      <c r="EM158" s="378">
        <f t="shared" ca="1" si="2625"/>
        <v>3</v>
      </c>
      <c r="EN158" s="378">
        <f t="shared" ca="1" si="2626"/>
        <v>4</v>
      </c>
      <c r="EO158" s="378">
        <f t="shared" ca="1" si="2627"/>
        <v>5</v>
      </c>
      <c r="EP158" s="378">
        <f t="shared" ca="1" si="2628"/>
        <v>6</v>
      </c>
      <c r="EQ158" s="378">
        <f t="shared" ca="1" si="2629"/>
        <v>7</v>
      </c>
      <c r="ER158" s="378">
        <f t="shared" ca="1" si="2630"/>
        <v>8</v>
      </c>
      <c r="ES158" s="378">
        <f t="shared" ca="1" si="2631"/>
        <v>9</v>
      </c>
      <c r="ET158" s="378">
        <f t="shared" ca="1" si="2632"/>
        <v>1</v>
      </c>
      <c r="EU158" s="378">
        <f t="shared" ca="1" si="2633"/>
        <v>10</v>
      </c>
      <c r="EV158" s="378">
        <f t="shared" ca="1" si="2634"/>
        <v>11</v>
      </c>
      <c r="EW158" s="378">
        <f t="shared" ca="1" si="2635"/>
        <v>12</v>
      </c>
      <c r="EX158" s="378">
        <f t="shared" ca="1" si="2636"/>
        <v>13</v>
      </c>
      <c r="EY158" s="378">
        <f t="shared" ca="1" si="2637"/>
        <v>14</v>
      </c>
      <c r="EZ158" s="378">
        <f t="shared" ca="1" si="2638"/>
        <v>15</v>
      </c>
      <c r="FA158" s="378">
        <f t="shared" ca="1" si="2639"/>
        <v>16</v>
      </c>
      <c r="FB158" s="378">
        <f t="shared" ca="1" si="2640"/>
        <v>17</v>
      </c>
      <c r="FC158" s="378">
        <f t="shared" ca="1" si="2641"/>
        <v>18</v>
      </c>
      <c r="FD158" s="378">
        <f t="shared" ca="1" si="2642"/>
        <v>19</v>
      </c>
      <c r="FE158" s="378">
        <f t="shared" ca="1" si="2643"/>
        <v>20</v>
      </c>
      <c r="FG158" s="378">
        <f t="shared" ca="1" si="2644"/>
        <v>9</v>
      </c>
      <c r="FH158" s="378">
        <f t="shared" ca="1" si="2644"/>
        <v>1</v>
      </c>
      <c r="FI158" s="378">
        <f t="shared" ca="1" si="2644"/>
        <v>2</v>
      </c>
      <c r="FJ158" s="378">
        <f t="shared" ca="1" si="2644"/>
        <v>3</v>
      </c>
      <c r="FK158" s="378">
        <f t="shared" ca="1" si="2644"/>
        <v>4</v>
      </c>
      <c r="FL158" s="378">
        <f t="shared" ca="1" si="2644"/>
        <v>5</v>
      </c>
      <c r="FM158" s="378">
        <f t="shared" ca="1" si="2644"/>
        <v>6</v>
      </c>
      <c r="FN158" s="378">
        <f t="shared" ca="1" si="2644"/>
        <v>7</v>
      </c>
      <c r="FO158" s="378">
        <f t="shared" ca="1" si="2644"/>
        <v>8</v>
      </c>
      <c r="FP158" s="378">
        <f t="shared" ca="1" si="2644"/>
        <v>10</v>
      </c>
      <c r="FQ158" s="378">
        <f t="shared" ca="1" si="2644"/>
        <v>11</v>
      </c>
      <c r="FR158" s="378">
        <f t="shared" ca="1" si="2644"/>
        <v>12</v>
      </c>
      <c r="FS158" s="378">
        <f t="shared" ca="1" si="2644"/>
        <v>13</v>
      </c>
      <c r="FT158" s="378">
        <f t="shared" ca="1" si="2644"/>
        <v>14</v>
      </c>
      <c r="FU158" s="378">
        <f t="shared" ca="1" si="2644"/>
        <v>15</v>
      </c>
      <c r="FV158" s="378">
        <f t="shared" ca="1" si="2644"/>
        <v>16</v>
      </c>
      <c r="FW158" s="378">
        <f t="shared" ca="1" si="2645"/>
        <v>17</v>
      </c>
      <c r="FX158" s="378">
        <f t="shared" ca="1" si="2645"/>
        <v>18</v>
      </c>
      <c r="FY158" s="378">
        <f t="shared" ca="1" si="2645"/>
        <v>19</v>
      </c>
      <c r="FZ158" s="378">
        <f t="shared" ca="1" si="2645"/>
        <v>20</v>
      </c>
      <c r="GB158" s="275" t="str">
        <f t="shared" ca="1" si="2646"/>
        <v>Automated DW synchronization (100%)</v>
      </c>
      <c r="GC158" s="231" t="str">
        <f t="shared" ca="1" si="2647"/>
        <v/>
      </c>
      <c r="GD158" s="231" t="str">
        <f t="shared" ca="1" si="2648"/>
        <v/>
      </c>
      <c r="GE158" s="231" t="str">
        <f t="shared" ca="1" si="2649"/>
        <v/>
      </c>
      <c r="GF158" s="231" t="str">
        <f t="shared" ca="1" si="2650"/>
        <v/>
      </c>
      <c r="GG158" s="231" t="str">
        <f t="shared" ca="1" si="2651"/>
        <v/>
      </c>
      <c r="GH158" s="231" t="str">
        <f t="shared" ca="1" si="2652"/>
        <v/>
      </c>
      <c r="GI158" s="231" t="str">
        <f t="shared" ca="1" si="2653"/>
        <v/>
      </c>
      <c r="GJ158" s="231" t="str">
        <f t="shared" ca="1" si="2654"/>
        <v/>
      </c>
      <c r="GK158" s="231" t="str">
        <f t="shared" ca="1" si="2655"/>
        <v/>
      </c>
      <c r="GL158" s="231" t="str">
        <f t="shared" ca="1" si="2656"/>
        <v/>
      </c>
      <c r="GM158" s="231" t="str">
        <f t="shared" ca="1" si="2657"/>
        <v/>
      </c>
      <c r="GN158" s="231" t="str">
        <f t="shared" ca="1" si="2658"/>
        <v/>
      </c>
      <c r="GO158" s="231" t="str">
        <f t="shared" ca="1" si="2659"/>
        <v/>
      </c>
      <c r="GP158" s="231" t="str">
        <f t="shared" ca="1" si="2660"/>
        <v/>
      </c>
      <c r="GQ158" s="231" t="str">
        <f t="shared" ca="1" si="2661"/>
        <v/>
      </c>
      <c r="GR158" s="231" t="str">
        <f t="shared" ca="1" si="2662"/>
        <v/>
      </c>
      <c r="GS158" s="231" t="str">
        <f t="shared" ca="1" si="2663"/>
        <v/>
      </c>
      <c r="GT158" s="231" t="str">
        <f t="shared" ca="1" si="2664"/>
        <v/>
      </c>
      <c r="GU158" s="231" t="str">
        <f t="shared" ca="1" si="2665"/>
        <v/>
      </c>
      <c r="GW158" s="377">
        <f ca="1">IF(ISERROR(OFFSET(Initiatives!$D$1,E158-1,$CB$3)),,OFFSET(Initiatives!$D$1,E158-1,$CB$3))</f>
        <v>0.65</v>
      </c>
      <c r="GX158" s="377">
        <f ca="1">IF(ISERROR(OFFSET(Initiatives!$D$1,F158-1,$CB$3)),,OFFSET(Initiatives!$D$1,F158-1,$CB$3))</f>
        <v>0.65</v>
      </c>
      <c r="GY158" s="377">
        <f ca="1">IF(ISERROR(OFFSET(Initiatives!$D$1,G158-1,$CB$3)),,OFFSET(Initiatives!$D$1,G158-1,$CB$3))</f>
        <v>0.65</v>
      </c>
      <c r="GZ158" s="377">
        <f ca="1">IF(ISERROR(OFFSET(Initiatives!$D$1,H158-1,$CB$3)),,OFFSET(Initiatives!$D$1,H158-1,$CB$3))</f>
        <v>0.65</v>
      </c>
      <c r="HA158" s="377">
        <f ca="1">IF(ISERROR(OFFSET(Initiatives!$D$1,I158-1,$CB$3)),,OFFSET(Initiatives!$D$1,I158-1,$CB$3))</f>
        <v>0.75</v>
      </c>
      <c r="HB158" s="377">
        <f ca="1">IF(ISERROR(OFFSET(Initiatives!$D$1,J158-1,$CB$3)),,OFFSET(Initiatives!$D$1,J158-1,$CB$3))</f>
        <v>0.75</v>
      </c>
      <c r="HC158" s="377">
        <f ca="1">IF(ISERROR(OFFSET(Initiatives!$D$1,K158-1,$CB$3)),,OFFSET(Initiatives!$D$1,K158-1,$CB$3))</f>
        <v>0.75</v>
      </c>
      <c r="HD158" s="377">
        <f ca="1">IF(ISERROR(OFFSET(Initiatives!$D$1,L158-1,$CB$3)),,OFFSET(Initiatives!$D$1,L158-1,$CB$3))</f>
        <v>0.75</v>
      </c>
      <c r="HE158" s="377">
        <f ca="1">IF(ISERROR(OFFSET(Initiatives!$D$1,M158-1,$CB$3)),,OFFSET(Initiatives!$D$1,M158-1,$CB$3))</f>
        <v>0.75</v>
      </c>
      <c r="HF158" s="377">
        <f ca="1">IF(ISERROR(OFFSET(Initiatives!$D$1,N158-1,$CB$3)),,OFFSET(Initiatives!$D$1,N158-1,$CB$3))</f>
        <v>0.75</v>
      </c>
      <c r="HG158" s="377">
        <f ca="1">IF(ISERROR(OFFSET(Initiatives!$D$1,O158-1,$CB$3)),,OFFSET(Initiatives!$D$1,O158-1,$CB$3))</f>
        <v>0.75</v>
      </c>
      <c r="HH158" s="377">
        <f ca="1">IF(ISERROR(OFFSET(Initiatives!$D$1,P158-1,$CB$3)),,OFFSET(Initiatives!$D$1,P158-1,$CB$3))</f>
        <v>0.8</v>
      </c>
      <c r="HI158" s="377">
        <f ca="1">IF(ISERROR(OFFSET(Initiatives!$D$1,Q158-1,$CB$3)),,OFFSET(Initiatives!$D$1,Q158-1,$CB$3))</f>
        <v>0.8</v>
      </c>
      <c r="HJ158" s="377">
        <f ca="1">IF(ISERROR(OFFSET(Initiatives!$D$1,R158-1,$CB$3)),,OFFSET(Initiatives!$D$1,R158-1,$CB$3))</f>
        <v>0.8</v>
      </c>
      <c r="HK158" s="377">
        <f ca="1">IF(ISERROR(OFFSET(Initiatives!$D$1,S158-1,$CB$3)),,OFFSET(Initiatives!$D$1,S158-1,$CB$3))</f>
        <v>0.8</v>
      </c>
      <c r="HL158" s="377">
        <f ca="1">IF(ISERROR(OFFSET(Initiatives!$D$1,T158-1,$CB$3)),,OFFSET(Initiatives!$D$1,T158-1,$CB$3))</f>
        <v>0.43181818181818177</v>
      </c>
      <c r="HM158" s="377">
        <f ca="1">IF(ISERROR(OFFSET(Initiatives!$D$1,U158-1,$CB$3)),,OFFSET(Initiatives!$D$1,U158-1,$CB$3))</f>
        <v>0</v>
      </c>
      <c r="HN158" s="377">
        <f ca="1">IF(ISERROR(OFFSET(Initiatives!$D$1,V158-1,$CB$3)),,OFFSET(Initiatives!$D$1,V158-1,$CB$3))</f>
        <v>0</v>
      </c>
      <c r="HO158" s="377">
        <f ca="1">IF(ISERROR(OFFSET(Initiatives!$D$1,W158-1,$CB$3)),,OFFSET(Initiatives!$D$1,W158-1,$CB$3))</f>
        <v>0</v>
      </c>
      <c r="HP158" s="377">
        <f ca="1">IF(ISERROR(OFFSET(Initiatives!$D$1,X158-1,$CB$3)),,OFFSET(Initiatives!$D$1,X158-1,$CB$3))</f>
        <v>0</v>
      </c>
      <c r="HR158" s="41">
        <f t="shared" ca="1" si="2666"/>
        <v>0</v>
      </c>
      <c r="HS158" s="41">
        <f t="shared" ca="1" si="2667"/>
        <v>0</v>
      </c>
      <c r="HT158" s="41">
        <f t="shared" ca="1" si="2668"/>
        <v>0</v>
      </c>
      <c r="HU158" s="41">
        <f t="shared" ca="1" si="2669"/>
        <v>0</v>
      </c>
      <c r="HV158" s="41">
        <f t="shared" ca="1" si="2670"/>
        <v>0</v>
      </c>
      <c r="HW158" s="41">
        <f t="shared" ca="1" si="2671"/>
        <v>0</v>
      </c>
      <c r="HX158" s="41">
        <f t="shared" ca="1" si="2672"/>
        <v>0</v>
      </c>
      <c r="HY158" s="41">
        <f t="shared" ca="1" si="2673"/>
        <v>0</v>
      </c>
      <c r="HZ158" s="41">
        <f t="shared" ca="1" si="2674"/>
        <v>0.74999166675925821</v>
      </c>
      <c r="IA158" s="41">
        <f t="shared" ca="1" si="2675"/>
        <v>0</v>
      </c>
      <c r="IB158" s="41">
        <f t="shared" ca="1" si="2676"/>
        <v>0</v>
      </c>
      <c r="IC158" s="41">
        <f t="shared" ca="1" si="2677"/>
        <v>0</v>
      </c>
      <c r="ID158" s="41">
        <f t="shared" ca="1" si="2678"/>
        <v>0</v>
      </c>
      <c r="IE158" s="41">
        <f t="shared" ca="1" si="2679"/>
        <v>1.2444306174375842E-2</v>
      </c>
      <c r="IF158" s="41">
        <f t="shared" ca="1" si="2680"/>
        <v>0</v>
      </c>
      <c r="IG158" s="41">
        <f t="shared" ca="1" si="2681"/>
        <v>0</v>
      </c>
      <c r="IH158" s="41">
        <f t="shared" ca="1" si="2682"/>
        <v>0</v>
      </c>
      <c r="II158" s="41">
        <f t="shared" ca="1" si="2683"/>
        <v>0</v>
      </c>
      <c r="IJ158" s="41">
        <f t="shared" ca="1" si="2684"/>
        <v>0</v>
      </c>
      <c r="IK158" s="41">
        <f t="shared" ca="1" si="2685"/>
        <v>0</v>
      </c>
      <c r="IL158" s="41">
        <f t="shared" ca="1" si="2686"/>
        <v>0.76243597293363408</v>
      </c>
    </row>
    <row r="159" spans="1:246" hidden="1">
      <c r="A159" s="409"/>
      <c r="B159" s="409"/>
      <c r="C159" s="409"/>
      <c r="D159" s="409"/>
    </row>
    <row r="160" spans="1:246" s="409" customFormat="1" ht="15" hidden="1">
      <c r="B160" s="6" t="str">
        <f>Maturity!A46</f>
        <v>Development</v>
      </c>
      <c r="BP160" s="29"/>
    </row>
    <row r="161" spans="1:246" s="409" customFormat="1" ht="14.25" hidden="1" customHeight="1">
      <c r="B161" s="373"/>
      <c r="C161" s="81" t="str">
        <f>Maturity!B47</f>
        <v>Which best describes your BI/DW group's approach to DEVELOPING BI/DW solutions?</v>
      </c>
      <c r="D161" s="404">
        <f t="shared" ref="D161:D165" ca="1" si="2687">DN161</f>
        <v>0.12281173242667245</v>
      </c>
      <c r="E161" s="374">
        <f>ROW(Initiatives!$A$100)</f>
        <v>100</v>
      </c>
      <c r="F161" s="374">
        <f>ROW(Initiatives!$A$101)</f>
        <v>101</v>
      </c>
      <c r="G161" s="374">
        <f>ROW(Initiatives!$A$102)</f>
        <v>102</v>
      </c>
      <c r="H161" s="374">
        <f>ROW(Initiatives!$A$103)</f>
        <v>103</v>
      </c>
      <c r="I161" s="374">
        <f>ROW(Initiatives!$A$114)</f>
        <v>114</v>
      </c>
      <c r="J161" s="374">
        <f>ROW(Initiatives!$A$120)</f>
        <v>120</v>
      </c>
      <c r="K161" s="374">
        <f>ROW(Initiatives!$A$126)</f>
        <v>126</v>
      </c>
      <c r="L161" s="374">
        <f>ROW(Initiatives!$A$176)</f>
        <v>176</v>
      </c>
      <c r="M161" s="374">
        <f>ROW(Initiatives!$A$189)</f>
        <v>189</v>
      </c>
      <c r="N161" s="374"/>
      <c r="O161" s="374" t="s">
        <v>975</v>
      </c>
      <c r="P161" s="374" t="s">
        <v>975</v>
      </c>
      <c r="Q161" s="374" t="s">
        <v>975</v>
      </c>
      <c r="R161" s="374" t="s">
        <v>975</v>
      </c>
      <c r="S161" s="374" t="s">
        <v>975</v>
      </c>
      <c r="T161" s="374" t="s">
        <v>975</v>
      </c>
      <c r="U161" s="374" t="s">
        <v>975</v>
      </c>
      <c r="V161" s="374" t="s">
        <v>975</v>
      </c>
      <c r="W161" s="374" t="s">
        <v>975</v>
      </c>
      <c r="X161" s="374" t="s">
        <v>975</v>
      </c>
      <c r="Y161" s="392" t="str">
        <f ca="1">OFFSET(Initiatives!$D$1,E161-1,$BS$3)</f>
        <v>Governance</v>
      </c>
      <c r="Z161" s="375"/>
      <c r="AA161" s="392" t="str">
        <f ca="1">OFFSET(Initiatives!$D$1,F161-1,$BS$3)</f>
        <v>Architecture</v>
      </c>
      <c r="AB161" s="375"/>
      <c r="AC161" s="392" t="str">
        <f ca="1">OFFSET(Initiatives!$D$1,G161-1,$BS$3)</f>
        <v>Robust security</v>
      </c>
      <c r="AD161" s="375"/>
      <c r="AE161" s="392" t="str">
        <f ca="1">OFFSET(Initiatives!$D$1,H161-1,$BS$3)</f>
        <v>Architecture Standards &amp; Adherence</v>
      </c>
      <c r="AF161" s="375">
        <v>9</v>
      </c>
      <c r="AG161" s="392" t="str">
        <f ca="1">OFFSET(Initiatives!$D$1,I161-1,$BS$3)</f>
        <v>Data Integration/ETL</v>
      </c>
      <c r="AH161" s="375"/>
      <c r="AI161" s="392" t="str">
        <f ca="1">OFFSET(Initiatives!$D$1,J161-1,$BS$3)</f>
        <v>Data Warehouse / Data Marts</v>
      </c>
      <c r="AJ161" s="375">
        <v>1</v>
      </c>
      <c r="AK161" s="392" t="str">
        <f ca="1">OFFSET(Initiatives!$D$1,K161-1,$BS$3)</f>
        <v>Development</v>
      </c>
      <c r="AL161" s="375">
        <v>5</v>
      </c>
      <c r="AM161" s="392" t="str">
        <f ca="1">OFFSET(Initiatives!$D$1,L161-1,$BS$3)</f>
        <v>Source System Inclusion / Integration</v>
      </c>
      <c r="AN161" s="375"/>
      <c r="AO161" s="392" t="str">
        <f ca="1">OFFSET(Initiatives!$D$1,M161-1,$BS$3)</f>
        <v>Enhance BI Platform</v>
      </c>
      <c r="AP161" s="375">
        <v>1</v>
      </c>
      <c r="AQ161" s="392" t="e">
        <f ca="1">OFFSET(Initiatives!$D$1,N161-1,$BS$3)</f>
        <v>#REF!</v>
      </c>
      <c r="AR161" s="375"/>
      <c r="AS161" s="392" t="e">
        <f ca="1">OFFSET(Initiatives!$D$1,O161-1,$BS$3)</f>
        <v>#VALUE!</v>
      </c>
      <c r="AT161" s="375"/>
      <c r="AU161" s="392" t="e">
        <f ca="1">OFFSET(Initiatives!$D$1,P161-1,$BS$3)</f>
        <v>#VALUE!</v>
      </c>
      <c r="AV161" s="375"/>
      <c r="AW161" s="392" t="e">
        <f ca="1">OFFSET(Initiatives!$D$1,Q161-1,$BS$3)</f>
        <v>#VALUE!</v>
      </c>
      <c r="AX161" s="375"/>
      <c r="AY161" s="392" t="e">
        <f ca="1">OFFSET(Initiatives!$D$1,R161-1,$BS$3)</f>
        <v>#VALUE!</v>
      </c>
      <c r="AZ161" s="375"/>
      <c r="BA161" s="392" t="e">
        <f ca="1">OFFSET(Initiatives!$D$1,S161-1,$BS$3)</f>
        <v>#VALUE!</v>
      </c>
      <c r="BB161" s="375"/>
      <c r="BC161" s="392" t="e">
        <f ca="1">OFFSET(Initiatives!$D$1,T161-1,$BS$3)</f>
        <v>#VALUE!</v>
      </c>
      <c r="BD161" s="375"/>
      <c r="BE161" s="392" t="e">
        <f ca="1">OFFSET(Initiatives!$D$1,U161-1,$BS$3)</f>
        <v>#VALUE!</v>
      </c>
      <c r="BF161" s="375"/>
      <c r="BG161" s="392" t="e">
        <f ca="1">OFFSET(Initiatives!$D$1,V161-1,$BS$3)</f>
        <v>#VALUE!</v>
      </c>
      <c r="BH161" s="375"/>
      <c r="BI161" s="392" t="e">
        <f ca="1">OFFSET(Initiatives!$D$1,W161-1,$BS$3)</f>
        <v>#VALUE!</v>
      </c>
      <c r="BJ161" s="375"/>
      <c r="BK161" s="392" t="e">
        <f ca="1">OFFSET(Initiatives!$D$1,X161-1,$BS$3)</f>
        <v>#VALUE!</v>
      </c>
      <c r="BL161" s="375"/>
      <c r="BN161" s="101">
        <f t="shared" ref="BN161:BN165" si="2688">SUM(Z161,AB161,AD161,AF161,AH161,AJ161,AL161,AN161,AP161,AR161,AT161,AV161,AX161,AZ161,BB161,BD161,BF161,BH161,BJ161,BL161)+0.0001</f>
        <v>16.0001</v>
      </c>
      <c r="BP161" s="231" t="str">
        <f t="shared" ref="BP161:BP165" ca="1" si="2689">CONCATENATE(GB161,GC161,GD161,GE161,GF161,GG161,GH161,GI161,GJ161,GK161,GL161,GM161,GN161,GO161,GP161,GQ161,GR161,GS161,GT161,GU161)</f>
        <v>Architecture Standards &amp; Adherence (64%); Enhance BI Platform (31%)</v>
      </c>
      <c r="BQ161" s="338">
        <v>0.01</v>
      </c>
      <c r="BR161" s="40">
        <f t="shared" ref="BR161:BR165" ca="1" si="2690">COUNTIF(CT161:DM161,"&gt;"&amp;BQ161)</f>
        <v>2</v>
      </c>
      <c r="BS161" s="274">
        <v>0.05</v>
      </c>
      <c r="BT161" s="40">
        <f t="shared" ref="BT161:BT165" ca="1" si="2691">COUNTIF(DP161:EI161,"&gt;"&amp;BS161)</f>
        <v>2</v>
      </c>
      <c r="BU161" s="376">
        <v>7</v>
      </c>
      <c r="BV161" s="40">
        <f t="shared" ref="BV161:BV165" ca="1" si="2692">MIN(BR161,BT161,BU161)</f>
        <v>2</v>
      </c>
      <c r="BY161" s="377">
        <f ca="1">IF(ISERROR(OFFSET(Initiatives!$D$1,E161-1,$BY$3)),,OFFSET(Initiatives!$D$1,E161-1,$BY$3))</f>
        <v>0.14000000000000001</v>
      </c>
      <c r="BZ161" s="377">
        <f ca="1">IF(ISERROR(OFFSET(Initiatives!$D$1,F161-1,$BY$3)),,OFFSET(Initiatives!$D$1,F161-1,$BY$3))</f>
        <v>0.14000000000000001</v>
      </c>
      <c r="CA161" s="377">
        <f ca="1">IF(ISERROR(OFFSET(Initiatives!$D$1,G161-1,$BY$3)),,OFFSET(Initiatives!$D$1,G161-1,$BY$3))</f>
        <v>0.14000000000000001</v>
      </c>
      <c r="CB161" s="377">
        <f ca="1">IF(ISERROR(OFFSET(Initiatives!$D$1,H161-1,$BY$3)),,OFFSET(Initiatives!$D$1,H161-1,$BY$3))</f>
        <v>0.14000000000000012</v>
      </c>
      <c r="CC161" s="377">
        <f ca="1">IF(ISERROR(OFFSET(Initiatives!$D$1,I161-1,$BY$3)),,OFFSET(Initiatives!$D$1,I161-1,$BY$3))</f>
        <v>9.9999999999999978E-2</v>
      </c>
      <c r="CD161" s="377">
        <f ca="1">IF(ISERROR(OFFSET(Initiatives!$D$1,J161-1,$BY$3)),,OFFSET(Initiatives!$D$1,J161-1,$BY$3))</f>
        <v>3.0000000000000027E-2</v>
      </c>
      <c r="CE161" s="377">
        <f ca="1">IF(ISERROR(OFFSET(Initiatives!$D$1,K161-1,$BY$3)),,OFFSET(Initiatives!$D$1,K161-1,$BY$3))</f>
        <v>1.5000000000000124E-2</v>
      </c>
      <c r="CF161" s="377">
        <f ca="1">IF(ISERROR(OFFSET(Initiatives!$D$1,L161-1,$BY$3)),,OFFSET(Initiatives!$D$1,L161-1,$BY$3))</f>
        <v>0.45454545454545436</v>
      </c>
      <c r="CG161" s="377">
        <f ca="1">IF(ISERROR(OFFSET(Initiatives!$D$1,M161-1,$BY$3)),,OFFSET(Initiatives!$D$1,M161-1,$BY$3))</f>
        <v>0.6</v>
      </c>
      <c r="CH161" s="377">
        <f ca="1">IF(ISERROR(OFFSET(Initiatives!$D$1,N161-1,$BY$3)),,OFFSET(Initiatives!$D$1,N161-1,$BY$3))</f>
        <v>0</v>
      </c>
      <c r="CI161" s="377">
        <f ca="1">IF(ISERROR(OFFSET(Initiatives!$D$1,O161-1,$BY$3)),,OFFSET(Initiatives!$D$1,O161-1,$BY$3))</f>
        <v>0</v>
      </c>
      <c r="CJ161" s="377">
        <f ca="1">IF(ISERROR(OFFSET(Initiatives!$D$1,P161-1,$BY$3)),,OFFSET(Initiatives!$D$1,P161-1,$BY$3))</f>
        <v>0</v>
      </c>
      <c r="CK161" s="377">
        <f ca="1">IF(ISERROR(OFFSET(Initiatives!$D$1,Q161-1,$BY$3)),,OFFSET(Initiatives!$D$1,Q161-1,$BY$3))</f>
        <v>0</v>
      </c>
      <c r="CL161" s="377">
        <f ca="1">IF(ISERROR(OFFSET(Initiatives!$D$1,R161-1,$BY$3)),,OFFSET(Initiatives!$D$1,R161-1,$BY$3))</f>
        <v>0</v>
      </c>
      <c r="CM161" s="377">
        <f ca="1">IF(ISERROR(OFFSET(Initiatives!$D$1,S161-1,$BY$3)),,OFFSET(Initiatives!$D$1,S161-1,$BY$3))</f>
        <v>0</v>
      </c>
      <c r="CN161" s="377">
        <f ca="1">IF(ISERROR(OFFSET(Initiatives!$D$1,T161-1,$BY$3)),,OFFSET(Initiatives!$D$1,T161-1,$BY$3))</f>
        <v>0</v>
      </c>
      <c r="CO161" s="377">
        <f ca="1">IF(ISERROR(OFFSET(Initiatives!$D$1,U161-1,$BY$3)),,OFFSET(Initiatives!$D$1,U161-1,$BY$3))</f>
        <v>0</v>
      </c>
      <c r="CP161" s="377">
        <f ca="1">IF(ISERROR(OFFSET(Initiatives!$D$1,V161-1,$BY$3)),,OFFSET(Initiatives!$D$1,V161-1,$BY$3))</f>
        <v>0</v>
      </c>
      <c r="CQ161" s="377">
        <f ca="1">IF(ISERROR(OFFSET(Initiatives!$D$1,W161-1,$BY$3)),,OFFSET(Initiatives!$D$1,W161-1,$BY$3))</f>
        <v>0</v>
      </c>
      <c r="CR161" s="377">
        <f ca="1">IF(ISERROR(OFFSET(Initiatives!$D$1,X161-1,$BY$3)),,OFFSET(Initiatives!$D$1,X161-1,$BY$3))</f>
        <v>0</v>
      </c>
      <c r="CT161" s="41">
        <f t="shared" ref="CT161:CT165" ca="1" si="2693">BY161*Z161/$BN161</f>
        <v>0</v>
      </c>
      <c r="CU161" s="41">
        <f t="shared" ref="CU161:CU165" ca="1" si="2694">BZ161*AB161/$BN161</f>
        <v>0</v>
      </c>
      <c r="CV161" s="41">
        <f t="shared" ref="CV161:CV165" ca="1" si="2695">CA161*AD161/$BN161</f>
        <v>0</v>
      </c>
      <c r="CW161" s="41">
        <f t="shared" ref="CW161:CW165" ca="1" si="2696">CB161*AF161/$BN161</f>
        <v>7.8749507815576228E-2</v>
      </c>
      <c r="CX161" s="41">
        <f t="shared" ref="CX161:CX165" ca="1" si="2697">CC161*AH161/$BN161</f>
        <v>0</v>
      </c>
      <c r="CY161" s="41">
        <f t="shared" ref="CY161:CY165" ca="1" si="2698">CD161*AJ161/$BN161</f>
        <v>1.8749882813232435E-3</v>
      </c>
      <c r="CZ161" s="41">
        <f t="shared" ref="CZ161:CZ165" ca="1" si="2699">CE161*AL161/$BN161</f>
        <v>4.6874707033081435E-3</v>
      </c>
      <c r="DA161" s="41">
        <f t="shared" ref="DA161:DA165" ca="1" si="2700">CF161*AN161/$BN161</f>
        <v>0</v>
      </c>
      <c r="DB161" s="41">
        <f t="shared" ref="DB161:DB165" ca="1" si="2701">CG161*AP161/$BN161</f>
        <v>3.7499765626464836E-2</v>
      </c>
      <c r="DC161" s="41">
        <f t="shared" ref="DC161:DC165" ca="1" si="2702">CH161*AR161/$BN161</f>
        <v>0</v>
      </c>
      <c r="DD161" s="41">
        <f t="shared" ref="DD161:DD165" ca="1" si="2703">CI161*AT161/$BN161</f>
        <v>0</v>
      </c>
      <c r="DE161" s="41">
        <f t="shared" ref="DE161:DE165" ca="1" si="2704">CJ161*AV161/$BN161</f>
        <v>0</v>
      </c>
      <c r="DF161" s="41">
        <f t="shared" ref="DF161:DF165" ca="1" si="2705">CK161*AX161/$BN161</f>
        <v>0</v>
      </c>
      <c r="DG161" s="41">
        <f t="shared" ref="DG161:DG165" ca="1" si="2706">CL161*AZ161/$BN161</f>
        <v>0</v>
      </c>
      <c r="DH161" s="41">
        <f t="shared" ref="DH161:DH165" ca="1" si="2707">CM161*BB161/$BN161</f>
        <v>0</v>
      </c>
      <c r="DI161" s="41">
        <f t="shared" ref="DI161:DI165" ca="1" si="2708">CN161*BD161/$BN161</f>
        <v>0</v>
      </c>
      <c r="DJ161" s="41">
        <f t="shared" ref="DJ161:DJ165" ca="1" si="2709">CO161*BF161/$BN161</f>
        <v>0</v>
      </c>
      <c r="DK161" s="41">
        <f t="shared" ref="DK161:DK165" ca="1" si="2710">CP161*BH161/$BN161</f>
        <v>0</v>
      </c>
      <c r="DL161" s="41">
        <f t="shared" ref="DL161:DL165" ca="1" si="2711">CQ161*BJ161/$BN161</f>
        <v>0</v>
      </c>
      <c r="DM161" s="41">
        <f t="shared" ref="DM161:DM165" ca="1" si="2712">CR161*BL161/$BN161</f>
        <v>0</v>
      </c>
      <c r="DN161" s="41">
        <f t="shared" ref="DN161:DN165" ca="1" si="2713">SUM(CT161:DM161)</f>
        <v>0.12281173242667245</v>
      </c>
      <c r="DP161" s="41">
        <f t="shared" ref="DP161:DP165" ca="1" si="2714">CT161/$DN161-DP$5/100000</f>
        <v>-1.0000000000000001E-5</v>
      </c>
      <c r="DQ161" s="41">
        <f t="shared" ref="DQ161:DQ165" ca="1" si="2715">CU161/$DN161-DQ$5/100000</f>
        <v>-2.0000000000000002E-5</v>
      </c>
      <c r="DR161" s="41">
        <f t="shared" ref="DR161:DR165" ca="1" si="2716">CV161/$DN161-DR$5/100000</f>
        <v>-3.0000000000000001E-5</v>
      </c>
      <c r="DS161" s="41">
        <f t="shared" ref="DS161:DS165" ca="1" si="2717">CW161/$DN161-DS$5/100000</f>
        <v>0.64118137404580144</v>
      </c>
      <c r="DT161" s="41">
        <f t="shared" ref="DT161:DT165" ca="1" si="2718">CX161/$DN161-DT$5/100000</f>
        <v>-5.0000000000000002E-5</v>
      </c>
      <c r="DU161" s="41">
        <f t="shared" ref="DU161:DU165" ca="1" si="2719">CY161/$DN161-DU$5/100000</f>
        <v>1.5207175572519084E-2</v>
      </c>
      <c r="DV161" s="41">
        <f t="shared" ref="DV161:DV165" ca="1" si="2720">CZ161/$DN161-DV$5/100000</f>
        <v>3.8097938931297988E-2</v>
      </c>
      <c r="DW161" s="41">
        <f t="shared" ref="DW161:DW165" ca="1" si="2721">DA161/$DN161-DW$5/100000</f>
        <v>-8.0000000000000007E-5</v>
      </c>
      <c r="DX161" s="41">
        <f t="shared" ref="DX161:DX165" ca="1" si="2722">DB161/$DN161-DX$5/100000</f>
        <v>0.30525351145038143</v>
      </c>
      <c r="DY161" s="41">
        <f t="shared" ref="DY161:DY165" ca="1" si="2723">DC161/$DN161-DY$5/100000</f>
        <v>-1E-4</v>
      </c>
      <c r="DZ161" s="41">
        <f t="shared" ref="DZ161:DZ165" ca="1" si="2724">DD161/$DN161-DZ$5/100000</f>
        <v>-1.1E-4</v>
      </c>
      <c r="EA161" s="41">
        <f t="shared" ref="EA161:EA165" ca="1" si="2725">DE161/$DN161-EA$5/100000</f>
        <v>-1.2E-4</v>
      </c>
      <c r="EB161" s="41">
        <f t="shared" ref="EB161:EB165" ca="1" si="2726">DF161/$DN161-EB$5/100000</f>
        <v>-1.2999999999999999E-4</v>
      </c>
      <c r="EC161" s="41">
        <f t="shared" ref="EC161:EC165" ca="1" si="2727">DG161/$DN161-EC$5/100000</f>
        <v>-1.3999999999999999E-4</v>
      </c>
      <c r="ED161" s="41">
        <f t="shared" ref="ED161:ED165" ca="1" si="2728">DH161/$DN161-ED$5/100000</f>
        <v>-1.4999999999999999E-4</v>
      </c>
      <c r="EE161" s="41">
        <f t="shared" ref="EE161:EE165" ca="1" si="2729">DI161/$DN161-EE$5/100000</f>
        <v>-1.6000000000000001E-4</v>
      </c>
      <c r="EF161" s="41">
        <f t="shared" ref="EF161:EF165" ca="1" si="2730">DJ161/$DN161-EF$5/100000</f>
        <v>-1.7000000000000001E-4</v>
      </c>
      <c r="EG161" s="41">
        <f t="shared" ref="EG161:EG165" ca="1" si="2731">DK161/$DN161-EG$5/100000</f>
        <v>-1.8000000000000001E-4</v>
      </c>
      <c r="EH161" s="41">
        <f t="shared" ref="EH161:EH165" ca="1" si="2732">DL161/$DN161-EH$5/100000</f>
        <v>-1.9000000000000001E-4</v>
      </c>
      <c r="EI161" s="41">
        <f t="shared" ref="EI161:EI165" ca="1" si="2733">DM161/$DN161-EI$5/100000</f>
        <v>-2.0000000000000001E-4</v>
      </c>
      <c r="EJ161" s="41">
        <f t="shared" ref="EJ161:EJ165" ca="1" si="2734">SUM(DP161:EI161)</f>
        <v>0.9978999999999999</v>
      </c>
      <c r="EL161" s="378">
        <f t="shared" ref="EL161:EL165" ca="1" si="2735">RANK(DP161,$DP161:$EI161)</f>
        <v>5</v>
      </c>
      <c r="EM161" s="378">
        <f t="shared" ref="EM161:EM165" ca="1" si="2736">RANK(DQ161,$DP161:$EI161)</f>
        <v>6</v>
      </c>
      <c r="EN161" s="378">
        <f t="shared" ref="EN161:EN165" ca="1" si="2737">RANK(DR161,$DP161:$EI161)</f>
        <v>7</v>
      </c>
      <c r="EO161" s="378">
        <f t="shared" ref="EO161:EO165" ca="1" si="2738">RANK(DS161,$DP161:$EI161)</f>
        <v>1</v>
      </c>
      <c r="EP161" s="378">
        <f t="shared" ref="EP161:EP165" ca="1" si="2739">RANK(DT161,$DP161:$EI161)</f>
        <v>8</v>
      </c>
      <c r="EQ161" s="378">
        <f t="shared" ref="EQ161:EQ165" ca="1" si="2740">RANK(DU161,$DP161:$EI161)</f>
        <v>4</v>
      </c>
      <c r="ER161" s="378">
        <f t="shared" ref="ER161:ER165" ca="1" si="2741">RANK(DV161,$DP161:$EI161)</f>
        <v>3</v>
      </c>
      <c r="ES161" s="378">
        <f t="shared" ref="ES161:ES165" ca="1" si="2742">RANK(DW161,$DP161:$EI161)</f>
        <v>9</v>
      </c>
      <c r="ET161" s="378">
        <f t="shared" ref="ET161:ET165" ca="1" si="2743">RANK(DX161,$DP161:$EI161)</f>
        <v>2</v>
      </c>
      <c r="EU161" s="378">
        <f t="shared" ref="EU161:EU165" ca="1" si="2744">RANK(DY161,$DP161:$EI161)</f>
        <v>10</v>
      </c>
      <c r="EV161" s="378">
        <f t="shared" ref="EV161:EV165" ca="1" si="2745">RANK(DZ161,$DP161:$EI161)</f>
        <v>11</v>
      </c>
      <c r="EW161" s="378">
        <f t="shared" ref="EW161:EW165" ca="1" si="2746">RANK(EA161,$DP161:$EI161)</f>
        <v>12</v>
      </c>
      <c r="EX161" s="378">
        <f t="shared" ref="EX161:EX165" ca="1" si="2747">RANK(EB161,$DP161:$EI161)</f>
        <v>13</v>
      </c>
      <c r="EY161" s="378">
        <f t="shared" ref="EY161:EY165" ca="1" si="2748">RANK(EC161,$DP161:$EI161)</f>
        <v>14</v>
      </c>
      <c r="EZ161" s="378">
        <f t="shared" ref="EZ161:EZ165" ca="1" si="2749">RANK(ED161,$DP161:$EI161)</f>
        <v>15</v>
      </c>
      <c r="FA161" s="378">
        <f t="shared" ref="FA161:FA165" ca="1" si="2750">RANK(EE161,$DP161:$EI161)</f>
        <v>16</v>
      </c>
      <c r="FB161" s="378">
        <f t="shared" ref="FB161:FB165" ca="1" si="2751">RANK(EF161,$DP161:$EI161)</f>
        <v>17</v>
      </c>
      <c r="FC161" s="378">
        <f t="shared" ref="FC161:FC165" ca="1" si="2752">RANK(EG161,$DP161:$EI161)</f>
        <v>18</v>
      </c>
      <c r="FD161" s="378">
        <f t="shared" ref="FD161:FD165" ca="1" si="2753">RANK(EH161,$DP161:$EI161)</f>
        <v>19</v>
      </c>
      <c r="FE161" s="378">
        <f t="shared" ref="FE161:FE165" ca="1" si="2754">RANK(EI161,$DP161:$EI161)</f>
        <v>20</v>
      </c>
      <c r="FG161" s="378">
        <f t="shared" ref="FG161:FV165" ca="1" si="2755">MATCH(FG$5,$EL161:$FE161,0)</f>
        <v>4</v>
      </c>
      <c r="FH161" s="378">
        <f t="shared" ca="1" si="2755"/>
        <v>9</v>
      </c>
      <c r="FI161" s="378">
        <f t="shared" ca="1" si="2755"/>
        <v>7</v>
      </c>
      <c r="FJ161" s="378">
        <f t="shared" ca="1" si="2755"/>
        <v>6</v>
      </c>
      <c r="FK161" s="378">
        <f t="shared" ca="1" si="2755"/>
        <v>1</v>
      </c>
      <c r="FL161" s="378">
        <f t="shared" ca="1" si="2755"/>
        <v>2</v>
      </c>
      <c r="FM161" s="378">
        <f t="shared" ca="1" si="2755"/>
        <v>3</v>
      </c>
      <c r="FN161" s="378">
        <f t="shared" ca="1" si="2755"/>
        <v>5</v>
      </c>
      <c r="FO161" s="378">
        <f t="shared" ca="1" si="2755"/>
        <v>8</v>
      </c>
      <c r="FP161" s="378">
        <f t="shared" ca="1" si="2755"/>
        <v>10</v>
      </c>
      <c r="FQ161" s="378">
        <f t="shared" ca="1" si="2755"/>
        <v>11</v>
      </c>
      <c r="FR161" s="378">
        <f t="shared" ca="1" si="2755"/>
        <v>12</v>
      </c>
      <c r="FS161" s="378">
        <f t="shared" ca="1" si="2755"/>
        <v>13</v>
      </c>
      <c r="FT161" s="378">
        <f t="shared" ca="1" si="2755"/>
        <v>14</v>
      </c>
      <c r="FU161" s="378">
        <f t="shared" ca="1" si="2755"/>
        <v>15</v>
      </c>
      <c r="FV161" s="378">
        <f t="shared" ca="1" si="2755"/>
        <v>16</v>
      </c>
      <c r="FW161" s="378">
        <f t="shared" ref="FW161:FZ165" ca="1" si="2756">MATCH(FW$5,$EL161:$FE161,0)</f>
        <v>17</v>
      </c>
      <c r="FX161" s="378">
        <f t="shared" ca="1" si="2756"/>
        <v>18</v>
      </c>
      <c r="FY161" s="378">
        <f t="shared" ca="1" si="2756"/>
        <v>19</v>
      </c>
      <c r="FZ161" s="378">
        <f t="shared" ca="1" si="2756"/>
        <v>20</v>
      </c>
      <c r="GB161" s="275" t="str">
        <f t="shared" ref="GB161:GB165" ca="1" si="2757">IF(GB$5&lt;=$BV161,INDEX($Y161:$BL161,1,FG161*2-1)&amp;" ("&amp;TEXT(INDEX($DP161:$EI161,1,FG161),"0%")&amp;")","")</f>
        <v>Architecture Standards &amp; Adherence (64%)</v>
      </c>
      <c r="GC161" s="231" t="str">
        <f t="shared" ref="GC161:GC165" ca="1" si="2758">IF(GC$5&lt;=$BV161,"; "&amp;INDEX($Y161:$BL161,1,FH161*2-1)&amp;" ("&amp;TEXT(INDEX($DP161:$EI161,1,FH161),"0%")&amp;")","")</f>
        <v>; Enhance BI Platform (31%)</v>
      </c>
      <c r="GD161" s="231" t="str">
        <f t="shared" ref="GD161:GD165" ca="1" si="2759">IF(GD$5&lt;=$BV161,"; "&amp;INDEX($Y161:$BL161,1,FI161*2-1)&amp;" ("&amp;TEXT(INDEX($DP161:$EI161,1,FI161),"0%")&amp;")","")</f>
        <v/>
      </c>
      <c r="GE161" s="231" t="str">
        <f t="shared" ref="GE161:GE165" ca="1" si="2760">IF(GE$5&lt;=$BV161,"; "&amp;INDEX($Y161:$BL161,1,FJ161*2-1)&amp;" ("&amp;TEXT(INDEX($DP161:$EI161,1,FJ161),"0%")&amp;")","")</f>
        <v/>
      </c>
      <c r="GF161" s="231" t="str">
        <f t="shared" ref="GF161:GF165" ca="1" si="2761">IF(GF$5&lt;=$BV161,"; "&amp;INDEX($Y161:$BL161,1,FK161*2-1)&amp;" ("&amp;TEXT(INDEX($DP161:$EI161,1,FK161),"0%")&amp;")","")</f>
        <v/>
      </c>
      <c r="GG161" s="231" t="str">
        <f t="shared" ref="GG161:GG165" ca="1" si="2762">IF(GG$5&lt;=$BV161,"; "&amp;INDEX($Y161:$BL161,1,FL161*2-1)&amp;" ("&amp;TEXT(INDEX($DP161:$EI161,1,FL161),"0%")&amp;")","")</f>
        <v/>
      </c>
      <c r="GH161" s="231" t="str">
        <f t="shared" ref="GH161:GH165" ca="1" si="2763">IF(GH$5&lt;=$BV161,"; "&amp;INDEX($Y161:$BL161,1,FM161*2-1)&amp;" ("&amp;TEXT(INDEX($DP161:$EI161,1,FM161),"0%")&amp;")","")</f>
        <v/>
      </c>
      <c r="GI161" s="231" t="str">
        <f t="shared" ref="GI161:GI165" ca="1" si="2764">IF(GI$5&lt;=$BV161,"; "&amp;INDEX($Y161:$BL161,1,FN161*2-1)&amp;" ("&amp;TEXT(INDEX($DP161:$EI161,1,FN161),"0%")&amp;")","")</f>
        <v/>
      </c>
      <c r="GJ161" s="231" t="str">
        <f t="shared" ref="GJ161:GJ165" ca="1" si="2765">IF(GJ$5&lt;=$BV161,"; "&amp;INDEX($Y161:$BL161,1,FO161*2-1)&amp;" ("&amp;TEXT(INDEX($DP161:$EI161,1,FO161),"0%")&amp;")","")</f>
        <v/>
      </c>
      <c r="GK161" s="231" t="str">
        <f t="shared" ref="GK161:GK165" ca="1" si="2766">IF(GK$5&lt;=$BV161,"; "&amp;INDEX($Y161:$BL161,1,FP161*2-1)&amp;" ("&amp;TEXT(INDEX($DP161:$EI161,1,FP161),"0%")&amp;")","")</f>
        <v/>
      </c>
      <c r="GL161" s="231" t="str">
        <f t="shared" ref="GL161:GL165" ca="1" si="2767">IF(GL$5&lt;=$BV161,"; "&amp;INDEX($Y161:$BL161,1,FQ161*2-1)&amp;" ("&amp;TEXT(INDEX($DP161:$EI161,1,FQ161),"0%")&amp;")","")</f>
        <v/>
      </c>
      <c r="GM161" s="231" t="str">
        <f t="shared" ref="GM161:GM165" ca="1" si="2768">IF(GM$5&lt;=$BV161,"; "&amp;INDEX($Y161:$BL161,1,FR161*2-1)&amp;" ("&amp;TEXT(INDEX($DP161:$EI161,1,FR161),"0%")&amp;")","")</f>
        <v/>
      </c>
      <c r="GN161" s="231" t="str">
        <f t="shared" ref="GN161:GN165" ca="1" si="2769">IF(GN$5&lt;=$BV161,"; "&amp;INDEX($Y161:$BL161,1,FS161*2-1)&amp;" ("&amp;TEXT(INDEX($DP161:$EI161,1,FS161),"0%")&amp;")","")</f>
        <v/>
      </c>
      <c r="GO161" s="231" t="str">
        <f t="shared" ref="GO161:GO165" ca="1" si="2770">IF(GO$5&lt;=$BV161,"; "&amp;INDEX($Y161:$BL161,1,FT161*2-1)&amp;" ("&amp;TEXT(INDEX($DP161:$EI161,1,FT161),"0%")&amp;")","")</f>
        <v/>
      </c>
      <c r="GP161" s="231" t="str">
        <f t="shared" ref="GP161:GP165" ca="1" si="2771">IF(GP$5&lt;=$BV161,"; "&amp;INDEX($Y161:$BL161,1,FU161*2-1)&amp;" ("&amp;TEXT(INDEX($DP161:$EI161,1,FU161),"0%")&amp;")","")</f>
        <v/>
      </c>
      <c r="GQ161" s="231" t="str">
        <f t="shared" ref="GQ161:GQ165" ca="1" si="2772">IF(GQ$5&lt;=$BV161,"; "&amp;INDEX($Y161:$BL161,1,FV161*2-1)&amp;" ("&amp;TEXT(INDEX($DP161:$EI161,1,FV161),"0%")&amp;")","")</f>
        <v/>
      </c>
      <c r="GR161" s="231" t="str">
        <f t="shared" ref="GR161:GR165" ca="1" si="2773">IF(GR$5&lt;=$BV161,"; "&amp;INDEX($Y161:$BL161,1,FW161*2-1)&amp;" ("&amp;TEXT(INDEX($DP161:$EI161,1,FW161),"0%")&amp;")","")</f>
        <v/>
      </c>
      <c r="GS161" s="231" t="str">
        <f t="shared" ref="GS161:GS165" ca="1" si="2774">IF(GS$5&lt;=$BV161,"; "&amp;INDEX($Y161:$BL161,1,FX161*2-1)&amp;" ("&amp;TEXT(INDEX($DP161:$EI161,1,FX161),"0%")&amp;")","")</f>
        <v/>
      </c>
      <c r="GT161" s="231" t="str">
        <f t="shared" ref="GT161:GT165" ca="1" si="2775">IF(GT$5&lt;=$BV161,"; "&amp;INDEX($Y161:$BL161,1,FY161*2-1)&amp;" ("&amp;TEXT(INDEX($DP161:$EI161,1,FY161),"0%")&amp;")","")</f>
        <v/>
      </c>
      <c r="GU161" s="231" t="str">
        <f t="shared" ref="GU161:GU165" ca="1" si="2776">IF(GU$5&lt;=$BV161,"; "&amp;INDEX($Y161:$BL161,1,FZ161*2-1)&amp;" ("&amp;TEXT(INDEX($DP161:$EI161,1,FZ161),"0%")&amp;")","")</f>
        <v/>
      </c>
      <c r="GW161" s="377">
        <f ca="1">IF(ISERROR(OFFSET(Initiatives!$D$1,E161-1,$CB$3)),,OFFSET(Initiatives!$D$1,E161-1,$CB$3))</f>
        <v>0.65</v>
      </c>
      <c r="GX161" s="377">
        <f ca="1">IF(ISERROR(OFFSET(Initiatives!$D$1,F161-1,$CB$3)),,OFFSET(Initiatives!$D$1,F161-1,$CB$3))</f>
        <v>0.65</v>
      </c>
      <c r="GY161" s="377">
        <f ca="1">IF(ISERROR(OFFSET(Initiatives!$D$1,G161-1,$CB$3)),,OFFSET(Initiatives!$D$1,G161-1,$CB$3))</f>
        <v>0.65</v>
      </c>
      <c r="GZ161" s="377">
        <f ca="1">IF(ISERROR(OFFSET(Initiatives!$D$1,H161-1,$CB$3)),,OFFSET(Initiatives!$D$1,H161-1,$CB$3))</f>
        <v>0.65</v>
      </c>
      <c r="HA161" s="377">
        <f ca="1">IF(ISERROR(OFFSET(Initiatives!$D$1,I161-1,$CB$3)),,OFFSET(Initiatives!$D$1,I161-1,$CB$3))</f>
        <v>0.75</v>
      </c>
      <c r="HB161" s="377">
        <f ca="1">IF(ISERROR(OFFSET(Initiatives!$D$1,J161-1,$CB$3)),,OFFSET(Initiatives!$D$1,J161-1,$CB$3))</f>
        <v>0.8</v>
      </c>
      <c r="HC161" s="377">
        <f ca="1">IF(ISERROR(OFFSET(Initiatives!$D$1,K161-1,$CB$3)),,OFFSET(Initiatives!$D$1,K161-1,$CB$3))</f>
        <v>0.9</v>
      </c>
      <c r="HD161" s="377">
        <f ca="1">IF(ISERROR(OFFSET(Initiatives!$D$1,L161-1,$CB$3)),,OFFSET(Initiatives!$D$1,L161-1,$CB$3))</f>
        <v>0.43181818181818177</v>
      </c>
      <c r="HE161" s="377">
        <f ca="1">IF(ISERROR(OFFSET(Initiatives!$D$1,M161-1,$CB$3)),,OFFSET(Initiatives!$D$1,M161-1,$CB$3))</f>
        <v>0.25</v>
      </c>
      <c r="HF161" s="377">
        <f ca="1">IF(ISERROR(OFFSET(Initiatives!$D$1,N161-1,$CB$3)),,OFFSET(Initiatives!$D$1,N161-1,$CB$3))</f>
        <v>0</v>
      </c>
      <c r="HG161" s="377">
        <f ca="1">IF(ISERROR(OFFSET(Initiatives!$D$1,O161-1,$CB$3)),,OFFSET(Initiatives!$D$1,O161-1,$CB$3))</f>
        <v>0</v>
      </c>
      <c r="HH161" s="377">
        <f ca="1">IF(ISERROR(OFFSET(Initiatives!$D$1,P161-1,$CB$3)),,OFFSET(Initiatives!$D$1,P161-1,$CB$3))</f>
        <v>0</v>
      </c>
      <c r="HI161" s="377">
        <f ca="1">IF(ISERROR(OFFSET(Initiatives!$D$1,Q161-1,$CB$3)),,OFFSET(Initiatives!$D$1,Q161-1,$CB$3))</f>
        <v>0</v>
      </c>
      <c r="HJ161" s="377">
        <f ca="1">IF(ISERROR(OFFSET(Initiatives!$D$1,R161-1,$CB$3)),,OFFSET(Initiatives!$D$1,R161-1,$CB$3))</f>
        <v>0</v>
      </c>
      <c r="HK161" s="377">
        <f ca="1">IF(ISERROR(OFFSET(Initiatives!$D$1,S161-1,$CB$3)),,OFFSET(Initiatives!$D$1,S161-1,$CB$3))</f>
        <v>0</v>
      </c>
      <c r="HL161" s="377">
        <f ca="1">IF(ISERROR(OFFSET(Initiatives!$D$1,T161-1,$CB$3)),,OFFSET(Initiatives!$D$1,T161-1,$CB$3))</f>
        <v>0</v>
      </c>
      <c r="HM161" s="377">
        <f ca="1">IF(ISERROR(OFFSET(Initiatives!$D$1,U161-1,$CB$3)),,OFFSET(Initiatives!$D$1,U161-1,$CB$3))</f>
        <v>0</v>
      </c>
      <c r="HN161" s="377">
        <f ca="1">IF(ISERROR(OFFSET(Initiatives!$D$1,V161-1,$CB$3)),,OFFSET(Initiatives!$D$1,V161-1,$CB$3))</f>
        <v>0</v>
      </c>
      <c r="HO161" s="377">
        <f ca="1">IF(ISERROR(OFFSET(Initiatives!$D$1,W161-1,$CB$3)),,OFFSET(Initiatives!$D$1,W161-1,$CB$3))</f>
        <v>0</v>
      </c>
      <c r="HP161" s="377">
        <f ca="1">IF(ISERROR(OFFSET(Initiatives!$D$1,X161-1,$CB$3)),,OFFSET(Initiatives!$D$1,X161-1,$CB$3))</f>
        <v>0</v>
      </c>
      <c r="HR161" s="41">
        <f t="shared" ref="HR161:HR165" ca="1" si="2777">GW161*Z161/$BN161</f>
        <v>0</v>
      </c>
      <c r="HS161" s="41">
        <f t="shared" ref="HS161:HS165" ca="1" si="2778">GX161*AB161/$BN161</f>
        <v>0</v>
      </c>
      <c r="HT161" s="41">
        <f t="shared" ref="HT161:HT165" ca="1" si="2779">GY161*AD161/$BN161</f>
        <v>0</v>
      </c>
      <c r="HU161" s="41">
        <f t="shared" ref="HU161:HU165" ca="1" si="2780">GZ161*AF161/$BN161</f>
        <v>0.36562271485803216</v>
      </c>
      <c r="HV161" s="41">
        <f t="shared" ref="HV161:HV165" ca="1" si="2781">HA161*AH161/$BN161</f>
        <v>0</v>
      </c>
      <c r="HW161" s="41">
        <f t="shared" ref="HW161:HW165" ca="1" si="2782">HB161*AJ161/$BN161</f>
        <v>4.9999687501953119E-2</v>
      </c>
      <c r="HX161" s="41">
        <f t="shared" ref="HX161:HX165" ca="1" si="2783">HC161*AL161/$BN161</f>
        <v>0.28124824219848626</v>
      </c>
      <c r="HY161" s="41">
        <f t="shared" ref="HY161:HY165" ca="1" si="2784">HD161*AN161/$BN161</f>
        <v>0</v>
      </c>
      <c r="HZ161" s="41">
        <f t="shared" ref="HZ161:HZ165" ca="1" si="2785">HE161*AP161/$BN161</f>
        <v>1.5624902344360349E-2</v>
      </c>
      <c r="IA161" s="41">
        <f t="shared" ref="IA161:IA165" ca="1" si="2786">HF161*AR161/$BN161</f>
        <v>0</v>
      </c>
      <c r="IB161" s="41">
        <f t="shared" ref="IB161:IB165" ca="1" si="2787">HG161*AT161/$BN161</f>
        <v>0</v>
      </c>
      <c r="IC161" s="41">
        <f t="shared" ref="IC161:IC165" ca="1" si="2788">HH161*AV161/$BN161</f>
        <v>0</v>
      </c>
      <c r="ID161" s="41">
        <f t="shared" ref="ID161:ID165" ca="1" si="2789">HI161*AX161/$BN161</f>
        <v>0</v>
      </c>
      <c r="IE161" s="41">
        <f t="shared" ref="IE161:IE165" ca="1" si="2790">HJ161*BZ161/$BN161</f>
        <v>0</v>
      </c>
      <c r="IF161" s="41">
        <f t="shared" ref="IF161:IF165" ca="1" si="2791">HK161*BB161/$BN161</f>
        <v>0</v>
      </c>
      <c r="IG161" s="41">
        <f t="shared" ref="IG161:IG165" ca="1" si="2792">HL161*BD161/$BN161</f>
        <v>0</v>
      </c>
      <c r="IH161" s="41">
        <f t="shared" ref="IH161:IH165" ca="1" si="2793">HM161*BF161/$BN161</f>
        <v>0</v>
      </c>
      <c r="II161" s="41">
        <f t="shared" ref="II161:II165" ca="1" si="2794">HN161*BH161/$BN161</f>
        <v>0</v>
      </c>
      <c r="IJ161" s="41">
        <f t="shared" ref="IJ161:IJ165" ca="1" si="2795">HO161*BJ161/$BN161</f>
        <v>0</v>
      </c>
      <c r="IK161" s="41">
        <f t="shared" ref="IK161:IK165" ca="1" si="2796">HP161*BL161/$BN161</f>
        <v>0</v>
      </c>
      <c r="IL161" s="41">
        <f t="shared" ref="IL161:IL165" ca="1" si="2797">SUM(HR161:IK161)</f>
        <v>0.7124955469028319</v>
      </c>
    </row>
    <row r="162" spans="1:246" s="409" customFormat="1" ht="14.25" hidden="1" customHeight="1">
      <c r="B162" s="373"/>
      <c r="C162" s="81" t="str">
        <f>Maturity!B48</f>
        <v>To what degree has your group defined, documented, and implemented standards for DEVELOPING, TESTING, and DEPLOYING BI/DW functionality (i.e., ETL code and BI reports)?</v>
      </c>
      <c r="D162" s="404">
        <f t="shared" ca="1" si="2687"/>
        <v>0.25499787501770826</v>
      </c>
      <c r="E162" s="374">
        <f>ROW(Initiatives!$A$100)</f>
        <v>100</v>
      </c>
      <c r="F162" s="374">
        <f>ROW(Initiatives!$A$101)</f>
        <v>101</v>
      </c>
      <c r="G162" s="374">
        <f>ROW(Initiatives!$A$102)</f>
        <v>102</v>
      </c>
      <c r="H162" s="374">
        <f>ROW(Initiatives!$A$103)</f>
        <v>103</v>
      </c>
      <c r="I162" s="374">
        <f>ROW(Initiatives!$A$114)</f>
        <v>114</v>
      </c>
      <c r="J162" s="374">
        <f>ROW(Initiatives!$A$120)</f>
        <v>120</v>
      </c>
      <c r="K162" s="374">
        <f>ROW(Initiatives!$A$126)</f>
        <v>126</v>
      </c>
      <c r="L162" s="374">
        <f>ROW(Initiatives!$A$176)</f>
        <v>176</v>
      </c>
      <c r="M162" s="374">
        <f>ROW(Initiatives!$A$189)</f>
        <v>189</v>
      </c>
      <c r="N162" s="374"/>
      <c r="O162" s="374" t="s">
        <v>975</v>
      </c>
      <c r="P162" s="374" t="s">
        <v>975</v>
      </c>
      <c r="Q162" s="374" t="s">
        <v>975</v>
      </c>
      <c r="R162" s="374" t="s">
        <v>975</v>
      </c>
      <c r="S162" s="374" t="s">
        <v>975</v>
      </c>
      <c r="T162" s="374" t="s">
        <v>975</v>
      </c>
      <c r="U162" s="374" t="s">
        <v>975</v>
      </c>
      <c r="V162" s="374" t="s">
        <v>975</v>
      </c>
      <c r="W162" s="374" t="s">
        <v>975</v>
      </c>
      <c r="X162" s="374" t="s">
        <v>975</v>
      </c>
      <c r="Y162" s="392" t="str">
        <f ca="1">OFFSET(Initiatives!$D$1,E162-1,$BS$3)</f>
        <v>Governance</v>
      </c>
      <c r="Z162" s="375"/>
      <c r="AA162" s="392" t="str">
        <f ca="1">OFFSET(Initiatives!$D$1,F162-1,$BS$3)</f>
        <v>Architecture</v>
      </c>
      <c r="AB162" s="375"/>
      <c r="AC162" s="392" t="str">
        <f ca="1">OFFSET(Initiatives!$D$1,G162-1,$BS$3)</f>
        <v>Robust security</v>
      </c>
      <c r="AD162" s="375"/>
      <c r="AE162" s="392" t="str">
        <f ca="1">OFFSET(Initiatives!$D$1,H162-1,$BS$3)</f>
        <v>Architecture Standards &amp; Adherence</v>
      </c>
      <c r="AF162" s="375">
        <v>9</v>
      </c>
      <c r="AG162" s="392" t="str">
        <f ca="1">OFFSET(Initiatives!$D$1,I162-1,$BS$3)</f>
        <v>Data Integration/ETL</v>
      </c>
      <c r="AH162" s="375"/>
      <c r="AI162" s="392" t="str">
        <f ca="1">OFFSET(Initiatives!$D$1,J162-1,$BS$3)</f>
        <v>Data Warehouse / Data Marts</v>
      </c>
      <c r="AJ162" s="375"/>
      <c r="AK162" s="392" t="str">
        <f ca="1">OFFSET(Initiatives!$D$1,K162-1,$BS$3)</f>
        <v>Development</v>
      </c>
      <c r="AL162" s="375"/>
      <c r="AM162" s="392" t="str">
        <f ca="1">OFFSET(Initiatives!$D$1,L162-1,$BS$3)</f>
        <v>Source System Inclusion / Integration</v>
      </c>
      <c r="AN162" s="375"/>
      <c r="AO162" s="392" t="str">
        <f ca="1">OFFSET(Initiatives!$D$1,M162-1,$BS$3)</f>
        <v>Enhance BI Platform</v>
      </c>
      <c r="AP162" s="375">
        <v>3</v>
      </c>
      <c r="AQ162" s="392" t="e">
        <f ca="1">OFFSET(Initiatives!$D$1,N162-1,$BS$3)</f>
        <v>#REF!</v>
      </c>
      <c r="AR162" s="375"/>
      <c r="AS162" s="392" t="e">
        <f ca="1">OFFSET(Initiatives!$D$1,O162-1,$BS$3)</f>
        <v>#VALUE!</v>
      </c>
      <c r="AT162" s="375"/>
      <c r="AU162" s="392" t="e">
        <f ca="1">OFFSET(Initiatives!$D$1,P162-1,$BS$3)</f>
        <v>#VALUE!</v>
      </c>
      <c r="AV162" s="375"/>
      <c r="AW162" s="392" t="e">
        <f ca="1">OFFSET(Initiatives!$D$1,Q162-1,$BS$3)</f>
        <v>#VALUE!</v>
      </c>
      <c r="AX162" s="375"/>
      <c r="AY162" s="392" t="e">
        <f ca="1">OFFSET(Initiatives!$D$1,R162-1,$BS$3)</f>
        <v>#VALUE!</v>
      </c>
      <c r="AZ162" s="375"/>
      <c r="BA162" s="392" t="e">
        <f ca="1">OFFSET(Initiatives!$D$1,S162-1,$BS$3)</f>
        <v>#VALUE!</v>
      </c>
      <c r="BB162" s="375"/>
      <c r="BC162" s="392" t="e">
        <f ca="1">OFFSET(Initiatives!$D$1,T162-1,$BS$3)</f>
        <v>#VALUE!</v>
      </c>
      <c r="BD162" s="375"/>
      <c r="BE162" s="392" t="e">
        <f ca="1">OFFSET(Initiatives!$D$1,U162-1,$BS$3)</f>
        <v>#VALUE!</v>
      </c>
      <c r="BF162" s="375"/>
      <c r="BG162" s="392" t="e">
        <f ca="1">OFFSET(Initiatives!$D$1,V162-1,$BS$3)</f>
        <v>#VALUE!</v>
      </c>
      <c r="BH162" s="375"/>
      <c r="BI162" s="392" t="e">
        <f ca="1">OFFSET(Initiatives!$D$1,W162-1,$BS$3)</f>
        <v>#VALUE!</v>
      </c>
      <c r="BJ162" s="375"/>
      <c r="BK162" s="392" t="e">
        <f ca="1">OFFSET(Initiatives!$D$1,X162-1,$BS$3)</f>
        <v>#VALUE!</v>
      </c>
      <c r="BL162" s="375"/>
      <c r="BN162" s="101">
        <f t="shared" si="2688"/>
        <v>12.0001</v>
      </c>
      <c r="BP162" s="231" t="str">
        <f t="shared" ca="1" si="2689"/>
        <v>Enhance BI Platform (59%); Architecture Standards &amp; Adherence (41%)</v>
      </c>
      <c r="BQ162" s="338">
        <v>0.01</v>
      </c>
      <c r="BR162" s="40">
        <f t="shared" ca="1" si="2690"/>
        <v>2</v>
      </c>
      <c r="BS162" s="274">
        <v>0.05</v>
      </c>
      <c r="BT162" s="40">
        <f t="shared" ca="1" si="2691"/>
        <v>2</v>
      </c>
      <c r="BU162" s="376">
        <v>7</v>
      </c>
      <c r="BV162" s="40">
        <f t="shared" ca="1" si="2692"/>
        <v>2</v>
      </c>
      <c r="BY162" s="377">
        <f ca="1">IF(ISERROR(OFFSET(Initiatives!$D$1,E162-1,$BY$3)),,OFFSET(Initiatives!$D$1,E162-1,$BY$3))</f>
        <v>0.14000000000000001</v>
      </c>
      <c r="BZ162" s="377">
        <f ca="1">IF(ISERROR(OFFSET(Initiatives!$D$1,F162-1,$BY$3)),,OFFSET(Initiatives!$D$1,F162-1,$BY$3))</f>
        <v>0.14000000000000001</v>
      </c>
      <c r="CA162" s="377">
        <f ca="1">IF(ISERROR(OFFSET(Initiatives!$D$1,G162-1,$BY$3)),,OFFSET(Initiatives!$D$1,G162-1,$BY$3))</f>
        <v>0.14000000000000001</v>
      </c>
      <c r="CB162" s="377">
        <f ca="1">IF(ISERROR(OFFSET(Initiatives!$D$1,H162-1,$BY$3)),,OFFSET(Initiatives!$D$1,H162-1,$BY$3))</f>
        <v>0.14000000000000012</v>
      </c>
      <c r="CC162" s="377">
        <f ca="1">IF(ISERROR(OFFSET(Initiatives!$D$1,I162-1,$BY$3)),,OFFSET(Initiatives!$D$1,I162-1,$BY$3))</f>
        <v>9.9999999999999978E-2</v>
      </c>
      <c r="CD162" s="377">
        <f ca="1">IF(ISERROR(OFFSET(Initiatives!$D$1,J162-1,$BY$3)),,OFFSET(Initiatives!$D$1,J162-1,$BY$3))</f>
        <v>3.0000000000000027E-2</v>
      </c>
      <c r="CE162" s="377">
        <f ca="1">IF(ISERROR(OFFSET(Initiatives!$D$1,K162-1,$BY$3)),,OFFSET(Initiatives!$D$1,K162-1,$BY$3))</f>
        <v>1.5000000000000124E-2</v>
      </c>
      <c r="CF162" s="377">
        <f ca="1">IF(ISERROR(OFFSET(Initiatives!$D$1,L162-1,$BY$3)),,OFFSET(Initiatives!$D$1,L162-1,$BY$3))</f>
        <v>0.45454545454545436</v>
      </c>
      <c r="CG162" s="377">
        <f ca="1">IF(ISERROR(OFFSET(Initiatives!$D$1,M162-1,$BY$3)),,OFFSET(Initiatives!$D$1,M162-1,$BY$3))</f>
        <v>0.6</v>
      </c>
      <c r="CH162" s="377">
        <f ca="1">IF(ISERROR(OFFSET(Initiatives!$D$1,N162-1,$BY$3)),,OFFSET(Initiatives!$D$1,N162-1,$BY$3))</f>
        <v>0</v>
      </c>
      <c r="CI162" s="377">
        <f ca="1">IF(ISERROR(OFFSET(Initiatives!$D$1,O162-1,$BY$3)),,OFFSET(Initiatives!$D$1,O162-1,$BY$3))</f>
        <v>0</v>
      </c>
      <c r="CJ162" s="377">
        <f ca="1">IF(ISERROR(OFFSET(Initiatives!$D$1,P162-1,$BY$3)),,OFFSET(Initiatives!$D$1,P162-1,$BY$3))</f>
        <v>0</v>
      </c>
      <c r="CK162" s="377">
        <f ca="1">IF(ISERROR(OFFSET(Initiatives!$D$1,Q162-1,$BY$3)),,OFFSET(Initiatives!$D$1,Q162-1,$BY$3))</f>
        <v>0</v>
      </c>
      <c r="CL162" s="377">
        <f ca="1">IF(ISERROR(OFFSET(Initiatives!$D$1,R162-1,$BY$3)),,OFFSET(Initiatives!$D$1,R162-1,$BY$3))</f>
        <v>0</v>
      </c>
      <c r="CM162" s="377">
        <f ca="1">IF(ISERROR(OFFSET(Initiatives!$D$1,S162-1,$BY$3)),,OFFSET(Initiatives!$D$1,S162-1,$BY$3))</f>
        <v>0</v>
      </c>
      <c r="CN162" s="377">
        <f ca="1">IF(ISERROR(OFFSET(Initiatives!$D$1,T162-1,$BY$3)),,OFFSET(Initiatives!$D$1,T162-1,$BY$3))</f>
        <v>0</v>
      </c>
      <c r="CO162" s="377">
        <f ca="1">IF(ISERROR(OFFSET(Initiatives!$D$1,U162-1,$BY$3)),,OFFSET(Initiatives!$D$1,U162-1,$BY$3))</f>
        <v>0</v>
      </c>
      <c r="CP162" s="377">
        <f ca="1">IF(ISERROR(OFFSET(Initiatives!$D$1,V162-1,$BY$3)),,OFFSET(Initiatives!$D$1,V162-1,$BY$3))</f>
        <v>0</v>
      </c>
      <c r="CQ162" s="377">
        <f ca="1">IF(ISERROR(OFFSET(Initiatives!$D$1,W162-1,$BY$3)),,OFFSET(Initiatives!$D$1,W162-1,$BY$3))</f>
        <v>0</v>
      </c>
      <c r="CR162" s="377">
        <f ca="1">IF(ISERROR(OFFSET(Initiatives!$D$1,X162-1,$BY$3)),,OFFSET(Initiatives!$D$1,X162-1,$BY$3))</f>
        <v>0</v>
      </c>
      <c r="CT162" s="41">
        <f t="shared" ca="1" si="2693"/>
        <v>0</v>
      </c>
      <c r="CU162" s="41">
        <f t="shared" ca="1" si="2694"/>
        <v>0</v>
      </c>
      <c r="CV162" s="41">
        <f t="shared" ca="1" si="2695"/>
        <v>0</v>
      </c>
      <c r="CW162" s="41">
        <f t="shared" ca="1" si="2696"/>
        <v>0.10499912500729171</v>
      </c>
      <c r="CX162" s="41">
        <f t="shared" ca="1" si="2697"/>
        <v>0</v>
      </c>
      <c r="CY162" s="41">
        <f t="shared" ca="1" si="2698"/>
        <v>0</v>
      </c>
      <c r="CZ162" s="41">
        <f t="shared" ca="1" si="2699"/>
        <v>0</v>
      </c>
      <c r="DA162" s="41">
        <f t="shared" ca="1" si="2700"/>
        <v>0</v>
      </c>
      <c r="DB162" s="41">
        <f t="shared" ca="1" si="2701"/>
        <v>0.14999875001041657</v>
      </c>
      <c r="DC162" s="41">
        <f t="shared" ca="1" si="2702"/>
        <v>0</v>
      </c>
      <c r="DD162" s="41">
        <f t="shared" ca="1" si="2703"/>
        <v>0</v>
      </c>
      <c r="DE162" s="41">
        <f t="shared" ca="1" si="2704"/>
        <v>0</v>
      </c>
      <c r="DF162" s="41">
        <f t="shared" ca="1" si="2705"/>
        <v>0</v>
      </c>
      <c r="DG162" s="41">
        <f t="shared" ca="1" si="2706"/>
        <v>0</v>
      </c>
      <c r="DH162" s="41">
        <f t="shared" ca="1" si="2707"/>
        <v>0</v>
      </c>
      <c r="DI162" s="41">
        <f t="shared" ca="1" si="2708"/>
        <v>0</v>
      </c>
      <c r="DJ162" s="41">
        <f t="shared" ca="1" si="2709"/>
        <v>0</v>
      </c>
      <c r="DK162" s="41">
        <f t="shared" ca="1" si="2710"/>
        <v>0</v>
      </c>
      <c r="DL162" s="41">
        <f t="shared" ca="1" si="2711"/>
        <v>0</v>
      </c>
      <c r="DM162" s="41">
        <f t="shared" ca="1" si="2712"/>
        <v>0</v>
      </c>
      <c r="DN162" s="41">
        <f t="shared" ca="1" si="2713"/>
        <v>0.25499787501770826</v>
      </c>
      <c r="DP162" s="41">
        <f t="shared" ca="1" si="2714"/>
        <v>-1.0000000000000001E-5</v>
      </c>
      <c r="DQ162" s="41">
        <f t="shared" ca="1" si="2715"/>
        <v>-2.0000000000000002E-5</v>
      </c>
      <c r="DR162" s="41">
        <f t="shared" ca="1" si="2716"/>
        <v>-3.0000000000000001E-5</v>
      </c>
      <c r="DS162" s="41">
        <f t="shared" ca="1" si="2717"/>
        <v>0.41172470588235321</v>
      </c>
      <c r="DT162" s="41">
        <f t="shared" ca="1" si="2718"/>
        <v>-5.0000000000000002E-5</v>
      </c>
      <c r="DU162" s="41">
        <f t="shared" ca="1" si="2719"/>
        <v>-6.0000000000000002E-5</v>
      </c>
      <c r="DV162" s="41">
        <f t="shared" ca="1" si="2720"/>
        <v>-6.9999999999999994E-5</v>
      </c>
      <c r="DW162" s="41">
        <f t="shared" ca="1" si="2721"/>
        <v>-8.0000000000000007E-5</v>
      </c>
      <c r="DX162" s="41">
        <f t="shared" ca="1" si="2722"/>
        <v>0.58814529411764682</v>
      </c>
      <c r="DY162" s="41">
        <f t="shared" ca="1" si="2723"/>
        <v>-1E-4</v>
      </c>
      <c r="DZ162" s="41">
        <f t="shared" ca="1" si="2724"/>
        <v>-1.1E-4</v>
      </c>
      <c r="EA162" s="41">
        <f t="shared" ca="1" si="2725"/>
        <v>-1.2E-4</v>
      </c>
      <c r="EB162" s="41">
        <f t="shared" ca="1" si="2726"/>
        <v>-1.2999999999999999E-4</v>
      </c>
      <c r="EC162" s="41">
        <f t="shared" ca="1" si="2727"/>
        <v>-1.3999999999999999E-4</v>
      </c>
      <c r="ED162" s="41">
        <f t="shared" ca="1" si="2728"/>
        <v>-1.4999999999999999E-4</v>
      </c>
      <c r="EE162" s="41">
        <f t="shared" ca="1" si="2729"/>
        <v>-1.6000000000000001E-4</v>
      </c>
      <c r="EF162" s="41">
        <f t="shared" ca="1" si="2730"/>
        <v>-1.7000000000000001E-4</v>
      </c>
      <c r="EG162" s="41">
        <f t="shared" ca="1" si="2731"/>
        <v>-1.8000000000000001E-4</v>
      </c>
      <c r="EH162" s="41">
        <f t="shared" ca="1" si="2732"/>
        <v>-1.9000000000000001E-4</v>
      </c>
      <c r="EI162" s="41">
        <f t="shared" ca="1" si="2733"/>
        <v>-2.0000000000000001E-4</v>
      </c>
      <c r="EJ162" s="41">
        <f t="shared" ca="1" si="2734"/>
        <v>0.9978999999999999</v>
      </c>
      <c r="EL162" s="378">
        <f t="shared" ca="1" si="2735"/>
        <v>3</v>
      </c>
      <c r="EM162" s="378">
        <f t="shared" ca="1" si="2736"/>
        <v>4</v>
      </c>
      <c r="EN162" s="378">
        <f t="shared" ca="1" si="2737"/>
        <v>5</v>
      </c>
      <c r="EO162" s="378">
        <f t="shared" ca="1" si="2738"/>
        <v>2</v>
      </c>
      <c r="EP162" s="378">
        <f t="shared" ca="1" si="2739"/>
        <v>6</v>
      </c>
      <c r="EQ162" s="378">
        <f t="shared" ca="1" si="2740"/>
        <v>7</v>
      </c>
      <c r="ER162" s="378">
        <f t="shared" ca="1" si="2741"/>
        <v>8</v>
      </c>
      <c r="ES162" s="378">
        <f t="shared" ca="1" si="2742"/>
        <v>9</v>
      </c>
      <c r="ET162" s="378">
        <f t="shared" ca="1" si="2743"/>
        <v>1</v>
      </c>
      <c r="EU162" s="378">
        <f t="shared" ca="1" si="2744"/>
        <v>10</v>
      </c>
      <c r="EV162" s="378">
        <f t="shared" ca="1" si="2745"/>
        <v>11</v>
      </c>
      <c r="EW162" s="378">
        <f t="shared" ca="1" si="2746"/>
        <v>12</v>
      </c>
      <c r="EX162" s="378">
        <f t="shared" ca="1" si="2747"/>
        <v>13</v>
      </c>
      <c r="EY162" s="378">
        <f t="shared" ca="1" si="2748"/>
        <v>14</v>
      </c>
      <c r="EZ162" s="378">
        <f t="shared" ca="1" si="2749"/>
        <v>15</v>
      </c>
      <c r="FA162" s="378">
        <f t="shared" ca="1" si="2750"/>
        <v>16</v>
      </c>
      <c r="FB162" s="378">
        <f t="shared" ca="1" si="2751"/>
        <v>17</v>
      </c>
      <c r="FC162" s="378">
        <f t="shared" ca="1" si="2752"/>
        <v>18</v>
      </c>
      <c r="FD162" s="378">
        <f t="shared" ca="1" si="2753"/>
        <v>19</v>
      </c>
      <c r="FE162" s="378">
        <f t="shared" ca="1" si="2754"/>
        <v>20</v>
      </c>
      <c r="FG162" s="378">
        <f t="shared" ca="1" si="2755"/>
        <v>9</v>
      </c>
      <c r="FH162" s="378">
        <f t="shared" ca="1" si="2755"/>
        <v>4</v>
      </c>
      <c r="FI162" s="378">
        <f t="shared" ca="1" si="2755"/>
        <v>1</v>
      </c>
      <c r="FJ162" s="378">
        <f t="shared" ca="1" si="2755"/>
        <v>2</v>
      </c>
      <c r="FK162" s="378">
        <f t="shared" ca="1" si="2755"/>
        <v>3</v>
      </c>
      <c r="FL162" s="378">
        <f t="shared" ca="1" si="2755"/>
        <v>5</v>
      </c>
      <c r="FM162" s="378">
        <f t="shared" ca="1" si="2755"/>
        <v>6</v>
      </c>
      <c r="FN162" s="378">
        <f t="shared" ca="1" si="2755"/>
        <v>7</v>
      </c>
      <c r="FO162" s="378">
        <f t="shared" ca="1" si="2755"/>
        <v>8</v>
      </c>
      <c r="FP162" s="378">
        <f t="shared" ca="1" si="2755"/>
        <v>10</v>
      </c>
      <c r="FQ162" s="378">
        <f t="shared" ca="1" si="2755"/>
        <v>11</v>
      </c>
      <c r="FR162" s="378">
        <f t="shared" ca="1" si="2755"/>
        <v>12</v>
      </c>
      <c r="FS162" s="378">
        <f t="shared" ca="1" si="2755"/>
        <v>13</v>
      </c>
      <c r="FT162" s="378">
        <f t="shared" ca="1" si="2755"/>
        <v>14</v>
      </c>
      <c r="FU162" s="378">
        <f t="shared" ca="1" si="2755"/>
        <v>15</v>
      </c>
      <c r="FV162" s="378">
        <f t="shared" ca="1" si="2755"/>
        <v>16</v>
      </c>
      <c r="FW162" s="378">
        <f t="shared" ca="1" si="2756"/>
        <v>17</v>
      </c>
      <c r="FX162" s="378">
        <f t="shared" ca="1" si="2756"/>
        <v>18</v>
      </c>
      <c r="FY162" s="378">
        <f t="shared" ca="1" si="2756"/>
        <v>19</v>
      </c>
      <c r="FZ162" s="378">
        <f t="shared" ca="1" si="2756"/>
        <v>20</v>
      </c>
      <c r="GB162" s="275" t="str">
        <f t="shared" ca="1" si="2757"/>
        <v>Enhance BI Platform (59%)</v>
      </c>
      <c r="GC162" s="231" t="str">
        <f t="shared" ca="1" si="2758"/>
        <v>; Architecture Standards &amp; Adherence (41%)</v>
      </c>
      <c r="GD162" s="231" t="str">
        <f t="shared" ca="1" si="2759"/>
        <v/>
      </c>
      <c r="GE162" s="231" t="str">
        <f t="shared" ca="1" si="2760"/>
        <v/>
      </c>
      <c r="GF162" s="231" t="str">
        <f t="shared" ca="1" si="2761"/>
        <v/>
      </c>
      <c r="GG162" s="231" t="str">
        <f t="shared" ca="1" si="2762"/>
        <v/>
      </c>
      <c r="GH162" s="231" t="str">
        <f t="shared" ca="1" si="2763"/>
        <v/>
      </c>
      <c r="GI162" s="231" t="str">
        <f t="shared" ca="1" si="2764"/>
        <v/>
      </c>
      <c r="GJ162" s="231" t="str">
        <f t="shared" ca="1" si="2765"/>
        <v/>
      </c>
      <c r="GK162" s="231" t="str">
        <f t="shared" ca="1" si="2766"/>
        <v/>
      </c>
      <c r="GL162" s="231" t="str">
        <f t="shared" ca="1" si="2767"/>
        <v/>
      </c>
      <c r="GM162" s="231" t="str">
        <f t="shared" ca="1" si="2768"/>
        <v/>
      </c>
      <c r="GN162" s="231" t="str">
        <f t="shared" ca="1" si="2769"/>
        <v/>
      </c>
      <c r="GO162" s="231" t="str">
        <f t="shared" ca="1" si="2770"/>
        <v/>
      </c>
      <c r="GP162" s="231" t="str">
        <f t="shared" ca="1" si="2771"/>
        <v/>
      </c>
      <c r="GQ162" s="231" t="str">
        <f t="shared" ca="1" si="2772"/>
        <v/>
      </c>
      <c r="GR162" s="231" t="str">
        <f t="shared" ca="1" si="2773"/>
        <v/>
      </c>
      <c r="GS162" s="231" t="str">
        <f t="shared" ca="1" si="2774"/>
        <v/>
      </c>
      <c r="GT162" s="231" t="str">
        <f t="shared" ca="1" si="2775"/>
        <v/>
      </c>
      <c r="GU162" s="231" t="str">
        <f t="shared" ca="1" si="2776"/>
        <v/>
      </c>
      <c r="GW162" s="377">
        <f ca="1">IF(ISERROR(OFFSET(Initiatives!$D$1,E162-1,$CB$3)),,OFFSET(Initiatives!$D$1,E162-1,$CB$3))</f>
        <v>0.65</v>
      </c>
      <c r="GX162" s="377">
        <f ca="1">IF(ISERROR(OFFSET(Initiatives!$D$1,F162-1,$CB$3)),,OFFSET(Initiatives!$D$1,F162-1,$CB$3))</f>
        <v>0.65</v>
      </c>
      <c r="GY162" s="377">
        <f ca="1">IF(ISERROR(OFFSET(Initiatives!$D$1,G162-1,$CB$3)),,OFFSET(Initiatives!$D$1,G162-1,$CB$3))</f>
        <v>0.65</v>
      </c>
      <c r="GZ162" s="377">
        <f ca="1">IF(ISERROR(OFFSET(Initiatives!$D$1,H162-1,$CB$3)),,OFFSET(Initiatives!$D$1,H162-1,$CB$3))</f>
        <v>0.65</v>
      </c>
      <c r="HA162" s="377">
        <f ca="1">IF(ISERROR(OFFSET(Initiatives!$D$1,I162-1,$CB$3)),,OFFSET(Initiatives!$D$1,I162-1,$CB$3))</f>
        <v>0.75</v>
      </c>
      <c r="HB162" s="377">
        <f ca="1">IF(ISERROR(OFFSET(Initiatives!$D$1,J162-1,$CB$3)),,OFFSET(Initiatives!$D$1,J162-1,$CB$3))</f>
        <v>0.8</v>
      </c>
      <c r="HC162" s="377">
        <f ca="1">IF(ISERROR(OFFSET(Initiatives!$D$1,K162-1,$CB$3)),,OFFSET(Initiatives!$D$1,K162-1,$CB$3))</f>
        <v>0.9</v>
      </c>
      <c r="HD162" s="377">
        <f ca="1">IF(ISERROR(OFFSET(Initiatives!$D$1,L162-1,$CB$3)),,OFFSET(Initiatives!$D$1,L162-1,$CB$3))</f>
        <v>0.43181818181818177</v>
      </c>
      <c r="HE162" s="377">
        <f ca="1">IF(ISERROR(OFFSET(Initiatives!$D$1,M162-1,$CB$3)),,OFFSET(Initiatives!$D$1,M162-1,$CB$3))</f>
        <v>0.25</v>
      </c>
      <c r="HF162" s="377">
        <f ca="1">IF(ISERROR(OFFSET(Initiatives!$D$1,N162-1,$CB$3)),,OFFSET(Initiatives!$D$1,N162-1,$CB$3))</f>
        <v>0</v>
      </c>
      <c r="HG162" s="377">
        <f ca="1">IF(ISERROR(OFFSET(Initiatives!$D$1,O162-1,$CB$3)),,OFFSET(Initiatives!$D$1,O162-1,$CB$3))</f>
        <v>0</v>
      </c>
      <c r="HH162" s="377">
        <f ca="1">IF(ISERROR(OFFSET(Initiatives!$D$1,P162-1,$CB$3)),,OFFSET(Initiatives!$D$1,P162-1,$CB$3))</f>
        <v>0</v>
      </c>
      <c r="HI162" s="377">
        <f ca="1">IF(ISERROR(OFFSET(Initiatives!$D$1,Q162-1,$CB$3)),,OFFSET(Initiatives!$D$1,Q162-1,$CB$3))</f>
        <v>0</v>
      </c>
      <c r="HJ162" s="377">
        <f ca="1">IF(ISERROR(OFFSET(Initiatives!$D$1,R162-1,$CB$3)),,OFFSET(Initiatives!$D$1,R162-1,$CB$3))</f>
        <v>0</v>
      </c>
      <c r="HK162" s="377">
        <f ca="1">IF(ISERROR(OFFSET(Initiatives!$D$1,S162-1,$CB$3)),,OFFSET(Initiatives!$D$1,S162-1,$CB$3))</f>
        <v>0</v>
      </c>
      <c r="HL162" s="377">
        <f ca="1">IF(ISERROR(OFFSET(Initiatives!$D$1,T162-1,$CB$3)),,OFFSET(Initiatives!$D$1,T162-1,$CB$3))</f>
        <v>0</v>
      </c>
      <c r="HM162" s="377">
        <f ca="1">IF(ISERROR(OFFSET(Initiatives!$D$1,U162-1,$CB$3)),,OFFSET(Initiatives!$D$1,U162-1,$CB$3))</f>
        <v>0</v>
      </c>
      <c r="HN162" s="377">
        <f ca="1">IF(ISERROR(OFFSET(Initiatives!$D$1,V162-1,$CB$3)),,OFFSET(Initiatives!$D$1,V162-1,$CB$3))</f>
        <v>0</v>
      </c>
      <c r="HO162" s="377">
        <f ca="1">IF(ISERROR(OFFSET(Initiatives!$D$1,W162-1,$CB$3)),,OFFSET(Initiatives!$D$1,W162-1,$CB$3))</f>
        <v>0</v>
      </c>
      <c r="HP162" s="377">
        <f ca="1">IF(ISERROR(OFFSET(Initiatives!$D$1,X162-1,$CB$3)),,OFFSET(Initiatives!$D$1,X162-1,$CB$3))</f>
        <v>0</v>
      </c>
      <c r="HR162" s="41">
        <f t="shared" ca="1" si="2777"/>
        <v>0</v>
      </c>
      <c r="HS162" s="41">
        <f t="shared" ca="1" si="2778"/>
        <v>0</v>
      </c>
      <c r="HT162" s="41">
        <f t="shared" ca="1" si="2779"/>
        <v>0</v>
      </c>
      <c r="HU162" s="41">
        <f t="shared" ca="1" si="2780"/>
        <v>0.48749593753385395</v>
      </c>
      <c r="HV162" s="41">
        <f t="shared" ca="1" si="2781"/>
        <v>0</v>
      </c>
      <c r="HW162" s="41">
        <f t="shared" ca="1" si="2782"/>
        <v>0</v>
      </c>
      <c r="HX162" s="41">
        <f t="shared" ca="1" si="2783"/>
        <v>0</v>
      </c>
      <c r="HY162" s="41">
        <f t="shared" ca="1" si="2784"/>
        <v>0</v>
      </c>
      <c r="HZ162" s="41">
        <f t="shared" ca="1" si="2785"/>
        <v>6.2499479171006907E-2</v>
      </c>
      <c r="IA162" s="41">
        <f t="shared" ca="1" si="2786"/>
        <v>0</v>
      </c>
      <c r="IB162" s="41">
        <f t="shared" ca="1" si="2787"/>
        <v>0</v>
      </c>
      <c r="IC162" s="41">
        <f t="shared" ca="1" si="2788"/>
        <v>0</v>
      </c>
      <c r="ID162" s="41">
        <f t="shared" ca="1" si="2789"/>
        <v>0</v>
      </c>
      <c r="IE162" s="41">
        <f t="shared" ca="1" si="2790"/>
        <v>0</v>
      </c>
      <c r="IF162" s="41">
        <f t="shared" ca="1" si="2791"/>
        <v>0</v>
      </c>
      <c r="IG162" s="41">
        <f t="shared" ca="1" si="2792"/>
        <v>0</v>
      </c>
      <c r="IH162" s="41">
        <f t="shared" ca="1" si="2793"/>
        <v>0</v>
      </c>
      <c r="II162" s="41">
        <f t="shared" ca="1" si="2794"/>
        <v>0</v>
      </c>
      <c r="IJ162" s="41">
        <f t="shared" ca="1" si="2795"/>
        <v>0</v>
      </c>
      <c r="IK162" s="41">
        <f t="shared" ca="1" si="2796"/>
        <v>0</v>
      </c>
      <c r="IL162" s="41">
        <f t="shared" ca="1" si="2797"/>
        <v>0.54999541670486085</v>
      </c>
    </row>
    <row r="163" spans="1:246" s="409" customFormat="1" ht="14.25" hidden="1" customHeight="1">
      <c r="B163" s="373"/>
      <c r="C163" s="81" t="str">
        <f>Maturity!B49</f>
        <v>How long does it take your team to add a new SUBJECT AREA to the BI/DW environment?</v>
      </c>
      <c r="D163" s="404">
        <f t="shared" ca="1" si="2687"/>
        <v>0.19250770451691934</v>
      </c>
      <c r="E163" s="374">
        <f>ROW(Initiatives!$A$100)</f>
        <v>100</v>
      </c>
      <c r="F163" s="374">
        <f>ROW(Initiatives!$A$101)</f>
        <v>101</v>
      </c>
      <c r="G163" s="374">
        <f>ROW(Initiatives!$A$102)</f>
        <v>102</v>
      </c>
      <c r="H163" s="374">
        <f>ROW(Initiatives!$A$103)</f>
        <v>103</v>
      </c>
      <c r="I163" s="374">
        <f>ROW(Initiatives!$A$114)</f>
        <v>114</v>
      </c>
      <c r="J163" s="374">
        <f>ROW(Initiatives!$A$120)</f>
        <v>120</v>
      </c>
      <c r="K163" s="374">
        <f>ROW(Initiatives!$A$126)</f>
        <v>126</v>
      </c>
      <c r="L163" s="374">
        <f>ROW(Initiatives!$A$176)</f>
        <v>176</v>
      </c>
      <c r="M163" s="374">
        <f>ROW(Initiatives!$A$189)</f>
        <v>189</v>
      </c>
      <c r="N163" s="374"/>
      <c r="O163" s="374" t="s">
        <v>975</v>
      </c>
      <c r="P163" s="374" t="s">
        <v>975</v>
      </c>
      <c r="Q163" s="374" t="s">
        <v>975</v>
      </c>
      <c r="R163" s="374" t="s">
        <v>975</v>
      </c>
      <c r="S163" s="374" t="s">
        <v>975</v>
      </c>
      <c r="T163" s="374" t="s">
        <v>975</v>
      </c>
      <c r="U163" s="374" t="s">
        <v>975</v>
      </c>
      <c r="V163" s="374" t="s">
        <v>975</v>
      </c>
      <c r="W163" s="374" t="s">
        <v>975</v>
      </c>
      <c r="X163" s="374" t="s">
        <v>975</v>
      </c>
      <c r="Y163" s="392" t="str">
        <f ca="1">OFFSET(Initiatives!$D$1,E163-1,$BS$3)</f>
        <v>Governance</v>
      </c>
      <c r="Z163" s="375"/>
      <c r="AA163" s="392" t="str">
        <f ca="1">OFFSET(Initiatives!$D$1,F163-1,$BS$3)</f>
        <v>Architecture</v>
      </c>
      <c r="AB163" s="375"/>
      <c r="AC163" s="392" t="str">
        <f ca="1">OFFSET(Initiatives!$D$1,G163-1,$BS$3)</f>
        <v>Robust security</v>
      </c>
      <c r="AD163" s="375"/>
      <c r="AE163" s="392" t="str">
        <f ca="1">OFFSET(Initiatives!$D$1,H163-1,$BS$3)</f>
        <v>Architecture Standards &amp; Adherence</v>
      </c>
      <c r="AF163" s="375">
        <v>5</v>
      </c>
      <c r="AG163" s="392" t="str">
        <f ca="1">OFFSET(Initiatives!$D$1,I163-1,$BS$3)</f>
        <v>Data Integration/ETL</v>
      </c>
      <c r="AH163" s="375">
        <v>2</v>
      </c>
      <c r="AI163" s="392" t="str">
        <f ca="1">OFFSET(Initiatives!$D$1,J163-1,$BS$3)</f>
        <v>Data Warehouse / Data Marts</v>
      </c>
      <c r="AJ163" s="375">
        <v>3</v>
      </c>
      <c r="AK163" s="392" t="str">
        <f ca="1">OFFSET(Initiatives!$D$1,K163-1,$BS$3)</f>
        <v>Development</v>
      </c>
      <c r="AL163" s="375">
        <v>9</v>
      </c>
      <c r="AM163" s="392" t="str">
        <f ca="1">OFFSET(Initiatives!$D$1,L163-1,$BS$3)</f>
        <v>Source System Inclusion / Integration</v>
      </c>
      <c r="AN163" s="375">
        <v>5</v>
      </c>
      <c r="AO163" s="392" t="str">
        <f ca="1">OFFSET(Initiatives!$D$1,M163-1,$BS$3)</f>
        <v>Enhance BI Platform</v>
      </c>
      <c r="AP163" s="375">
        <v>3</v>
      </c>
      <c r="AQ163" s="392" t="e">
        <f ca="1">OFFSET(Initiatives!$D$1,N163-1,$BS$3)</f>
        <v>#REF!</v>
      </c>
      <c r="AR163" s="375"/>
      <c r="AS163" s="392" t="e">
        <f ca="1">OFFSET(Initiatives!$D$1,O163-1,$BS$3)</f>
        <v>#VALUE!</v>
      </c>
      <c r="AT163" s="375"/>
      <c r="AU163" s="392" t="e">
        <f ca="1">OFFSET(Initiatives!$D$1,P163-1,$BS$3)</f>
        <v>#VALUE!</v>
      </c>
      <c r="AV163" s="375"/>
      <c r="AW163" s="392" t="e">
        <f ca="1">OFFSET(Initiatives!$D$1,Q163-1,$BS$3)</f>
        <v>#VALUE!</v>
      </c>
      <c r="AX163" s="375"/>
      <c r="AY163" s="392" t="e">
        <f ca="1">OFFSET(Initiatives!$D$1,R163-1,$BS$3)</f>
        <v>#VALUE!</v>
      </c>
      <c r="AZ163" s="375"/>
      <c r="BA163" s="392" t="e">
        <f ca="1">OFFSET(Initiatives!$D$1,S163-1,$BS$3)</f>
        <v>#VALUE!</v>
      </c>
      <c r="BB163" s="375"/>
      <c r="BC163" s="392" t="e">
        <f ca="1">OFFSET(Initiatives!$D$1,T163-1,$BS$3)</f>
        <v>#VALUE!</v>
      </c>
      <c r="BD163" s="375"/>
      <c r="BE163" s="392" t="e">
        <f ca="1">OFFSET(Initiatives!$D$1,U163-1,$BS$3)</f>
        <v>#VALUE!</v>
      </c>
      <c r="BF163" s="375"/>
      <c r="BG163" s="392" t="e">
        <f ca="1">OFFSET(Initiatives!$D$1,V163-1,$BS$3)</f>
        <v>#VALUE!</v>
      </c>
      <c r="BH163" s="375"/>
      <c r="BI163" s="392" t="e">
        <f ca="1">OFFSET(Initiatives!$D$1,W163-1,$BS$3)</f>
        <v>#VALUE!</v>
      </c>
      <c r="BJ163" s="375"/>
      <c r="BK163" s="392" t="e">
        <f ca="1">OFFSET(Initiatives!$D$1,X163-1,$BS$3)</f>
        <v>#VALUE!</v>
      </c>
      <c r="BL163" s="375"/>
      <c r="BN163" s="101">
        <f t="shared" si="2688"/>
        <v>27.0001</v>
      </c>
      <c r="BP163" s="231" t="str">
        <f t="shared" ca="1" si="2689"/>
        <v>Source System Inclusion / Integration (44%); Enhance BI Platform (35%); Architecture Standards &amp; Adherence (13%)</v>
      </c>
      <c r="BQ163" s="338">
        <v>0.01</v>
      </c>
      <c r="BR163" s="40">
        <f t="shared" ca="1" si="2690"/>
        <v>3</v>
      </c>
      <c r="BS163" s="274">
        <v>0.05</v>
      </c>
      <c r="BT163" s="40">
        <f t="shared" ca="1" si="2691"/>
        <v>3</v>
      </c>
      <c r="BU163" s="376">
        <v>7</v>
      </c>
      <c r="BV163" s="40">
        <f t="shared" ca="1" si="2692"/>
        <v>3</v>
      </c>
      <c r="BY163" s="377">
        <f ca="1">IF(ISERROR(OFFSET(Initiatives!$D$1,E163-1,$BY$3)),,OFFSET(Initiatives!$D$1,E163-1,$BY$3))</f>
        <v>0.14000000000000001</v>
      </c>
      <c r="BZ163" s="377">
        <f ca="1">IF(ISERROR(OFFSET(Initiatives!$D$1,F163-1,$BY$3)),,OFFSET(Initiatives!$D$1,F163-1,$BY$3))</f>
        <v>0.14000000000000001</v>
      </c>
      <c r="CA163" s="377">
        <f ca="1">IF(ISERROR(OFFSET(Initiatives!$D$1,G163-1,$BY$3)),,OFFSET(Initiatives!$D$1,G163-1,$BY$3))</f>
        <v>0.14000000000000001</v>
      </c>
      <c r="CB163" s="377">
        <f ca="1">IF(ISERROR(OFFSET(Initiatives!$D$1,H163-1,$BY$3)),,OFFSET(Initiatives!$D$1,H163-1,$BY$3))</f>
        <v>0.14000000000000012</v>
      </c>
      <c r="CC163" s="377">
        <f ca="1">IF(ISERROR(OFFSET(Initiatives!$D$1,I163-1,$BY$3)),,OFFSET(Initiatives!$D$1,I163-1,$BY$3))</f>
        <v>9.9999999999999978E-2</v>
      </c>
      <c r="CD163" s="377">
        <f ca="1">IF(ISERROR(OFFSET(Initiatives!$D$1,J163-1,$BY$3)),,OFFSET(Initiatives!$D$1,J163-1,$BY$3))</f>
        <v>3.0000000000000027E-2</v>
      </c>
      <c r="CE163" s="377">
        <f ca="1">IF(ISERROR(OFFSET(Initiatives!$D$1,K163-1,$BY$3)),,OFFSET(Initiatives!$D$1,K163-1,$BY$3))</f>
        <v>1.5000000000000124E-2</v>
      </c>
      <c r="CF163" s="377">
        <f ca="1">IF(ISERROR(OFFSET(Initiatives!$D$1,L163-1,$BY$3)),,OFFSET(Initiatives!$D$1,L163-1,$BY$3))</f>
        <v>0.45454545454545436</v>
      </c>
      <c r="CG163" s="377">
        <f ca="1">IF(ISERROR(OFFSET(Initiatives!$D$1,M163-1,$BY$3)),,OFFSET(Initiatives!$D$1,M163-1,$BY$3))</f>
        <v>0.6</v>
      </c>
      <c r="CH163" s="377">
        <f ca="1">IF(ISERROR(OFFSET(Initiatives!$D$1,N163-1,$BY$3)),,OFFSET(Initiatives!$D$1,N163-1,$BY$3))</f>
        <v>0</v>
      </c>
      <c r="CI163" s="377">
        <f ca="1">IF(ISERROR(OFFSET(Initiatives!$D$1,O163-1,$BY$3)),,OFFSET(Initiatives!$D$1,O163-1,$BY$3))</f>
        <v>0</v>
      </c>
      <c r="CJ163" s="377">
        <f ca="1">IF(ISERROR(OFFSET(Initiatives!$D$1,P163-1,$BY$3)),,OFFSET(Initiatives!$D$1,P163-1,$BY$3))</f>
        <v>0</v>
      </c>
      <c r="CK163" s="377">
        <f ca="1">IF(ISERROR(OFFSET(Initiatives!$D$1,Q163-1,$BY$3)),,OFFSET(Initiatives!$D$1,Q163-1,$BY$3))</f>
        <v>0</v>
      </c>
      <c r="CL163" s="377">
        <f ca="1">IF(ISERROR(OFFSET(Initiatives!$D$1,R163-1,$BY$3)),,OFFSET(Initiatives!$D$1,R163-1,$BY$3))</f>
        <v>0</v>
      </c>
      <c r="CM163" s="377">
        <f ca="1">IF(ISERROR(OFFSET(Initiatives!$D$1,S163-1,$BY$3)),,OFFSET(Initiatives!$D$1,S163-1,$BY$3))</f>
        <v>0</v>
      </c>
      <c r="CN163" s="377">
        <f ca="1">IF(ISERROR(OFFSET(Initiatives!$D$1,T163-1,$BY$3)),,OFFSET(Initiatives!$D$1,T163-1,$BY$3))</f>
        <v>0</v>
      </c>
      <c r="CO163" s="377">
        <f ca="1">IF(ISERROR(OFFSET(Initiatives!$D$1,U163-1,$BY$3)),,OFFSET(Initiatives!$D$1,U163-1,$BY$3))</f>
        <v>0</v>
      </c>
      <c r="CP163" s="377">
        <f ca="1">IF(ISERROR(OFFSET(Initiatives!$D$1,V163-1,$BY$3)),,OFFSET(Initiatives!$D$1,V163-1,$BY$3))</f>
        <v>0</v>
      </c>
      <c r="CQ163" s="377">
        <f ca="1">IF(ISERROR(OFFSET(Initiatives!$D$1,W163-1,$BY$3)),,OFFSET(Initiatives!$D$1,W163-1,$BY$3))</f>
        <v>0</v>
      </c>
      <c r="CR163" s="377">
        <f ca="1">IF(ISERROR(OFFSET(Initiatives!$D$1,X163-1,$BY$3)),,OFFSET(Initiatives!$D$1,X163-1,$BY$3))</f>
        <v>0</v>
      </c>
      <c r="CT163" s="41">
        <f t="shared" ca="1" si="2693"/>
        <v>0</v>
      </c>
      <c r="CU163" s="41">
        <f t="shared" ca="1" si="2694"/>
        <v>0</v>
      </c>
      <c r="CV163" s="41">
        <f t="shared" ca="1" si="2695"/>
        <v>0</v>
      </c>
      <c r="CW163" s="41">
        <f t="shared" ca="1" si="2696"/>
        <v>2.592582990433371E-2</v>
      </c>
      <c r="CX163" s="41">
        <f t="shared" ca="1" si="2697"/>
        <v>7.4073799726667661E-3</v>
      </c>
      <c r="CY163" s="41">
        <f t="shared" ca="1" si="2698"/>
        <v>3.3333209877000483E-3</v>
      </c>
      <c r="CZ163" s="41">
        <f t="shared" ca="1" si="2699"/>
        <v>4.9999814815501102E-3</v>
      </c>
      <c r="DA163" s="41">
        <f t="shared" ca="1" si="2700"/>
        <v>8.4174772416667779E-2</v>
      </c>
      <c r="DB163" s="41">
        <f t="shared" ca="1" si="2701"/>
        <v>6.6666419754000908E-2</v>
      </c>
      <c r="DC163" s="41">
        <f t="shared" ca="1" si="2702"/>
        <v>0</v>
      </c>
      <c r="DD163" s="41">
        <f t="shared" ca="1" si="2703"/>
        <v>0</v>
      </c>
      <c r="DE163" s="41">
        <f t="shared" ca="1" si="2704"/>
        <v>0</v>
      </c>
      <c r="DF163" s="41">
        <f t="shared" ca="1" si="2705"/>
        <v>0</v>
      </c>
      <c r="DG163" s="41">
        <f t="shared" ca="1" si="2706"/>
        <v>0</v>
      </c>
      <c r="DH163" s="41">
        <f t="shared" ca="1" si="2707"/>
        <v>0</v>
      </c>
      <c r="DI163" s="41">
        <f t="shared" ca="1" si="2708"/>
        <v>0</v>
      </c>
      <c r="DJ163" s="41">
        <f t="shared" ca="1" si="2709"/>
        <v>0</v>
      </c>
      <c r="DK163" s="41">
        <f t="shared" ca="1" si="2710"/>
        <v>0</v>
      </c>
      <c r="DL163" s="41">
        <f t="shared" ca="1" si="2711"/>
        <v>0</v>
      </c>
      <c r="DM163" s="41">
        <f t="shared" ca="1" si="2712"/>
        <v>0</v>
      </c>
      <c r="DN163" s="41">
        <f t="shared" ca="1" si="2713"/>
        <v>0.19250770451691934</v>
      </c>
      <c r="DP163" s="41">
        <f t="shared" ca="1" si="2714"/>
        <v>-1.0000000000000001E-5</v>
      </c>
      <c r="DQ163" s="41">
        <f t="shared" ca="1" si="2715"/>
        <v>-2.0000000000000002E-5</v>
      </c>
      <c r="DR163" s="41">
        <f t="shared" ca="1" si="2716"/>
        <v>-3.0000000000000001E-5</v>
      </c>
      <c r="DS163" s="41">
        <f t="shared" ca="1" si="2717"/>
        <v>0.13463424573677313</v>
      </c>
      <c r="DT163" s="41">
        <f t="shared" ca="1" si="2718"/>
        <v>3.8428355924792282E-2</v>
      </c>
      <c r="DU163" s="41">
        <f t="shared" ca="1" si="2719"/>
        <v>1.7255260166156545E-2</v>
      </c>
      <c r="DV163" s="41">
        <f t="shared" ca="1" si="2720"/>
        <v>2.5902890249235016E-2</v>
      </c>
      <c r="DW163" s="41">
        <f t="shared" ca="1" si="2721"/>
        <v>0.43717404459991221</v>
      </c>
      <c r="DX163" s="41">
        <f t="shared" ca="1" si="2722"/>
        <v>0.34621520332313066</v>
      </c>
      <c r="DY163" s="41">
        <f t="shared" ca="1" si="2723"/>
        <v>-1E-4</v>
      </c>
      <c r="DZ163" s="41">
        <f t="shared" ca="1" si="2724"/>
        <v>-1.1E-4</v>
      </c>
      <c r="EA163" s="41">
        <f t="shared" ca="1" si="2725"/>
        <v>-1.2E-4</v>
      </c>
      <c r="EB163" s="41">
        <f t="shared" ca="1" si="2726"/>
        <v>-1.2999999999999999E-4</v>
      </c>
      <c r="EC163" s="41">
        <f t="shared" ca="1" si="2727"/>
        <v>-1.3999999999999999E-4</v>
      </c>
      <c r="ED163" s="41">
        <f t="shared" ca="1" si="2728"/>
        <v>-1.4999999999999999E-4</v>
      </c>
      <c r="EE163" s="41">
        <f t="shared" ca="1" si="2729"/>
        <v>-1.6000000000000001E-4</v>
      </c>
      <c r="EF163" s="41">
        <f t="shared" ca="1" si="2730"/>
        <v>-1.7000000000000001E-4</v>
      </c>
      <c r="EG163" s="41">
        <f t="shared" ca="1" si="2731"/>
        <v>-1.8000000000000001E-4</v>
      </c>
      <c r="EH163" s="41">
        <f t="shared" ca="1" si="2732"/>
        <v>-1.9000000000000001E-4</v>
      </c>
      <c r="EI163" s="41">
        <f t="shared" ca="1" si="2733"/>
        <v>-2.0000000000000001E-4</v>
      </c>
      <c r="EJ163" s="41">
        <f t="shared" ca="1" si="2734"/>
        <v>0.9978999999999999</v>
      </c>
      <c r="EL163" s="378">
        <f t="shared" ca="1" si="2735"/>
        <v>7</v>
      </c>
      <c r="EM163" s="378">
        <f t="shared" ca="1" si="2736"/>
        <v>8</v>
      </c>
      <c r="EN163" s="378">
        <f t="shared" ca="1" si="2737"/>
        <v>9</v>
      </c>
      <c r="EO163" s="378">
        <f t="shared" ca="1" si="2738"/>
        <v>3</v>
      </c>
      <c r="EP163" s="378">
        <f t="shared" ca="1" si="2739"/>
        <v>4</v>
      </c>
      <c r="EQ163" s="378">
        <f t="shared" ca="1" si="2740"/>
        <v>6</v>
      </c>
      <c r="ER163" s="378">
        <f t="shared" ca="1" si="2741"/>
        <v>5</v>
      </c>
      <c r="ES163" s="378">
        <f t="shared" ca="1" si="2742"/>
        <v>1</v>
      </c>
      <c r="ET163" s="378">
        <f t="shared" ca="1" si="2743"/>
        <v>2</v>
      </c>
      <c r="EU163" s="378">
        <f t="shared" ca="1" si="2744"/>
        <v>10</v>
      </c>
      <c r="EV163" s="378">
        <f t="shared" ca="1" si="2745"/>
        <v>11</v>
      </c>
      <c r="EW163" s="378">
        <f t="shared" ca="1" si="2746"/>
        <v>12</v>
      </c>
      <c r="EX163" s="378">
        <f t="shared" ca="1" si="2747"/>
        <v>13</v>
      </c>
      <c r="EY163" s="378">
        <f t="shared" ca="1" si="2748"/>
        <v>14</v>
      </c>
      <c r="EZ163" s="378">
        <f t="shared" ca="1" si="2749"/>
        <v>15</v>
      </c>
      <c r="FA163" s="378">
        <f t="shared" ca="1" si="2750"/>
        <v>16</v>
      </c>
      <c r="FB163" s="378">
        <f t="shared" ca="1" si="2751"/>
        <v>17</v>
      </c>
      <c r="FC163" s="378">
        <f t="shared" ca="1" si="2752"/>
        <v>18</v>
      </c>
      <c r="FD163" s="378">
        <f t="shared" ca="1" si="2753"/>
        <v>19</v>
      </c>
      <c r="FE163" s="378">
        <f t="shared" ca="1" si="2754"/>
        <v>20</v>
      </c>
      <c r="FG163" s="378">
        <f t="shared" ca="1" si="2755"/>
        <v>8</v>
      </c>
      <c r="FH163" s="378">
        <f t="shared" ca="1" si="2755"/>
        <v>9</v>
      </c>
      <c r="FI163" s="378">
        <f t="shared" ca="1" si="2755"/>
        <v>4</v>
      </c>
      <c r="FJ163" s="378">
        <f t="shared" ca="1" si="2755"/>
        <v>5</v>
      </c>
      <c r="FK163" s="378">
        <f t="shared" ca="1" si="2755"/>
        <v>7</v>
      </c>
      <c r="FL163" s="378">
        <f t="shared" ca="1" si="2755"/>
        <v>6</v>
      </c>
      <c r="FM163" s="378">
        <f t="shared" ca="1" si="2755"/>
        <v>1</v>
      </c>
      <c r="FN163" s="378">
        <f t="shared" ca="1" si="2755"/>
        <v>2</v>
      </c>
      <c r="FO163" s="378">
        <f t="shared" ca="1" si="2755"/>
        <v>3</v>
      </c>
      <c r="FP163" s="378">
        <f t="shared" ca="1" si="2755"/>
        <v>10</v>
      </c>
      <c r="FQ163" s="378">
        <f t="shared" ca="1" si="2755"/>
        <v>11</v>
      </c>
      <c r="FR163" s="378">
        <f t="shared" ca="1" si="2755"/>
        <v>12</v>
      </c>
      <c r="FS163" s="378">
        <f t="shared" ca="1" si="2755"/>
        <v>13</v>
      </c>
      <c r="FT163" s="378">
        <f t="shared" ca="1" si="2755"/>
        <v>14</v>
      </c>
      <c r="FU163" s="378">
        <f t="shared" ca="1" si="2755"/>
        <v>15</v>
      </c>
      <c r="FV163" s="378">
        <f t="shared" ca="1" si="2755"/>
        <v>16</v>
      </c>
      <c r="FW163" s="378">
        <f t="shared" ca="1" si="2756"/>
        <v>17</v>
      </c>
      <c r="FX163" s="378">
        <f t="shared" ca="1" si="2756"/>
        <v>18</v>
      </c>
      <c r="FY163" s="378">
        <f t="shared" ca="1" si="2756"/>
        <v>19</v>
      </c>
      <c r="FZ163" s="378">
        <f t="shared" ca="1" si="2756"/>
        <v>20</v>
      </c>
      <c r="GB163" s="275" t="str">
        <f t="shared" ca="1" si="2757"/>
        <v>Source System Inclusion / Integration (44%)</v>
      </c>
      <c r="GC163" s="231" t="str">
        <f t="shared" ca="1" si="2758"/>
        <v>; Enhance BI Platform (35%)</v>
      </c>
      <c r="GD163" s="231" t="str">
        <f t="shared" ca="1" si="2759"/>
        <v>; Architecture Standards &amp; Adherence (13%)</v>
      </c>
      <c r="GE163" s="231" t="str">
        <f t="shared" ca="1" si="2760"/>
        <v/>
      </c>
      <c r="GF163" s="231" t="str">
        <f t="shared" ca="1" si="2761"/>
        <v/>
      </c>
      <c r="GG163" s="231" t="str">
        <f t="shared" ca="1" si="2762"/>
        <v/>
      </c>
      <c r="GH163" s="231" t="str">
        <f t="shared" ca="1" si="2763"/>
        <v/>
      </c>
      <c r="GI163" s="231" t="str">
        <f t="shared" ca="1" si="2764"/>
        <v/>
      </c>
      <c r="GJ163" s="231" t="str">
        <f t="shared" ca="1" si="2765"/>
        <v/>
      </c>
      <c r="GK163" s="231" t="str">
        <f t="shared" ca="1" si="2766"/>
        <v/>
      </c>
      <c r="GL163" s="231" t="str">
        <f t="shared" ca="1" si="2767"/>
        <v/>
      </c>
      <c r="GM163" s="231" t="str">
        <f t="shared" ca="1" si="2768"/>
        <v/>
      </c>
      <c r="GN163" s="231" t="str">
        <f t="shared" ca="1" si="2769"/>
        <v/>
      </c>
      <c r="GO163" s="231" t="str">
        <f t="shared" ca="1" si="2770"/>
        <v/>
      </c>
      <c r="GP163" s="231" t="str">
        <f t="shared" ca="1" si="2771"/>
        <v/>
      </c>
      <c r="GQ163" s="231" t="str">
        <f t="shared" ca="1" si="2772"/>
        <v/>
      </c>
      <c r="GR163" s="231" t="str">
        <f t="shared" ca="1" si="2773"/>
        <v/>
      </c>
      <c r="GS163" s="231" t="str">
        <f t="shared" ca="1" si="2774"/>
        <v/>
      </c>
      <c r="GT163" s="231" t="str">
        <f t="shared" ca="1" si="2775"/>
        <v/>
      </c>
      <c r="GU163" s="231" t="str">
        <f t="shared" ca="1" si="2776"/>
        <v/>
      </c>
      <c r="GW163" s="377">
        <f ca="1">IF(ISERROR(OFFSET(Initiatives!$D$1,E163-1,$CB$3)),,OFFSET(Initiatives!$D$1,E163-1,$CB$3))</f>
        <v>0.65</v>
      </c>
      <c r="GX163" s="377">
        <f ca="1">IF(ISERROR(OFFSET(Initiatives!$D$1,F163-1,$CB$3)),,OFFSET(Initiatives!$D$1,F163-1,$CB$3))</f>
        <v>0.65</v>
      </c>
      <c r="GY163" s="377">
        <f ca="1">IF(ISERROR(OFFSET(Initiatives!$D$1,G163-1,$CB$3)),,OFFSET(Initiatives!$D$1,G163-1,$CB$3))</f>
        <v>0.65</v>
      </c>
      <c r="GZ163" s="377">
        <f ca="1">IF(ISERROR(OFFSET(Initiatives!$D$1,H163-1,$CB$3)),,OFFSET(Initiatives!$D$1,H163-1,$CB$3))</f>
        <v>0.65</v>
      </c>
      <c r="HA163" s="377">
        <f ca="1">IF(ISERROR(OFFSET(Initiatives!$D$1,I163-1,$CB$3)),,OFFSET(Initiatives!$D$1,I163-1,$CB$3))</f>
        <v>0.75</v>
      </c>
      <c r="HB163" s="377">
        <f ca="1">IF(ISERROR(OFFSET(Initiatives!$D$1,J163-1,$CB$3)),,OFFSET(Initiatives!$D$1,J163-1,$CB$3))</f>
        <v>0.8</v>
      </c>
      <c r="HC163" s="377">
        <f ca="1">IF(ISERROR(OFFSET(Initiatives!$D$1,K163-1,$CB$3)),,OFFSET(Initiatives!$D$1,K163-1,$CB$3))</f>
        <v>0.9</v>
      </c>
      <c r="HD163" s="377">
        <f ca="1">IF(ISERROR(OFFSET(Initiatives!$D$1,L163-1,$CB$3)),,OFFSET(Initiatives!$D$1,L163-1,$CB$3))</f>
        <v>0.43181818181818177</v>
      </c>
      <c r="HE163" s="377">
        <f ca="1">IF(ISERROR(OFFSET(Initiatives!$D$1,M163-1,$CB$3)),,OFFSET(Initiatives!$D$1,M163-1,$CB$3))</f>
        <v>0.25</v>
      </c>
      <c r="HF163" s="377">
        <f ca="1">IF(ISERROR(OFFSET(Initiatives!$D$1,N163-1,$CB$3)),,OFFSET(Initiatives!$D$1,N163-1,$CB$3))</f>
        <v>0</v>
      </c>
      <c r="HG163" s="377">
        <f ca="1">IF(ISERROR(OFFSET(Initiatives!$D$1,O163-1,$CB$3)),,OFFSET(Initiatives!$D$1,O163-1,$CB$3))</f>
        <v>0</v>
      </c>
      <c r="HH163" s="377">
        <f ca="1">IF(ISERROR(OFFSET(Initiatives!$D$1,P163-1,$CB$3)),,OFFSET(Initiatives!$D$1,P163-1,$CB$3))</f>
        <v>0</v>
      </c>
      <c r="HI163" s="377">
        <f ca="1">IF(ISERROR(OFFSET(Initiatives!$D$1,Q163-1,$CB$3)),,OFFSET(Initiatives!$D$1,Q163-1,$CB$3))</f>
        <v>0</v>
      </c>
      <c r="HJ163" s="377">
        <f ca="1">IF(ISERROR(OFFSET(Initiatives!$D$1,R163-1,$CB$3)),,OFFSET(Initiatives!$D$1,R163-1,$CB$3))</f>
        <v>0</v>
      </c>
      <c r="HK163" s="377">
        <f ca="1">IF(ISERROR(OFFSET(Initiatives!$D$1,S163-1,$CB$3)),,OFFSET(Initiatives!$D$1,S163-1,$CB$3))</f>
        <v>0</v>
      </c>
      <c r="HL163" s="377">
        <f ca="1">IF(ISERROR(OFFSET(Initiatives!$D$1,T163-1,$CB$3)),,OFFSET(Initiatives!$D$1,T163-1,$CB$3))</f>
        <v>0</v>
      </c>
      <c r="HM163" s="377">
        <f ca="1">IF(ISERROR(OFFSET(Initiatives!$D$1,U163-1,$CB$3)),,OFFSET(Initiatives!$D$1,U163-1,$CB$3))</f>
        <v>0</v>
      </c>
      <c r="HN163" s="377">
        <f ca="1">IF(ISERROR(OFFSET(Initiatives!$D$1,V163-1,$CB$3)),,OFFSET(Initiatives!$D$1,V163-1,$CB$3))</f>
        <v>0</v>
      </c>
      <c r="HO163" s="377">
        <f ca="1">IF(ISERROR(OFFSET(Initiatives!$D$1,W163-1,$CB$3)),,OFFSET(Initiatives!$D$1,W163-1,$CB$3))</f>
        <v>0</v>
      </c>
      <c r="HP163" s="377">
        <f ca="1">IF(ISERROR(OFFSET(Initiatives!$D$1,X163-1,$CB$3)),,OFFSET(Initiatives!$D$1,X163-1,$CB$3))</f>
        <v>0</v>
      </c>
      <c r="HR163" s="41">
        <f t="shared" ca="1" si="2777"/>
        <v>0</v>
      </c>
      <c r="HS163" s="41">
        <f t="shared" ca="1" si="2778"/>
        <v>0</v>
      </c>
      <c r="HT163" s="41">
        <f t="shared" ca="1" si="2779"/>
        <v>0</v>
      </c>
      <c r="HU163" s="41">
        <f t="shared" ca="1" si="2780"/>
        <v>0.12036992455583498</v>
      </c>
      <c r="HV163" s="41">
        <f t="shared" ca="1" si="2781"/>
        <v>5.5555349795000757E-2</v>
      </c>
      <c r="HW163" s="41">
        <f t="shared" ca="1" si="2782"/>
        <v>8.8888559672001224E-2</v>
      </c>
      <c r="HX163" s="41">
        <f t="shared" ca="1" si="2783"/>
        <v>0.29999888889300408</v>
      </c>
      <c r="HY163" s="41">
        <f t="shared" ca="1" si="2784"/>
        <v>7.9966033795834418E-2</v>
      </c>
      <c r="HZ163" s="41">
        <f t="shared" ca="1" si="2785"/>
        <v>2.7777674897500378E-2</v>
      </c>
      <c r="IA163" s="41">
        <f t="shared" ca="1" si="2786"/>
        <v>0</v>
      </c>
      <c r="IB163" s="41">
        <f t="shared" ca="1" si="2787"/>
        <v>0</v>
      </c>
      <c r="IC163" s="41">
        <f t="shared" ca="1" si="2788"/>
        <v>0</v>
      </c>
      <c r="ID163" s="41">
        <f t="shared" ca="1" si="2789"/>
        <v>0</v>
      </c>
      <c r="IE163" s="41">
        <f t="shared" ca="1" si="2790"/>
        <v>0</v>
      </c>
      <c r="IF163" s="41">
        <f t="shared" ca="1" si="2791"/>
        <v>0</v>
      </c>
      <c r="IG163" s="41">
        <f t="shared" ca="1" si="2792"/>
        <v>0</v>
      </c>
      <c r="IH163" s="41">
        <f t="shared" ca="1" si="2793"/>
        <v>0</v>
      </c>
      <c r="II163" s="41">
        <f t="shared" ca="1" si="2794"/>
        <v>0</v>
      </c>
      <c r="IJ163" s="41">
        <f t="shared" ca="1" si="2795"/>
        <v>0</v>
      </c>
      <c r="IK163" s="41">
        <f t="shared" ca="1" si="2796"/>
        <v>0</v>
      </c>
      <c r="IL163" s="41">
        <f t="shared" ca="1" si="2797"/>
        <v>0.67255643160917589</v>
      </c>
    </row>
    <row r="164" spans="1:246" s="409" customFormat="1" ht="14.25" hidden="1" customHeight="1">
      <c r="B164" s="373"/>
      <c r="C164" s="81" t="str">
        <f>Maturity!B50</f>
        <v>On average, how many BI/DW PROJECTS that last three or more months does your group run concurrently?</v>
      </c>
      <c r="D164" s="404">
        <f t="shared" ca="1" si="2687"/>
        <v>0.19250770451691934</v>
      </c>
      <c r="E164" s="374">
        <f>ROW(Initiatives!$A$100)</f>
        <v>100</v>
      </c>
      <c r="F164" s="374">
        <f>ROW(Initiatives!$A$101)</f>
        <v>101</v>
      </c>
      <c r="G164" s="374">
        <f>ROW(Initiatives!$A$102)</f>
        <v>102</v>
      </c>
      <c r="H164" s="374">
        <f>ROW(Initiatives!$A$103)</f>
        <v>103</v>
      </c>
      <c r="I164" s="374">
        <f>ROW(Initiatives!$A$114)</f>
        <v>114</v>
      </c>
      <c r="J164" s="374">
        <f>ROW(Initiatives!$A$120)</f>
        <v>120</v>
      </c>
      <c r="K164" s="374">
        <f>ROW(Initiatives!$A$126)</f>
        <v>126</v>
      </c>
      <c r="L164" s="374">
        <f>ROW(Initiatives!$A$176)</f>
        <v>176</v>
      </c>
      <c r="M164" s="374">
        <f>ROW(Initiatives!$A$189)</f>
        <v>189</v>
      </c>
      <c r="N164" s="374"/>
      <c r="O164" s="374" t="s">
        <v>975</v>
      </c>
      <c r="P164" s="374" t="s">
        <v>975</v>
      </c>
      <c r="Q164" s="374" t="s">
        <v>975</v>
      </c>
      <c r="R164" s="374" t="s">
        <v>975</v>
      </c>
      <c r="S164" s="374" t="s">
        <v>975</v>
      </c>
      <c r="T164" s="374" t="s">
        <v>975</v>
      </c>
      <c r="U164" s="374" t="s">
        <v>975</v>
      </c>
      <c r="V164" s="374" t="s">
        <v>975</v>
      </c>
      <c r="W164" s="374" t="s">
        <v>975</v>
      </c>
      <c r="X164" s="374" t="s">
        <v>975</v>
      </c>
      <c r="Y164" s="392" t="str">
        <f ca="1">OFFSET(Initiatives!$D$1,E164-1,$BS$3)</f>
        <v>Governance</v>
      </c>
      <c r="Z164" s="375"/>
      <c r="AA164" s="392" t="str">
        <f ca="1">OFFSET(Initiatives!$D$1,F164-1,$BS$3)</f>
        <v>Architecture</v>
      </c>
      <c r="AB164" s="375"/>
      <c r="AC164" s="392" t="str">
        <f ca="1">OFFSET(Initiatives!$D$1,G164-1,$BS$3)</f>
        <v>Robust security</v>
      </c>
      <c r="AD164" s="375"/>
      <c r="AE164" s="392" t="str">
        <f ca="1">OFFSET(Initiatives!$D$1,H164-1,$BS$3)</f>
        <v>Architecture Standards &amp; Adherence</v>
      </c>
      <c r="AF164" s="375">
        <v>5</v>
      </c>
      <c r="AG164" s="392" t="str">
        <f ca="1">OFFSET(Initiatives!$D$1,I164-1,$BS$3)</f>
        <v>Data Integration/ETL</v>
      </c>
      <c r="AH164" s="375">
        <v>2</v>
      </c>
      <c r="AI164" s="392" t="str">
        <f ca="1">OFFSET(Initiatives!$D$1,J164-1,$BS$3)</f>
        <v>Data Warehouse / Data Marts</v>
      </c>
      <c r="AJ164" s="375">
        <v>3</v>
      </c>
      <c r="AK164" s="392" t="str">
        <f ca="1">OFFSET(Initiatives!$D$1,K164-1,$BS$3)</f>
        <v>Development</v>
      </c>
      <c r="AL164" s="375">
        <v>9</v>
      </c>
      <c r="AM164" s="392" t="str">
        <f ca="1">OFFSET(Initiatives!$D$1,L164-1,$BS$3)</f>
        <v>Source System Inclusion / Integration</v>
      </c>
      <c r="AN164" s="375">
        <v>5</v>
      </c>
      <c r="AO164" s="392" t="str">
        <f ca="1">OFFSET(Initiatives!$D$1,M164-1,$BS$3)</f>
        <v>Enhance BI Platform</v>
      </c>
      <c r="AP164" s="375">
        <v>3</v>
      </c>
      <c r="AQ164" s="392" t="e">
        <f ca="1">OFFSET(Initiatives!$D$1,N164-1,$BS$3)</f>
        <v>#REF!</v>
      </c>
      <c r="AR164" s="375"/>
      <c r="AS164" s="392" t="e">
        <f ca="1">OFFSET(Initiatives!$D$1,O164-1,$BS$3)</f>
        <v>#VALUE!</v>
      </c>
      <c r="AT164" s="375"/>
      <c r="AU164" s="392" t="e">
        <f ca="1">OFFSET(Initiatives!$D$1,P164-1,$BS$3)</f>
        <v>#VALUE!</v>
      </c>
      <c r="AV164" s="375"/>
      <c r="AW164" s="392" t="e">
        <f ca="1">OFFSET(Initiatives!$D$1,Q164-1,$BS$3)</f>
        <v>#VALUE!</v>
      </c>
      <c r="AX164" s="375"/>
      <c r="AY164" s="392" t="e">
        <f ca="1">OFFSET(Initiatives!$D$1,R164-1,$BS$3)</f>
        <v>#VALUE!</v>
      </c>
      <c r="AZ164" s="375"/>
      <c r="BA164" s="392" t="e">
        <f ca="1">OFFSET(Initiatives!$D$1,S164-1,$BS$3)</f>
        <v>#VALUE!</v>
      </c>
      <c r="BB164" s="375"/>
      <c r="BC164" s="392" t="e">
        <f ca="1">OFFSET(Initiatives!$D$1,T164-1,$BS$3)</f>
        <v>#VALUE!</v>
      </c>
      <c r="BD164" s="375"/>
      <c r="BE164" s="392" t="e">
        <f ca="1">OFFSET(Initiatives!$D$1,U164-1,$BS$3)</f>
        <v>#VALUE!</v>
      </c>
      <c r="BF164" s="375"/>
      <c r="BG164" s="392" t="e">
        <f ca="1">OFFSET(Initiatives!$D$1,V164-1,$BS$3)</f>
        <v>#VALUE!</v>
      </c>
      <c r="BH164" s="375"/>
      <c r="BI164" s="392" t="e">
        <f ca="1">OFFSET(Initiatives!$D$1,W164-1,$BS$3)</f>
        <v>#VALUE!</v>
      </c>
      <c r="BJ164" s="375"/>
      <c r="BK164" s="392" t="e">
        <f ca="1">OFFSET(Initiatives!$D$1,X164-1,$BS$3)</f>
        <v>#VALUE!</v>
      </c>
      <c r="BL164" s="375"/>
      <c r="BN164" s="101">
        <f t="shared" si="2688"/>
        <v>27.0001</v>
      </c>
      <c r="BP164" s="231" t="str">
        <f t="shared" ca="1" si="2689"/>
        <v>Source System Inclusion / Integration (44%); Enhance BI Platform (35%); Architecture Standards &amp; Adherence (13%)</v>
      </c>
      <c r="BQ164" s="338">
        <v>0.01</v>
      </c>
      <c r="BR164" s="40">
        <f t="shared" ca="1" si="2690"/>
        <v>3</v>
      </c>
      <c r="BS164" s="274">
        <v>0.05</v>
      </c>
      <c r="BT164" s="40">
        <f t="shared" ca="1" si="2691"/>
        <v>3</v>
      </c>
      <c r="BU164" s="376">
        <v>7</v>
      </c>
      <c r="BV164" s="40">
        <f t="shared" ca="1" si="2692"/>
        <v>3</v>
      </c>
      <c r="BY164" s="377">
        <f ca="1">IF(ISERROR(OFFSET(Initiatives!$D$1,E164-1,$BY$3)),,OFFSET(Initiatives!$D$1,E164-1,$BY$3))</f>
        <v>0.14000000000000001</v>
      </c>
      <c r="BZ164" s="377">
        <f ca="1">IF(ISERROR(OFFSET(Initiatives!$D$1,F164-1,$BY$3)),,OFFSET(Initiatives!$D$1,F164-1,$BY$3))</f>
        <v>0.14000000000000001</v>
      </c>
      <c r="CA164" s="377">
        <f ca="1">IF(ISERROR(OFFSET(Initiatives!$D$1,G164-1,$BY$3)),,OFFSET(Initiatives!$D$1,G164-1,$BY$3))</f>
        <v>0.14000000000000001</v>
      </c>
      <c r="CB164" s="377">
        <f ca="1">IF(ISERROR(OFFSET(Initiatives!$D$1,H164-1,$BY$3)),,OFFSET(Initiatives!$D$1,H164-1,$BY$3))</f>
        <v>0.14000000000000012</v>
      </c>
      <c r="CC164" s="377">
        <f ca="1">IF(ISERROR(OFFSET(Initiatives!$D$1,I164-1,$BY$3)),,OFFSET(Initiatives!$D$1,I164-1,$BY$3))</f>
        <v>9.9999999999999978E-2</v>
      </c>
      <c r="CD164" s="377">
        <f ca="1">IF(ISERROR(OFFSET(Initiatives!$D$1,J164-1,$BY$3)),,OFFSET(Initiatives!$D$1,J164-1,$BY$3))</f>
        <v>3.0000000000000027E-2</v>
      </c>
      <c r="CE164" s="377">
        <f ca="1">IF(ISERROR(OFFSET(Initiatives!$D$1,K164-1,$BY$3)),,OFFSET(Initiatives!$D$1,K164-1,$BY$3))</f>
        <v>1.5000000000000124E-2</v>
      </c>
      <c r="CF164" s="377">
        <f ca="1">IF(ISERROR(OFFSET(Initiatives!$D$1,L164-1,$BY$3)),,OFFSET(Initiatives!$D$1,L164-1,$BY$3))</f>
        <v>0.45454545454545436</v>
      </c>
      <c r="CG164" s="377">
        <f ca="1">IF(ISERROR(OFFSET(Initiatives!$D$1,M164-1,$BY$3)),,OFFSET(Initiatives!$D$1,M164-1,$BY$3))</f>
        <v>0.6</v>
      </c>
      <c r="CH164" s="377">
        <f ca="1">IF(ISERROR(OFFSET(Initiatives!$D$1,N164-1,$BY$3)),,OFFSET(Initiatives!$D$1,N164-1,$BY$3))</f>
        <v>0</v>
      </c>
      <c r="CI164" s="377">
        <f ca="1">IF(ISERROR(OFFSET(Initiatives!$D$1,O164-1,$BY$3)),,OFFSET(Initiatives!$D$1,O164-1,$BY$3))</f>
        <v>0</v>
      </c>
      <c r="CJ164" s="377">
        <f ca="1">IF(ISERROR(OFFSET(Initiatives!$D$1,P164-1,$BY$3)),,OFFSET(Initiatives!$D$1,P164-1,$BY$3))</f>
        <v>0</v>
      </c>
      <c r="CK164" s="377">
        <f ca="1">IF(ISERROR(OFFSET(Initiatives!$D$1,Q164-1,$BY$3)),,OFFSET(Initiatives!$D$1,Q164-1,$BY$3))</f>
        <v>0</v>
      </c>
      <c r="CL164" s="377">
        <f ca="1">IF(ISERROR(OFFSET(Initiatives!$D$1,R164-1,$BY$3)),,OFFSET(Initiatives!$D$1,R164-1,$BY$3))</f>
        <v>0</v>
      </c>
      <c r="CM164" s="377">
        <f ca="1">IF(ISERROR(OFFSET(Initiatives!$D$1,S164-1,$BY$3)),,OFFSET(Initiatives!$D$1,S164-1,$BY$3))</f>
        <v>0</v>
      </c>
      <c r="CN164" s="377">
        <f ca="1">IF(ISERROR(OFFSET(Initiatives!$D$1,T164-1,$BY$3)),,OFFSET(Initiatives!$D$1,T164-1,$BY$3))</f>
        <v>0</v>
      </c>
      <c r="CO164" s="377">
        <f ca="1">IF(ISERROR(OFFSET(Initiatives!$D$1,U164-1,$BY$3)),,OFFSET(Initiatives!$D$1,U164-1,$BY$3))</f>
        <v>0</v>
      </c>
      <c r="CP164" s="377">
        <f ca="1">IF(ISERROR(OFFSET(Initiatives!$D$1,V164-1,$BY$3)),,OFFSET(Initiatives!$D$1,V164-1,$BY$3))</f>
        <v>0</v>
      </c>
      <c r="CQ164" s="377">
        <f ca="1">IF(ISERROR(OFFSET(Initiatives!$D$1,W164-1,$BY$3)),,OFFSET(Initiatives!$D$1,W164-1,$BY$3))</f>
        <v>0</v>
      </c>
      <c r="CR164" s="377">
        <f ca="1">IF(ISERROR(OFFSET(Initiatives!$D$1,X164-1,$BY$3)),,OFFSET(Initiatives!$D$1,X164-1,$BY$3))</f>
        <v>0</v>
      </c>
      <c r="CT164" s="41">
        <f t="shared" ca="1" si="2693"/>
        <v>0</v>
      </c>
      <c r="CU164" s="41">
        <f t="shared" ca="1" si="2694"/>
        <v>0</v>
      </c>
      <c r="CV164" s="41">
        <f t="shared" ca="1" si="2695"/>
        <v>0</v>
      </c>
      <c r="CW164" s="41">
        <f t="shared" ca="1" si="2696"/>
        <v>2.592582990433371E-2</v>
      </c>
      <c r="CX164" s="41">
        <f t="shared" ca="1" si="2697"/>
        <v>7.4073799726667661E-3</v>
      </c>
      <c r="CY164" s="41">
        <f t="shared" ca="1" si="2698"/>
        <v>3.3333209877000483E-3</v>
      </c>
      <c r="CZ164" s="41">
        <f t="shared" ca="1" si="2699"/>
        <v>4.9999814815501102E-3</v>
      </c>
      <c r="DA164" s="41">
        <f t="shared" ca="1" si="2700"/>
        <v>8.4174772416667779E-2</v>
      </c>
      <c r="DB164" s="41">
        <f t="shared" ca="1" si="2701"/>
        <v>6.6666419754000908E-2</v>
      </c>
      <c r="DC164" s="41">
        <f t="shared" ca="1" si="2702"/>
        <v>0</v>
      </c>
      <c r="DD164" s="41">
        <f t="shared" ca="1" si="2703"/>
        <v>0</v>
      </c>
      <c r="DE164" s="41">
        <f t="shared" ca="1" si="2704"/>
        <v>0</v>
      </c>
      <c r="DF164" s="41">
        <f t="shared" ca="1" si="2705"/>
        <v>0</v>
      </c>
      <c r="DG164" s="41">
        <f t="shared" ca="1" si="2706"/>
        <v>0</v>
      </c>
      <c r="DH164" s="41">
        <f t="shared" ca="1" si="2707"/>
        <v>0</v>
      </c>
      <c r="DI164" s="41">
        <f t="shared" ca="1" si="2708"/>
        <v>0</v>
      </c>
      <c r="DJ164" s="41">
        <f t="shared" ca="1" si="2709"/>
        <v>0</v>
      </c>
      <c r="DK164" s="41">
        <f t="shared" ca="1" si="2710"/>
        <v>0</v>
      </c>
      <c r="DL164" s="41">
        <f t="shared" ca="1" si="2711"/>
        <v>0</v>
      </c>
      <c r="DM164" s="41">
        <f t="shared" ca="1" si="2712"/>
        <v>0</v>
      </c>
      <c r="DN164" s="41">
        <f t="shared" ca="1" si="2713"/>
        <v>0.19250770451691934</v>
      </c>
      <c r="DP164" s="41">
        <f t="shared" ca="1" si="2714"/>
        <v>-1.0000000000000001E-5</v>
      </c>
      <c r="DQ164" s="41">
        <f t="shared" ca="1" si="2715"/>
        <v>-2.0000000000000002E-5</v>
      </c>
      <c r="DR164" s="41">
        <f t="shared" ca="1" si="2716"/>
        <v>-3.0000000000000001E-5</v>
      </c>
      <c r="DS164" s="41">
        <f t="shared" ca="1" si="2717"/>
        <v>0.13463424573677313</v>
      </c>
      <c r="DT164" s="41">
        <f t="shared" ca="1" si="2718"/>
        <v>3.8428355924792282E-2</v>
      </c>
      <c r="DU164" s="41">
        <f t="shared" ca="1" si="2719"/>
        <v>1.7255260166156545E-2</v>
      </c>
      <c r="DV164" s="41">
        <f t="shared" ca="1" si="2720"/>
        <v>2.5902890249235016E-2</v>
      </c>
      <c r="DW164" s="41">
        <f t="shared" ca="1" si="2721"/>
        <v>0.43717404459991221</v>
      </c>
      <c r="DX164" s="41">
        <f t="shared" ca="1" si="2722"/>
        <v>0.34621520332313066</v>
      </c>
      <c r="DY164" s="41">
        <f t="shared" ca="1" si="2723"/>
        <v>-1E-4</v>
      </c>
      <c r="DZ164" s="41">
        <f t="shared" ca="1" si="2724"/>
        <v>-1.1E-4</v>
      </c>
      <c r="EA164" s="41">
        <f t="shared" ca="1" si="2725"/>
        <v>-1.2E-4</v>
      </c>
      <c r="EB164" s="41">
        <f t="shared" ca="1" si="2726"/>
        <v>-1.2999999999999999E-4</v>
      </c>
      <c r="EC164" s="41">
        <f t="shared" ca="1" si="2727"/>
        <v>-1.3999999999999999E-4</v>
      </c>
      <c r="ED164" s="41">
        <f t="shared" ca="1" si="2728"/>
        <v>-1.4999999999999999E-4</v>
      </c>
      <c r="EE164" s="41">
        <f t="shared" ca="1" si="2729"/>
        <v>-1.6000000000000001E-4</v>
      </c>
      <c r="EF164" s="41">
        <f t="shared" ca="1" si="2730"/>
        <v>-1.7000000000000001E-4</v>
      </c>
      <c r="EG164" s="41">
        <f t="shared" ca="1" si="2731"/>
        <v>-1.8000000000000001E-4</v>
      </c>
      <c r="EH164" s="41">
        <f t="shared" ca="1" si="2732"/>
        <v>-1.9000000000000001E-4</v>
      </c>
      <c r="EI164" s="41">
        <f t="shared" ca="1" si="2733"/>
        <v>-2.0000000000000001E-4</v>
      </c>
      <c r="EJ164" s="41">
        <f t="shared" ca="1" si="2734"/>
        <v>0.9978999999999999</v>
      </c>
      <c r="EL164" s="378">
        <f t="shared" ca="1" si="2735"/>
        <v>7</v>
      </c>
      <c r="EM164" s="378">
        <f t="shared" ca="1" si="2736"/>
        <v>8</v>
      </c>
      <c r="EN164" s="378">
        <f t="shared" ca="1" si="2737"/>
        <v>9</v>
      </c>
      <c r="EO164" s="378">
        <f t="shared" ca="1" si="2738"/>
        <v>3</v>
      </c>
      <c r="EP164" s="378">
        <f t="shared" ca="1" si="2739"/>
        <v>4</v>
      </c>
      <c r="EQ164" s="378">
        <f t="shared" ca="1" si="2740"/>
        <v>6</v>
      </c>
      <c r="ER164" s="378">
        <f t="shared" ca="1" si="2741"/>
        <v>5</v>
      </c>
      <c r="ES164" s="378">
        <f t="shared" ca="1" si="2742"/>
        <v>1</v>
      </c>
      <c r="ET164" s="378">
        <f t="shared" ca="1" si="2743"/>
        <v>2</v>
      </c>
      <c r="EU164" s="378">
        <f t="shared" ca="1" si="2744"/>
        <v>10</v>
      </c>
      <c r="EV164" s="378">
        <f t="shared" ca="1" si="2745"/>
        <v>11</v>
      </c>
      <c r="EW164" s="378">
        <f t="shared" ca="1" si="2746"/>
        <v>12</v>
      </c>
      <c r="EX164" s="378">
        <f t="shared" ca="1" si="2747"/>
        <v>13</v>
      </c>
      <c r="EY164" s="378">
        <f t="shared" ca="1" si="2748"/>
        <v>14</v>
      </c>
      <c r="EZ164" s="378">
        <f t="shared" ca="1" si="2749"/>
        <v>15</v>
      </c>
      <c r="FA164" s="378">
        <f t="shared" ca="1" si="2750"/>
        <v>16</v>
      </c>
      <c r="FB164" s="378">
        <f t="shared" ca="1" si="2751"/>
        <v>17</v>
      </c>
      <c r="FC164" s="378">
        <f t="shared" ca="1" si="2752"/>
        <v>18</v>
      </c>
      <c r="FD164" s="378">
        <f t="shared" ca="1" si="2753"/>
        <v>19</v>
      </c>
      <c r="FE164" s="378">
        <f t="shared" ca="1" si="2754"/>
        <v>20</v>
      </c>
      <c r="FG164" s="378">
        <f t="shared" ca="1" si="2755"/>
        <v>8</v>
      </c>
      <c r="FH164" s="378">
        <f t="shared" ca="1" si="2755"/>
        <v>9</v>
      </c>
      <c r="FI164" s="378">
        <f t="shared" ca="1" si="2755"/>
        <v>4</v>
      </c>
      <c r="FJ164" s="378">
        <f t="shared" ca="1" si="2755"/>
        <v>5</v>
      </c>
      <c r="FK164" s="378">
        <f t="shared" ca="1" si="2755"/>
        <v>7</v>
      </c>
      <c r="FL164" s="378">
        <f t="shared" ca="1" si="2755"/>
        <v>6</v>
      </c>
      <c r="FM164" s="378">
        <f t="shared" ca="1" si="2755"/>
        <v>1</v>
      </c>
      <c r="FN164" s="378">
        <f t="shared" ca="1" si="2755"/>
        <v>2</v>
      </c>
      <c r="FO164" s="378">
        <f t="shared" ca="1" si="2755"/>
        <v>3</v>
      </c>
      <c r="FP164" s="378">
        <f t="shared" ca="1" si="2755"/>
        <v>10</v>
      </c>
      <c r="FQ164" s="378">
        <f t="shared" ca="1" si="2755"/>
        <v>11</v>
      </c>
      <c r="FR164" s="378">
        <f t="shared" ca="1" si="2755"/>
        <v>12</v>
      </c>
      <c r="FS164" s="378">
        <f t="shared" ca="1" si="2755"/>
        <v>13</v>
      </c>
      <c r="FT164" s="378">
        <f t="shared" ca="1" si="2755"/>
        <v>14</v>
      </c>
      <c r="FU164" s="378">
        <f t="shared" ca="1" si="2755"/>
        <v>15</v>
      </c>
      <c r="FV164" s="378">
        <f t="shared" ca="1" si="2755"/>
        <v>16</v>
      </c>
      <c r="FW164" s="378">
        <f t="shared" ca="1" si="2756"/>
        <v>17</v>
      </c>
      <c r="FX164" s="378">
        <f t="shared" ca="1" si="2756"/>
        <v>18</v>
      </c>
      <c r="FY164" s="378">
        <f t="shared" ca="1" si="2756"/>
        <v>19</v>
      </c>
      <c r="FZ164" s="378">
        <f t="shared" ca="1" si="2756"/>
        <v>20</v>
      </c>
      <c r="GB164" s="275" t="str">
        <f t="shared" ca="1" si="2757"/>
        <v>Source System Inclusion / Integration (44%)</v>
      </c>
      <c r="GC164" s="231" t="str">
        <f t="shared" ca="1" si="2758"/>
        <v>; Enhance BI Platform (35%)</v>
      </c>
      <c r="GD164" s="231" t="str">
        <f t="shared" ca="1" si="2759"/>
        <v>; Architecture Standards &amp; Adherence (13%)</v>
      </c>
      <c r="GE164" s="231" t="str">
        <f t="shared" ca="1" si="2760"/>
        <v/>
      </c>
      <c r="GF164" s="231" t="str">
        <f t="shared" ca="1" si="2761"/>
        <v/>
      </c>
      <c r="GG164" s="231" t="str">
        <f t="shared" ca="1" si="2762"/>
        <v/>
      </c>
      <c r="GH164" s="231" t="str">
        <f t="shared" ca="1" si="2763"/>
        <v/>
      </c>
      <c r="GI164" s="231" t="str">
        <f t="shared" ca="1" si="2764"/>
        <v/>
      </c>
      <c r="GJ164" s="231" t="str">
        <f t="shared" ca="1" si="2765"/>
        <v/>
      </c>
      <c r="GK164" s="231" t="str">
        <f t="shared" ca="1" si="2766"/>
        <v/>
      </c>
      <c r="GL164" s="231" t="str">
        <f t="shared" ca="1" si="2767"/>
        <v/>
      </c>
      <c r="GM164" s="231" t="str">
        <f t="shared" ca="1" si="2768"/>
        <v/>
      </c>
      <c r="GN164" s="231" t="str">
        <f t="shared" ca="1" si="2769"/>
        <v/>
      </c>
      <c r="GO164" s="231" t="str">
        <f t="shared" ca="1" si="2770"/>
        <v/>
      </c>
      <c r="GP164" s="231" t="str">
        <f t="shared" ca="1" si="2771"/>
        <v/>
      </c>
      <c r="GQ164" s="231" t="str">
        <f t="shared" ca="1" si="2772"/>
        <v/>
      </c>
      <c r="GR164" s="231" t="str">
        <f t="shared" ca="1" si="2773"/>
        <v/>
      </c>
      <c r="GS164" s="231" t="str">
        <f t="shared" ca="1" si="2774"/>
        <v/>
      </c>
      <c r="GT164" s="231" t="str">
        <f t="shared" ca="1" si="2775"/>
        <v/>
      </c>
      <c r="GU164" s="231" t="str">
        <f t="shared" ca="1" si="2776"/>
        <v/>
      </c>
      <c r="GW164" s="377">
        <f ca="1">IF(ISERROR(OFFSET(Initiatives!$D$1,E164-1,$CB$3)),,OFFSET(Initiatives!$D$1,E164-1,$CB$3))</f>
        <v>0.65</v>
      </c>
      <c r="GX164" s="377">
        <f ca="1">IF(ISERROR(OFFSET(Initiatives!$D$1,F164-1,$CB$3)),,OFFSET(Initiatives!$D$1,F164-1,$CB$3))</f>
        <v>0.65</v>
      </c>
      <c r="GY164" s="377">
        <f ca="1">IF(ISERROR(OFFSET(Initiatives!$D$1,G164-1,$CB$3)),,OFFSET(Initiatives!$D$1,G164-1,$CB$3))</f>
        <v>0.65</v>
      </c>
      <c r="GZ164" s="377">
        <f ca="1">IF(ISERROR(OFFSET(Initiatives!$D$1,H164-1,$CB$3)),,OFFSET(Initiatives!$D$1,H164-1,$CB$3))</f>
        <v>0.65</v>
      </c>
      <c r="HA164" s="377">
        <f ca="1">IF(ISERROR(OFFSET(Initiatives!$D$1,I164-1,$CB$3)),,OFFSET(Initiatives!$D$1,I164-1,$CB$3))</f>
        <v>0.75</v>
      </c>
      <c r="HB164" s="377">
        <f ca="1">IF(ISERROR(OFFSET(Initiatives!$D$1,J164-1,$CB$3)),,OFFSET(Initiatives!$D$1,J164-1,$CB$3))</f>
        <v>0.8</v>
      </c>
      <c r="HC164" s="377">
        <f ca="1">IF(ISERROR(OFFSET(Initiatives!$D$1,K164-1,$CB$3)),,OFFSET(Initiatives!$D$1,K164-1,$CB$3))</f>
        <v>0.9</v>
      </c>
      <c r="HD164" s="377">
        <f ca="1">IF(ISERROR(OFFSET(Initiatives!$D$1,L164-1,$CB$3)),,OFFSET(Initiatives!$D$1,L164-1,$CB$3))</f>
        <v>0.43181818181818177</v>
      </c>
      <c r="HE164" s="377">
        <f ca="1">IF(ISERROR(OFFSET(Initiatives!$D$1,M164-1,$CB$3)),,OFFSET(Initiatives!$D$1,M164-1,$CB$3))</f>
        <v>0.25</v>
      </c>
      <c r="HF164" s="377">
        <f ca="1">IF(ISERROR(OFFSET(Initiatives!$D$1,N164-1,$CB$3)),,OFFSET(Initiatives!$D$1,N164-1,$CB$3))</f>
        <v>0</v>
      </c>
      <c r="HG164" s="377">
        <f ca="1">IF(ISERROR(OFFSET(Initiatives!$D$1,O164-1,$CB$3)),,OFFSET(Initiatives!$D$1,O164-1,$CB$3))</f>
        <v>0</v>
      </c>
      <c r="HH164" s="377">
        <f ca="1">IF(ISERROR(OFFSET(Initiatives!$D$1,P164-1,$CB$3)),,OFFSET(Initiatives!$D$1,P164-1,$CB$3))</f>
        <v>0</v>
      </c>
      <c r="HI164" s="377">
        <f ca="1">IF(ISERROR(OFFSET(Initiatives!$D$1,Q164-1,$CB$3)),,OFFSET(Initiatives!$D$1,Q164-1,$CB$3))</f>
        <v>0</v>
      </c>
      <c r="HJ164" s="377">
        <f ca="1">IF(ISERROR(OFFSET(Initiatives!$D$1,R164-1,$CB$3)),,OFFSET(Initiatives!$D$1,R164-1,$CB$3))</f>
        <v>0</v>
      </c>
      <c r="HK164" s="377">
        <f ca="1">IF(ISERROR(OFFSET(Initiatives!$D$1,S164-1,$CB$3)),,OFFSET(Initiatives!$D$1,S164-1,$CB$3))</f>
        <v>0</v>
      </c>
      <c r="HL164" s="377">
        <f ca="1">IF(ISERROR(OFFSET(Initiatives!$D$1,T164-1,$CB$3)),,OFFSET(Initiatives!$D$1,T164-1,$CB$3))</f>
        <v>0</v>
      </c>
      <c r="HM164" s="377">
        <f ca="1">IF(ISERROR(OFFSET(Initiatives!$D$1,U164-1,$CB$3)),,OFFSET(Initiatives!$D$1,U164-1,$CB$3))</f>
        <v>0</v>
      </c>
      <c r="HN164" s="377">
        <f ca="1">IF(ISERROR(OFFSET(Initiatives!$D$1,V164-1,$CB$3)),,OFFSET(Initiatives!$D$1,V164-1,$CB$3))</f>
        <v>0</v>
      </c>
      <c r="HO164" s="377">
        <f ca="1">IF(ISERROR(OFFSET(Initiatives!$D$1,W164-1,$CB$3)),,OFFSET(Initiatives!$D$1,W164-1,$CB$3))</f>
        <v>0</v>
      </c>
      <c r="HP164" s="377">
        <f ca="1">IF(ISERROR(OFFSET(Initiatives!$D$1,X164-1,$CB$3)),,OFFSET(Initiatives!$D$1,X164-1,$CB$3))</f>
        <v>0</v>
      </c>
      <c r="HR164" s="41">
        <f t="shared" ca="1" si="2777"/>
        <v>0</v>
      </c>
      <c r="HS164" s="41">
        <f t="shared" ca="1" si="2778"/>
        <v>0</v>
      </c>
      <c r="HT164" s="41">
        <f t="shared" ca="1" si="2779"/>
        <v>0</v>
      </c>
      <c r="HU164" s="41">
        <f t="shared" ca="1" si="2780"/>
        <v>0.12036992455583498</v>
      </c>
      <c r="HV164" s="41">
        <f t="shared" ca="1" si="2781"/>
        <v>5.5555349795000757E-2</v>
      </c>
      <c r="HW164" s="41">
        <f t="shared" ca="1" si="2782"/>
        <v>8.8888559672001224E-2</v>
      </c>
      <c r="HX164" s="41">
        <f t="shared" ca="1" si="2783"/>
        <v>0.29999888889300408</v>
      </c>
      <c r="HY164" s="41">
        <f t="shared" ca="1" si="2784"/>
        <v>7.9966033795834418E-2</v>
      </c>
      <c r="HZ164" s="41">
        <f t="shared" ca="1" si="2785"/>
        <v>2.7777674897500378E-2</v>
      </c>
      <c r="IA164" s="41">
        <f t="shared" ca="1" si="2786"/>
        <v>0</v>
      </c>
      <c r="IB164" s="41">
        <f t="shared" ca="1" si="2787"/>
        <v>0</v>
      </c>
      <c r="IC164" s="41">
        <f t="shared" ca="1" si="2788"/>
        <v>0</v>
      </c>
      <c r="ID164" s="41">
        <f t="shared" ca="1" si="2789"/>
        <v>0</v>
      </c>
      <c r="IE164" s="41">
        <f t="shared" ca="1" si="2790"/>
        <v>0</v>
      </c>
      <c r="IF164" s="41">
        <f t="shared" ca="1" si="2791"/>
        <v>0</v>
      </c>
      <c r="IG164" s="41">
        <f t="shared" ca="1" si="2792"/>
        <v>0</v>
      </c>
      <c r="IH164" s="41">
        <f t="shared" ca="1" si="2793"/>
        <v>0</v>
      </c>
      <c r="II164" s="41">
        <f t="shared" ca="1" si="2794"/>
        <v>0</v>
      </c>
      <c r="IJ164" s="41">
        <f t="shared" ca="1" si="2795"/>
        <v>0</v>
      </c>
      <c r="IK164" s="41">
        <f t="shared" ca="1" si="2796"/>
        <v>0</v>
      </c>
      <c r="IL164" s="41">
        <f t="shared" ca="1" si="2797"/>
        <v>0.67255643160917589</v>
      </c>
    </row>
    <row r="165" spans="1:246" s="409" customFormat="1" ht="14.25" hidden="1" customHeight="1">
      <c r="B165" s="373"/>
      <c r="C165" s="81" t="str">
        <f>Maturity!B51</f>
        <v>To what degree do PROJECT MANAGERS control the project schedule?</v>
      </c>
      <c r="D165" s="404">
        <f t="shared" ca="1" si="2687"/>
        <v>0.13999844446172824</v>
      </c>
      <c r="E165" s="374">
        <f>ROW(Initiatives!$A$100)</f>
        <v>100</v>
      </c>
      <c r="F165" s="374">
        <f>ROW(Initiatives!$A$101)</f>
        <v>101</v>
      </c>
      <c r="G165" s="374">
        <f>ROW(Initiatives!$A$102)</f>
        <v>102</v>
      </c>
      <c r="H165" s="374">
        <f>ROW(Initiatives!$A$103)</f>
        <v>103</v>
      </c>
      <c r="I165" s="374">
        <f>ROW(Initiatives!$A$114)</f>
        <v>114</v>
      </c>
      <c r="J165" s="374">
        <f>ROW(Initiatives!$A$120)</f>
        <v>120</v>
      </c>
      <c r="K165" s="374">
        <f>ROW(Initiatives!$A$126)</f>
        <v>126</v>
      </c>
      <c r="L165" s="374">
        <f>ROW(Initiatives!$A$176)</f>
        <v>176</v>
      </c>
      <c r="M165" s="374">
        <f>ROW(Initiatives!$A$189)</f>
        <v>189</v>
      </c>
      <c r="N165" s="374"/>
      <c r="O165" s="374" t="s">
        <v>975</v>
      </c>
      <c r="P165" s="374" t="s">
        <v>975</v>
      </c>
      <c r="Q165" s="374" t="s">
        <v>975</v>
      </c>
      <c r="R165" s="374" t="s">
        <v>975</v>
      </c>
      <c r="S165" s="374" t="s">
        <v>975</v>
      </c>
      <c r="T165" s="374" t="s">
        <v>975</v>
      </c>
      <c r="U165" s="374" t="s">
        <v>975</v>
      </c>
      <c r="V165" s="374" t="s">
        <v>975</v>
      </c>
      <c r="W165" s="374" t="s">
        <v>975</v>
      </c>
      <c r="X165" s="374" t="s">
        <v>975</v>
      </c>
      <c r="Y165" s="392" t="str">
        <f ca="1">OFFSET(Initiatives!$D$1,E165-1,$BS$3)</f>
        <v>Governance</v>
      </c>
      <c r="Z165" s="375">
        <v>9</v>
      </c>
      <c r="AA165" s="392" t="str">
        <f ca="1">OFFSET(Initiatives!$D$1,F165-1,$BS$3)</f>
        <v>Architecture</v>
      </c>
      <c r="AB165" s="375"/>
      <c r="AC165" s="392" t="str">
        <f ca="1">OFFSET(Initiatives!$D$1,G165-1,$BS$3)</f>
        <v>Robust security</v>
      </c>
      <c r="AD165" s="375"/>
      <c r="AE165" s="392" t="str">
        <f ca="1">OFFSET(Initiatives!$D$1,H165-1,$BS$3)</f>
        <v>Architecture Standards &amp; Adherence</v>
      </c>
      <c r="AF165" s="375"/>
      <c r="AG165" s="392" t="str">
        <f ca="1">OFFSET(Initiatives!$D$1,I165-1,$BS$3)</f>
        <v>Data Integration/ETL</v>
      </c>
      <c r="AH165" s="375"/>
      <c r="AI165" s="392" t="str">
        <f ca="1">OFFSET(Initiatives!$D$1,J165-1,$BS$3)</f>
        <v>Data Warehouse / Data Marts</v>
      </c>
      <c r="AJ165" s="375"/>
      <c r="AK165" s="392" t="str">
        <f ca="1">OFFSET(Initiatives!$D$1,K165-1,$BS$3)</f>
        <v>Development</v>
      </c>
      <c r="AL165" s="375"/>
      <c r="AM165" s="392" t="str">
        <f ca="1">OFFSET(Initiatives!$D$1,L165-1,$BS$3)</f>
        <v>Source System Inclusion / Integration</v>
      </c>
      <c r="AN165" s="375"/>
      <c r="AO165" s="392" t="str">
        <f ca="1">OFFSET(Initiatives!$D$1,M165-1,$BS$3)</f>
        <v>Enhance BI Platform</v>
      </c>
      <c r="AP165" s="375"/>
      <c r="AQ165" s="392" t="e">
        <f ca="1">OFFSET(Initiatives!$D$1,N165-1,$BS$3)</f>
        <v>#REF!</v>
      </c>
      <c r="AR165" s="375"/>
      <c r="AS165" s="392" t="e">
        <f ca="1">OFFSET(Initiatives!$D$1,O165-1,$BS$3)</f>
        <v>#VALUE!</v>
      </c>
      <c r="AT165" s="375"/>
      <c r="AU165" s="392" t="e">
        <f ca="1">OFFSET(Initiatives!$D$1,P165-1,$BS$3)</f>
        <v>#VALUE!</v>
      </c>
      <c r="AV165" s="375"/>
      <c r="AW165" s="392" t="e">
        <f ca="1">OFFSET(Initiatives!$D$1,Q165-1,$BS$3)</f>
        <v>#VALUE!</v>
      </c>
      <c r="AX165" s="375"/>
      <c r="AY165" s="392" t="e">
        <f ca="1">OFFSET(Initiatives!$D$1,R165-1,$BS$3)</f>
        <v>#VALUE!</v>
      </c>
      <c r="AZ165" s="375"/>
      <c r="BA165" s="392" t="e">
        <f ca="1">OFFSET(Initiatives!$D$1,S165-1,$BS$3)</f>
        <v>#VALUE!</v>
      </c>
      <c r="BB165" s="375"/>
      <c r="BC165" s="392" t="e">
        <f ca="1">OFFSET(Initiatives!$D$1,T165-1,$BS$3)</f>
        <v>#VALUE!</v>
      </c>
      <c r="BD165" s="375"/>
      <c r="BE165" s="392" t="e">
        <f ca="1">OFFSET(Initiatives!$D$1,U165-1,$BS$3)</f>
        <v>#VALUE!</v>
      </c>
      <c r="BF165" s="375"/>
      <c r="BG165" s="392" t="e">
        <f ca="1">OFFSET(Initiatives!$D$1,V165-1,$BS$3)</f>
        <v>#VALUE!</v>
      </c>
      <c r="BH165" s="375"/>
      <c r="BI165" s="392" t="e">
        <f ca="1">OFFSET(Initiatives!$D$1,W165-1,$BS$3)</f>
        <v>#VALUE!</v>
      </c>
      <c r="BJ165" s="375"/>
      <c r="BK165" s="392" t="e">
        <f ca="1">OFFSET(Initiatives!$D$1,X165-1,$BS$3)</f>
        <v>#VALUE!</v>
      </c>
      <c r="BL165" s="375"/>
      <c r="BN165" s="101">
        <f t="shared" si="2688"/>
        <v>9.0000999999999998</v>
      </c>
      <c r="BP165" s="231" t="str">
        <f t="shared" ca="1" si="2689"/>
        <v>Governance (100%)</v>
      </c>
      <c r="BQ165" s="338">
        <v>0.01</v>
      </c>
      <c r="BR165" s="40">
        <f t="shared" ca="1" si="2690"/>
        <v>1</v>
      </c>
      <c r="BS165" s="274">
        <v>0.05</v>
      </c>
      <c r="BT165" s="40">
        <f t="shared" ca="1" si="2691"/>
        <v>1</v>
      </c>
      <c r="BU165" s="376">
        <v>7</v>
      </c>
      <c r="BV165" s="40">
        <f t="shared" ca="1" si="2692"/>
        <v>1</v>
      </c>
      <c r="BY165" s="377">
        <f ca="1">IF(ISERROR(OFFSET(Initiatives!$D$1,E165-1,$BY$3)),,OFFSET(Initiatives!$D$1,E165-1,$BY$3))</f>
        <v>0.14000000000000001</v>
      </c>
      <c r="BZ165" s="377">
        <f ca="1">IF(ISERROR(OFFSET(Initiatives!$D$1,F165-1,$BY$3)),,OFFSET(Initiatives!$D$1,F165-1,$BY$3))</f>
        <v>0.14000000000000001</v>
      </c>
      <c r="CA165" s="377">
        <f ca="1">IF(ISERROR(OFFSET(Initiatives!$D$1,G165-1,$BY$3)),,OFFSET(Initiatives!$D$1,G165-1,$BY$3))</f>
        <v>0.14000000000000001</v>
      </c>
      <c r="CB165" s="377">
        <f ca="1">IF(ISERROR(OFFSET(Initiatives!$D$1,H165-1,$BY$3)),,OFFSET(Initiatives!$D$1,H165-1,$BY$3))</f>
        <v>0.14000000000000012</v>
      </c>
      <c r="CC165" s="377">
        <f ca="1">IF(ISERROR(OFFSET(Initiatives!$D$1,I165-1,$BY$3)),,OFFSET(Initiatives!$D$1,I165-1,$BY$3))</f>
        <v>9.9999999999999978E-2</v>
      </c>
      <c r="CD165" s="377">
        <f ca="1">IF(ISERROR(OFFSET(Initiatives!$D$1,J165-1,$BY$3)),,OFFSET(Initiatives!$D$1,J165-1,$BY$3))</f>
        <v>3.0000000000000027E-2</v>
      </c>
      <c r="CE165" s="377">
        <f ca="1">IF(ISERROR(OFFSET(Initiatives!$D$1,K165-1,$BY$3)),,OFFSET(Initiatives!$D$1,K165-1,$BY$3))</f>
        <v>1.5000000000000124E-2</v>
      </c>
      <c r="CF165" s="377">
        <f ca="1">IF(ISERROR(OFFSET(Initiatives!$D$1,L165-1,$BY$3)),,OFFSET(Initiatives!$D$1,L165-1,$BY$3))</f>
        <v>0.45454545454545436</v>
      </c>
      <c r="CG165" s="377">
        <f ca="1">IF(ISERROR(OFFSET(Initiatives!$D$1,M165-1,$BY$3)),,OFFSET(Initiatives!$D$1,M165-1,$BY$3))</f>
        <v>0.6</v>
      </c>
      <c r="CH165" s="377">
        <f ca="1">IF(ISERROR(OFFSET(Initiatives!$D$1,N165-1,$BY$3)),,OFFSET(Initiatives!$D$1,N165-1,$BY$3))</f>
        <v>0</v>
      </c>
      <c r="CI165" s="377">
        <f ca="1">IF(ISERROR(OFFSET(Initiatives!$D$1,O165-1,$BY$3)),,OFFSET(Initiatives!$D$1,O165-1,$BY$3))</f>
        <v>0</v>
      </c>
      <c r="CJ165" s="377">
        <f ca="1">IF(ISERROR(OFFSET(Initiatives!$D$1,P165-1,$BY$3)),,OFFSET(Initiatives!$D$1,P165-1,$BY$3))</f>
        <v>0</v>
      </c>
      <c r="CK165" s="377">
        <f ca="1">IF(ISERROR(OFFSET(Initiatives!$D$1,Q165-1,$BY$3)),,OFFSET(Initiatives!$D$1,Q165-1,$BY$3))</f>
        <v>0</v>
      </c>
      <c r="CL165" s="377">
        <f ca="1">IF(ISERROR(OFFSET(Initiatives!$D$1,R165-1,$BY$3)),,OFFSET(Initiatives!$D$1,R165-1,$BY$3))</f>
        <v>0</v>
      </c>
      <c r="CM165" s="377">
        <f ca="1">IF(ISERROR(OFFSET(Initiatives!$D$1,S165-1,$BY$3)),,OFFSET(Initiatives!$D$1,S165-1,$BY$3))</f>
        <v>0</v>
      </c>
      <c r="CN165" s="377">
        <f ca="1">IF(ISERROR(OFFSET(Initiatives!$D$1,T165-1,$BY$3)),,OFFSET(Initiatives!$D$1,T165-1,$BY$3))</f>
        <v>0</v>
      </c>
      <c r="CO165" s="377">
        <f ca="1">IF(ISERROR(OFFSET(Initiatives!$D$1,U165-1,$BY$3)),,OFFSET(Initiatives!$D$1,U165-1,$BY$3))</f>
        <v>0</v>
      </c>
      <c r="CP165" s="377">
        <f ca="1">IF(ISERROR(OFFSET(Initiatives!$D$1,V165-1,$BY$3)),,OFFSET(Initiatives!$D$1,V165-1,$BY$3))</f>
        <v>0</v>
      </c>
      <c r="CQ165" s="377">
        <f ca="1">IF(ISERROR(OFFSET(Initiatives!$D$1,W165-1,$BY$3)),,OFFSET(Initiatives!$D$1,W165-1,$BY$3))</f>
        <v>0</v>
      </c>
      <c r="CR165" s="377">
        <f ca="1">IF(ISERROR(OFFSET(Initiatives!$D$1,X165-1,$BY$3)),,OFFSET(Initiatives!$D$1,X165-1,$BY$3))</f>
        <v>0</v>
      </c>
      <c r="CT165" s="41">
        <f t="shared" ca="1" si="2693"/>
        <v>0.13999844446172824</v>
      </c>
      <c r="CU165" s="41">
        <f t="shared" ca="1" si="2694"/>
        <v>0</v>
      </c>
      <c r="CV165" s="41">
        <f t="shared" ca="1" si="2695"/>
        <v>0</v>
      </c>
      <c r="CW165" s="41">
        <f t="shared" ca="1" si="2696"/>
        <v>0</v>
      </c>
      <c r="CX165" s="41">
        <f t="shared" ca="1" si="2697"/>
        <v>0</v>
      </c>
      <c r="CY165" s="41">
        <f t="shared" ca="1" si="2698"/>
        <v>0</v>
      </c>
      <c r="CZ165" s="41">
        <f t="shared" ca="1" si="2699"/>
        <v>0</v>
      </c>
      <c r="DA165" s="41">
        <f t="shared" ca="1" si="2700"/>
        <v>0</v>
      </c>
      <c r="DB165" s="41">
        <f t="shared" ca="1" si="2701"/>
        <v>0</v>
      </c>
      <c r="DC165" s="41">
        <f t="shared" ca="1" si="2702"/>
        <v>0</v>
      </c>
      <c r="DD165" s="41">
        <f t="shared" ca="1" si="2703"/>
        <v>0</v>
      </c>
      <c r="DE165" s="41">
        <f t="shared" ca="1" si="2704"/>
        <v>0</v>
      </c>
      <c r="DF165" s="41">
        <f t="shared" ca="1" si="2705"/>
        <v>0</v>
      </c>
      <c r="DG165" s="41">
        <f t="shared" ca="1" si="2706"/>
        <v>0</v>
      </c>
      <c r="DH165" s="41">
        <f t="shared" ca="1" si="2707"/>
        <v>0</v>
      </c>
      <c r="DI165" s="41">
        <f t="shared" ca="1" si="2708"/>
        <v>0</v>
      </c>
      <c r="DJ165" s="41">
        <f t="shared" ca="1" si="2709"/>
        <v>0</v>
      </c>
      <c r="DK165" s="41">
        <f t="shared" ca="1" si="2710"/>
        <v>0</v>
      </c>
      <c r="DL165" s="41">
        <f t="shared" ca="1" si="2711"/>
        <v>0</v>
      </c>
      <c r="DM165" s="41">
        <f t="shared" ca="1" si="2712"/>
        <v>0</v>
      </c>
      <c r="DN165" s="41">
        <f t="shared" ca="1" si="2713"/>
        <v>0.13999844446172824</v>
      </c>
      <c r="DP165" s="41">
        <f t="shared" ca="1" si="2714"/>
        <v>0.99999000000000005</v>
      </c>
      <c r="DQ165" s="41">
        <f t="shared" ca="1" si="2715"/>
        <v>-2.0000000000000002E-5</v>
      </c>
      <c r="DR165" s="41">
        <f t="shared" ca="1" si="2716"/>
        <v>-3.0000000000000001E-5</v>
      </c>
      <c r="DS165" s="41">
        <f t="shared" ca="1" si="2717"/>
        <v>-4.0000000000000003E-5</v>
      </c>
      <c r="DT165" s="41">
        <f t="shared" ca="1" si="2718"/>
        <v>-5.0000000000000002E-5</v>
      </c>
      <c r="DU165" s="41">
        <f t="shared" ca="1" si="2719"/>
        <v>-6.0000000000000002E-5</v>
      </c>
      <c r="DV165" s="41">
        <f t="shared" ca="1" si="2720"/>
        <v>-6.9999999999999994E-5</v>
      </c>
      <c r="DW165" s="41">
        <f t="shared" ca="1" si="2721"/>
        <v>-8.0000000000000007E-5</v>
      </c>
      <c r="DX165" s="41">
        <f t="shared" ca="1" si="2722"/>
        <v>-9.0000000000000006E-5</v>
      </c>
      <c r="DY165" s="41">
        <f t="shared" ca="1" si="2723"/>
        <v>-1E-4</v>
      </c>
      <c r="DZ165" s="41">
        <f t="shared" ca="1" si="2724"/>
        <v>-1.1E-4</v>
      </c>
      <c r="EA165" s="41">
        <f t="shared" ca="1" si="2725"/>
        <v>-1.2E-4</v>
      </c>
      <c r="EB165" s="41">
        <f t="shared" ca="1" si="2726"/>
        <v>-1.2999999999999999E-4</v>
      </c>
      <c r="EC165" s="41">
        <f t="shared" ca="1" si="2727"/>
        <v>-1.3999999999999999E-4</v>
      </c>
      <c r="ED165" s="41">
        <f t="shared" ca="1" si="2728"/>
        <v>-1.4999999999999999E-4</v>
      </c>
      <c r="EE165" s="41">
        <f t="shared" ca="1" si="2729"/>
        <v>-1.6000000000000001E-4</v>
      </c>
      <c r="EF165" s="41">
        <f t="shared" ca="1" si="2730"/>
        <v>-1.7000000000000001E-4</v>
      </c>
      <c r="EG165" s="41">
        <f t="shared" ca="1" si="2731"/>
        <v>-1.8000000000000001E-4</v>
      </c>
      <c r="EH165" s="41">
        <f t="shared" ca="1" si="2732"/>
        <v>-1.9000000000000001E-4</v>
      </c>
      <c r="EI165" s="41">
        <f t="shared" ca="1" si="2733"/>
        <v>-2.0000000000000001E-4</v>
      </c>
      <c r="EJ165" s="41">
        <f t="shared" ca="1" si="2734"/>
        <v>0.99790000000000001</v>
      </c>
      <c r="EL165" s="378">
        <f t="shared" ca="1" si="2735"/>
        <v>1</v>
      </c>
      <c r="EM165" s="378">
        <f t="shared" ca="1" si="2736"/>
        <v>2</v>
      </c>
      <c r="EN165" s="378">
        <f t="shared" ca="1" si="2737"/>
        <v>3</v>
      </c>
      <c r="EO165" s="378">
        <f t="shared" ca="1" si="2738"/>
        <v>4</v>
      </c>
      <c r="EP165" s="378">
        <f t="shared" ca="1" si="2739"/>
        <v>5</v>
      </c>
      <c r="EQ165" s="378">
        <f t="shared" ca="1" si="2740"/>
        <v>6</v>
      </c>
      <c r="ER165" s="378">
        <f t="shared" ca="1" si="2741"/>
        <v>7</v>
      </c>
      <c r="ES165" s="378">
        <f t="shared" ca="1" si="2742"/>
        <v>8</v>
      </c>
      <c r="ET165" s="378">
        <f t="shared" ca="1" si="2743"/>
        <v>9</v>
      </c>
      <c r="EU165" s="378">
        <f t="shared" ca="1" si="2744"/>
        <v>10</v>
      </c>
      <c r="EV165" s="378">
        <f t="shared" ca="1" si="2745"/>
        <v>11</v>
      </c>
      <c r="EW165" s="378">
        <f t="shared" ca="1" si="2746"/>
        <v>12</v>
      </c>
      <c r="EX165" s="378">
        <f t="shared" ca="1" si="2747"/>
        <v>13</v>
      </c>
      <c r="EY165" s="378">
        <f t="shared" ca="1" si="2748"/>
        <v>14</v>
      </c>
      <c r="EZ165" s="378">
        <f t="shared" ca="1" si="2749"/>
        <v>15</v>
      </c>
      <c r="FA165" s="378">
        <f t="shared" ca="1" si="2750"/>
        <v>16</v>
      </c>
      <c r="FB165" s="378">
        <f t="shared" ca="1" si="2751"/>
        <v>17</v>
      </c>
      <c r="FC165" s="378">
        <f t="shared" ca="1" si="2752"/>
        <v>18</v>
      </c>
      <c r="FD165" s="378">
        <f t="shared" ca="1" si="2753"/>
        <v>19</v>
      </c>
      <c r="FE165" s="378">
        <f t="shared" ca="1" si="2754"/>
        <v>20</v>
      </c>
      <c r="FG165" s="378">
        <f t="shared" ca="1" si="2755"/>
        <v>1</v>
      </c>
      <c r="FH165" s="378">
        <f t="shared" ca="1" si="2755"/>
        <v>2</v>
      </c>
      <c r="FI165" s="378">
        <f t="shared" ca="1" si="2755"/>
        <v>3</v>
      </c>
      <c r="FJ165" s="378">
        <f t="shared" ca="1" si="2755"/>
        <v>4</v>
      </c>
      <c r="FK165" s="378">
        <f t="shared" ca="1" si="2755"/>
        <v>5</v>
      </c>
      <c r="FL165" s="378">
        <f t="shared" ca="1" si="2755"/>
        <v>6</v>
      </c>
      <c r="FM165" s="378">
        <f t="shared" ca="1" si="2755"/>
        <v>7</v>
      </c>
      <c r="FN165" s="378">
        <f t="shared" ca="1" si="2755"/>
        <v>8</v>
      </c>
      <c r="FO165" s="378">
        <f t="shared" ca="1" si="2755"/>
        <v>9</v>
      </c>
      <c r="FP165" s="378">
        <f t="shared" ca="1" si="2755"/>
        <v>10</v>
      </c>
      <c r="FQ165" s="378">
        <f t="shared" ca="1" si="2755"/>
        <v>11</v>
      </c>
      <c r="FR165" s="378">
        <f t="shared" ca="1" si="2755"/>
        <v>12</v>
      </c>
      <c r="FS165" s="378">
        <f t="shared" ca="1" si="2755"/>
        <v>13</v>
      </c>
      <c r="FT165" s="378">
        <f t="shared" ca="1" si="2755"/>
        <v>14</v>
      </c>
      <c r="FU165" s="378">
        <f t="shared" ca="1" si="2755"/>
        <v>15</v>
      </c>
      <c r="FV165" s="378">
        <f t="shared" ca="1" si="2755"/>
        <v>16</v>
      </c>
      <c r="FW165" s="378">
        <f t="shared" ca="1" si="2756"/>
        <v>17</v>
      </c>
      <c r="FX165" s="378">
        <f t="shared" ca="1" si="2756"/>
        <v>18</v>
      </c>
      <c r="FY165" s="378">
        <f t="shared" ca="1" si="2756"/>
        <v>19</v>
      </c>
      <c r="FZ165" s="378">
        <f t="shared" ca="1" si="2756"/>
        <v>20</v>
      </c>
      <c r="GB165" s="275" t="str">
        <f t="shared" ca="1" si="2757"/>
        <v>Governance (100%)</v>
      </c>
      <c r="GC165" s="231" t="str">
        <f t="shared" ca="1" si="2758"/>
        <v/>
      </c>
      <c r="GD165" s="231" t="str">
        <f t="shared" ca="1" si="2759"/>
        <v/>
      </c>
      <c r="GE165" s="231" t="str">
        <f t="shared" ca="1" si="2760"/>
        <v/>
      </c>
      <c r="GF165" s="231" t="str">
        <f t="shared" ca="1" si="2761"/>
        <v/>
      </c>
      <c r="GG165" s="231" t="str">
        <f t="shared" ca="1" si="2762"/>
        <v/>
      </c>
      <c r="GH165" s="231" t="str">
        <f t="shared" ca="1" si="2763"/>
        <v/>
      </c>
      <c r="GI165" s="231" t="str">
        <f t="shared" ca="1" si="2764"/>
        <v/>
      </c>
      <c r="GJ165" s="231" t="str">
        <f t="shared" ca="1" si="2765"/>
        <v/>
      </c>
      <c r="GK165" s="231" t="str">
        <f t="shared" ca="1" si="2766"/>
        <v/>
      </c>
      <c r="GL165" s="231" t="str">
        <f t="shared" ca="1" si="2767"/>
        <v/>
      </c>
      <c r="GM165" s="231" t="str">
        <f t="shared" ca="1" si="2768"/>
        <v/>
      </c>
      <c r="GN165" s="231" t="str">
        <f t="shared" ca="1" si="2769"/>
        <v/>
      </c>
      <c r="GO165" s="231" t="str">
        <f t="shared" ca="1" si="2770"/>
        <v/>
      </c>
      <c r="GP165" s="231" t="str">
        <f t="shared" ca="1" si="2771"/>
        <v/>
      </c>
      <c r="GQ165" s="231" t="str">
        <f t="shared" ca="1" si="2772"/>
        <v/>
      </c>
      <c r="GR165" s="231" t="str">
        <f t="shared" ca="1" si="2773"/>
        <v/>
      </c>
      <c r="GS165" s="231" t="str">
        <f t="shared" ca="1" si="2774"/>
        <v/>
      </c>
      <c r="GT165" s="231" t="str">
        <f t="shared" ca="1" si="2775"/>
        <v/>
      </c>
      <c r="GU165" s="231" t="str">
        <f t="shared" ca="1" si="2776"/>
        <v/>
      </c>
      <c r="GW165" s="377">
        <f ca="1">IF(ISERROR(OFFSET(Initiatives!$D$1,E165-1,$CB$3)),,OFFSET(Initiatives!$D$1,E165-1,$CB$3))</f>
        <v>0.65</v>
      </c>
      <c r="GX165" s="377">
        <f ca="1">IF(ISERROR(OFFSET(Initiatives!$D$1,F165-1,$CB$3)),,OFFSET(Initiatives!$D$1,F165-1,$CB$3))</f>
        <v>0.65</v>
      </c>
      <c r="GY165" s="377">
        <f ca="1">IF(ISERROR(OFFSET(Initiatives!$D$1,G165-1,$CB$3)),,OFFSET(Initiatives!$D$1,G165-1,$CB$3))</f>
        <v>0.65</v>
      </c>
      <c r="GZ165" s="377">
        <f ca="1">IF(ISERROR(OFFSET(Initiatives!$D$1,H165-1,$CB$3)),,OFFSET(Initiatives!$D$1,H165-1,$CB$3))</f>
        <v>0.65</v>
      </c>
      <c r="HA165" s="377">
        <f ca="1">IF(ISERROR(OFFSET(Initiatives!$D$1,I165-1,$CB$3)),,OFFSET(Initiatives!$D$1,I165-1,$CB$3))</f>
        <v>0.75</v>
      </c>
      <c r="HB165" s="377">
        <f ca="1">IF(ISERROR(OFFSET(Initiatives!$D$1,J165-1,$CB$3)),,OFFSET(Initiatives!$D$1,J165-1,$CB$3))</f>
        <v>0.8</v>
      </c>
      <c r="HC165" s="377">
        <f ca="1">IF(ISERROR(OFFSET(Initiatives!$D$1,K165-1,$CB$3)),,OFFSET(Initiatives!$D$1,K165-1,$CB$3))</f>
        <v>0.9</v>
      </c>
      <c r="HD165" s="377">
        <f ca="1">IF(ISERROR(OFFSET(Initiatives!$D$1,L165-1,$CB$3)),,OFFSET(Initiatives!$D$1,L165-1,$CB$3))</f>
        <v>0.43181818181818177</v>
      </c>
      <c r="HE165" s="377">
        <f ca="1">IF(ISERROR(OFFSET(Initiatives!$D$1,M165-1,$CB$3)),,OFFSET(Initiatives!$D$1,M165-1,$CB$3))</f>
        <v>0.25</v>
      </c>
      <c r="HF165" s="377">
        <f ca="1">IF(ISERROR(OFFSET(Initiatives!$D$1,N165-1,$CB$3)),,OFFSET(Initiatives!$D$1,N165-1,$CB$3))</f>
        <v>0</v>
      </c>
      <c r="HG165" s="377">
        <f ca="1">IF(ISERROR(OFFSET(Initiatives!$D$1,O165-1,$CB$3)),,OFFSET(Initiatives!$D$1,O165-1,$CB$3))</f>
        <v>0</v>
      </c>
      <c r="HH165" s="377">
        <f ca="1">IF(ISERROR(OFFSET(Initiatives!$D$1,P165-1,$CB$3)),,OFFSET(Initiatives!$D$1,P165-1,$CB$3))</f>
        <v>0</v>
      </c>
      <c r="HI165" s="377">
        <f ca="1">IF(ISERROR(OFFSET(Initiatives!$D$1,Q165-1,$CB$3)),,OFFSET(Initiatives!$D$1,Q165-1,$CB$3))</f>
        <v>0</v>
      </c>
      <c r="HJ165" s="377">
        <f ca="1">IF(ISERROR(OFFSET(Initiatives!$D$1,R165-1,$CB$3)),,OFFSET(Initiatives!$D$1,R165-1,$CB$3))</f>
        <v>0</v>
      </c>
      <c r="HK165" s="377">
        <f ca="1">IF(ISERROR(OFFSET(Initiatives!$D$1,S165-1,$CB$3)),,OFFSET(Initiatives!$D$1,S165-1,$CB$3))</f>
        <v>0</v>
      </c>
      <c r="HL165" s="377">
        <f ca="1">IF(ISERROR(OFFSET(Initiatives!$D$1,T165-1,$CB$3)),,OFFSET(Initiatives!$D$1,T165-1,$CB$3))</f>
        <v>0</v>
      </c>
      <c r="HM165" s="377">
        <f ca="1">IF(ISERROR(OFFSET(Initiatives!$D$1,U165-1,$CB$3)),,OFFSET(Initiatives!$D$1,U165-1,$CB$3))</f>
        <v>0</v>
      </c>
      <c r="HN165" s="377">
        <f ca="1">IF(ISERROR(OFFSET(Initiatives!$D$1,V165-1,$CB$3)),,OFFSET(Initiatives!$D$1,V165-1,$CB$3))</f>
        <v>0</v>
      </c>
      <c r="HO165" s="377">
        <f ca="1">IF(ISERROR(OFFSET(Initiatives!$D$1,W165-1,$CB$3)),,OFFSET(Initiatives!$D$1,W165-1,$CB$3))</f>
        <v>0</v>
      </c>
      <c r="HP165" s="377">
        <f ca="1">IF(ISERROR(OFFSET(Initiatives!$D$1,X165-1,$CB$3)),,OFFSET(Initiatives!$D$1,X165-1,$CB$3))</f>
        <v>0</v>
      </c>
      <c r="HR165" s="41">
        <f t="shared" ca="1" si="2777"/>
        <v>0.6499927778580239</v>
      </c>
      <c r="HS165" s="41">
        <f t="shared" ca="1" si="2778"/>
        <v>0</v>
      </c>
      <c r="HT165" s="41">
        <f t="shared" ca="1" si="2779"/>
        <v>0</v>
      </c>
      <c r="HU165" s="41">
        <f t="shared" ca="1" si="2780"/>
        <v>0</v>
      </c>
      <c r="HV165" s="41">
        <f t="shared" ca="1" si="2781"/>
        <v>0</v>
      </c>
      <c r="HW165" s="41">
        <f t="shared" ca="1" si="2782"/>
        <v>0</v>
      </c>
      <c r="HX165" s="41">
        <f t="shared" ca="1" si="2783"/>
        <v>0</v>
      </c>
      <c r="HY165" s="41">
        <f t="shared" ca="1" si="2784"/>
        <v>0</v>
      </c>
      <c r="HZ165" s="41">
        <f t="shared" ca="1" si="2785"/>
        <v>0</v>
      </c>
      <c r="IA165" s="41">
        <f t="shared" ca="1" si="2786"/>
        <v>0</v>
      </c>
      <c r="IB165" s="41">
        <f t="shared" ca="1" si="2787"/>
        <v>0</v>
      </c>
      <c r="IC165" s="41">
        <f t="shared" ca="1" si="2788"/>
        <v>0</v>
      </c>
      <c r="ID165" s="41">
        <f t="shared" ca="1" si="2789"/>
        <v>0</v>
      </c>
      <c r="IE165" s="41">
        <f t="shared" ca="1" si="2790"/>
        <v>0</v>
      </c>
      <c r="IF165" s="41">
        <f t="shared" ca="1" si="2791"/>
        <v>0</v>
      </c>
      <c r="IG165" s="41">
        <f t="shared" ca="1" si="2792"/>
        <v>0</v>
      </c>
      <c r="IH165" s="41">
        <f t="shared" ca="1" si="2793"/>
        <v>0</v>
      </c>
      <c r="II165" s="41">
        <f t="shared" ca="1" si="2794"/>
        <v>0</v>
      </c>
      <c r="IJ165" s="41">
        <f t="shared" ca="1" si="2795"/>
        <v>0</v>
      </c>
      <c r="IK165" s="41">
        <f t="shared" ca="1" si="2796"/>
        <v>0</v>
      </c>
      <c r="IL165" s="41">
        <f t="shared" ca="1" si="2797"/>
        <v>0.6499927778580239</v>
      </c>
    </row>
    <row r="166" spans="1:246" hidden="1">
      <c r="A166" s="409"/>
      <c r="B166" s="409"/>
      <c r="C166" s="409"/>
      <c r="D166" s="409"/>
    </row>
    <row r="167" spans="1:246" s="409" customFormat="1" ht="15" hidden="1">
      <c r="B167" s="6" t="str">
        <f>Maturity!A53</f>
        <v>Delivery</v>
      </c>
      <c r="BP167" s="29"/>
    </row>
    <row r="168" spans="1:246" s="409" customFormat="1" ht="15" hidden="1" customHeight="1">
      <c r="B168" s="373"/>
      <c r="C168" s="81" t="str">
        <f>Maturity!B54</f>
        <v>Which best describes the highest level PURPOSE of your BI environment?</v>
      </c>
      <c r="D168" s="404">
        <f t="shared" ref="D168:D172" ca="1" si="2798">DN168</f>
        <v>0.59999333340740657</v>
      </c>
      <c r="E168" s="374">
        <f>ROW(Initiatives!$A$189)</f>
        <v>189</v>
      </c>
      <c r="F168" s="374"/>
      <c r="G168" s="374"/>
      <c r="H168" s="374"/>
      <c r="I168" s="374"/>
      <c r="J168" s="374"/>
      <c r="K168" s="374"/>
      <c r="L168" s="374"/>
      <c r="M168" s="374"/>
      <c r="N168" s="374"/>
      <c r="O168" s="374"/>
      <c r="P168" s="374"/>
      <c r="Q168" s="374"/>
      <c r="R168" s="374"/>
      <c r="S168" s="374"/>
      <c r="T168" s="374"/>
      <c r="U168" s="374"/>
      <c r="V168" s="374"/>
      <c r="W168" s="374"/>
      <c r="X168" s="374"/>
      <c r="Y168" s="392" t="str">
        <f ca="1">OFFSET(Initiatives!$D$1,E168-1,$BS$3)</f>
        <v>Enhance BI Platform</v>
      </c>
      <c r="Z168" s="375">
        <v>9</v>
      </c>
      <c r="AA168" s="392" t="e">
        <f ca="1">OFFSET(Initiatives!$D$1,F168-1,$BS$3)</f>
        <v>#REF!</v>
      </c>
      <c r="AB168" s="375"/>
      <c r="AC168" s="392" t="e">
        <f ca="1">OFFSET(Initiatives!$D$1,G168-1,$BS$3)</f>
        <v>#REF!</v>
      </c>
      <c r="AD168" s="375"/>
      <c r="AE168" s="392" t="e">
        <f ca="1">OFFSET(Initiatives!$D$1,H168-1,$BS$3)</f>
        <v>#REF!</v>
      </c>
      <c r="AF168" s="375"/>
      <c r="AG168" s="392" t="e">
        <f ca="1">OFFSET(Initiatives!$D$1,I168-1,$BS$3)</f>
        <v>#REF!</v>
      </c>
      <c r="AH168" s="375"/>
      <c r="AI168" s="392" t="e">
        <f ca="1">OFFSET(Initiatives!$D$1,J168-1,$BS$3)</f>
        <v>#REF!</v>
      </c>
      <c r="AJ168" s="375"/>
      <c r="AK168" s="392" t="e">
        <f ca="1">OFFSET(Initiatives!$D$1,K168-1,$BS$3)</f>
        <v>#REF!</v>
      </c>
      <c r="AL168" s="375"/>
      <c r="AM168" s="392" t="e">
        <f ca="1">OFFSET(Initiatives!$D$1,L168-1,$BS$3)</f>
        <v>#REF!</v>
      </c>
      <c r="AN168" s="375"/>
      <c r="AO168" s="392" t="e">
        <f ca="1">OFFSET(Initiatives!$D$1,M168-1,$BS$3)</f>
        <v>#REF!</v>
      </c>
      <c r="AP168" s="375"/>
      <c r="AQ168" s="392" t="e">
        <f ca="1">OFFSET(Initiatives!$D$1,N168-1,$BS$3)</f>
        <v>#REF!</v>
      </c>
      <c r="AR168" s="375"/>
      <c r="AS168" s="392" t="e">
        <f ca="1">OFFSET(Initiatives!$D$1,O168-1,$BS$3)</f>
        <v>#REF!</v>
      </c>
      <c r="AT168" s="375"/>
      <c r="AU168" s="392" t="e">
        <f ca="1">OFFSET(Initiatives!$D$1,P168-1,$BS$3)</f>
        <v>#REF!</v>
      </c>
      <c r="AV168" s="375"/>
      <c r="AW168" s="392" t="e">
        <f ca="1">OFFSET(Initiatives!$D$1,Q168-1,$BS$3)</f>
        <v>#REF!</v>
      </c>
      <c r="AX168" s="375"/>
      <c r="AY168" s="392" t="e">
        <f ca="1">OFFSET(Initiatives!$D$1,R168-1,$BS$3)</f>
        <v>#REF!</v>
      </c>
      <c r="AZ168" s="375"/>
      <c r="BA168" s="392" t="e">
        <f ca="1">OFFSET(Initiatives!$D$1,S168-1,$BS$3)</f>
        <v>#REF!</v>
      </c>
      <c r="BB168" s="375"/>
      <c r="BC168" s="392" t="e">
        <f ca="1">OFFSET(Initiatives!$D$1,T168-1,$BS$3)</f>
        <v>#REF!</v>
      </c>
      <c r="BD168" s="375"/>
      <c r="BE168" s="392" t="e">
        <f ca="1">OFFSET(Initiatives!$D$1,U168-1,$BS$3)</f>
        <v>#REF!</v>
      </c>
      <c r="BF168" s="375"/>
      <c r="BG168" s="392" t="e">
        <f ca="1">OFFSET(Initiatives!$D$1,V168-1,$BS$3)</f>
        <v>#REF!</v>
      </c>
      <c r="BH168" s="375"/>
      <c r="BI168" s="392" t="e">
        <f ca="1">OFFSET(Initiatives!$D$1,W168-1,$BS$3)</f>
        <v>#REF!</v>
      </c>
      <c r="BJ168" s="375"/>
      <c r="BK168" s="392" t="e">
        <f ca="1">OFFSET(Initiatives!$D$1,X168-1,$BS$3)</f>
        <v>#REF!</v>
      </c>
      <c r="BL168" s="375"/>
      <c r="BN168" s="101">
        <f t="shared" ref="BN168:BN172" si="2799">SUM(Z168,AB168,AD168,AF168,AH168,AJ168,AL168,AN168,AP168,AR168,AT168,AV168,AX168,AZ168,BB168,BD168,BF168,BH168,BJ168,BL168)+0.0001</f>
        <v>9.0000999999999998</v>
      </c>
      <c r="BP168" s="231" t="str">
        <f t="shared" ref="BP168:BP172" ca="1" si="2800">CONCATENATE(GB168,GC168,GD168,GE168,GF168,GG168,GH168,GI168,GJ168,GK168,GL168,GM168,GN168,GO168,GP168,GQ168,GR168,GS168,GT168,GU168)</f>
        <v>Enhance BI Platform (100%)</v>
      </c>
      <c r="BQ168" s="338">
        <v>0.01</v>
      </c>
      <c r="BR168" s="40">
        <f t="shared" ref="BR168:BR172" ca="1" si="2801">COUNTIF(CT168:DM168,"&gt;"&amp;BQ168)</f>
        <v>1</v>
      </c>
      <c r="BS168" s="274">
        <v>0.05</v>
      </c>
      <c r="BT168" s="40">
        <f t="shared" ref="BT168:BT172" ca="1" si="2802">COUNTIF(DP168:EI168,"&gt;"&amp;BS168)</f>
        <v>1</v>
      </c>
      <c r="BU168" s="376">
        <v>7</v>
      </c>
      <c r="BV168" s="40">
        <f t="shared" ref="BV168:BV172" ca="1" si="2803">MIN(BR168,BT168,BU168)</f>
        <v>1</v>
      </c>
      <c r="BY168" s="377">
        <f ca="1">IF(ISERROR(OFFSET(Initiatives!$D$1,E168-1,$BY$3)),,OFFSET(Initiatives!$D$1,E168-1,$BY$3))</f>
        <v>0.6</v>
      </c>
      <c r="BZ168" s="377">
        <f ca="1">IF(ISERROR(OFFSET(Initiatives!$D$1,F168-1,$BY$3)),,OFFSET(Initiatives!$D$1,F168-1,$BY$3))</f>
        <v>0</v>
      </c>
      <c r="CA168" s="377">
        <f ca="1">IF(ISERROR(OFFSET(Initiatives!$D$1,G168-1,$BY$3)),,OFFSET(Initiatives!$D$1,G168-1,$BY$3))</f>
        <v>0</v>
      </c>
      <c r="CB168" s="377">
        <f ca="1">IF(ISERROR(OFFSET(Initiatives!$D$1,H168-1,$BY$3)),,OFFSET(Initiatives!$D$1,H168-1,$BY$3))</f>
        <v>0</v>
      </c>
      <c r="CC168" s="377">
        <f ca="1">IF(ISERROR(OFFSET(Initiatives!$D$1,I168-1,$BY$3)),,OFFSET(Initiatives!$D$1,I168-1,$BY$3))</f>
        <v>0</v>
      </c>
      <c r="CD168" s="377">
        <f ca="1">IF(ISERROR(OFFSET(Initiatives!$D$1,J168-1,$BY$3)),,OFFSET(Initiatives!$D$1,J168-1,$BY$3))</f>
        <v>0</v>
      </c>
      <c r="CE168" s="377">
        <f ca="1">IF(ISERROR(OFFSET(Initiatives!$D$1,K168-1,$BY$3)),,OFFSET(Initiatives!$D$1,K168-1,$BY$3))</f>
        <v>0</v>
      </c>
      <c r="CF168" s="377">
        <f ca="1">IF(ISERROR(OFFSET(Initiatives!$D$1,L168-1,$BY$3)),,OFFSET(Initiatives!$D$1,L168-1,$BY$3))</f>
        <v>0</v>
      </c>
      <c r="CG168" s="377">
        <f ca="1">IF(ISERROR(OFFSET(Initiatives!$D$1,M168-1,$BY$3)),,OFFSET(Initiatives!$D$1,M168-1,$BY$3))</f>
        <v>0</v>
      </c>
      <c r="CH168" s="377">
        <f ca="1">IF(ISERROR(OFFSET(Initiatives!$D$1,N168-1,$BY$3)),,OFFSET(Initiatives!$D$1,N168-1,$BY$3))</f>
        <v>0</v>
      </c>
      <c r="CI168" s="377">
        <f ca="1">IF(ISERROR(OFFSET(Initiatives!$D$1,O168-1,$BY$3)),,OFFSET(Initiatives!$D$1,O168-1,$BY$3))</f>
        <v>0</v>
      </c>
      <c r="CJ168" s="377">
        <f ca="1">IF(ISERROR(OFFSET(Initiatives!$D$1,P168-1,$BY$3)),,OFFSET(Initiatives!$D$1,P168-1,$BY$3))</f>
        <v>0</v>
      </c>
      <c r="CK168" s="377">
        <f ca="1">IF(ISERROR(OFFSET(Initiatives!$D$1,Q168-1,$BY$3)),,OFFSET(Initiatives!$D$1,Q168-1,$BY$3))</f>
        <v>0</v>
      </c>
      <c r="CL168" s="377">
        <f ca="1">IF(ISERROR(OFFSET(Initiatives!$D$1,R168-1,$BY$3)),,OFFSET(Initiatives!$D$1,R168-1,$BY$3))</f>
        <v>0</v>
      </c>
      <c r="CM168" s="377">
        <f ca="1">IF(ISERROR(OFFSET(Initiatives!$D$1,S168-1,$BY$3)),,OFFSET(Initiatives!$D$1,S168-1,$BY$3))</f>
        <v>0</v>
      </c>
      <c r="CN168" s="377">
        <f ca="1">IF(ISERROR(OFFSET(Initiatives!$D$1,T168-1,$BY$3)),,OFFSET(Initiatives!$D$1,T168-1,$BY$3))</f>
        <v>0</v>
      </c>
      <c r="CO168" s="377">
        <f ca="1">IF(ISERROR(OFFSET(Initiatives!$D$1,U168-1,$BY$3)),,OFFSET(Initiatives!$D$1,U168-1,$BY$3))</f>
        <v>0</v>
      </c>
      <c r="CP168" s="377">
        <f ca="1">IF(ISERROR(OFFSET(Initiatives!$D$1,V168-1,$BY$3)),,OFFSET(Initiatives!$D$1,V168-1,$BY$3))</f>
        <v>0</v>
      </c>
      <c r="CQ168" s="377">
        <f ca="1">IF(ISERROR(OFFSET(Initiatives!$D$1,W168-1,$BY$3)),,OFFSET(Initiatives!$D$1,W168-1,$BY$3))</f>
        <v>0</v>
      </c>
      <c r="CR168" s="377">
        <f ca="1">IF(ISERROR(OFFSET(Initiatives!$D$1,X168-1,$BY$3)),,OFFSET(Initiatives!$D$1,X168-1,$BY$3))</f>
        <v>0</v>
      </c>
      <c r="CT168" s="41">
        <f t="shared" ref="CT168:CT172" ca="1" si="2804">BY168*Z168/$BN168</f>
        <v>0.59999333340740657</v>
      </c>
      <c r="CU168" s="41">
        <f t="shared" ref="CU168:CU172" ca="1" si="2805">BZ168*AB168/$BN168</f>
        <v>0</v>
      </c>
      <c r="CV168" s="41">
        <f t="shared" ref="CV168:CV172" ca="1" si="2806">CA168*AD168/$BN168</f>
        <v>0</v>
      </c>
      <c r="CW168" s="41">
        <f t="shared" ref="CW168:CW172" ca="1" si="2807">CB168*AF168/$BN168</f>
        <v>0</v>
      </c>
      <c r="CX168" s="41">
        <f t="shared" ref="CX168:CX172" ca="1" si="2808">CC168*AH168/$BN168</f>
        <v>0</v>
      </c>
      <c r="CY168" s="41">
        <f t="shared" ref="CY168:CY172" ca="1" si="2809">CD168*AJ168/$BN168</f>
        <v>0</v>
      </c>
      <c r="CZ168" s="41">
        <f t="shared" ref="CZ168:CZ172" ca="1" si="2810">CE168*AL168/$BN168</f>
        <v>0</v>
      </c>
      <c r="DA168" s="41">
        <f t="shared" ref="DA168:DA172" ca="1" si="2811">CF168*AN168/$BN168</f>
        <v>0</v>
      </c>
      <c r="DB168" s="41">
        <f t="shared" ref="DB168:DB172" ca="1" si="2812">CG168*AP168/$BN168</f>
        <v>0</v>
      </c>
      <c r="DC168" s="41">
        <f t="shared" ref="DC168:DC172" ca="1" si="2813">CH168*AR168/$BN168</f>
        <v>0</v>
      </c>
      <c r="DD168" s="41">
        <f t="shared" ref="DD168:DD172" ca="1" si="2814">CI168*AT168/$BN168</f>
        <v>0</v>
      </c>
      <c r="DE168" s="41">
        <f t="shared" ref="DE168:DE172" ca="1" si="2815">CJ168*AV168/$BN168</f>
        <v>0</v>
      </c>
      <c r="DF168" s="41">
        <f t="shared" ref="DF168:DF172" ca="1" si="2816">CK168*AX168/$BN168</f>
        <v>0</v>
      </c>
      <c r="DG168" s="41">
        <f t="shared" ref="DG168:DG172" ca="1" si="2817">CL168*AZ168/$BN168</f>
        <v>0</v>
      </c>
      <c r="DH168" s="41">
        <f t="shared" ref="DH168:DH172" ca="1" si="2818">CM168*BB168/$BN168</f>
        <v>0</v>
      </c>
      <c r="DI168" s="41">
        <f t="shared" ref="DI168:DI172" ca="1" si="2819">CN168*BD168/$BN168</f>
        <v>0</v>
      </c>
      <c r="DJ168" s="41">
        <f t="shared" ref="DJ168:DJ172" ca="1" si="2820">CO168*BF168/$BN168</f>
        <v>0</v>
      </c>
      <c r="DK168" s="41">
        <f t="shared" ref="DK168:DK172" ca="1" si="2821">CP168*BH168/$BN168</f>
        <v>0</v>
      </c>
      <c r="DL168" s="41">
        <f t="shared" ref="DL168:DL172" ca="1" si="2822">CQ168*BJ168/$BN168</f>
        <v>0</v>
      </c>
      <c r="DM168" s="41">
        <f t="shared" ref="DM168:DM172" ca="1" si="2823">CR168*BL168/$BN168</f>
        <v>0</v>
      </c>
      <c r="DN168" s="41">
        <f t="shared" ref="DN168:DN172" ca="1" si="2824">SUM(CT168:DM168)</f>
        <v>0.59999333340740657</v>
      </c>
      <c r="DP168" s="41">
        <f t="shared" ref="DP168:DP172" ca="1" si="2825">CT168/$DN168-DP$5/100000</f>
        <v>0.99999000000000005</v>
      </c>
      <c r="DQ168" s="41">
        <f t="shared" ref="DQ168:DQ172" ca="1" si="2826">CU168/$DN168-DQ$5/100000</f>
        <v>-2.0000000000000002E-5</v>
      </c>
      <c r="DR168" s="41">
        <f t="shared" ref="DR168:DR172" ca="1" si="2827">CV168/$DN168-DR$5/100000</f>
        <v>-3.0000000000000001E-5</v>
      </c>
      <c r="DS168" s="41">
        <f t="shared" ref="DS168:DS172" ca="1" si="2828">CW168/$DN168-DS$5/100000</f>
        <v>-4.0000000000000003E-5</v>
      </c>
      <c r="DT168" s="41">
        <f t="shared" ref="DT168:DT172" ca="1" si="2829">CX168/$DN168-DT$5/100000</f>
        <v>-5.0000000000000002E-5</v>
      </c>
      <c r="DU168" s="41">
        <f t="shared" ref="DU168:DU172" ca="1" si="2830">CY168/$DN168-DU$5/100000</f>
        <v>-6.0000000000000002E-5</v>
      </c>
      <c r="DV168" s="41">
        <f t="shared" ref="DV168:DV172" ca="1" si="2831">CZ168/$DN168-DV$5/100000</f>
        <v>-6.9999999999999994E-5</v>
      </c>
      <c r="DW168" s="41">
        <f t="shared" ref="DW168:DW172" ca="1" si="2832">DA168/$DN168-DW$5/100000</f>
        <v>-8.0000000000000007E-5</v>
      </c>
      <c r="DX168" s="41">
        <f t="shared" ref="DX168:DX172" ca="1" si="2833">DB168/$DN168-DX$5/100000</f>
        <v>-9.0000000000000006E-5</v>
      </c>
      <c r="DY168" s="41">
        <f t="shared" ref="DY168:DY172" ca="1" si="2834">DC168/$DN168-DY$5/100000</f>
        <v>-1E-4</v>
      </c>
      <c r="DZ168" s="41">
        <f t="shared" ref="DZ168:DZ172" ca="1" si="2835">DD168/$DN168-DZ$5/100000</f>
        <v>-1.1E-4</v>
      </c>
      <c r="EA168" s="41">
        <f t="shared" ref="EA168:EA172" ca="1" si="2836">DE168/$DN168-EA$5/100000</f>
        <v>-1.2E-4</v>
      </c>
      <c r="EB168" s="41">
        <f t="shared" ref="EB168:EB172" ca="1" si="2837">DF168/$DN168-EB$5/100000</f>
        <v>-1.2999999999999999E-4</v>
      </c>
      <c r="EC168" s="41">
        <f t="shared" ref="EC168:EC172" ca="1" si="2838">DG168/$DN168-EC$5/100000</f>
        <v>-1.3999999999999999E-4</v>
      </c>
      <c r="ED168" s="41">
        <f t="shared" ref="ED168:ED172" ca="1" si="2839">DH168/$DN168-ED$5/100000</f>
        <v>-1.4999999999999999E-4</v>
      </c>
      <c r="EE168" s="41">
        <f t="shared" ref="EE168:EE172" ca="1" si="2840">DI168/$DN168-EE$5/100000</f>
        <v>-1.6000000000000001E-4</v>
      </c>
      <c r="EF168" s="41">
        <f t="shared" ref="EF168:EF172" ca="1" si="2841">DJ168/$DN168-EF$5/100000</f>
        <v>-1.7000000000000001E-4</v>
      </c>
      <c r="EG168" s="41">
        <f t="shared" ref="EG168:EG172" ca="1" si="2842">DK168/$DN168-EG$5/100000</f>
        <v>-1.8000000000000001E-4</v>
      </c>
      <c r="EH168" s="41">
        <f t="shared" ref="EH168:EH172" ca="1" si="2843">DL168/$DN168-EH$5/100000</f>
        <v>-1.9000000000000001E-4</v>
      </c>
      <c r="EI168" s="41">
        <f t="shared" ref="EI168:EI172" ca="1" si="2844">DM168/$DN168-EI$5/100000</f>
        <v>-2.0000000000000001E-4</v>
      </c>
      <c r="EJ168" s="41">
        <f t="shared" ref="EJ168:EJ172" ca="1" si="2845">SUM(DP168:EI168)</f>
        <v>0.99790000000000001</v>
      </c>
      <c r="EL168" s="378">
        <f t="shared" ref="EL168:EL172" ca="1" si="2846">RANK(DP168,$DP168:$EI168)</f>
        <v>1</v>
      </c>
      <c r="EM168" s="378">
        <f t="shared" ref="EM168:EM172" ca="1" si="2847">RANK(DQ168,$DP168:$EI168)</f>
        <v>2</v>
      </c>
      <c r="EN168" s="378">
        <f t="shared" ref="EN168:EN172" ca="1" si="2848">RANK(DR168,$DP168:$EI168)</f>
        <v>3</v>
      </c>
      <c r="EO168" s="378">
        <f t="shared" ref="EO168:EO172" ca="1" si="2849">RANK(DS168,$DP168:$EI168)</f>
        <v>4</v>
      </c>
      <c r="EP168" s="378">
        <f t="shared" ref="EP168:EP172" ca="1" si="2850">RANK(DT168,$DP168:$EI168)</f>
        <v>5</v>
      </c>
      <c r="EQ168" s="378">
        <f t="shared" ref="EQ168:EQ172" ca="1" si="2851">RANK(DU168,$DP168:$EI168)</f>
        <v>6</v>
      </c>
      <c r="ER168" s="378">
        <f t="shared" ref="ER168:ER172" ca="1" si="2852">RANK(DV168,$DP168:$EI168)</f>
        <v>7</v>
      </c>
      <c r="ES168" s="378">
        <f t="shared" ref="ES168:ES172" ca="1" si="2853">RANK(DW168,$DP168:$EI168)</f>
        <v>8</v>
      </c>
      <c r="ET168" s="378">
        <f t="shared" ref="ET168:ET172" ca="1" si="2854">RANK(DX168,$DP168:$EI168)</f>
        <v>9</v>
      </c>
      <c r="EU168" s="378">
        <f t="shared" ref="EU168:EU172" ca="1" si="2855">RANK(DY168,$DP168:$EI168)</f>
        <v>10</v>
      </c>
      <c r="EV168" s="378">
        <f t="shared" ref="EV168:EV172" ca="1" si="2856">RANK(DZ168,$DP168:$EI168)</f>
        <v>11</v>
      </c>
      <c r="EW168" s="378">
        <f t="shared" ref="EW168:EW172" ca="1" si="2857">RANK(EA168,$DP168:$EI168)</f>
        <v>12</v>
      </c>
      <c r="EX168" s="378">
        <f t="shared" ref="EX168:EX172" ca="1" si="2858">RANK(EB168,$DP168:$EI168)</f>
        <v>13</v>
      </c>
      <c r="EY168" s="378">
        <f t="shared" ref="EY168:EY172" ca="1" si="2859">RANK(EC168,$DP168:$EI168)</f>
        <v>14</v>
      </c>
      <c r="EZ168" s="378">
        <f t="shared" ref="EZ168:EZ172" ca="1" si="2860">RANK(ED168,$DP168:$EI168)</f>
        <v>15</v>
      </c>
      <c r="FA168" s="378">
        <f t="shared" ref="FA168:FA172" ca="1" si="2861">RANK(EE168,$DP168:$EI168)</f>
        <v>16</v>
      </c>
      <c r="FB168" s="378">
        <f t="shared" ref="FB168:FB172" ca="1" si="2862">RANK(EF168,$DP168:$EI168)</f>
        <v>17</v>
      </c>
      <c r="FC168" s="378">
        <f t="shared" ref="FC168:FC172" ca="1" si="2863">RANK(EG168,$DP168:$EI168)</f>
        <v>18</v>
      </c>
      <c r="FD168" s="378">
        <f t="shared" ref="FD168:FD172" ca="1" si="2864">RANK(EH168,$DP168:$EI168)</f>
        <v>19</v>
      </c>
      <c r="FE168" s="378">
        <f t="shared" ref="FE168:FE172" ca="1" si="2865">RANK(EI168,$DP168:$EI168)</f>
        <v>20</v>
      </c>
      <c r="FG168" s="378">
        <f t="shared" ref="FG168:FV172" ca="1" si="2866">MATCH(FG$5,$EL168:$FE168,0)</f>
        <v>1</v>
      </c>
      <c r="FH168" s="378">
        <f t="shared" ca="1" si="2866"/>
        <v>2</v>
      </c>
      <c r="FI168" s="378">
        <f t="shared" ca="1" si="2866"/>
        <v>3</v>
      </c>
      <c r="FJ168" s="378">
        <f t="shared" ca="1" si="2866"/>
        <v>4</v>
      </c>
      <c r="FK168" s="378">
        <f t="shared" ca="1" si="2866"/>
        <v>5</v>
      </c>
      <c r="FL168" s="378">
        <f t="shared" ca="1" si="2866"/>
        <v>6</v>
      </c>
      <c r="FM168" s="378">
        <f t="shared" ca="1" si="2866"/>
        <v>7</v>
      </c>
      <c r="FN168" s="378">
        <f t="shared" ca="1" si="2866"/>
        <v>8</v>
      </c>
      <c r="FO168" s="378">
        <f t="shared" ca="1" si="2866"/>
        <v>9</v>
      </c>
      <c r="FP168" s="378">
        <f t="shared" ca="1" si="2866"/>
        <v>10</v>
      </c>
      <c r="FQ168" s="378">
        <f t="shared" ca="1" si="2866"/>
        <v>11</v>
      </c>
      <c r="FR168" s="378">
        <f t="shared" ca="1" si="2866"/>
        <v>12</v>
      </c>
      <c r="FS168" s="378">
        <f t="shared" ca="1" si="2866"/>
        <v>13</v>
      </c>
      <c r="FT168" s="378">
        <f t="shared" ca="1" si="2866"/>
        <v>14</v>
      </c>
      <c r="FU168" s="378">
        <f t="shared" ca="1" si="2866"/>
        <v>15</v>
      </c>
      <c r="FV168" s="378">
        <f t="shared" ca="1" si="2866"/>
        <v>16</v>
      </c>
      <c r="FW168" s="378">
        <f t="shared" ref="FW168:FZ172" ca="1" si="2867">MATCH(FW$5,$EL168:$FE168,0)</f>
        <v>17</v>
      </c>
      <c r="FX168" s="378">
        <f t="shared" ca="1" si="2867"/>
        <v>18</v>
      </c>
      <c r="FY168" s="378">
        <f t="shared" ca="1" si="2867"/>
        <v>19</v>
      </c>
      <c r="FZ168" s="378">
        <f t="shared" ca="1" si="2867"/>
        <v>20</v>
      </c>
      <c r="GB168" s="275" t="str">
        <f t="shared" ref="GB168:GB172" ca="1" si="2868">IF(GB$5&lt;=$BV168,INDEX($Y168:$BL168,1,FG168*2-1)&amp;" ("&amp;TEXT(INDEX($DP168:$EI168,1,FG168),"0%")&amp;")","")</f>
        <v>Enhance BI Platform (100%)</v>
      </c>
      <c r="GC168" s="231" t="str">
        <f t="shared" ref="GC168:GC172" ca="1" si="2869">IF(GC$5&lt;=$BV168,"; "&amp;INDEX($Y168:$BL168,1,FH168*2-1)&amp;" ("&amp;TEXT(INDEX($DP168:$EI168,1,FH168),"0%")&amp;")","")</f>
        <v/>
      </c>
      <c r="GD168" s="231" t="str">
        <f t="shared" ref="GD168:GD172" ca="1" si="2870">IF(GD$5&lt;=$BV168,"; "&amp;INDEX($Y168:$BL168,1,FI168*2-1)&amp;" ("&amp;TEXT(INDEX($DP168:$EI168,1,FI168),"0%")&amp;")","")</f>
        <v/>
      </c>
      <c r="GE168" s="231" t="str">
        <f t="shared" ref="GE168:GE172" ca="1" si="2871">IF(GE$5&lt;=$BV168,"; "&amp;INDEX($Y168:$BL168,1,FJ168*2-1)&amp;" ("&amp;TEXT(INDEX($DP168:$EI168,1,FJ168),"0%")&amp;")","")</f>
        <v/>
      </c>
      <c r="GF168" s="231" t="str">
        <f t="shared" ref="GF168:GF172" ca="1" si="2872">IF(GF$5&lt;=$BV168,"; "&amp;INDEX($Y168:$BL168,1,FK168*2-1)&amp;" ("&amp;TEXT(INDEX($DP168:$EI168,1,FK168),"0%")&amp;")","")</f>
        <v/>
      </c>
      <c r="GG168" s="231" t="str">
        <f t="shared" ref="GG168:GG172" ca="1" si="2873">IF(GG$5&lt;=$BV168,"; "&amp;INDEX($Y168:$BL168,1,FL168*2-1)&amp;" ("&amp;TEXT(INDEX($DP168:$EI168,1,FL168),"0%")&amp;")","")</f>
        <v/>
      </c>
      <c r="GH168" s="231" t="str">
        <f t="shared" ref="GH168:GH172" ca="1" si="2874">IF(GH$5&lt;=$BV168,"; "&amp;INDEX($Y168:$BL168,1,FM168*2-1)&amp;" ("&amp;TEXT(INDEX($DP168:$EI168,1,FM168),"0%")&amp;")","")</f>
        <v/>
      </c>
      <c r="GI168" s="231" t="str">
        <f t="shared" ref="GI168:GI172" ca="1" si="2875">IF(GI$5&lt;=$BV168,"; "&amp;INDEX($Y168:$BL168,1,FN168*2-1)&amp;" ("&amp;TEXT(INDEX($DP168:$EI168,1,FN168),"0%")&amp;")","")</f>
        <v/>
      </c>
      <c r="GJ168" s="231" t="str">
        <f t="shared" ref="GJ168:GJ172" ca="1" si="2876">IF(GJ$5&lt;=$BV168,"; "&amp;INDEX($Y168:$BL168,1,FO168*2-1)&amp;" ("&amp;TEXT(INDEX($DP168:$EI168,1,FO168),"0%")&amp;")","")</f>
        <v/>
      </c>
      <c r="GK168" s="231" t="str">
        <f t="shared" ref="GK168:GK172" ca="1" si="2877">IF(GK$5&lt;=$BV168,"; "&amp;INDEX($Y168:$BL168,1,FP168*2-1)&amp;" ("&amp;TEXT(INDEX($DP168:$EI168,1,FP168),"0%")&amp;")","")</f>
        <v/>
      </c>
      <c r="GL168" s="231" t="str">
        <f t="shared" ref="GL168:GL172" ca="1" si="2878">IF(GL$5&lt;=$BV168,"; "&amp;INDEX($Y168:$BL168,1,FQ168*2-1)&amp;" ("&amp;TEXT(INDEX($DP168:$EI168,1,FQ168),"0%")&amp;")","")</f>
        <v/>
      </c>
      <c r="GM168" s="231" t="str">
        <f t="shared" ref="GM168:GM172" ca="1" si="2879">IF(GM$5&lt;=$BV168,"; "&amp;INDEX($Y168:$BL168,1,FR168*2-1)&amp;" ("&amp;TEXT(INDEX($DP168:$EI168,1,FR168),"0%")&amp;")","")</f>
        <v/>
      </c>
      <c r="GN168" s="231" t="str">
        <f t="shared" ref="GN168:GN172" ca="1" si="2880">IF(GN$5&lt;=$BV168,"; "&amp;INDEX($Y168:$BL168,1,FS168*2-1)&amp;" ("&amp;TEXT(INDEX($DP168:$EI168,1,FS168),"0%")&amp;")","")</f>
        <v/>
      </c>
      <c r="GO168" s="231" t="str">
        <f t="shared" ref="GO168:GO172" ca="1" si="2881">IF(GO$5&lt;=$BV168,"; "&amp;INDEX($Y168:$BL168,1,FT168*2-1)&amp;" ("&amp;TEXT(INDEX($DP168:$EI168,1,FT168),"0%")&amp;")","")</f>
        <v/>
      </c>
      <c r="GP168" s="231" t="str">
        <f t="shared" ref="GP168:GP172" ca="1" si="2882">IF(GP$5&lt;=$BV168,"; "&amp;INDEX($Y168:$BL168,1,FU168*2-1)&amp;" ("&amp;TEXT(INDEX($DP168:$EI168,1,FU168),"0%")&amp;")","")</f>
        <v/>
      </c>
      <c r="GQ168" s="231" t="str">
        <f t="shared" ref="GQ168:GQ172" ca="1" si="2883">IF(GQ$5&lt;=$BV168,"; "&amp;INDEX($Y168:$BL168,1,FV168*2-1)&amp;" ("&amp;TEXT(INDEX($DP168:$EI168,1,FV168),"0%")&amp;")","")</f>
        <v/>
      </c>
      <c r="GR168" s="231" t="str">
        <f t="shared" ref="GR168:GR172" ca="1" si="2884">IF(GR$5&lt;=$BV168,"; "&amp;INDEX($Y168:$BL168,1,FW168*2-1)&amp;" ("&amp;TEXT(INDEX($DP168:$EI168,1,FW168),"0%")&amp;")","")</f>
        <v/>
      </c>
      <c r="GS168" s="231" t="str">
        <f t="shared" ref="GS168:GS172" ca="1" si="2885">IF(GS$5&lt;=$BV168,"; "&amp;INDEX($Y168:$BL168,1,FX168*2-1)&amp;" ("&amp;TEXT(INDEX($DP168:$EI168,1,FX168),"0%")&amp;")","")</f>
        <v/>
      </c>
      <c r="GT168" s="231" t="str">
        <f t="shared" ref="GT168:GT172" ca="1" si="2886">IF(GT$5&lt;=$BV168,"; "&amp;INDEX($Y168:$BL168,1,FY168*2-1)&amp;" ("&amp;TEXT(INDEX($DP168:$EI168,1,FY168),"0%")&amp;")","")</f>
        <v/>
      </c>
      <c r="GU168" s="231" t="str">
        <f t="shared" ref="GU168:GU172" ca="1" si="2887">IF(GU$5&lt;=$BV168,"; "&amp;INDEX($Y168:$BL168,1,FZ168*2-1)&amp;" ("&amp;TEXT(INDEX($DP168:$EI168,1,FZ168),"0%")&amp;")","")</f>
        <v/>
      </c>
      <c r="GW168" s="377">
        <f ca="1">IF(ISERROR(OFFSET(Initiatives!$D$1,E168-1,$CB$3)),,OFFSET(Initiatives!$D$1,E168-1,$CB$3))</f>
        <v>0.25</v>
      </c>
      <c r="GX168" s="377">
        <f ca="1">IF(ISERROR(OFFSET(Initiatives!$D$1,F168-1,$CB$3)),,OFFSET(Initiatives!$D$1,F168-1,$CB$3))</f>
        <v>0</v>
      </c>
      <c r="GY168" s="377">
        <f ca="1">IF(ISERROR(OFFSET(Initiatives!$D$1,G168-1,$CB$3)),,OFFSET(Initiatives!$D$1,G168-1,$CB$3))</f>
        <v>0</v>
      </c>
      <c r="GZ168" s="377">
        <f ca="1">IF(ISERROR(OFFSET(Initiatives!$D$1,H168-1,$CB$3)),,OFFSET(Initiatives!$D$1,H168-1,$CB$3))</f>
        <v>0</v>
      </c>
      <c r="HA168" s="377">
        <f ca="1">IF(ISERROR(OFFSET(Initiatives!$D$1,I168-1,$CB$3)),,OFFSET(Initiatives!$D$1,I168-1,$CB$3))</f>
        <v>0</v>
      </c>
      <c r="HB168" s="377">
        <f ca="1">IF(ISERROR(OFFSET(Initiatives!$D$1,J168-1,$CB$3)),,OFFSET(Initiatives!$D$1,J168-1,$CB$3))</f>
        <v>0</v>
      </c>
      <c r="HC168" s="377">
        <f ca="1">IF(ISERROR(OFFSET(Initiatives!$D$1,K168-1,$CB$3)),,OFFSET(Initiatives!$D$1,K168-1,$CB$3))</f>
        <v>0</v>
      </c>
      <c r="HD168" s="377">
        <f ca="1">IF(ISERROR(OFFSET(Initiatives!$D$1,L168-1,$CB$3)),,OFFSET(Initiatives!$D$1,L168-1,$CB$3))</f>
        <v>0</v>
      </c>
      <c r="HE168" s="377">
        <f ca="1">IF(ISERROR(OFFSET(Initiatives!$D$1,M168-1,$CB$3)),,OFFSET(Initiatives!$D$1,M168-1,$CB$3))</f>
        <v>0</v>
      </c>
      <c r="HF168" s="377">
        <f ca="1">IF(ISERROR(OFFSET(Initiatives!$D$1,N168-1,$CB$3)),,OFFSET(Initiatives!$D$1,N168-1,$CB$3))</f>
        <v>0</v>
      </c>
      <c r="HG168" s="377">
        <f ca="1">IF(ISERROR(OFFSET(Initiatives!$D$1,O168-1,$CB$3)),,OFFSET(Initiatives!$D$1,O168-1,$CB$3))</f>
        <v>0</v>
      </c>
      <c r="HH168" s="377">
        <f ca="1">IF(ISERROR(OFFSET(Initiatives!$D$1,P168-1,$CB$3)),,OFFSET(Initiatives!$D$1,P168-1,$CB$3))</f>
        <v>0</v>
      </c>
      <c r="HI168" s="377">
        <f ca="1">IF(ISERROR(OFFSET(Initiatives!$D$1,Q168-1,$CB$3)),,OFFSET(Initiatives!$D$1,Q168-1,$CB$3))</f>
        <v>0</v>
      </c>
      <c r="HJ168" s="377">
        <f ca="1">IF(ISERROR(OFFSET(Initiatives!$D$1,R168-1,$CB$3)),,OFFSET(Initiatives!$D$1,R168-1,$CB$3))</f>
        <v>0</v>
      </c>
      <c r="HK168" s="377">
        <f ca="1">IF(ISERROR(OFFSET(Initiatives!$D$1,S168-1,$CB$3)),,OFFSET(Initiatives!$D$1,S168-1,$CB$3))</f>
        <v>0</v>
      </c>
      <c r="HL168" s="377">
        <f ca="1">IF(ISERROR(OFFSET(Initiatives!$D$1,T168-1,$CB$3)),,OFFSET(Initiatives!$D$1,T168-1,$CB$3))</f>
        <v>0</v>
      </c>
      <c r="HM168" s="377">
        <f ca="1">IF(ISERROR(OFFSET(Initiatives!$D$1,U168-1,$CB$3)),,OFFSET(Initiatives!$D$1,U168-1,$CB$3))</f>
        <v>0</v>
      </c>
      <c r="HN168" s="377">
        <f ca="1">IF(ISERROR(OFFSET(Initiatives!$D$1,V168-1,$CB$3)),,OFFSET(Initiatives!$D$1,V168-1,$CB$3))</f>
        <v>0</v>
      </c>
      <c r="HO168" s="377">
        <f ca="1">IF(ISERROR(OFFSET(Initiatives!$D$1,W168-1,$CB$3)),,OFFSET(Initiatives!$D$1,W168-1,$CB$3))</f>
        <v>0</v>
      </c>
      <c r="HP168" s="377">
        <f ca="1">IF(ISERROR(OFFSET(Initiatives!$D$1,X168-1,$CB$3)),,OFFSET(Initiatives!$D$1,X168-1,$CB$3))</f>
        <v>0</v>
      </c>
      <c r="HR168" s="41">
        <f t="shared" ref="HR168:HR172" ca="1" si="2888">GW168*Z168/$BN168</f>
        <v>0.24999722225308607</v>
      </c>
      <c r="HS168" s="41">
        <f t="shared" ref="HS168:HS172" ca="1" si="2889">GX168*AB168/$BN168</f>
        <v>0</v>
      </c>
      <c r="HT168" s="41">
        <f t="shared" ref="HT168:HT172" ca="1" si="2890">GY168*AD168/$BN168</f>
        <v>0</v>
      </c>
      <c r="HU168" s="41">
        <f t="shared" ref="HU168:HU172" ca="1" si="2891">GZ168*AF168/$BN168</f>
        <v>0</v>
      </c>
      <c r="HV168" s="41">
        <f t="shared" ref="HV168:HV172" ca="1" si="2892">HA168*AH168/$BN168</f>
        <v>0</v>
      </c>
      <c r="HW168" s="41">
        <f t="shared" ref="HW168:HW172" ca="1" si="2893">HB168*AJ168/$BN168</f>
        <v>0</v>
      </c>
      <c r="HX168" s="41">
        <f t="shared" ref="HX168:HX172" ca="1" si="2894">HC168*AL168/$BN168</f>
        <v>0</v>
      </c>
      <c r="HY168" s="41">
        <f t="shared" ref="HY168:HY172" ca="1" si="2895">HD168*AN168/$BN168</f>
        <v>0</v>
      </c>
      <c r="HZ168" s="41">
        <f t="shared" ref="HZ168:HZ172" ca="1" si="2896">HE168*AP168/$BN168</f>
        <v>0</v>
      </c>
      <c r="IA168" s="41">
        <f t="shared" ref="IA168:IA172" ca="1" si="2897">HF168*AR168/$BN168</f>
        <v>0</v>
      </c>
      <c r="IB168" s="41">
        <f t="shared" ref="IB168:IB172" ca="1" si="2898">HG168*AT168/$BN168</f>
        <v>0</v>
      </c>
      <c r="IC168" s="41">
        <f t="shared" ref="IC168:IC172" ca="1" si="2899">HH168*AV168/$BN168</f>
        <v>0</v>
      </c>
      <c r="ID168" s="41">
        <f t="shared" ref="ID168:ID172" ca="1" si="2900">HI168*AX168/$BN168</f>
        <v>0</v>
      </c>
      <c r="IE168" s="41">
        <f t="shared" ref="IE168:IE172" ca="1" si="2901">HJ168*BZ168/$BN168</f>
        <v>0</v>
      </c>
      <c r="IF168" s="41">
        <f t="shared" ref="IF168:IF172" ca="1" si="2902">HK168*BB168/$BN168</f>
        <v>0</v>
      </c>
      <c r="IG168" s="41">
        <f t="shared" ref="IG168:IG172" ca="1" si="2903">HL168*BD168/$BN168</f>
        <v>0</v>
      </c>
      <c r="IH168" s="41">
        <f t="shared" ref="IH168:IH172" ca="1" si="2904">HM168*BF168/$BN168</f>
        <v>0</v>
      </c>
      <c r="II168" s="41">
        <f t="shared" ref="II168:II172" ca="1" si="2905">HN168*BH168/$BN168</f>
        <v>0</v>
      </c>
      <c r="IJ168" s="41">
        <f t="shared" ref="IJ168:IJ172" ca="1" si="2906">HO168*BJ168/$BN168</f>
        <v>0</v>
      </c>
      <c r="IK168" s="41">
        <f t="shared" ref="IK168:IK172" ca="1" si="2907">HP168*BL168/$BN168</f>
        <v>0</v>
      </c>
      <c r="IL168" s="41">
        <f t="shared" ref="IL168:IL172" ca="1" si="2908">SUM(HR168:IK168)</f>
        <v>0.24999722225308607</v>
      </c>
    </row>
    <row r="169" spans="1:246" s="409" customFormat="1" ht="15" hidden="1" customHeight="1">
      <c r="B169" s="373"/>
      <c r="C169" s="81" t="str">
        <f>Maturity!B55</f>
        <v>Which best describes your REPORTING environment for CASUAL USERS?</v>
      </c>
      <c r="D169" s="404">
        <f t="shared" ca="1" si="2798"/>
        <v>0.47999466672592533</v>
      </c>
      <c r="E169" s="374">
        <f>ROW(Initiatives!$A$138)</f>
        <v>138</v>
      </c>
      <c r="F169" s="374"/>
      <c r="G169" s="374"/>
      <c r="H169" s="374"/>
      <c r="I169" s="374"/>
      <c r="J169" s="374"/>
      <c r="K169" s="374"/>
      <c r="L169" s="374"/>
      <c r="M169" s="374"/>
      <c r="N169" s="374"/>
      <c r="O169" s="374" t="s">
        <v>975</v>
      </c>
      <c r="P169" s="374" t="s">
        <v>975</v>
      </c>
      <c r="Q169" s="374" t="s">
        <v>975</v>
      </c>
      <c r="R169" s="374" t="s">
        <v>975</v>
      </c>
      <c r="S169" s="374" t="s">
        <v>975</v>
      </c>
      <c r="T169" s="374" t="s">
        <v>975</v>
      </c>
      <c r="U169" s="374" t="s">
        <v>975</v>
      </c>
      <c r="V169" s="374" t="s">
        <v>975</v>
      </c>
      <c r="W169" s="374" t="s">
        <v>975</v>
      </c>
      <c r="X169" s="374" t="s">
        <v>975</v>
      </c>
      <c r="Y169" s="392" t="str">
        <f ca="1">OFFSET(Initiatives!$D$1,E169-1,$BS$3)</f>
        <v>Reporting</v>
      </c>
      <c r="Z169" s="375">
        <v>9</v>
      </c>
      <c r="AA169" s="392" t="e">
        <f ca="1">OFFSET(Initiatives!$D$1,F169-1,$BS$3)</f>
        <v>#REF!</v>
      </c>
      <c r="AB169" s="375"/>
      <c r="AC169" s="392" t="e">
        <f ca="1">OFFSET(Initiatives!$D$1,G169-1,$BS$3)</f>
        <v>#REF!</v>
      </c>
      <c r="AD169" s="375"/>
      <c r="AE169" s="392" t="e">
        <f ca="1">OFFSET(Initiatives!$D$1,H169-1,$BS$3)</f>
        <v>#REF!</v>
      </c>
      <c r="AF169" s="375"/>
      <c r="AG169" s="392" t="e">
        <f ca="1">OFFSET(Initiatives!$D$1,I169-1,$BS$3)</f>
        <v>#REF!</v>
      </c>
      <c r="AH169" s="375"/>
      <c r="AI169" s="392" t="e">
        <f ca="1">OFFSET(Initiatives!$D$1,J169-1,$BS$3)</f>
        <v>#REF!</v>
      </c>
      <c r="AJ169" s="375"/>
      <c r="AK169" s="392" t="e">
        <f ca="1">OFFSET(Initiatives!$D$1,K169-1,$BS$3)</f>
        <v>#REF!</v>
      </c>
      <c r="AL169" s="375"/>
      <c r="AM169" s="392" t="e">
        <f ca="1">OFFSET(Initiatives!$D$1,L169-1,$BS$3)</f>
        <v>#REF!</v>
      </c>
      <c r="AN169" s="375"/>
      <c r="AO169" s="392" t="e">
        <f ca="1">OFFSET(Initiatives!$D$1,M169-1,$BS$3)</f>
        <v>#REF!</v>
      </c>
      <c r="AP169" s="375"/>
      <c r="AQ169" s="392" t="e">
        <f ca="1">OFFSET(Initiatives!$D$1,N169-1,$BS$3)</f>
        <v>#REF!</v>
      </c>
      <c r="AR169" s="375"/>
      <c r="AS169" s="392" t="e">
        <f ca="1">OFFSET(Initiatives!$D$1,O169-1,$BS$3)</f>
        <v>#VALUE!</v>
      </c>
      <c r="AT169" s="375"/>
      <c r="AU169" s="392" t="e">
        <f ca="1">OFFSET(Initiatives!$D$1,P169-1,$BS$3)</f>
        <v>#VALUE!</v>
      </c>
      <c r="AV169" s="375"/>
      <c r="AW169" s="392" t="e">
        <f ca="1">OFFSET(Initiatives!$D$1,Q169-1,$BS$3)</f>
        <v>#VALUE!</v>
      </c>
      <c r="AX169" s="375"/>
      <c r="AY169" s="392" t="e">
        <f ca="1">OFFSET(Initiatives!$D$1,R169-1,$BS$3)</f>
        <v>#VALUE!</v>
      </c>
      <c r="AZ169" s="375"/>
      <c r="BA169" s="392" t="e">
        <f ca="1">OFFSET(Initiatives!$D$1,S169-1,$BS$3)</f>
        <v>#VALUE!</v>
      </c>
      <c r="BB169" s="375"/>
      <c r="BC169" s="392" t="e">
        <f ca="1">OFFSET(Initiatives!$D$1,T169-1,$BS$3)</f>
        <v>#VALUE!</v>
      </c>
      <c r="BD169" s="375"/>
      <c r="BE169" s="392" t="e">
        <f ca="1">OFFSET(Initiatives!$D$1,U169-1,$BS$3)</f>
        <v>#VALUE!</v>
      </c>
      <c r="BF169" s="375"/>
      <c r="BG169" s="392" t="e">
        <f ca="1">OFFSET(Initiatives!$D$1,V169-1,$BS$3)</f>
        <v>#VALUE!</v>
      </c>
      <c r="BH169" s="375"/>
      <c r="BI169" s="392" t="e">
        <f ca="1">OFFSET(Initiatives!$D$1,W169-1,$BS$3)</f>
        <v>#VALUE!</v>
      </c>
      <c r="BJ169" s="375"/>
      <c r="BK169" s="392" t="e">
        <f ca="1">OFFSET(Initiatives!$D$1,X169-1,$BS$3)</f>
        <v>#VALUE!</v>
      </c>
      <c r="BL169" s="375"/>
      <c r="BN169" s="101">
        <f t="shared" si="2799"/>
        <v>9.0000999999999998</v>
      </c>
      <c r="BP169" s="231" t="str">
        <f t="shared" ca="1" si="2800"/>
        <v>Reporting (100%)</v>
      </c>
      <c r="BQ169" s="338">
        <v>0.01</v>
      </c>
      <c r="BR169" s="40">
        <f t="shared" ca="1" si="2801"/>
        <v>1</v>
      </c>
      <c r="BS169" s="274">
        <v>0.05</v>
      </c>
      <c r="BT169" s="40">
        <f t="shared" ca="1" si="2802"/>
        <v>1</v>
      </c>
      <c r="BU169" s="376">
        <v>7</v>
      </c>
      <c r="BV169" s="40">
        <f t="shared" ca="1" si="2803"/>
        <v>1</v>
      </c>
      <c r="BY169" s="377">
        <f ca="1">IF(ISERROR(OFFSET(Initiatives!$D$1,E169-1,$BY$3)),,OFFSET(Initiatives!$D$1,E169-1,$BY$3))</f>
        <v>0.48</v>
      </c>
      <c r="BZ169" s="377">
        <f ca="1">IF(ISERROR(OFFSET(Initiatives!$D$1,F169-1,$BY$3)),,OFFSET(Initiatives!$D$1,F169-1,$BY$3))</f>
        <v>0</v>
      </c>
      <c r="CA169" s="377">
        <f ca="1">IF(ISERROR(OFFSET(Initiatives!$D$1,G169-1,$BY$3)),,OFFSET(Initiatives!$D$1,G169-1,$BY$3))</f>
        <v>0</v>
      </c>
      <c r="CB169" s="377">
        <f ca="1">IF(ISERROR(OFFSET(Initiatives!$D$1,H169-1,$BY$3)),,OFFSET(Initiatives!$D$1,H169-1,$BY$3))</f>
        <v>0</v>
      </c>
      <c r="CC169" s="377">
        <f ca="1">IF(ISERROR(OFFSET(Initiatives!$D$1,I169-1,$BY$3)),,OFFSET(Initiatives!$D$1,I169-1,$BY$3))</f>
        <v>0</v>
      </c>
      <c r="CD169" s="377">
        <f ca="1">IF(ISERROR(OFFSET(Initiatives!$D$1,J169-1,$BY$3)),,OFFSET(Initiatives!$D$1,J169-1,$BY$3))</f>
        <v>0</v>
      </c>
      <c r="CE169" s="377">
        <f ca="1">IF(ISERROR(OFFSET(Initiatives!$D$1,K169-1,$BY$3)),,OFFSET(Initiatives!$D$1,K169-1,$BY$3))</f>
        <v>0</v>
      </c>
      <c r="CF169" s="377">
        <f ca="1">IF(ISERROR(OFFSET(Initiatives!$D$1,L169-1,$BY$3)),,OFFSET(Initiatives!$D$1,L169-1,$BY$3))</f>
        <v>0</v>
      </c>
      <c r="CG169" s="377">
        <f ca="1">IF(ISERROR(OFFSET(Initiatives!$D$1,M169-1,$BY$3)),,OFFSET(Initiatives!$D$1,M169-1,$BY$3))</f>
        <v>0</v>
      </c>
      <c r="CH169" s="377">
        <f ca="1">IF(ISERROR(OFFSET(Initiatives!$D$1,N169-1,$BY$3)),,OFFSET(Initiatives!$D$1,N169-1,$BY$3))</f>
        <v>0</v>
      </c>
      <c r="CI169" s="377">
        <f ca="1">IF(ISERROR(OFFSET(Initiatives!$D$1,O169-1,$BY$3)),,OFFSET(Initiatives!$D$1,O169-1,$BY$3))</f>
        <v>0</v>
      </c>
      <c r="CJ169" s="377">
        <f ca="1">IF(ISERROR(OFFSET(Initiatives!$D$1,P169-1,$BY$3)),,OFFSET(Initiatives!$D$1,P169-1,$BY$3))</f>
        <v>0</v>
      </c>
      <c r="CK169" s="377">
        <f ca="1">IF(ISERROR(OFFSET(Initiatives!$D$1,Q169-1,$BY$3)),,OFFSET(Initiatives!$D$1,Q169-1,$BY$3))</f>
        <v>0</v>
      </c>
      <c r="CL169" s="377">
        <f ca="1">IF(ISERROR(OFFSET(Initiatives!$D$1,R169-1,$BY$3)),,OFFSET(Initiatives!$D$1,R169-1,$BY$3))</f>
        <v>0</v>
      </c>
      <c r="CM169" s="377">
        <f ca="1">IF(ISERROR(OFFSET(Initiatives!$D$1,S169-1,$BY$3)),,OFFSET(Initiatives!$D$1,S169-1,$BY$3))</f>
        <v>0</v>
      </c>
      <c r="CN169" s="377">
        <f ca="1">IF(ISERROR(OFFSET(Initiatives!$D$1,T169-1,$BY$3)),,OFFSET(Initiatives!$D$1,T169-1,$BY$3))</f>
        <v>0</v>
      </c>
      <c r="CO169" s="377">
        <f ca="1">IF(ISERROR(OFFSET(Initiatives!$D$1,U169-1,$BY$3)),,OFFSET(Initiatives!$D$1,U169-1,$BY$3))</f>
        <v>0</v>
      </c>
      <c r="CP169" s="377">
        <f ca="1">IF(ISERROR(OFFSET(Initiatives!$D$1,V169-1,$BY$3)),,OFFSET(Initiatives!$D$1,V169-1,$BY$3))</f>
        <v>0</v>
      </c>
      <c r="CQ169" s="377">
        <f ca="1">IF(ISERROR(OFFSET(Initiatives!$D$1,W169-1,$BY$3)),,OFFSET(Initiatives!$D$1,W169-1,$BY$3))</f>
        <v>0</v>
      </c>
      <c r="CR169" s="377">
        <f ca="1">IF(ISERROR(OFFSET(Initiatives!$D$1,X169-1,$BY$3)),,OFFSET(Initiatives!$D$1,X169-1,$BY$3))</f>
        <v>0</v>
      </c>
      <c r="CT169" s="41">
        <f t="shared" ca="1" si="2804"/>
        <v>0.47999466672592533</v>
      </c>
      <c r="CU169" s="41">
        <f t="shared" ca="1" si="2805"/>
        <v>0</v>
      </c>
      <c r="CV169" s="41">
        <f t="shared" ca="1" si="2806"/>
        <v>0</v>
      </c>
      <c r="CW169" s="41">
        <f t="shared" ca="1" si="2807"/>
        <v>0</v>
      </c>
      <c r="CX169" s="41">
        <f t="shared" ca="1" si="2808"/>
        <v>0</v>
      </c>
      <c r="CY169" s="41">
        <f t="shared" ca="1" si="2809"/>
        <v>0</v>
      </c>
      <c r="CZ169" s="41">
        <f t="shared" ca="1" si="2810"/>
        <v>0</v>
      </c>
      <c r="DA169" s="41">
        <f t="shared" ca="1" si="2811"/>
        <v>0</v>
      </c>
      <c r="DB169" s="41">
        <f t="shared" ca="1" si="2812"/>
        <v>0</v>
      </c>
      <c r="DC169" s="41">
        <f t="shared" ca="1" si="2813"/>
        <v>0</v>
      </c>
      <c r="DD169" s="41">
        <f t="shared" ca="1" si="2814"/>
        <v>0</v>
      </c>
      <c r="DE169" s="41">
        <f t="shared" ca="1" si="2815"/>
        <v>0</v>
      </c>
      <c r="DF169" s="41">
        <f t="shared" ca="1" si="2816"/>
        <v>0</v>
      </c>
      <c r="DG169" s="41">
        <f t="shared" ca="1" si="2817"/>
        <v>0</v>
      </c>
      <c r="DH169" s="41">
        <f t="shared" ca="1" si="2818"/>
        <v>0</v>
      </c>
      <c r="DI169" s="41">
        <f t="shared" ca="1" si="2819"/>
        <v>0</v>
      </c>
      <c r="DJ169" s="41">
        <f t="shared" ca="1" si="2820"/>
        <v>0</v>
      </c>
      <c r="DK169" s="41">
        <f t="shared" ca="1" si="2821"/>
        <v>0</v>
      </c>
      <c r="DL169" s="41">
        <f t="shared" ca="1" si="2822"/>
        <v>0</v>
      </c>
      <c r="DM169" s="41">
        <f t="shared" ca="1" si="2823"/>
        <v>0</v>
      </c>
      <c r="DN169" s="41">
        <f t="shared" ca="1" si="2824"/>
        <v>0.47999466672592533</v>
      </c>
      <c r="DP169" s="41">
        <f t="shared" ca="1" si="2825"/>
        <v>0.99999000000000005</v>
      </c>
      <c r="DQ169" s="41">
        <f t="shared" ca="1" si="2826"/>
        <v>-2.0000000000000002E-5</v>
      </c>
      <c r="DR169" s="41">
        <f t="shared" ca="1" si="2827"/>
        <v>-3.0000000000000001E-5</v>
      </c>
      <c r="DS169" s="41">
        <f t="shared" ca="1" si="2828"/>
        <v>-4.0000000000000003E-5</v>
      </c>
      <c r="DT169" s="41">
        <f t="shared" ca="1" si="2829"/>
        <v>-5.0000000000000002E-5</v>
      </c>
      <c r="DU169" s="41">
        <f t="shared" ca="1" si="2830"/>
        <v>-6.0000000000000002E-5</v>
      </c>
      <c r="DV169" s="41">
        <f t="shared" ca="1" si="2831"/>
        <v>-6.9999999999999994E-5</v>
      </c>
      <c r="DW169" s="41">
        <f t="shared" ca="1" si="2832"/>
        <v>-8.0000000000000007E-5</v>
      </c>
      <c r="DX169" s="41">
        <f t="shared" ca="1" si="2833"/>
        <v>-9.0000000000000006E-5</v>
      </c>
      <c r="DY169" s="41">
        <f t="shared" ca="1" si="2834"/>
        <v>-1E-4</v>
      </c>
      <c r="DZ169" s="41">
        <f t="shared" ca="1" si="2835"/>
        <v>-1.1E-4</v>
      </c>
      <c r="EA169" s="41">
        <f t="shared" ca="1" si="2836"/>
        <v>-1.2E-4</v>
      </c>
      <c r="EB169" s="41">
        <f t="shared" ca="1" si="2837"/>
        <v>-1.2999999999999999E-4</v>
      </c>
      <c r="EC169" s="41">
        <f t="shared" ca="1" si="2838"/>
        <v>-1.3999999999999999E-4</v>
      </c>
      <c r="ED169" s="41">
        <f t="shared" ca="1" si="2839"/>
        <v>-1.4999999999999999E-4</v>
      </c>
      <c r="EE169" s="41">
        <f t="shared" ca="1" si="2840"/>
        <v>-1.6000000000000001E-4</v>
      </c>
      <c r="EF169" s="41">
        <f t="shared" ca="1" si="2841"/>
        <v>-1.7000000000000001E-4</v>
      </c>
      <c r="EG169" s="41">
        <f t="shared" ca="1" si="2842"/>
        <v>-1.8000000000000001E-4</v>
      </c>
      <c r="EH169" s="41">
        <f t="shared" ca="1" si="2843"/>
        <v>-1.9000000000000001E-4</v>
      </c>
      <c r="EI169" s="41">
        <f t="shared" ca="1" si="2844"/>
        <v>-2.0000000000000001E-4</v>
      </c>
      <c r="EJ169" s="41">
        <f t="shared" ca="1" si="2845"/>
        <v>0.99790000000000001</v>
      </c>
      <c r="EL169" s="378">
        <f t="shared" ca="1" si="2846"/>
        <v>1</v>
      </c>
      <c r="EM169" s="378">
        <f t="shared" ca="1" si="2847"/>
        <v>2</v>
      </c>
      <c r="EN169" s="378">
        <f t="shared" ca="1" si="2848"/>
        <v>3</v>
      </c>
      <c r="EO169" s="378">
        <f t="shared" ca="1" si="2849"/>
        <v>4</v>
      </c>
      <c r="EP169" s="378">
        <f t="shared" ca="1" si="2850"/>
        <v>5</v>
      </c>
      <c r="EQ169" s="378">
        <f t="shared" ca="1" si="2851"/>
        <v>6</v>
      </c>
      <c r="ER169" s="378">
        <f t="shared" ca="1" si="2852"/>
        <v>7</v>
      </c>
      <c r="ES169" s="378">
        <f t="shared" ca="1" si="2853"/>
        <v>8</v>
      </c>
      <c r="ET169" s="378">
        <f t="shared" ca="1" si="2854"/>
        <v>9</v>
      </c>
      <c r="EU169" s="378">
        <f t="shared" ca="1" si="2855"/>
        <v>10</v>
      </c>
      <c r="EV169" s="378">
        <f t="shared" ca="1" si="2856"/>
        <v>11</v>
      </c>
      <c r="EW169" s="378">
        <f t="shared" ca="1" si="2857"/>
        <v>12</v>
      </c>
      <c r="EX169" s="378">
        <f t="shared" ca="1" si="2858"/>
        <v>13</v>
      </c>
      <c r="EY169" s="378">
        <f t="shared" ca="1" si="2859"/>
        <v>14</v>
      </c>
      <c r="EZ169" s="378">
        <f t="shared" ca="1" si="2860"/>
        <v>15</v>
      </c>
      <c r="FA169" s="378">
        <f t="shared" ca="1" si="2861"/>
        <v>16</v>
      </c>
      <c r="FB169" s="378">
        <f t="shared" ca="1" si="2862"/>
        <v>17</v>
      </c>
      <c r="FC169" s="378">
        <f t="shared" ca="1" si="2863"/>
        <v>18</v>
      </c>
      <c r="FD169" s="378">
        <f t="shared" ca="1" si="2864"/>
        <v>19</v>
      </c>
      <c r="FE169" s="378">
        <f t="shared" ca="1" si="2865"/>
        <v>20</v>
      </c>
      <c r="FG169" s="378">
        <f t="shared" ca="1" si="2866"/>
        <v>1</v>
      </c>
      <c r="FH169" s="378">
        <f t="shared" ca="1" si="2866"/>
        <v>2</v>
      </c>
      <c r="FI169" s="378">
        <f t="shared" ca="1" si="2866"/>
        <v>3</v>
      </c>
      <c r="FJ169" s="378">
        <f t="shared" ca="1" si="2866"/>
        <v>4</v>
      </c>
      <c r="FK169" s="378">
        <f t="shared" ca="1" si="2866"/>
        <v>5</v>
      </c>
      <c r="FL169" s="378">
        <f t="shared" ca="1" si="2866"/>
        <v>6</v>
      </c>
      <c r="FM169" s="378">
        <f t="shared" ca="1" si="2866"/>
        <v>7</v>
      </c>
      <c r="FN169" s="378">
        <f t="shared" ca="1" si="2866"/>
        <v>8</v>
      </c>
      <c r="FO169" s="378">
        <f t="shared" ca="1" si="2866"/>
        <v>9</v>
      </c>
      <c r="FP169" s="378">
        <f t="shared" ca="1" si="2866"/>
        <v>10</v>
      </c>
      <c r="FQ169" s="378">
        <f t="shared" ca="1" si="2866"/>
        <v>11</v>
      </c>
      <c r="FR169" s="378">
        <f t="shared" ca="1" si="2866"/>
        <v>12</v>
      </c>
      <c r="FS169" s="378">
        <f t="shared" ca="1" si="2866"/>
        <v>13</v>
      </c>
      <c r="FT169" s="378">
        <f t="shared" ca="1" si="2866"/>
        <v>14</v>
      </c>
      <c r="FU169" s="378">
        <f t="shared" ca="1" si="2866"/>
        <v>15</v>
      </c>
      <c r="FV169" s="378">
        <f t="shared" ca="1" si="2866"/>
        <v>16</v>
      </c>
      <c r="FW169" s="378">
        <f t="shared" ca="1" si="2867"/>
        <v>17</v>
      </c>
      <c r="FX169" s="378">
        <f t="shared" ca="1" si="2867"/>
        <v>18</v>
      </c>
      <c r="FY169" s="378">
        <f t="shared" ca="1" si="2867"/>
        <v>19</v>
      </c>
      <c r="FZ169" s="378">
        <f t="shared" ca="1" si="2867"/>
        <v>20</v>
      </c>
      <c r="GB169" s="275" t="str">
        <f t="shared" ca="1" si="2868"/>
        <v>Reporting (100%)</v>
      </c>
      <c r="GC169" s="231" t="str">
        <f t="shared" ca="1" si="2869"/>
        <v/>
      </c>
      <c r="GD169" s="231" t="str">
        <f t="shared" ca="1" si="2870"/>
        <v/>
      </c>
      <c r="GE169" s="231" t="str">
        <f t="shared" ca="1" si="2871"/>
        <v/>
      </c>
      <c r="GF169" s="231" t="str">
        <f t="shared" ca="1" si="2872"/>
        <v/>
      </c>
      <c r="GG169" s="231" t="str">
        <f t="shared" ca="1" si="2873"/>
        <v/>
      </c>
      <c r="GH169" s="231" t="str">
        <f t="shared" ca="1" si="2874"/>
        <v/>
      </c>
      <c r="GI169" s="231" t="str">
        <f t="shared" ca="1" si="2875"/>
        <v/>
      </c>
      <c r="GJ169" s="231" t="str">
        <f t="shared" ca="1" si="2876"/>
        <v/>
      </c>
      <c r="GK169" s="231" t="str">
        <f t="shared" ca="1" si="2877"/>
        <v/>
      </c>
      <c r="GL169" s="231" t="str">
        <f t="shared" ca="1" si="2878"/>
        <v/>
      </c>
      <c r="GM169" s="231" t="str">
        <f t="shared" ca="1" si="2879"/>
        <v/>
      </c>
      <c r="GN169" s="231" t="str">
        <f t="shared" ca="1" si="2880"/>
        <v/>
      </c>
      <c r="GO169" s="231" t="str">
        <f t="shared" ca="1" si="2881"/>
        <v/>
      </c>
      <c r="GP169" s="231" t="str">
        <f t="shared" ca="1" si="2882"/>
        <v/>
      </c>
      <c r="GQ169" s="231" t="str">
        <f t="shared" ca="1" si="2883"/>
        <v/>
      </c>
      <c r="GR169" s="231" t="str">
        <f t="shared" ca="1" si="2884"/>
        <v/>
      </c>
      <c r="GS169" s="231" t="str">
        <f t="shared" ca="1" si="2885"/>
        <v/>
      </c>
      <c r="GT169" s="231" t="str">
        <f t="shared" ca="1" si="2886"/>
        <v/>
      </c>
      <c r="GU169" s="231" t="str">
        <f t="shared" ca="1" si="2887"/>
        <v/>
      </c>
      <c r="GW169" s="377">
        <f ca="1">IF(ISERROR(OFFSET(Initiatives!$D$1,E169-1,$CB$3)),,OFFSET(Initiatives!$D$1,E169-1,$CB$3))</f>
        <v>0.4</v>
      </c>
      <c r="GX169" s="377">
        <f ca="1">IF(ISERROR(OFFSET(Initiatives!$D$1,F169-1,$CB$3)),,OFFSET(Initiatives!$D$1,F169-1,$CB$3))</f>
        <v>0</v>
      </c>
      <c r="GY169" s="377">
        <f ca="1">IF(ISERROR(OFFSET(Initiatives!$D$1,G169-1,$CB$3)),,OFFSET(Initiatives!$D$1,G169-1,$CB$3))</f>
        <v>0</v>
      </c>
      <c r="GZ169" s="377">
        <f ca="1">IF(ISERROR(OFFSET(Initiatives!$D$1,H169-1,$CB$3)),,OFFSET(Initiatives!$D$1,H169-1,$CB$3))</f>
        <v>0</v>
      </c>
      <c r="HA169" s="377">
        <f ca="1">IF(ISERROR(OFFSET(Initiatives!$D$1,I169-1,$CB$3)),,OFFSET(Initiatives!$D$1,I169-1,$CB$3))</f>
        <v>0</v>
      </c>
      <c r="HB169" s="377">
        <f ca="1">IF(ISERROR(OFFSET(Initiatives!$D$1,J169-1,$CB$3)),,OFFSET(Initiatives!$D$1,J169-1,$CB$3))</f>
        <v>0</v>
      </c>
      <c r="HC169" s="377">
        <f ca="1">IF(ISERROR(OFFSET(Initiatives!$D$1,K169-1,$CB$3)),,OFFSET(Initiatives!$D$1,K169-1,$CB$3))</f>
        <v>0</v>
      </c>
      <c r="HD169" s="377">
        <f ca="1">IF(ISERROR(OFFSET(Initiatives!$D$1,L169-1,$CB$3)),,OFFSET(Initiatives!$D$1,L169-1,$CB$3))</f>
        <v>0</v>
      </c>
      <c r="HE169" s="377">
        <f ca="1">IF(ISERROR(OFFSET(Initiatives!$D$1,M169-1,$CB$3)),,OFFSET(Initiatives!$D$1,M169-1,$CB$3))</f>
        <v>0</v>
      </c>
      <c r="HF169" s="377">
        <f ca="1">IF(ISERROR(OFFSET(Initiatives!$D$1,N169-1,$CB$3)),,OFFSET(Initiatives!$D$1,N169-1,$CB$3))</f>
        <v>0</v>
      </c>
      <c r="HG169" s="377">
        <f ca="1">IF(ISERROR(OFFSET(Initiatives!$D$1,O169-1,$CB$3)),,OFFSET(Initiatives!$D$1,O169-1,$CB$3))</f>
        <v>0</v>
      </c>
      <c r="HH169" s="377">
        <f ca="1">IF(ISERROR(OFFSET(Initiatives!$D$1,P169-1,$CB$3)),,OFFSET(Initiatives!$D$1,P169-1,$CB$3))</f>
        <v>0</v>
      </c>
      <c r="HI169" s="377">
        <f ca="1">IF(ISERROR(OFFSET(Initiatives!$D$1,Q169-1,$CB$3)),,OFFSET(Initiatives!$D$1,Q169-1,$CB$3))</f>
        <v>0</v>
      </c>
      <c r="HJ169" s="377">
        <f ca="1">IF(ISERROR(OFFSET(Initiatives!$D$1,R169-1,$CB$3)),,OFFSET(Initiatives!$D$1,R169-1,$CB$3))</f>
        <v>0</v>
      </c>
      <c r="HK169" s="377">
        <f ca="1">IF(ISERROR(OFFSET(Initiatives!$D$1,S169-1,$CB$3)),,OFFSET(Initiatives!$D$1,S169-1,$CB$3))</f>
        <v>0</v>
      </c>
      <c r="HL169" s="377">
        <f ca="1">IF(ISERROR(OFFSET(Initiatives!$D$1,T169-1,$CB$3)),,OFFSET(Initiatives!$D$1,T169-1,$CB$3))</f>
        <v>0</v>
      </c>
      <c r="HM169" s="377">
        <f ca="1">IF(ISERROR(OFFSET(Initiatives!$D$1,U169-1,$CB$3)),,OFFSET(Initiatives!$D$1,U169-1,$CB$3))</f>
        <v>0</v>
      </c>
      <c r="HN169" s="377">
        <f ca="1">IF(ISERROR(OFFSET(Initiatives!$D$1,V169-1,$CB$3)),,OFFSET(Initiatives!$D$1,V169-1,$CB$3))</f>
        <v>0</v>
      </c>
      <c r="HO169" s="377">
        <f ca="1">IF(ISERROR(OFFSET(Initiatives!$D$1,W169-1,$CB$3)),,OFFSET(Initiatives!$D$1,W169-1,$CB$3))</f>
        <v>0</v>
      </c>
      <c r="HP169" s="377">
        <f ca="1">IF(ISERROR(OFFSET(Initiatives!$D$1,X169-1,$CB$3)),,OFFSET(Initiatives!$D$1,X169-1,$CB$3))</f>
        <v>0</v>
      </c>
      <c r="HR169" s="41">
        <f t="shared" ca="1" si="2888"/>
        <v>0.39999555560493777</v>
      </c>
      <c r="HS169" s="41">
        <f t="shared" ca="1" si="2889"/>
        <v>0</v>
      </c>
      <c r="HT169" s="41">
        <f t="shared" ca="1" si="2890"/>
        <v>0</v>
      </c>
      <c r="HU169" s="41">
        <f t="shared" ca="1" si="2891"/>
        <v>0</v>
      </c>
      <c r="HV169" s="41">
        <f t="shared" ca="1" si="2892"/>
        <v>0</v>
      </c>
      <c r="HW169" s="41">
        <f t="shared" ca="1" si="2893"/>
        <v>0</v>
      </c>
      <c r="HX169" s="41">
        <f t="shared" ca="1" si="2894"/>
        <v>0</v>
      </c>
      <c r="HY169" s="41">
        <f t="shared" ca="1" si="2895"/>
        <v>0</v>
      </c>
      <c r="HZ169" s="41">
        <f t="shared" ca="1" si="2896"/>
        <v>0</v>
      </c>
      <c r="IA169" s="41">
        <f t="shared" ca="1" si="2897"/>
        <v>0</v>
      </c>
      <c r="IB169" s="41">
        <f t="shared" ca="1" si="2898"/>
        <v>0</v>
      </c>
      <c r="IC169" s="41">
        <f t="shared" ca="1" si="2899"/>
        <v>0</v>
      </c>
      <c r="ID169" s="41">
        <f t="shared" ca="1" si="2900"/>
        <v>0</v>
      </c>
      <c r="IE169" s="41">
        <f t="shared" ca="1" si="2901"/>
        <v>0</v>
      </c>
      <c r="IF169" s="41">
        <f t="shared" ca="1" si="2902"/>
        <v>0</v>
      </c>
      <c r="IG169" s="41">
        <f t="shared" ca="1" si="2903"/>
        <v>0</v>
      </c>
      <c r="IH169" s="41">
        <f t="shared" ca="1" si="2904"/>
        <v>0</v>
      </c>
      <c r="II169" s="41">
        <f t="shared" ca="1" si="2905"/>
        <v>0</v>
      </c>
      <c r="IJ169" s="41">
        <f t="shared" ca="1" si="2906"/>
        <v>0</v>
      </c>
      <c r="IK169" s="41">
        <f t="shared" ca="1" si="2907"/>
        <v>0</v>
      </c>
      <c r="IL169" s="41">
        <f t="shared" ca="1" si="2908"/>
        <v>0.39999555560493777</v>
      </c>
    </row>
    <row r="170" spans="1:246" s="409" customFormat="1" ht="15" hidden="1" customHeight="1">
      <c r="B170" s="373"/>
      <c r="C170" s="81" t="str">
        <f>Maturity!B56</f>
        <v>What percentage of your CUSTOMERS OR SUPPLIERS consume content generated by your BI/DW environment? (Select either customers or suppliers, whichever is highest.)</v>
      </c>
      <c r="D170" s="404">
        <f t="shared" ca="1" si="2798"/>
        <v>0.11708235764701969</v>
      </c>
      <c r="E170" s="374">
        <f>ROW(Initiatives!$A$27)</f>
        <v>27</v>
      </c>
      <c r="F170" s="374">
        <f>ROW(Initiatives!$A$183)</f>
        <v>183</v>
      </c>
      <c r="G170" s="374">
        <v>124</v>
      </c>
      <c r="H170" s="374"/>
      <c r="I170" s="374"/>
      <c r="J170" s="374"/>
      <c r="K170" s="374"/>
      <c r="L170" s="374"/>
      <c r="M170" s="374"/>
      <c r="N170" s="374"/>
      <c r="O170" s="374" t="s">
        <v>975</v>
      </c>
      <c r="P170" s="374" t="s">
        <v>975</v>
      </c>
      <c r="Q170" s="374" t="s">
        <v>975</v>
      </c>
      <c r="R170" s="374" t="s">
        <v>975</v>
      </c>
      <c r="S170" s="374" t="s">
        <v>975</v>
      </c>
      <c r="T170" s="374" t="s">
        <v>975</v>
      </c>
      <c r="U170" s="374" t="s">
        <v>975</v>
      </c>
      <c r="V170" s="374" t="s">
        <v>975</v>
      </c>
      <c r="W170" s="374" t="s">
        <v>975</v>
      </c>
      <c r="X170" s="374" t="s">
        <v>975</v>
      </c>
      <c r="Y170" s="392" t="str">
        <f ca="1">OFFSET(Initiatives!$D$1,E170-1,$BS$3)</f>
        <v>Supply / Operations Apps</v>
      </c>
      <c r="Z170" s="375">
        <v>3</v>
      </c>
      <c r="AA170" s="392" t="str">
        <f ca="1">OFFSET(Initiatives!$D$1,F170-1,$BS$3)</f>
        <v>Enhance DW Platform</v>
      </c>
      <c r="AB170" s="375">
        <v>5</v>
      </c>
      <c r="AC170" s="392" t="str">
        <f ca="1">OFFSET(Initiatives!$D$1,G170-1,$BS$3)</f>
        <v>Extensible / supports web services</v>
      </c>
      <c r="AD170" s="375">
        <v>4</v>
      </c>
      <c r="AE170" s="392" t="e">
        <f ca="1">OFFSET(Initiatives!$D$1,H170-1,$BS$3)</f>
        <v>#REF!</v>
      </c>
      <c r="AF170" s="375"/>
      <c r="AG170" s="392" t="e">
        <f ca="1">OFFSET(Initiatives!$D$1,I170-1,$BS$3)</f>
        <v>#REF!</v>
      </c>
      <c r="AH170" s="375"/>
      <c r="AI170" s="392" t="e">
        <f ca="1">OFFSET(Initiatives!$D$1,J170-1,$BS$3)</f>
        <v>#REF!</v>
      </c>
      <c r="AJ170" s="375"/>
      <c r="AK170" s="392" t="e">
        <f ca="1">OFFSET(Initiatives!$D$1,K170-1,$BS$3)</f>
        <v>#REF!</v>
      </c>
      <c r="AL170" s="375"/>
      <c r="AM170" s="392" t="e">
        <f ca="1">OFFSET(Initiatives!$D$1,L170-1,$BS$3)</f>
        <v>#REF!</v>
      </c>
      <c r="AN170" s="375"/>
      <c r="AO170" s="392" t="e">
        <f ca="1">OFFSET(Initiatives!$D$1,M170-1,$BS$3)</f>
        <v>#REF!</v>
      </c>
      <c r="AP170" s="375"/>
      <c r="AQ170" s="392" t="e">
        <f ca="1">OFFSET(Initiatives!$D$1,N170-1,$BS$3)</f>
        <v>#REF!</v>
      </c>
      <c r="AR170" s="375"/>
      <c r="AS170" s="392" t="e">
        <f ca="1">OFFSET(Initiatives!$D$1,O170-1,$BS$3)</f>
        <v>#VALUE!</v>
      </c>
      <c r="AT170" s="375"/>
      <c r="AU170" s="392" t="e">
        <f ca="1">OFFSET(Initiatives!$D$1,P170-1,$BS$3)</f>
        <v>#VALUE!</v>
      </c>
      <c r="AV170" s="375"/>
      <c r="AW170" s="392" t="e">
        <f ca="1">OFFSET(Initiatives!$D$1,Q170-1,$BS$3)</f>
        <v>#VALUE!</v>
      </c>
      <c r="AX170" s="375"/>
      <c r="AY170" s="392" t="e">
        <f ca="1">OFFSET(Initiatives!$D$1,R170-1,$BS$3)</f>
        <v>#VALUE!</v>
      </c>
      <c r="AZ170" s="375"/>
      <c r="BA170" s="392" t="e">
        <f ca="1">OFFSET(Initiatives!$D$1,S170-1,$BS$3)</f>
        <v>#VALUE!</v>
      </c>
      <c r="BB170" s="375"/>
      <c r="BC170" s="392" t="e">
        <f ca="1">OFFSET(Initiatives!$D$1,T170-1,$BS$3)</f>
        <v>#VALUE!</v>
      </c>
      <c r="BD170" s="375"/>
      <c r="BE170" s="392" t="e">
        <f ca="1">OFFSET(Initiatives!$D$1,U170-1,$BS$3)</f>
        <v>#VALUE!</v>
      </c>
      <c r="BF170" s="375"/>
      <c r="BG170" s="392" t="e">
        <f ca="1">OFFSET(Initiatives!$D$1,V170-1,$BS$3)</f>
        <v>#VALUE!</v>
      </c>
      <c r="BH170" s="375"/>
      <c r="BI170" s="392" t="e">
        <f ca="1">OFFSET(Initiatives!$D$1,W170-1,$BS$3)</f>
        <v>#VALUE!</v>
      </c>
      <c r="BJ170" s="375"/>
      <c r="BK170" s="392" t="e">
        <f ca="1">OFFSET(Initiatives!$D$1,X170-1,$BS$3)</f>
        <v>#VALUE!</v>
      </c>
      <c r="BL170" s="375"/>
      <c r="BN170" s="101">
        <f t="shared" si="2799"/>
        <v>12.0001</v>
      </c>
      <c r="BP170" s="231" t="str">
        <f t="shared" ca="1" si="2800"/>
        <v>Supply / Operations Apps (68%); Enhance DW Platform (27%)</v>
      </c>
      <c r="BQ170" s="338">
        <v>0.01</v>
      </c>
      <c r="BR170" s="40">
        <f t="shared" ca="1" si="2801"/>
        <v>2</v>
      </c>
      <c r="BS170" s="274">
        <v>0.05</v>
      </c>
      <c r="BT170" s="40">
        <f t="shared" ca="1" si="2802"/>
        <v>2</v>
      </c>
      <c r="BU170" s="376">
        <v>7</v>
      </c>
      <c r="BV170" s="40">
        <f t="shared" ca="1" si="2803"/>
        <v>2</v>
      </c>
      <c r="BY170" s="377">
        <f ca="1">IF(ISERROR(OFFSET(Initiatives!$D$1,E170-1,$BY$3)),,OFFSET(Initiatives!$D$1,E170-1,$BY$3))</f>
        <v>0.32000000000000006</v>
      </c>
      <c r="BZ170" s="377">
        <f ca="1">IF(ISERROR(OFFSET(Initiatives!$D$1,F170-1,$BY$3)),,OFFSET(Initiatives!$D$1,F170-1,$BY$3))</f>
        <v>7.7000000000000179E-2</v>
      </c>
      <c r="CA170" s="377">
        <f ca="1">IF(ISERROR(OFFSET(Initiatives!$D$1,G170-1,$BY$3)),,OFFSET(Initiatives!$D$1,G170-1,$BY$3))</f>
        <v>1.5000000000000013E-2</v>
      </c>
      <c r="CB170" s="377">
        <f ca="1">IF(ISERROR(OFFSET(Initiatives!$D$1,H170-1,$BY$3)),,OFFSET(Initiatives!$D$1,H170-1,$BY$3))</f>
        <v>0</v>
      </c>
      <c r="CC170" s="377">
        <f ca="1">IF(ISERROR(OFFSET(Initiatives!$D$1,I170-1,$BY$3)),,OFFSET(Initiatives!$D$1,I170-1,$BY$3))</f>
        <v>0</v>
      </c>
      <c r="CD170" s="377">
        <f ca="1">IF(ISERROR(OFFSET(Initiatives!$D$1,J170-1,$BY$3)),,OFFSET(Initiatives!$D$1,J170-1,$BY$3))</f>
        <v>0</v>
      </c>
      <c r="CE170" s="377">
        <f ca="1">IF(ISERROR(OFFSET(Initiatives!$D$1,K170-1,$BY$3)),,OFFSET(Initiatives!$D$1,K170-1,$BY$3))</f>
        <v>0</v>
      </c>
      <c r="CF170" s="377">
        <f ca="1">IF(ISERROR(OFFSET(Initiatives!$D$1,L170-1,$BY$3)),,OFFSET(Initiatives!$D$1,L170-1,$BY$3))</f>
        <v>0</v>
      </c>
      <c r="CG170" s="377">
        <f ca="1">IF(ISERROR(OFFSET(Initiatives!$D$1,M170-1,$BY$3)),,OFFSET(Initiatives!$D$1,M170-1,$BY$3))</f>
        <v>0</v>
      </c>
      <c r="CH170" s="377">
        <f ca="1">IF(ISERROR(OFFSET(Initiatives!$D$1,N170-1,$BY$3)),,OFFSET(Initiatives!$D$1,N170-1,$BY$3))</f>
        <v>0</v>
      </c>
      <c r="CI170" s="377">
        <f ca="1">IF(ISERROR(OFFSET(Initiatives!$D$1,O170-1,$BY$3)),,OFFSET(Initiatives!$D$1,O170-1,$BY$3))</f>
        <v>0</v>
      </c>
      <c r="CJ170" s="377">
        <f ca="1">IF(ISERROR(OFFSET(Initiatives!$D$1,P170-1,$BY$3)),,OFFSET(Initiatives!$D$1,P170-1,$BY$3))</f>
        <v>0</v>
      </c>
      <c r="CK170" s="377">
        <f ca="1">IF(ISERROR(OFFSET(Initiatives!$D$1,Q170-1,$BY$3)),,OFFSET(Initiatives!$D$1,Q170-1,$BY$3))</f>
        <v>0</v>
      </c>
      <c r="CL170" s="377">
        <f ca="1">IF(ISERROR(OFFSET(Initiatives!$D$1,R170-1,$BY$3)),,OFFSET(Initiatives!$D$1,R170-1,$BY$3))</f>
        <v>0</v>
      </c>
      <c r="CM170" s="377">
        <f ca="1">IF(ISERROR(OFFSET(Initiatives!$D$1,S170-1,$BY$3)),,OFFSET(Initiatives!$D$1,S170-1,$BY$3))</f>
        <v>0</v>
      </c>
      <c r="CN170" s="377">
        <f ca="1">IF(ISERROR(OFFSET(Initiatives!$D$1,T170-1,$BY$3)),,OFFSET(Initiatives!$D$1,T170-1,$BY$3))</f>
        <v>0</v>
      </c>
      <c r="CO170" s="377">
        <f ca="1">IF(ISERROR(OFFSET(Initiatives!$D$1,U170-1,$BY$3)),,OFFSET(Initiatives!$D$1,U170-1,$BY$3))</f>
        <v>0</v>
      </c>
      <c r="CP170" s="377">
        <f ca="1">IF(ISERROR(OFFSET(Initiatives!$D$1,V170-1,$BY$3)),,OFFSET(Initiatives!$D$1,V170-1,$BY$3))</f>
        <v>0</v>
      </c>
      <c r="CQ170" s="377">
        <f ca="1">IF(ISERROR(OFFSET(Initiatives!$D$1,W170-1,$BY$3)),,OFFSET(Initiatives!$D$1,W170-1,$BY$3))</f>
        <v>0</v>
      </c>
      <c r="CR170" s="377">
        <f ca="1">IF(ISERROR(OFFSET(Initiatives!$D$1,X170-1,$BY$3)),,OFFSET(Initiatives!$D$1,X170-1,$BY$3))</f>
        <v>0</v>
      </c>
      <c r="CT170" s="41">
        <f t="shared" ca="1" si="2804"/>
        <v>7.9999333338888853E-2</v>
      </c>
      <c r="CU170" s="41">
        <f t="shared" ca="1" si="2805"/>
        <v>3.2083065974450285E-2</v>
      </c>
      <c r="CV170" s="41">
        <f t="shared" ca="1" si="2806"/>
        <v>4.9999583336805568E-3</v>
      </c>
      <c r="CW170" s="41">
        <f t="shared" ca="1" si="2807"/>
        <v>0</v>
      </c>
      <c r="CX170" s="41">
        <f t="shared" ca="1" si="2808"/>
        <v>0</v>
      </c>
      <c r="CY170" s="41">
        <f t="shared" ca="1" si="2809"/>
        <v>0</v>
      </c>
      <c r="CZ170" s="41">
        <f t="shared" ca="1" si="2810"/>
        <v>0</v>
      </c>
      <c r="DA170" s="41">
        <f t="shared" ca="1" si="2811"/>
        <v>0</v>
      </c>
      <c r="DB170" s="41">
        <f t="shared" ca="1" si="2812"/>
        <v>0</v>
      </c>
      <c r="DC170" s="41">
        <f t="shared" ca="1" si="2813"/>
        <v>0</v>
      </c>
      <c r="DD170" s="41">
        <f t="shared" ca="1" si="2814"/>
        <v>0</v>
      </c>
      <c r="DE170" s="41">
        <f t="shared" ca="1" si="2815"/>
        <v>0</v>
      </c>
      <c r="DF170" s="41">
        <f t="shared" ca="1" si="2816"/>
        <v>0</v>
      </c>
      <c r="DG170" s="41">
        <f t="shared" ca="1" si="2817"/>
        <v>0</v>
      </c>
      <c r="DH170" s="41">
        <f t="shared" ca="1" si="2818"/>
        <v>0</v>
      </c>
      <c r="DI170" s="41">
        <f t="shared" ca="1" si="2819"/>
        <v>0</v>
      </c>
      <c r="DJ170" s="41">
        <f t="shared" ca="1" si="2820"/>
        <v>0</v>
      </c>
      <c r="DK170" s="41">
        <f t="shared" ca="1" si="2821"/>
        <v>0</v>
      </c>
      <c r="DL170" s="41">
        <f t="shared" ca="1" si="2822"/>
        <v>0</v>
      </c>
      <c r="DM170" s="41">
        <f t="shared" ca="1" si="2823"/>
        <v>0</v>
      </c>
      <c r="DN170" s="41">
        <f t="shared" ca="1" si="2824"/>
        <v>0.11708235764701969</v>
      </c>
      <c r="DP170" s="41">
        <f t="shared" ca="1" si="2825"/>
        <v>0.6832640213523129</v>
      </c>
      <c r="DQ170" s="41">
        <f t="shared" ca="1" si="2826"/>
        <v>0.27400135231316769</v>
      </c>
      <c r="DR170" s="41">
        <f t="shared" ca="1" si="2827"/>
        <v>4.2674626334519579E-2</v>
      </c>
      <c r="DS170" s="41">
        <f t="shared" ca="1" si="2828"/>
        <v>-4.0000000000000003E-5</v>
      </c>
      <c r="DT170" s="41">
        <f t="shared" ca="1" si="2829"/>
        <v>-5.0000000000000002E-5</v>
      </c>
      <c r="DU170" s="41">
        <f t="shared" ca="1" si="2830"/>
        <v>-6.0000000000000002E-5</v>
      </c>
      <c r="DV170" s="41">
        <f t="shared" ca="1" si="2831"/>
        <v>-6.9999999999999994E-5</v>
      </c>
      <c r="DW170" s="41">
        <f t="shared" ca="1" si="2832"/>
        <v>-8.0000000000000007E-5</v>
      </c>
      <c r="DX170" s="41">
        <f t="shared" ca="1" si="2833"/>
        <v>-9.0000000000000006E-5</v>
      </c>
      <c r="DY170" s="41">
        <f t="shared" ca="1" si="2834"/>
        <v>-1E-4</v>
      </c>
      <c r="DZ170" s="41">
        <f t="shared" ca="1" si="2835"/>
        <v>-1.1E-4</v>
      </c>
      <c r="EA170" s="41">
        <f t="shared" ca="1" si="2836"/>
        <v>-1.2E-4</v>
      </c>
      <c r="EB170" s="41">
        <f t="shared" ca="1" si="2837"/>
        <v>-1.2999999999999999E-4</v>
      </c>
      <c r="EC170" s="41">
        <f t="shared" ca="1" si="2838"/>
        <v>-1.3999999999999999E-4</v>
      </c>
      <c r="ED170" s="41">
        <f t="shared" ca="1" si="2839"/>
        <v>-1.4999999999999999E-4</v>
      </c>
      <c r="EE170" s="41">
        <f t="shared" ca="1" si="2840"/>
        <v>-1.6000000000000001E-4</v>
      </c>
      <c r="EF170" s="41">
        <f t="shared" ca="1" si="2841"/>
        <v>-1.7000000000000001E-4</v>
      </c>
      <c r="EG170" s="41">
        <f t="shared" ca="1" si="2842"/>
        <v>-1.8000000000000001E-4</v>
      </c>
      <c r="EH170" s="41">
        <f t="shared" ca="1" si="2843"/>
        <v>-1.9000000000000001E-4</v>
      </c>
      <c r="EI170" s="41">
        <f t="shared" ca="1" si="2844"/>
        <v>-2.0000000000000001E-4</v>
      </c>
      <c r="EJ170" s="41">
        <f t="shared" ca="1" si="2845"/>
        <v>0.99790000000000012</v>
      </c>
      <c r="EL170" s="378">
        <f t="shared" ca="1" si="2846"/>
        <v>1</v>
      </c>
      <c r="EM170" s="378">
        <f t="shared" ca="1" si="2847"/>
        <v>2</v>
      </c>
      <c r="EN170" s="378">
        <f t="shared" ca="1" si="2848"/>
        <v>3</v>
      </c>
      <c r="EO170" s="378">
        <f t="shared" ca="1" si="2849"/>
        <v>4</v>
      </c>
      <c r="EP170" s="378">
        <f t="shared" ca="1" si="2850"/>
        <v>5</v>
      </c>
      <c r="EQ170" s="378">
        <f t="shared" ca="1" si="2851"/>
        <v>6</v>
      </c>
      <c r="ER170" s="378">
        <f t="shared" ca="1" si="2852"/>
        <v>7</v>
      </c>
      <c r="ES170" s="378">
        <f t="shared" ca="1" si="2853"/>
        <v>8</v>
      </c>
      <c r="ET170" s="378">
        <f t="shared" ca="1" si="2854"/>
        <v>9</v>
      </c>
      <c r="EU170" s="378">
        <f t="shared" ca="1" si="2855"/>
        <v>10</v>
      </c>
      <c r="EV170" s="378">
        <f t="shared" ca="1" si="2856"/>
        <v>11</v>
      </c>
      <c r="EW170" s="378">
        <f t="shared" ca="1" si="2857"/>
        <v>12</v>
      </c>
      <c r="EX170" s="378">
        <f t="shared" ca="1" si="2858"/>
        <v>13</v>
      </c>
      <c r="EY170" s="378">
        <f t="shared" ca="1" si="2859"/>
        <v>14</v>
      </c>
      <c r="EZ170" s="378">
        <f t="shared" ca="1" si="2860"/>
        <v>15</v>
      </c>
      <c r="FA170" s="378">
        <f t="shared" ca="1" si="2861"/>
        <v>16</v>
      </c>
      <c r="FB170" s="378">
        <f t="shared" ca="1" si="2862"/>
        <v>17</v>
      </c>
      <c r="FC170" s="378">
        <f t="shared" ca="1" si="2863"/>
        <v>18</v>
      </c>
      <c r="FD170" s="378">
        <f t="shared" ca="1" si="2864"/>
        <v>19</v>
      </c>
      <c r="FE170" s="378">
        <f t="shared" ca="1" si="2865"/>
        <v>20</v>
      </c>
      <c r="FG170" s="378">
        <f t="shared" ca="1" si="2866"/>
        <v>1</v>
      </c>
      <c r="FH170" s="378">
        <f t="shared" ca="1" si="2866"/>
        <v>2</v>
      </c>
      <c r="FI170" s="378">
        <f t="shared" ca="1" si="2866"/>
        <v>3</v>
      </c>
      <c r="FJ170" s="378">
        <f t="shared" ca="1" si="2866"/>
        <v>4</v>
      </c>
      <c r="FK170" s="378">
        <f t="shared" ca="1" si="2866"/>
        <v>5</v>
      </c>
      <c r="FL170" s="378">
        <f t="shared" ca="1" si="2866"/>
        <v>6</v>
      </c>
      <c r="FM170" s="378">
        <f t="shared" ca="1" si="2866"/>
        <v>7</v>
      </c>
      <c r="FN170" s="378">
        <f t="shared" ca="1" si="2866"/>
        <v>8</v>
      </c>
      <c r="FO170" s="378">
        <f t="shared" ca="1" si="2866"/>
        <v>9</v>
      </c>
      <c r="FP170" s="378">
        <f t="shared" ca="1" si="2866"/>
        <v>10</v>
      </c>
      <c r="FQ170" s="378">
        <f t="shared" ca="1" si="2866"/>
        <v>11</v>
      </c>
      <c r="FR170" s="378">
        <f t="shared" ca="1" si="2866"/>
        <v>12</v>
      </c>
      <c r="FS170" s="378">
        <f t="shared" ca="1" si="2866"/>
        <v>13</v>
      </c>
      <c r="FT170" s="378">
        <f t="shared" ca="1" si="2866"/>
        <v>14</v>
      </c>
      <c r="FU170" s="378">
        <f t="shared" ca="1" si="2866"/>
        <v>15</v>
      </c>
      <c r="FV170" s="378">
        <f t="shared" ca="1" si="2866"/>
        <v>16</v>
      </c>
      <c r="FW170" s="378">
        <f t="shared" ca="1" si="2867"/>
        <v>17</v>
      </c>
      <c r="FX170" s="378">
        <f t="shared" ca="1" si="2867"/>
        <v>18</v>
      </c>
      <c r="FY170" s="378">
        <f t="shared" ca="1" si="2867"/>
        <v>19</v>
      </c>
      <c r="FZ170" s="378">
        <f t="shared" ca="1" si="2867"/>
        <v>20</v>
      </c>
      <c r="GB170" s="275" t="str">
        <f t="shared" ca="1" si="2868"/>
        <v>Supply / Operations Apps (68%)</v>
      </c>
      <c r="GC170" s="231" t="str">
        <f t="shared" ca="1" si="2869"/>
        <v>; Enhance DW Platform (27%)</v>
      </c>
      <c r="GD170" s="231" t="str">
        <f t="shared" ca="1" si="2870"/>
        <v/>
      </c>
      <c r="GE170" s="231" t="str">
        <f t="shared" ca="1" si="2871"/>
        <v/>
      </c>
      <c r="GF170" s="231" t="str">
        <f t="shared" ca="1" si="2872"/>
        <v/>
      </c>
      <c r="GG170" s="231" t="str">
        <f t="shared" ca="1" si="2873"/>
        <v/>
      </c>
      <c r="GH170" s="231" t="str">
        <f t="shared" ca="1" si="2874"/>
        <v/>
      </c>
      <c r="GI170" s="231" t="str">
        <f t="shared" ca="1" si="2875"/>
        <v/>
      </c>
      <c r="GJ170" s="231" t="str">
        <f t="shared" ca="1" si="2876"/>
        <v/>
      </c>
      <c r="GK170" s="231" t="str">
        <f t="shared" ca="1" si="2877"/>
        <v/>
      </c>
      <c r="GL170" s="231" t="str">
        <f t="shared" ca="1" si="2878"/>
        <v/>
      </c>
      <c r="GM170" s="231" t="str">
        <f t="shared" ca="1" si="2879"/>
        <v/>
      </c>
      <c r="GN170" s="231" t="str">
        <f t="shared" ca="1" si="2880"/>
        <v/>
      </c>
      <c r="GO170" s="231" t="str">
        <f t="shared" ca="1" si="2881"/>
        <v/>
      </c>
      <c r="GP170" s="231" t="str">
        <f t="shared" ca="1" si="2882"/>
        <v/>
      </c>
      <c r="GQ170" s="231" t="str">
        <f t="shared" ca="1" si="2883"/>
        <v/>
      </c>
      <c r="GR170" s="231" t="str">
        <f t="shared" ca="1" si="2884"/>
        <v/>
      </c>
      <c r="GS170" s="231" t="str">
        <f t="shared" ca="1" si="2885"/>
        <v/>
      </c>
      <c r="GT170" s="231" t="str">
        <f t="shared" ca="1" si="2886"/>
        <v/>
      </c>
      <c r="GU170" s="231" t="str">
        <f t="shared" ca="1" si="2887"/>
        <v/>
      </c>
      <c r="GW170" s="377">
        <f ca="1">IF(ISERROR(OFFSET(Initiatives!$D$1,E170-1,$CB$3)),,OFFSET(Initiatives!$D$1,E170-1,$CB$3))</f>
        <v>0.19999999999999998</v>
      </c>
      <c r="GX170" s="377">
        <f ca="1">IF(ISERROR(OFFSET(Initiatives!$D$1,F170-1,$CB$3)),,OFFSET(Initiatives!$D$1,F170-1,$CB$3))</f>
        <v>0.77</v>
      </c>
      <c r="GY170" s="377">
        <f ca="1">IF(ISERROR(OFFSET(Initiatives!$D$1,G170-1,$CB$3)),,OFFSET(Initiatives!$D$1,G170-1,$CB$3))</f>
        <v>0.9</v>
      </c>
      <c r="GZ170" s="377">
        <f ca="1">IF(ISERROR(OFFSET(Initiatives!$D$1,H170-1,$CB$3)),,OFFSET(Initiatives!$D$1,H170-1,$CB$3))</f>
        <v>0</v>
      </c>
      <c r="HA170" s="377">
        <f ca="1">IF(ISERROR(OFFSET(Initiatives!$D$1,I170-1,$CB$3)),,OFFSET(Initiatives!$D$1,I170-1,$CB$3))</f>
        <v>0</v>
      </c>
      <c r="HB170" s="377">
        <f ca="1">IF(ISERROR(OFFSET(Initiatives!$D$1,J170-1,$CB$3)),,OFFSET(Initiatives!$D$1,J170-1,$CB$3))</f>
        <v>0</v>
      </c>
      <c r="HC170" s="377">
        <f ca="1">IF(ISERROR(OFFSET(Initiatives!$D$1,K170-1,$CB$3)),,OFFSET(Initiatives!$D$1,K170-1,$CB$3))</f>
        <v>0</v>
      </c>
      <c r="HD170" s="377">
        <f ca="1">IF(ISERROR(OFFSET(Initiatives!$D$1,L170-1,$CB$3)),,OFFSET(Initiatives!$D$1,L170-1,$CB$3))</f>
        <v>0</v>
      </c>
      <c r="HE170" s="377">
        <f ca="1">IF(ISERROR(OFFSET(Initiatives!$D$1,M170-1,$CB$3)),,OFFSET(Initiatives!$D$1,M170-1,$CB$3))</f>
        <v>0</v>
      </c>
      <c r="HF170" s="377">
        <f ca="1">IF(ISERROR(OFFSET(Initiatives!$D$1,N170-1,$CB$3)),,OFFSET(Initiatives!$D$1,N170-1,$CB$3))</f>
        <v>0</v>
      </c>
      <c r="HG170" s="377">
        <f ca="1">IF(ISERROR(OFFSET(Initiatives!$D$1,O170-1,$CB$3)),,OFFSET(Initiatives!$D$1,O170-1,$CB$3))</f>
        <v>0</v>
      </c>
      <c r="HH170" s="377">
        <f ca="1">IF(ISERROR(OFFSET(Initiatives!$D$1,P170-1,$CB$3)),,OFFSET(Initiatives!$D$1,P170-1,$CB$3))</f>
        <v>0</v>
      </c>
      <c r="HI170" s="377">
        <f ca="1">IF(ISERROR(OFFSET(Initiatives!$D$1,Q170-1,$CB$3)),,OFFSET(Initiatives!$D$1,Q170-1,$CB$3))</f>
        <v>0</v>
      </c>
      <c r="HJ170" s="377">
        <f ca="1">IF(ISERROR(OFFSET(Initiatives!$D$1,R170-1,$CB$3)),,OFFSET(Initiatives!$D$1,R170-1,$CB$3))</f>
        <v>0</v>
      </c>
      <c r="HK170" s="377">
        <f ca="1">IF(ISERROR(OFFSET(Initiatives!$D$1,S170-1,$CB$3)),,OFFSET(Initiatives!$D$1,S170-1,$CB$3))</f>
        <v>0</v>
      </c>
      <c r="HL170" s="377">
        <f ca="1">IF(ISERROR(OFFSET(Initiatives!$D$1,T170-1,$CB$3)),,OFFSET(Initiatives!$D$1,T170-1,$CB$3))</f>
        <v>0</v>
      </c>
      <c r="HM170" s="377">
        <f ca="1">IF(ISERROR(OFFSET(Initiatives!$D$1,U170-1,$CB$3)),,OFFSET(Initiatives!$D$1,U170-1,$CB$3))</f>
        <v>0</v>
      </c>
      <c r="HN170" s="377">
        <f ca="1">IF(ISERROR(OFFSET(Initiatives!$D$1,V170-1,$CB$3)),,OFFSET(Initiatives!$D$1,V170-1,$CB$3))</f>
        <v>0</v>
      </c>
      <c r="HO170" s="377">
        <f ca="1">IF(ISERROR(OFFSET(Initiatives!$D$1,W170-1,$CB$3)),,OFFSET(Initiatives!$D$1,W170-1,$CB$3))</f>
        <v>0</v>
      </c>
      <c r="HP170" s="377">
        <f ca="1">IF(ISERROR(OFFSET(Initiatives!$D$1,X170-1,$CB$3)),,OFFSET(Initiatives!$D$1,X170-1,$CB$3))</f>
        <v>0</v>
      </c>
      <c r="HR170" s="41">
        <f t="shared" ca="1" si="2888"/>
        <v>4.9999583336805528E-2</v>
      </c>
      <c r="HS170" s="41">
        <f t="shared" ca="1" si="2889"/>
        <v>0.32083065974450214</v>
      </c>
      <c r="HT170" s="41">
        <f t="shared" ca="1" si="2890"/>
        <v>0.2999975000208332</v>
      </c>
      <c r="HU170" s="41">
        <f t="shared" ca="1" si="2891"/>
        <v>0</v>
      </c>
      <c r="HV170" s="41">
        <f t="shared" ca="1" si="2892"/>
        <v>0</v>
      </c>
      <c r="HW170" s="41">
        <f t="shared" ca="1" si="2893"/>
        <v>0</v>
      </c>
      <c r="HX170" s="41">
        <f t="shared" ca="1" si="2894"/>
        <v>0</v>
      </c>
      <c r="HY170" s="41">
        <f t="shared" ca="1" si="2895"/>
        <v>0</v>
      </c>
      <c r="HZ170" s="41">
        <f t="shared" ca="1" si="2896"/>
        <v>0</v>
      </c>
      <c r="IA170" s="41">
        <f t="shared" ca="1" si="2897"/>
        <v>0</v>
      </c>
      <c r="IB170" s="41">
        <f t="shared" ca="1" si="2898"/>
        <v>0</v>
      </c>
      <c r="IC170" s="41">
        <f t="shared" ca="1" si="2899"/>
        <v>0</v>
      </c>
      <c r="ID170" s="41">
        <f t="shared" ca="1" si="2900"/>
        <v>0</v>
      </c>
      <c r="IE170" s="41">
        <f t="shared" ca="1" si="2901"/>
        <v>0</v>
      </c>
      <c r="IF170" s="41">
        <f t="shared" ca="1" si="2902"/>
        <v>0</v>
      </c>
      <c r="IG170" s="41">
        <f t="shared" ca="1" si="2903"/>
        <v>0</v>
      </c>
      <c r="IH170" s="41">
        <f t="shared" ca="1" si="2904"/>
        <v>0</v>
      </c>
      <c r="II170" s="41">
        <f t="shared" ca="1" si="2905"/>
        <v>0</v>
      </c>
      <c r="IJ170" s="41">
        <f t="shared" ca="1" si="2906"/>
        <v>0</v>
      </c>
      <c r="IK170" s="41">
        <f t="shared" ca="1" si="2907"/>
        <v>0</v>
      </c>
      <c r="IL170" s="41">
        <f t="shared" ca="1" si="2908"/>
        <v>0.67082774310214088</v>
      </c>
    </row>
    <row r="171" spans="1:246" s="409" customFormat="1" ht="15" hidden="1" customHeight="1">
      <c r="B171" s="373"/>
      <c r="C171" s="81" t="str">
        <f>Maturity!B57</f>
        <v>Which best describes how users access BUSINESS METADATA?</v>
      </c>
      <c r="D171" s="404">
        <f t="shared" ca="1" si="2798"/>
        <v>6.9642359697430767E-2</v>
      </c>
      <c r="E171" s="374">
        <f>ROW(Initiatives!$A$107)</f>
        <v>107</v>
      </c>
      <c r="F171" s="374">
        <f>ROW(Initiatives!$A$126)</f>
        <v>126</v>
      </c>
      <c r="G171" s="374"/>
      <c r="H171" s="374"/>
      <c r="I171" s="374"/>
      <c r="J171" s="374"/>
      <c r="K171" s="374"/>
      <c r="L171" s="374"/>
      <c r="M171" s="374"/>
      <c r="N171" s="374"/>
      <c r="O171" s="374" t="s">
        <v>975</v>
      </c>
      <c r="P171" s="374" t="s">
        <v>975</v>
      </c>
      <c r="Q171" s="374" t="s">
        <v>975</v>
      </c>
      <c r="R171" s="374" t="s">
        <v>975</v>
      </c>
      <c r="S171" s="374" t="s">
        <v>975</v>
      </c>
      <c r="T171" s="374" t="s">
        <v>975</v>
      </c>
      <c r="U171" s="374" t="s">
        <v>975</v>
      </c>
      <c r="V171" s="374" t="s">
        <v>975</v>
      </c>
      <c r="W171" s="374" t="s">
        <v>975</v>
      </c>
      <c r="X171" s="374" t="s">
        <v>975</v>
      </c>
      <c r="Y171" s="392" t="str">
        <f ca="1">OFFSET(Initiatives!$D$1,E171-1,$BS$3)</f>
        <v>Metadata management</v>
      </c>
      <c r="Z171" s="375">
        <v>9</v>
      </c>
      <c r="AA171" s="392" t="str">
        <f ca="1">OFFSET(Initiatives!$D$1,F171-1,$BS$3)</f>
        <v>Development</v>
      </c>
      <c r="AB171" s="375">
        <v>5</v>
      </c>
      <c r="AC171" s="392" t="e">
        <f ca="1">OFFSET(Initiatives!$D$1,G171-1,$BS$3)</f>
        <v>#REF!</v>
      </c>
      <c r="AD171" s="375"/>
      <c r="AE171" s="392" t="e">
        <f ca="1">OFFSET(Initiatives!$D$1,H171-1,$BS$3)</f>
        <v>#REF!</v>
      </c>
      <c r="AF171" s="375"/>
      <c r="AG171" s="392" t="e">
        <f ca="1">OFFSET(Initiatives!$D$1,I171-1,$BS$3)</f>
        <v>#REF!</v>
      </c>
      <c r="AH171" s="375"/>
      <c r="AI171" s="392" t="e">
        <f ca="1">OFFSET(Initiatives!$D$1,J171-1,$BS$3)</f>
        <v>#REF!</v>
      </c>
      <c r="AJ171" s="375"/>
      <c r="AK171" s="392" t="e">
        <f ca="1">OFFSET(Initiatives!$D$1,K171-1,$BS$3)</f>
        <v>#REF!</v>
      </c>
      <c r="AL171" s="375"/>
      <c r="AM171" s="392" t="e">
        <f ca="1">OFFSET(Initiatives!$D$1,L171-1,$BS$3)</f>
        <v>#REF!</v>
      </c>
      <c r="AN171" s="375"/>
      <c r="AO171" s="392" t="e">
        <f ca="1">OFFSET(Initiatives!$D$1,M171-1,$BS$3)</f>
        <v>#REF!</v>
      </c>
      <c r="AP171" s="375"/>
      <c r="AQ171" s="392" t="e">
        <f ca="1">OFFSET(Initiatives!$D$1,N171-1,$BS$3)</f>
        <v>#REF!</v>
      </c>
      <c r="AR171" s="375"/>
      <c r="AS171" s="392" t="e">
        <f ca="1">OFFSET(Initiatives!$D$1,O171-1,$BS$3)</f>
        <v>#VALUE!</v>
      </c>
      <c r="AT171" s="375"/>
      <c r="AU171" s="392" t="e">
        <f ca="1">OFFSET(Initiatives!$D$1,P171-1,$BS$3)</f>
        <v>#VALUE!</v>
      </c>
      <c r="AV171" s="375"/>
      <c r="AW171" s="392" t="e">
        <f ca="1">OFFSET(Initiatives!$D$1,Q171-1,$BS$3)</f>
        <v>#VALUE!</v>
      </c>
      <c r="AX171" s="375"/>
      <c r="AY171" s="392" t="e">
        <f ca="1">OFFSET(Initiatives!$D$1,R171-1,$BS$3)</f>
        <v>#VALUE!</v>
      </c>
      <c r="AZ171" s="375"/>
      <c r="BA171" s="392" t="e">
        <f ca="1">OFFSET(Initiatives!$D$1,S171-1,$BS$3)</f>
        <v>#VALUE!</v>
      </c>
      <c r="BB171" s="375"/>
      <c r="BC171" s="392" t="e">
        <f ca="1">OFFSET(Initiatives!$D$1,T171-1,$BS$3)</f>
        <v>#VALUE!</v>
      </c>
      <c r="BD171" s="375"/>
      <c r="BE171" s="392" t="e">
        <f ca="1">OFFSET(Initiatives!$D$1,U171-1,$BS$3)</f>
        <v>#VALUE!</v>
      </c>
      <c r="BF171" s="375"/>
      <c r="BG171" s="392" t="e">
        <f ca="1">OFFSET(Initiatives!$D$1,V171-1,$BS$3)</f>
        <v>#VALUE!</v>
      </c>
      <c r="BH171" s="375"/>
      <c r="BI171" s="392" t="e">
        <f ca="1">OFFSET(Initiatives!$D$1,W171-1,$BS$3)</f>
        <v>#VALUE!</v>
      </c>
      <c r="BJ171" s="375"/>
      <c r="BK171" s="392" t="e">
        <f ca="1">OFFSET(Initiatives!$D$1,X171-1,$BS$3)</f>
        <v>#VALUE!</v>
      </c>
      <c r="BL171" s="375"/>
      <c r="BN171" s="101">
        <f t="shared" si="2799"/>
        <v>14.0001</v>
      </c>
      <c r="BP171" s="231" t="str">
        <f t="shared" ca="1" si="2800"/>
        <v>Metadata management (92%)</v>
      </c>
      <c r="BQ171" s="338">
        <v>0.01</v>
      </c>
      <c r="BR171" s="40">
        <f t="shared" ca="1" si="2801"/>
        <v>1</v>
      </c>
      <c r="BS171" s="274">
        <v>0.05</v>
      </c>
      <c r="BT171" s="40">
        <f t="shared" ca="1" si="2802"/>
        <v>2</v>
      </c>
      <c r="BU171" s="376">
        <v>7</v>
      </c>
      <c r="BV171" s="40">
        <f t="shared" ca="1" si="2803"/>
        <v>1</v>
      </c>
      <c r="BY171" s="377">
        <f ca="1">IF(ISERROR(OFFSET(Initiatives!$D$1,E171-1,$BY$3)),,OFFSET(Initiatives!$D$1,E171-1,$BY$3))</f>
        <v>9.9999999999999978E-2</v>
      </c>
      <c r="BZ171" s="377">
        <f ca="1">IF(ISERROR(OFFSET(Initiatives!$D$1,F171-1,$BY$3)),,OFFSET(Initiatives!$D$1,F171-1,$BY$3))</f>
        <v>1.5000000000000124E-2</v>
      </c>
      <c r="CA171" s="377">
        <f ca="1">IF(ISERROR(OFFSET(Initiatives!$D$1,G171-1,$BY$3)),,OFFSET(Initiatives!$D$1,G171-1,$BY$3))</f>
        <v>0</v>
      </c>
      <c r="CB171" s="377">
        <f ca="1">IF(ISERROR(OFFSET(Initiatives!$D$1,H171-1,$BY$3)),,OFFSET(Initiatives!$D$1,H171-1,$BY$3))</f>
        <v>0</v>
      </c>
      <c r="CC171" s="377">
        <f ca="1">IF(ISERROR(OFFSET(Initiatives!$D$1,I171-1,$BY$3)),,OFFSET(Initiatives!$D$1,I171-1,$BY$3))</f>
        <v>0</v>
      </c>
      <c r="CD171" s="377">
        <f ca="1">IF(ISERROR(OFFSET(Initiatives!$D$1,J171-1,$BY$3)),,OFFSET(Initiatives!$D$1,J171-1,$BY$3))</f>
        <v>0</v>
      </c>
      <c r="CE171" s="377">
        <f ca="1">IF(ISERROR(OFFSET(Initiatives!$D$1,K171-1,$BY$3)),,OFFSET(Initiatives!$D$1,K171-1,$BY$3))</f>
        <v>0</v>
      </c>
      <c r="CF171" s="377">
        <f ca="1">IF(ISERROR(OFFSET(Initiatives!$D$1,L171-1,$BY$3)),,OFFSET(Initiatives!$D$1,L171-1,$BY$3))</f>
        <v>0</v>
      </c>
      <c r="CG171" s="377">
        <f ca="1">IF(ISERROR(OFFSET(Initiatives!$D$1,M171-1,$BY$3)),,OFFSET(Initiatives!$D$1,M171-1,$BY$3))</f>
        <v>0</v>
      </c>
      <c r="CH171" s="377">
        <f ca="1">IF(ISERROR(OFFSET(Initiatives!$D$1,N171-1,$BY$3)),,OFFSET(Initiatives!$D$1,N171-1,$BY$3))</f>
        <v>0</v>
      </c>
      <c r="CI171" s="377">
        <f ca="1">IF(ISERROR(OFFSET(Initiatives!$D$1,O171-1,$BY$3)),,OFFSET(Initiatives!$D$1,O171-1,$BY$3))</f>
        <v>0</v>
      </c>
      <c r="CJ171" s="377">
        <f ca="1">IF(ISERROR(OFFSET(Initiatives!$D$1,P171-1,$BY$3)),,OFFSET(Initiatives!$D$1,P171-1,$BY$3))</f>
        <v>0</v>
      </c>
      <c r="CK171" s="377">
        <f ca="1">IF(ISERROR(OFFSET(Initiatives!$D$1,Q171-1,$BY$3)),,OFFSET(Initiatives!$D$1,Q171-1,$BY$3))</f>
        <v>0</v>
      </c>
      <c r="CL171" s="377">
        <f ca="1">IF(ISERROR(OFFSET(Initiatives!$D$1,R171-1,$BY$3)),,OFFSET(Initiatives!$D$1,R171-1,$BY$3))</f>
        <v>0</v>
      </c>
      <c r="CM171" s="377">
        <f ca="1">IF(ISERROR(OFFSET(Initiatives!$D$1,S171-1,$BY$3)),,OFFSET(Initiatives!$D$1,S171-1,$BY$3))</f>
        <v>0</v>
      </c>
      <c r="CN171" s="377">
        <f ca="1">IF(ISERROR(OFFSET(Initiatives!$D$1,T171-1,$BY$3)),,OFFSET(Initiatives!$D$1,T171-1,$BY$3))</f>
        <v>0</v>
      </c>
      <c r="CO171" s="377">
        <f ca="1">IF(ISERROR(OFFSET(Initiatives!$D$1,U171-1,$BY$3)),,OFFSET(Initiatives!$D$1,U171-1,$BY$3))</f>
        <v>0</v>
      </c>
      <c r="CP171" s="377">
        <f ca="1">IF(ISERROR(OFFSET(Initiatives!$D$1,V171-1,$BY$3)),,OFFSET(Initiatives!$D$1,V171-1,$BY$3))</f>
        <v>0</v>
      </c>
      <c r="CQ171" s="377">
        <f ca="1">IF(ISERROR(OFFSET(Initiatives!$D$1,W171-1,$BY$3)),,OFFSET(Initiatives!$D$1,W171-1,$BY$3))</f>
        <v>0</v>
      </c>
      <c r="CR171" s="377">
        <f ca="1">IF(ISERROR(OFFSET(Initiatives!$D$1,X171-1,$BY$3)),,OFFSET(Initiatives!$D$1,X171-1,$BY$3))</f>
        <v>0</v>
      </c>
      <c r="CT171" s="41">
        <f t="shared" ca="1" si="2804"/>
        <v>6.4285255105320668E-2</v>
      </c>
      <c r="CU171" s="41">
        <f t="shared" ca="1" si="2805"/>
        <v>5.3571045921101011E-3</v>
      </c>
      <c r="CV171" s="41">
        <f t="shared" ca="1" si="2806"/>
        <v>0</v>
      </c>
      <c r="CW171" s="41">
        <f t="shared" ca="1" si="2807"/>
        <v>0</v>
      </c>
      <c r="CX171" s="41">
        <f t="shared" ca="1" si="2808"/>
        <v>0</v>
      </c>
      <c r="CY171" s="41">
        <f t="shared" ca="1" si="2809"/>
        <v>0</v>
      </c>
      <c r="CZ171" s="41">
        <f t="shared" ca="1" si="2810"/>
        <v>0</v>
      </c>
      <c r="DA171" s="41">
        <f t="shared" ca="1" si="2811"/>
        <v>0</v>
      </c>
      <c r="DB171" s="41">
        <f t="shared" ca="1" si="2812"/>
        <v>0</v>
      </c>
      <c r="DC171" s="41">
        <f t="shared" ca="1" si="2813"/>
        <v>0</v>
      </c>
      <c r="DD171" s="41">
        <f t="shared" ca="1" si="2814"/>
        <v>0</v>
      </c>
      <c r="DE171" s="41">
        <f t="shared" ca="1" si="2815"/>
        <v>0</v>
      </c>
      <c r="DF171" s="41">
        <f t="shared" ca="1" si="2816"/>
        <v>0</v>
      </c>
      <c r="DG171" s="41">
        <f t="shared" ca="1" si="2817"/>
        <v>0</v>
      </c>
      <c r="DH171" s="41">
        <f t="shared" ca="1" si="2818"/>
        <v>0</v>
      </c>
      <c r="DI171" s="41">
        <f t="shared" ca="1" si="2819"/>
        <v>0</v>
      </c>
      <c r="DJ171" s="41">
        <f t="shared" ca="1" si="2820"/>
        <v>0</v>
      </c>
      <c r="DK171" s="41">
        <f t="shared" ca="1" si="2821"/>
        <v>0</v>
      </c>
      <c r="DL171" s="41">
        <f t="shared" ca="1" si="2822"/>
        <v>0</v>
      </c>
      <c r="DM171" s="41">
        <f t="shared" ca="1" si="2823"/>
        <v>0</v>
      </c>
      <c r="DN171" s="41">
        <f t="shared" ca="1" si="2824"/>
        <v>6.9642359697430767E-2</v>
      </c>
      <c r="DP171" s="41">
        <f t="shared" ca="1" si="2825"/>
        <v>0.92306692307692251</v>
      </c>
      <c r="DQ171" s="41">
        <f t="shared" ca="1" si="2826"/>
        <v>7.6903076923077518E-2</v>
      </c>
      <c r="DR171" s="41">
        <f t="shared" ca="1" si="2827"/>
        <v>-3.0000000000000001E-5</v>
      </c>
      <c r="DS171" s="41">
        <f t="shared" ca="1" si="2828"/>
        <v>-4.0000000000000003E-5</v>
      </c>
      <c r="DT171" s="41">
        <f t="shared" ca="1" si="2829"/>
        <v>-5.0000000000000002E-5</v>
      </c>
      <c r="DU171" s="41">
        <f t="shared" ca="1" si="2830"/>
        <v>-6.0000000000000002E-5</v>
      </c>
      <c r="DV171" s="41">
        <f t="shared" ca="1" si="2831"/>
        <v>-6.9999999999999994E-5</v>
      </c>
      <c r="DW171" s="41">
        <f t="shared" ca="1" si="2832"/>
        <v>-8.0000000000000007E-5</v>
      </c>
      <c r="DX171" s="41">
        <f t="shared" ca="1" si="2833"/>
        <v>-9.0000000000000006E-5</v>
      </c>
      <c r="DY171" s="41">
        <f t="shared" ca="1" si="2834"/>
        <v>-1E-4</v>
      </c>
      <c r="DZ171" s="41">
        <f t="shared" ca="1" si="2835"/>
        <v>-1.1E-4</v>
      </c>
      <c r="EA171" s="41">
        <f t="shared" ca="1" si="2836"/>
        <v>-1.2E-4</v>
      </c>
      <c r="EB171" s="41">
        <f t="shared" ca="1" si="2837"/>
        <v>-1.2999999999999999E-4</v>
      </c>
      <c r="EC171" s="41">
        <f t="shared" ca="1" si="2838"/>
        <v>-1.3999999999999999E-4</v>
      </c>
      <c r="ED171" s="41">
        <f t="shared" ca="1" si="2839"/>
        <v>-1.4999999999999999E-4</v>
      </c>
      <c r="EE171" s="41">
        <f t="shared" ca="1" si="2840"/>
        <v>-1.6000000000000001E-4</v>
      </c>
      <c r="EF171" s="41">
        <f t="shared" ca="1" si="2841"/>
        <v>-1.7000000000000001E-4</v>
      </c>
      <c r="EG171" s="41">
        <f t="shared" ca="1" si="2842"/>
        <v>-1.8000000000000001E-4</v>
      </c>
      <c r="EH171" s="41">
        <f t="shared" ca="1" si="2843"/>
        <v>-1.9000000000000001E-4</v>
      </c>
      <c r="EI171" s="41">
        <f t="shared" ca="1" si="2844"/>
        <v>-2.0000000000000001E-4</v>
      </c>
      <c r="EJ171" s="41">
        <f t="shared" ca="1" si="2845"/>
        <v>0.99790000000000001</v>
      </c>
      <c r="EL171" s="378">
        <f t="shared" ca="1" si="2846"/>
        <v>1</v>
      </c>
      <c r="EM171" s="378">
        <f t="shared" ca="1" si="2847"/>
        <v>2</v>
      </c>
      <c r="EN171" s="378">
        <f t="shared" ca="1" si="2848"/>
        <v>3</v>
      </c>
      <c r="EO171" s="378">
        <f t="shared" ca="1" si="2849"/>
        <v>4</v>
      </c>
      <c r="EP171" s="378">
        <f t="shared" ca="1" si="2850"/>
        <v>5</v>
      </c>
      <c r="EQ171" s="378">
        <f t="shared" ca="1" si="2851"/>
        <v>6</v>
      </c>
      <c r="ER171" s="378">
        <f t="shared" ca="1" si="2852"/>
        <v>7</v>
      </c>
      <c r="ES171" s="378">
        <f t="shared" ca="1" si="2853"/>
        <v>8</v>
      </c>
      <c r="ET171" s="378">
        <f t="shared" ca="1" si="2854"/>
        <v>9</v>
      </c>
      <c r="EU171" s="378">
        <f t="shared" ca="1" si="2855"/>
        <v>10</v>
      </c>
      <c r="EV171" s="378">
        <f t="shared" ca="1" si="2856"/>
        <v>11</v>
      </c>
      <c r="EW171" s="378">
        <f t="shared" ca="1" si="2857"/>
        <v>12</v>
      </c>
      <c r="EX171" s="378">
        <f t="shared" ca="1" si="2858"/>
        <v>13</v>
      </c>
      <c r="EY171" s="378">
        <f t="shared" ca="1" si="2859"/>
        <v>14</v>
      </c>
      <c r="EZ171" s="378">
        <f t="shared" ca="1" si="2860"/>
        <v>15</v>
      </c>
      <c r="FA171" s="378">
        <f t="shared" ca="1" si="2861"/>
        <v>16</v>
      </c>
      <c r="FB171" s="378">
        <f t="shared" ca="1" si="2862"/>
        <v>17</v>
      </c>
      <c r="FC171" s="378">
        <f t="shared" ca="1" si="2863"/>
        <v>18</v>
      </c>
      <c r="FD171" s="378">
        <f t="shared" ca="1" si="2864"/>
        <v>19</v>
      </c>
      <c r="FE171" s="378">
        <f t="shared" ca="1" si="2865"/>
        <v>20</v>
      </c>
      <c r="FG171" s="378">
        <f t="shared" ca="1" si="2866"/>
        <v>1</v>
      </c>
      <c r="FH171" s="378">
        <f t="shared" ca="1" si="2866"/>
        <v>2</v>
      </c>
      <c r="FI171" s="378">
        <f t="shared" ca="1" si="2866"/>
        <v>3</v>
      </c>
      <c r="FJ171" s="378">
        <f t="shared" ca="1" si="2866"/>
        <v>4</v>
      </c>
      <c r="FK171" s="378">
        <f t="shared" ca="1" si="2866"/>
        <v>5</v>
      </c>
      <c r="FL171" s="378">
        <f t="shared" ca="1" si="2866"/>
        <v>6</v>
      </c>
      <c r="FM171" s="378">
        <f t="shared" ca="1" si="2866"/>
        <v>7</v>
      </c>
      <c r="FN171" s="378">
        <f t="shared" ca="1" si="2866"/>
        <v>8</v>
      </c>
      <c r="FO171" s="378">
        <f t="shared" ca="1" si="2866"/>
        <v>9</v>
      </c>
      <c r="FP171" s="378">
        <f t="shared" ca="1" si="2866"/>
        <v>10</v>
      </c>
      <c r="FQ171" s="378">
        <f t="shared" ca="1" si="2866"/>
        <v>11</v>
      </c>
      <c r="FR171" s="378">
        <f t="shared" ca="1" si="2866"/>
        <v>12</v>
      </c>
      <c r="FS171" s="378">
        <f t="shared" ca="1" si="2866"/>
        <v>13</v>
      </c>
      <c r="FT171" s="378">
        <f t="shared" ca="1" si="2866"/>
        <v>14</v>
      </c>
      <c r="FU171" s="378">
        <f t="shared" ca="1" si="2866"/>
        <v>15</v>
      </c>
      <c r="FV171" s="378">
        <f t="shared" ca="1" si="2866"/>
        <v>16</v>
      </c>
      <c r="FW171" s="378">
        <f t="shared" ca="1" si="2867"/>
        <v>17</v>
      </c>
      <c r="FX171" s="378">
        <f t="shared" ca="1" si="2867"/>
        <v>18</v>
      </c>
      <c r="FY171" s="378">
        <f t="shared" ca="1" si="2867"/>
        <v>19</v>
      </c>
      <c r="FZ171" s="378">
        <f t="shared" ca="1" si="2867"/>
        <v>20</v>
      </c>
      <c r="GB171" s="275" t="str">
        <f t="shared" ca="1" si="2868"/>
        <v>Metadata management (92%)</v>
      </c>
      <c r="GC171" s="231" t="str">
        <f t="shared" ca="1" si="2869"/>
        <v/>
      </c>
      <c r="GD171" s="231" t="str">
        <f t="shared" ca="1" si="2870"/>
        <v/>
      </c>
      <c r="GE171" s="231" t="str">
        <f t="shared" ca="1" si="2871"/>
        <v/>
      </c>
      <c r="GF171" s="231" t="str">
        <f t="shared" ca="1" si="2872"/>
        <v/>
      </c>
      <c r="GG171" s="231" t="str">
        <f t="shared" ca="1" si="2873"/>
        <v/>
      </c>
      <c r="GH171" s="231" t="str">
        <f t="shared" ca="1" si="2874"/>
        <v/>
      </c>
      <c r="GI171" s="231" t="str">
        <f t="shared" ca="1" si="2875"/>
        <v/>
      </c>
      <c r="GJ171" s="231" t="str">
        <f t="shared" ca="1" si="2876"/>
        <v/>
      </c>
      <c r="GK171" s="231" t="str">
        <f t="shared" ca="1" si="2877"/>
        <v/>
      </c>
      <c r="GL171" s="231" t="str">
        <f t="shared" ca="1" si="2878"/>
        <v/>
      </c>
      <c r="GM171" s="231" t="str">
        <f t="shared" ca="1" si="2879"/>
        <v/>
      </c>
      <c r="GN171" s="231" t="str">
        <f t="shared" ca="1" si="2880"/>
        <v/>
      </c>
      <c r="GO171" s="231" t="str">
        <f t="shared" ca="1" si="2881"/>
        <v/>
      </c>
      <c r="GP171" s="231" t="str">
        <f t="shared" ca="1" si="2882"/>
        <v/>
      </c>
      <c r="GQ171" s="231" t="str">
        <f t="shared" ca="1" si="2883"/>
        <v/>
      </c>
      <c r="GR171" s="231" t="str">
        <f t="shared" ca="1" si="2884"/>
        <v/>
      </c>
      <c r="GS171" s="231" t="str">
        <f t="shared" ca="1" si="2885"/>
        <v/>
      </c>
      <c r="GT171" s="231" t="str">
        <f t="shared" ca="1" si="2886"/>
        <v/>
      </c>
      <c r="GU171" s="231" t="str">
        <f t="shared" ca="1" si="2887"/>
        <v/>
      </c>
      <c r="GW171" s="377">
        <f ca="1">IF(ISERROR(OFFSET(Initiatives!$D$1,E171-1,$CB$3)),,OFFSET(Initiatives!$D$1,E171-1,$CB$3))</f>
        <v>0.75</v>
      </c>
      <c r="GX171" s="377">
        <f ca="1">IF(ISERROR(OFFSET(Initiatives!$D$1,F171-1,$CB$3)),,OFFSET(Initiatives!$D$1,F171-1,$CB$3))</f>
        <v>0.9</v>
      </c>
      <c r="GY171" s="377">
        <f ca="1">IF(ISERROR(OFFSET(Initiatives!$D$1,G171-1,$CB$3)),,OFFSET(Initiatives!$D$1,G171-1,$CB$3))</f>
        <v>0</v>
      </c>
      <c r="GZ171" s="377">
        <f ca="1">IF(ISERROR(OFFSET(Initiatives!$D$1,H171-1,$CB$3)),,OFFSET(Initiatives!$D$1,H171-1,$CB$3))</f>
        <v>0</v>
      </c>
      <c r="HA171" s="377">
        <f ca="1">IF(ISERROR(OFFSET(Initiatives!$D$1,I171-1,$CB$3)),,OFFSET(Initiatives!$D$1,I171-1,$CB$3))</f>
        <v>0</v>
      </c>
      <c r="HB171" s="377">
        <f ca="1">IF(ISERROR(OFFSET(Initiatives!$D$1,J171-1,$CB$3)),,OFFSET(Initiatives!$D$1,J171-1,$CB$3))</f>
        <v>0</v>
      </c>
      <c r="HC171" s="377">
        <f ca="1">IF(ISERROR(OFFSET(Initiatives!$D$1,K171-1,$CB$3)),,OFFSET(Initiatives!$D$1,K171-1,$CB$3))</f>
        <v>0</v>
      </c>
      <c r="HD171" s="377">
        <f ca="1">IF(ISERROR(OFFSET(Initiatives!$D$1,L171-1,$CB$3)),,OFFSET(Initiatives!$D$1,L171-1,$CB$3))</f>
        <v>0</v>
      </c>
      <c r="HE171" s="377">
        <f ca="1">IF(ISERROR(OFFSET(Initiatives!$D$1,M171-1,$CB$3)),,OFFSET(Initiatives!$D$1,M171-1,$CB$3))</f>
        <v>0</v>
      </c>
      <c r="HF171" s="377">
        <f ca="1">IF(ISERROR(OFFSET(Initiatives!$D$1,N171-1,$CB$3)),,OFFSET(Initiatives!$D$1,N171-1,$CB$3))</f>
        <v>0</v>
      </c>
      <c r="HG171" s="377">
        <f ca="1">IF(ISERROR(OFFSET(Initiatives!$D$1,O171-1,$CB$3)),,OFFSET(Initiatives!$D$1,O171-1,$CB$3))</f>
        <v>0</v>
      </c>
      <c r="HH171" s="377">
        <f ca="1">IF(ISERROR(OFFSET(Initiatives!$D$1,P171-1,$CB$3)),,OFFSET(Initiatives!$D$1,P171-1,$CB$3))</f>
        <v>0</v>
      </c>
      <c r="HI171" s="377">
        <f ca="1">IF(ISERROR(OFFSET(Initiatives!$D$1,Q171-1,$CB$3)),,OFFSET(Initiatives!$D$1,Q171-1,$CB$3))</f>
        <v>0</v>
      </c>
      <c r="HJ171" s="377">
        <f ca="1">IF(ISERROR(OFFSET(Initiatives!$D$1,R171-1,$CB$3)),,OFFSET(Initiatives!$D$1,R171-1,$CB$3))</f>
        <v>0</v>
      </c>
      <c r="HK171" s="377">
        <f ca="1">IF(ISERROR(OFFSET(Initiatives!$D$1,S171-1,$CB$3)),,OFFSET(Initiatives!$D$1,S171-1,$CB$3))</f>
        <v>0</v>
      </c>
      <c r="HL171" s="377">
        <f ca="1">IF(ISERROR(OFFSET(Initiatives!$D$1,T171-1,$CB$3)),,OFFSET(Initiatives!$D$1,T171-1,$CB$3))</f>
        <v>0</v>
      </c>
      <c r="HM171" s="377">
        <f ca="1">IF(ISERROR(OFFSET(Initiatives!$D$1,U171-1,$CB$3)),,OFFSET(Initiatives!$D$1,U171-1,$CB$3))</f>
        <v>0</v>
      </c>
      <c r="HN171" s="377">
        <f ca="1">IF(ISERROR(OFFSET(Initiatives!$D$1,V171-1,$CB$3)),,OFFSET(Initiatives!$D$1,V171-1,$CB$3))</f>
        <v>0</v>
      </c>
      <c r="HO171" s="377">
        <f ca="1">IF(ISERROR(OFFSET(Initiatives!$D$1,W171-1,$CB$3)),,OFFSET(Initiatives!$D$1,W171-1,$CB$3))</f>
        <v>0</v>
      </c>
      <c r="HP171" s="377">
        <f ca="1">IF(ISERROR(OFFSET(Initiatives!$D$1,X171-1,$CB$3)),,OFFSET(Initiatives!$D$1,X171-1,$CB$3))</f>
        <v>0</v>
      </c>
      <c r="HR171" s="41">
        <f t="shared" ca="1" si="2888"/>
        <v>0.48213941328990506</v>
      </c>
      <c r="HS171" s="41">
        <f t="shared" ca="1" si="2889"/>
        <v>0.32142627552660341</v>
      </c>
      <c r="HT171" s="41">
        <f t="shared" ca="1" si="2890"/>
        <v>0</v>
      </c>
      <c r="HU171" s="41">
        <f t="shared" ca="1" si="2891"/>
        <v>0</v>
      </c>
      <c r="HV171" s="41">
        <f t="shared" ca="1" si="2892"/>
        <v>0</v>
      </c>
      <c r="HW171" s="41">
        <f t="shared" ca="1" si="2893"/>
        <v>0</v>
      </c>
      <c r="HX171" s="41">
        <f t="shared" ca="1" si="2894"/>
        <v>0</v>
      </c>
      <c r="HY171" s="41">
        <f t="shared" ca="1" si="2895"/>
        <v>0</v>
      </c>
      <c r="HZ171" s="41">
        <f t="shared" ca="1" si="2896"/>
        <v>0</v>
      </c>
      <c r="IA171" s="41">
        <f t="shared" ca="1" si="2897"/>
        <v>0</v>
      </c>
      <c r="IB171" s="41">
        <f t="shared" ca="1" si="2898"/>
        <v>0</v>
      </c>
      <c r="IC171" s="41">
        <f t="shared" ca="1" si="2899"/>
        <v>0</v>
      </c>
      <c r="ID171" s="41">
        <f t="shared" ca="1" si="2900"/>
        <v>0</v>
      </c>
      <c r="IE171" s="41">
        <f t="shared" ca="1" si="2901"/>
        <v>0</v>
      </c>
      <c r="IF171" s="41">
        <f t="shared" ca="1" si="2902"/>
        <v>0</v>
      </c>
      <c r="IG171" s="41">
        <f t="shared" ca="1" si="2903"/>
        <v>0</v>
      </c>
      <c r="IH171" s="41">
        <f t="shared" ca="1" si="2904"/>
        <v>0</v>
      </c>
      <c r="II171" s="41">
        <f t="shared" ca="1" si="2905"/>
        <v>0</v>
      </c>
      <c r="IJ171" s="41">
        <f t="shared" ca="1" si="2906"/>
        <v>0</v>
      </c>
      <c r="IK171" s="41">
        <f t="shared" ca="1" si="2907"/>
        <v>0</v>
      </c>
      <c r="IL171" s="41">
        <f t="shared" ca="1" si="2908"/>
        <v>0.80356568881650847</v>
      </c>
    </row>
    <row r="172" spans="1:246" s="409" customFormat="1" ht="15" hidden="1" customHeight="1">
      <c r="B172" s="373"/>
      <c r="C172" s="81" t="str">
        <f>Maturity!B58</f>
        <v>Which below most closely reflects the RATIO of power users to casual users in your BI/DW environment?</v>
      </c>
      <c r="D172" s="404">
        <f t="shared" ca="1" si="2798"/>
        <v>0.54221860743150585</v>
      </c>
      <c r="E172" s="374">
        <f>ROW(Initiatives!$A$170)</f>
        <v>170</v>
      </c>
      <c r="F172" s="374">
        <f>ROW(Initiatives!$A$189)</f>
        <v>189</v>
      </c>
      <c r="G172" s="374"/>
      <c r="H172" s="374"/>
      <c r="I172" s="374"/>
      <c r="J172" s="374"/>
      <c r="K172" s="374"/>
      <c r="L172" s="374"/>
      <c r="M172" s="374"/>
      <c r="N172" s="374"/>
      <c r="O172" s="374" t="s">
        <v>975</v>
      </c>
      <c r="P172" s="374" t="s">
        <v>975</v>
      </c>
      <c r="Q172" s="374" t="s">
        <v>975</v>
      </c>
      <c r="R172" s="374" t="s">
        <v>975</v>
      </c>
      <c r="S172" s="374" t="s">
        <v>975</v>
      </c>
      <c r="T172" s="374" t="s">
        <v>975</v>
      </c>
      <c r="U172" s="374" t="s">
        <v>975</v>
      </c>
      <c r="V172" s="374" t="s">
        <v>975</v>
      </c>
      <c r="W172" s="374" t="s">
        <v>975</v>
      </c>
      <c r="X172" s="374" t="s">
        <v>975</v>
      </c>
      <c r="Y172" s="392" t="str">
        <f ca="1">OFFSET(Initiatives!$D$1,E172-1,$BS$3)</f>
        <v>BI Applications</v>
      </c>
      <c r="Z172" s="375">
        <v>6</v>
      </c>
      <c r="AA172" s="392" t="str">
        <f ca="1">OFFSET(Initiatives!$D$1,F172-1,$BS$3)</f>
        <v>Enhance BI Platform</v>
      </c>
      <c r="AB172" s="375">
        <v>9</v>
      </c>
      <c r="AC172" s="392" t="e">
        <f ca="1">OFFSET(Initiatives!$D$1,G172-1,$BS$3)</f>
        <v>#REF!</v>
      </c>
      <c r="AD172" s="375"/>
      <c r="AE172" s="392" t="e">
        <f ca="1">OFFSET(Initiatives!$D$1,H172-1,$BS$3)</f>
        <v>#REF!</v>
      </c>
      <c r="AF172" s="375"/>
      <c r="AG172" s="392" t="e">
        <f ca="1">OFFSET(Initiatives!$D$1,I172-1,$BS$3)</f>
        <v>#REF!</v>
      </c>
      <c r="AH172" s="375"/>
      <c r="AI172" s="392" t="e">
        <f ca="1">OFFSET(Initiatives!$D$1,J172-1,$BS$3)</f>
        <v>#REF!</v>
      </c>
      <c r="AJ172" s="375"/>
      <c r="AK172" s="392" t="e">
        <f ca="1">OFFSET(Initiatives!$D$1,K172-1,$BS$3)</f>
        <v>#REF!</v>
      </c>
      <c r="AL172" s="375"/>
      <c r="AM172" s="392" t="e">
        <f ca="1">OFFSET(Initiatives!$D$1,L172-1,$BS$3)</f>
        <v>#REF!</v>
      </c>
      <c r="AN172" s="375"/>
      <c r="AO172" s="392" t="e">
        <f ca="1">OFFSET(Initiatives!$D$1,M172-1,$BS$3)</f>
        <v>#REF!</v>
      </c>
      <c r="AP172" s="375"/>
      <c r="AQ172" s="392" t="e">
        <f ca="1">OFFSET(Initiatives!$D$1,N172-1,$BS$3)</f>
        <v>#REF!</v>
      </c>
      <c r="AR172" s="375"/>
      <c r="AS172" s="392" t="e">
        <f ca="1">OFFSET(Initiatives!$D$1,O172-1,$BS$3)</f>
        <v>#VALUE!</v>
      </c>
      <c r="AT172" s="375"/>
      <c r="AU172" s="392" t="e">
        <f ca="1">OFFSET(Initiatives!$D$1,P172-1,$BS$3)</f>
        <v>#VALUE!</v>
      </c>
      <c r="AV172" s="375"/>
      <c r="AW172" s="392" t="e">
        <f ca="1">OFFSET(Initiatives!$D$1,Q172-1,$BS$3)</f>
        <v>#VALUE!</v>
      </c>
      <c r="AX172" s="375"/>
      <c r="AY172" s="392" t="e">
        <f ca="1">OFFSET(Initiatives!$D$1,R172-1,$BS$3)</f>
        <v>#VALUE!</v>
      </c>
      <c r="AZ172" s="375"/>
      <c r="BA172" s="392" t="e">
        <f ca="1">OFFSET(Initiatives!$D$1,S172-1,$BS$3)</f>
        <v>#VALUE!</v>
      </c>
      <c r="BB172" s="375"/>
      <c r="BC172" s="392" t="e">
        <f ca="1">OFFSET(Initiatives!$D$1,T172-1,$BS$3)</f>
        <v>#VALUE!</v>
      </c>
      <c r="BD172" s="375"/>
      <c r="BE172" s="392" t="e">
        <f ca="1">OFFSET(Initiatives!$D$1,U172-1,$BS$3)</f>
        <v>#VALUE!</v>
      </c>
      <c r="BF172" s="375"/>
      <c r="BG172" s="392" t="e">
        <f ca="1">OFFSET(Initiatives!$D$1,V172-1,$BS$3)</f>
        <v>#VALUE!</v>
      </c>
      <c r="BH172" s="375"/>
      <c r="BI172" s="392" t="e">
        <f ca="1">OFFSET(Initiatives!$D$1,W172-1,$BS$3)</f>
        <v>#VALUE!</v>
      </c>
      <c r="BJ172" s="375"/>
      <c r="BK172" s="392" t="e">
        <f ca="1">OFFSET(Initiatives!$D$1,X172-1,$BS$3)</f>
        <v>#VALUE!</v>
      </c>
      <c r="BL172" s="375"/>
      <c r="BN172" s="101">
        <f t="shared" si="2799"/>
        <v>15.0001</v>
      </c>
      <c r="BP172" s="231" t="str">
        <f t="shared" ca="1" si="2800"/>
        <v>Enhance BI Platform (66%); BI Applications (34%)</v>
      </c>
      <c r="BQ172" s="338">
        <v>0.01</v>
      </c>
      <c r="BR172" s="40">
        <f t="shared" ca="1" si="2801"/>
        <v>2</v>
      </c>
      <c r="BS172" s="274">
        <v>0.05</v>
      </c>
      <c r="BT172" s="40">
        <f t="shared" ca="1" si="2802"/>
        <v>2</v>
      </c>
      <c r="BU172" s="376">
        <v>7</v>
      </c>
      <c r="BV172" s="40">
        <f t="shared" ca="1" si="2803"/>
        <v>2</v>
      </c>
      <c r="BY172" s="377">
        <f ca="1">IF(ISERROR(OFFSET(Initiatives!$D$1,E172-1,$BY$3)),,OFFSET(Initiatives!$D$1,E172-1,$BY$3))</f>
        <v>0.45555555555555544</v>
      </c>
      <c r="BZ172" s="377">
        <f ca="1">IF(ISERROR(OFFSET(Initiatives!$D$1,F172-1,$BY$3)),,OFFSET(Initiatives!$D$1,F172-1,$BY$3))</f>
        <v>0.6</v>
      </c>
      <c r="CA172" s="377">
        <f ca="1">IF(ISERROR(OFFSET(Initiatives!$D$1,G172-1,$BY$3)),,OFFSET(Initiatives!$D$1,G172-1,$BY$3))</f>
        <v>0</v>
      </c>
      <c r="CB172" s="377">
        <f ca="1">IF(ISERROR(OFFSET(Initiatives!$D$1,H172-1,$BY$3)),,OFFSET(Initiatives!$D$1,H172-1,$BY$3))</f>
        <v>0</v>
      </c>
      <c r="CC172" s="377">
        <f ca="1">IF(ISERROR(OFFSET(Initiatives!$D$1,I172-1,$BY$3)),,OFFSET(Initiatives!$D$1,I172-1,$BY$3))</f>
        <v>0</v>
      </c>
      <c r="CD172" s="377">
        <f ca="1">IF(ISERROR(OFFSET(Initiatives!$D$1,J172-1,$BY$3)),,OFFSET(Initiatives!$D$1,J172-1,$BY$3))</f>
        <v>0</v>
      </c>
      <c r="CE172" s="377">
        <f ca="1">IF(ISERROR(OFFSET(Initiatives!$D$1,K172-1,$BY$3)),,OFFSET(Initiatives!$D$1,K172-1,$BY$3))</f>
        <v>0</v>
      </c>
      <c r="CF172" s="377">
        <f ca="1">IF(ISERROR(OFFSET(Initiatives!$D$1,L172-1,$BY$3)),,OFFSET(Initiatives!$D$1,L172-1,$BY$3))</f>
        <v>0</v>
      </c>
      <c r="CG172" s="377">
        <f ca="1">IF(ISERROR(OFFSET(Initiatives!$D$1,M172-1,$BY$3)),,OFFSET(Initiatives!$D$1,M172-1,$BY$3))</f>
        <v>0</v>
      </c>
      <c r="CH172" s="377">
        <f ca="1">IF(ISERROR(OFFSET(Initiatives!$D$1,N172-1,$BY$3)),,OFFSET(Initiatives!$D$1,N172-1,$BY$3))</f>
        <v>0</v>
      </c>
      <c r="CI172" s="377">
        <f ca="1">IF(ISERROR(OFFSET(Initiatives!$D$1,O172-1,$BY$3)),,OFFSET(Initiatives!$D$1,O172-1,$BY$3))</f>
        <v>0</v>
      </c>
      <c r="CJ172" s="377">
        <f ca="1">IF(ISERROR(OFFSET(Initiatives!$D$1,P172-1,$BY$3)),,OFFSET(Initiatives!$D$1,P172-1,$BY$3))</f>
        <v>0</v>
      </c>
      <c r="CK172" s="377">
        <f ca="1">IF(ISERROR(OFFSET(Initiatives!$D$1,Q172-1,$BY$3)),,OFFSET(Initiatives!$D$1,Q172-1,$BY$3))</f>
        <v>0</v>
      </c>
      <c r="CL172" s="377">
        <f ca="1">IF(ISERROR(OFFSET(Initiatives!$D$1,R172-1,$BY$3)),,OFFSET(Initiatives!$D$1,R172-1,$BY$3))</f>
        <v>0</v>
      </c>
      <c r="CM172" s="377">
        <f ca="1">IF(ISERROR(OFFSET(Initiatives!$D$1,S172-1,$BY$3)),,OFFSET(Initiatives!$D$1,S172-1,$BY$3))</f>
        <v>0</v>
      </c>
      <c r="CN172" s="377">
        <f ca="1">IF(ISERROR(OFFSET(Initiatives!$D$1,T172-1,$BY$3)),,OFFSET(Initiatives!$D$1,T172-1,$BY$3))</f>
        <v>0</v>
      </c>
      <c r="CO172" s="377">
        <f ca="1">IF(ISERROR(OFFSET(Initiatives!$D$1,U172-1,$BY$3)),,OFFSET(Initiatives!$D$1,U172-1,$BY$3))</f>
        <v>0</v>
      </c>
      <c r="CP172" s="377">
        <f ca="1">IF(ISERROR(OFFSET(Initiatives!$D$1,V172-1,$BY$3)),,OFFSET(Initiatives!$D$1,V172-1,$BY$3))</f>
        <v>0</v>
      </c>
      <c r="CQ172" s="377">
        <f ca="1">IF(ISERROR(OFFSET(Initiatives!$D$1,W172-1,$BY$3)),,OFFSET(Initiatives!$D$1,W172-1,$BY$3))</f>
        <v>0</v>
      </c>
      <c r="CR172" s="377">
        <f ca="1">IF(ISERROR(OFFSET(Initiatives!$D$1,X172-1,$BY$3)),,OFFSET(Initiatives!$D$1,X172-1,$BY$3))</f>
        <v>0</v>
      </c>
      <c r="CT172" s="41">
        <f t="shared" ca="1" si="2804"/>
        <v>0.18222100741550606</v>
      </c>
      <c r="CU172" s="41">
        <f t="shared" ca="1" si="2805"/>
        <v>0.35999760001599984</v>
      </c>
      <c r="CV172" s="41">
        <f t="shared" ca="1" si="2806"/>
        <v>0</v>
      </c>
      <c r="CW172" s="41">
        <f t="shared" ca="1" si="2807"/>
        <v>0</v>
      </c>
      <c r="CX172" s="41">
        <f t="shared" ca="1" si="2808"/>
        <v>0</v>
      </c>
      <c r="CY172" s="41">
        <f t="shared" ca="1" si="2809"/>
        <v>0</v>
      </c>
      <c r="CZ172" s="41">
        <f t="shared" ca="1" si="2810"/>
        <v>0</v>
      </c>
      <c r="DA172" s="41">
        <f t="shared" ca="1" si="2811"/>
        <v>0</v>
      </c>
      <c r="DB172" s="41">
        <f t="shared" ca="1" si="2812"/>
        <v>0</v>
      </c>
      <c r="DC172" s="41">
        <f t="shared" ca="1" si="2813"/>
        <v>0</v>
      </c>
      <c r="DD172" s="41">
        <f t="shared" ca="1" si="2814"/>
        <v>0</v>
      </c>
      <c r="DE172" s="41">
        <f t="shared" ca="1" si="2815"/>
        <v>0</v>
      </c>
      <c r="DF172" s="41">
        <f t="shared" ca="1" si="2816"/>
        <v>0</v>
      </c>
      <c r="DG172" s="41">
        <f t="shared" ca="1" si="2817"/>
        <v>0</v>
      </c>
      <c r="DH172" s="41">
        <f t="shared" ca="1" si="2818"/>
        <v>0</v>
      </c>
      <c r="DI172" s="41">
        <f t="shared" ca="1" si="2819"/>
        <v>0</v>
      </c>
      <c r="DJ172" s="41">
        <f t="shared" ca="1" si="2820"/>
        <v>0</v>
      </c>
      <c r="DK172" s="41">
        <f t="shared" ca="1" si="2821"/>
        <v>0</v>
      </c>
      <c r="DL172" s="41">
        <f t="shared" ca="1" si="2822"/>
        <v>0</v>
      </c>
      <c r="DM172" s="41">
        <f t="shared" ca="1" si="2823"/>
        <v>0</v>
      </c>
      <c r="DN172" s="41">
        <f t="shared" ca="1" si="2824"/>
        <v>0.54221860743150585</v>
      </c>
      <c r="DP172" s="41">
        <f t="shared" ca="1" si="2825"/>
        <v>0.33605557377049178</v>
      </c>
      <c r="DQ172" s="41">
        <f t="shared" ca="1" si="2826"/>
        <v>0.66391442622950825</v>
      </c>
      <c r="DR172" s="41">
        <f t="shared" ca="1" si="2827"/>
        <v>-3.0000000000000001E-5</v>
      </c>
      <c r="DS172" s="41">
        <f t="shared" ca="1" si="2828"/>
        <v>-4.0000000000000003E-5</v>
      </c>
      <c r="DT172" s="41">
        <f t="shared" ca="1" si="2829"/>
        <v>-5.0000000000000002E-5</v>
      </c>
      <c r="DU172" s="41">
        <f t="shared" ca="1" si="2830"/>
        <v>-6.0000000000000002E-5</v>
      </c>
      <c r="DV172" s="41">
        <f t="shared" ca="1" si="2831"/>
        <v>-6.9999999999999994E-5</v>
      </c>
      <c r="DW172" s="41">
        <f t="shared" ca="1" si="2832"/>
        <v>-8.0000000000000007E-5</v>
      </c>
      <c r="DX172" s="41">
        <f t="shared" ca="1" si="2833"/>
        <v>-9.0000000000000006E-5</v>
      </c>
      <c r="DY172" s="41">
        <f t="shared" ca="1" si="2834"/>
        <v>-1E-4</v>
      </c>
      <c r="DZ172" s="41">
        <f t="shared" ca="1" si="2835"/>
        <v>-1.1E-4</v>
      </c>
      <c r="EA172" s="41">
        <f t="shared" ca="1" si="2836"/>
        <v>-1.2E-4</v>
      </c>
      <c r="EB172" s="41">
        <f t="shared" ca="1" si="2837"/>
        <v>-1.2999999999999999E-4</v>
      </c>
      <c r="EC172" s="41">
        <f t="shared" ca="1" si="2838"/>
        <v>-1.3999999999999999E-4</v>
      </c>
      <c r="ED172" s="41">
        <f t="shared" ca="1" si="2839"/>
        <v>-1.4999999999999999E-4</v>
      </c>
      <c r="EE172" s="41">
        <f t="shared" ca="1" si="2840"/>
        <v>-1.6000000000000001E-4</v>
      </c>
      <c r="EF172" s="41">
        <f t="shared" ca="1" si="2841"/>
        <v>-1.7000000000000001E-4</v>
      </c>
      <c r="EG172" s="41">
        <f t="shared" ca="1" si="2842"/>
        <v>-1.8000000000000001E-4</v>
      </c>
      <c r="EH172" s="41">
        <f t="shared" ca="1" si="2843"/>
        <v>-1.9000000000000001E-4</v>
      </c>
      <c r="EI172" s="41">
        <f t="shared" ca="1" si="2844"/>
        <v>-2.0000000000000001E-4</v>
      </c>
      <c r="EJ172" s="41">
        <f t="shared" ca="1" si="2845"/>
        <v>0.99790000000000001</v>
      </c>
      <c r="EL172" s="378">
        <f t="shared" ca="1" si="2846"/>
        <v>2</v>
      </c>
      <c r="EM172" s="378">
        <f t="shared" ca="1" si="2847"/>
        <v>1</v>
      </c>
      <c r="EN172" s="378">
        <f t="shared" ca="1" si="2848"/>
        <v>3</v>
      </c>
      <c r="EO172" s="378">
        <f t="shared" ca="1" si="2849"/>
        <v>4</v>
      </c>
      <c r="EP172" s="378">
        <f t="shared" ca="1" si="2850"/>
        <v>5</v>
      </c>
      <c r="EQ172" s="378">
        <f t="shared" ca="1" si="2851"/>
        <v>6</v>
      </c>
      <c r="ER172" s="378">
        <f t="shared" ca="1" si="2852"/>
        <v>7</v>
      </c>
      <c r="ES172" s="378">
        <f t="shared" ca="1" si="2853"/>
        <v>8</v>
      </c>
      <c r="ET172" s="378">
        <f t="shared" ca="1" si="2854"/>
        <v>9</v>
      </c>
      <c r="EU172" s="378">
        <f t="shared" ca="1" si="2855"/>
        <v>10</v>
      </c>
      <c r="EV172" s="378">
        <f t="shared" ca="1" si="2856"/>
        <v>11</v>
      </c>
      <c r="EW172" s="378">
        <f t="shared" ca="1" si="2857"/>
        <v>12</v>
      </c>
      <c r="EX172" s="378">
        <f t="shared" ca="1" si="2858"/>
        <v>13</v>
      </c>
      <c r="EY172" s="378">
        <f t="shared" ca="1" si="2859"/>
        <v>14</v>
      </c>
      <c r="EZ172" s="378">
        <f t="shared" ca="1" si="2860"/>
        <v>15</v>
      </c>
      <c r="FA172" s="378">
        <f t="shared" ca="1" si="2861"/>
        <v>16</v>
      </c>
      <c r="FB172" s="378">
        <f t="shared" ca="1" si="2862"/>
        <v>17</v>
      </c>
      <c r="FC172" s="378">
        <f t="shared" ca="1" si="2863"/>
        <v>18</v>
      </c>
      <c r="FD172" s="378">
        <f t="shared" ca="1" si="2864"/>
        <v>19</v>
      </c>
      <c r="FE172" s="378">
        <f t="shared" ca="1" si="2865"/>
        <v>20</v>
      </c>
      <c r="FG172" s="378">
        <f t="shared" ca="1" si="2866"/>
        <v>2</v>
      </c>
      <c r="FH172" s="378">
        <f t="shared" ca="1" si="2866"/>
        <v>1</v>
      </c>
      <c r="FI172" s="378">
        <f t="shared" ca="1" si="2866"/>
        <v>3</v>
      </c>
      <c r="FJ172" s="378">
        <f t="shared" ca="1" si="2866"/>
        <v>4</v>
      </c>
      <c r="FK172" s="378">
        <f t="shared" ca="1" si="2866"/>
        <v>5</v>
      </c>
      <c r="FL172" s="378">
        <f t="shared" ca="1" si="2866"/>
        <v>6</v>
      </c>
      <c r="FM172" s="378">
        <f t="shared" ca="1" si="2866"/>
        <v>7</v>
      </c>
      <c r="FN172" s="378">
        <f t="shared" ca="1" si="2866"/>
        <v>8</v>
      </c>
      <c r="FO172" s="378">
        <f t="shared" ca="1" si="2866"/>
        <v>9</v>
      </c>
      <c r="FP172" s="378">
        <f t="shared" ca="1" si="2866"/>
        <v>10</v>
      </c>
      <c r="FQ172" s="378">
        <f t="shared" ca="1" si="2866"/>
        <v>11</v>
      </c>
      <c r="FR172" s="378">
        <f t="shared" ca="1" si="2866"/>
        <v>12</v>
      </c>
      <c r="FS172" s="378">
        <f t="shared" ca="1" si="2866"/>
        <v>13</v>
      </c>
      <c r="FT172" s="378">
        <f t="shared" ca="1" si="2866"/>
        <v>14</v>
      </c>
      <c r="FU172" s="378">
        <f t="shared" ca="1" si="2866"/>
        <v>15</v>
      </c>
      <c r="FV172" s="378">
        <f t="shared" ca="1" si="2866"/>
        <v>16</v>
      </c>
      <c r="FW172" s="378">
        <f t="shared" ca="1" si="2867"/>
        <v>17</v>
      </c>
      <c r="FX172" s="378">
        <f t="shared" ca="1" si="2867"/>
        <v>18</v>
      </c>
      <c r="FY172" s="378">
        <f t="shared" ca="1" si="2867"/>
        <v>19</v>
      </c>
      <c r="FZ172" s="378">
        <f t="shared" ca="1" si="2867"/>
        <v>20</v>
      </c>
      <c r="GB172" s="275" t="str">
        <f t="shared" ca="1" si="2868"/>
        <v>Enhance BI Platform (66%)</v>
      </c>
      <c r="GC172" s="231" t="str">
        <f t="shared" ca="1" si="2869"/>
        <v>; BI Applications (34%)</v>
      </c>
      <c r="GD172" s="231" t="str">
        <f t="shared" ca="1" si="2870"/>
        <v/>
      </c>
      <c r="GE172" s="231" t="str">
        <f t="shared" ca="1" si="2871"/>
        <v/>
      </c>
      <c r="GF172" s="231" t="str">
        <f t="shared" ca="1" si="2872"/>
        <v/>
      </c>
      <c r="GG172" s="231" t="str">
        <f t="shared" ca="1" si="2873"/>
        <v/>
      </c>
      <c r="GH172" s="231" t="str">
        <f t="shared" ca="1" si="2874"/>
        <v/>
      </c>
      <c r="GI172" s="231" t="str">
        <f t="shared" ca="1" si="2875"/>
        <v/>
      </c>
      <c r="GJ172" s="231" t="str">
        <f t="shared" ca="1" si="2876"/>
        <v/>
      </c>
      <c r="GK172" s="231" t="str">
        <f t="shared" ca="1" si="2877"/>
        <v/>
      </c>
      <c r="GL172" s="231" t="str">
        <f t="shared" ca="1" si="2878"/>
        <v/>
      </c>
      <c r="GM172" s="231" t="str">
        <f t="shared" ca="1" si="2879"/>
        <v/>
      </c>
      <c r="GN172" s="231" t="str">
        <f t="shared" ca="1" si="2880"/>
        <v/>
      </c>
      <c r="GO172" s="231" t="str">
        <f t="shared" ca="1" si="2881"/>
        <v/>
      </c>
      <c r="GP172" s="231" t="str">
        <f t="shared" ca="1" si="2882"/>
        <v/>
      </c>
      <c r="GQ172" s="231" t="str">
        <f t="shared" ca="1" si="2883"/>
        <v/>
      </c>
      <c r="GR172" s="231" t="str">
        <f t="shared" ca="1" si="2884"/>
        <v/>
      </c>
      <c r="GS172" s="231" t="str">
        <f t="shared" ca="1" si="2885"/>
        <v/>
      </c>
      <c r="GT172" s="231" t="str">
        <f t="shared" ca="1" si="2886"/>
        <v/>
      </c>
      <c r="GU172" s="231" t="str">
        <f t="shared" ca="1" si="2887"/>
        <v/>
      </c>
      <c r="GW172" s="377">
        <f ca="1">IF(ISERROR(OFFSET(Initiatives!$D$1,E172-1,$CB$3)),,OFFSET(Initiatives!$D$1,E172-1,$CB$3))</f>
        <v>0.34166666666666662</v>
      </c>
      <c r="GX172" s="377">
        <f ca="1">IF(ISERROR(OFFSET(Initiatives!$D$1,F172-1,$CB$3)),,OFFSET(Initiatives!$D$1,F172-1,$CB$3))</f>
        <v>0.25</v>
      </c>
      <c r="GY172" s="377">
        <f ca="1">IF(ISERROR(OFFSET(Initiatives!$D$1,G172-1,$CB$3)),,OFFSET(Initiatives!$D$1,G172-1,$CB$3))</f>
        <v>0</v>
      </c>
      <c r="GZ172" s="377">
        <f ca="1">IF(ISERROR(OFFSET(Initiatives!$D$1,H172-1,$CB$3)),,OFFSET(Initiatives!$D$1,H172-1,$CB$3))</f>
        <v>0</v>
      </c>
      <c r="HA172" s="377">
        <f ca="1">IF(ISERROR(OFFSET(Initiatives!$D$1,I172-1,$CB$3)),,OFFSET(Initiatives!$D$1,I172-1,$CB$3))</f>
        <v>0</v>
      </c>
      <c r="HB172" s="377">
        <f ca="1">IF(ISERROR(OFFSET(Initiatives!$D$1,J172-1,$CB$3)),,OFFSET(Initiatives!$D$1,J172-1,$CB$3))</f>
        <v>0</v>
      </c>
      <c r="HC172" s="377">
        <f ca="1">IF(ISERROR(OFFSET(Initiatives!$D$1,K172-1,$CB$3)),,OFFSET(Initiatives!$D$1,K172-1,$CB$3))</f>
        <v>0</v>
      </c>
      <c r="HD172" s="377">
        <f ca="1">IF(ISERROR(OFFSET(Initiatives!$D$1,L172-1,$CB$3)),,OFFSET(Initiatives!$D$1,L172-1,$CB$3))</f>
        <v>0</v>
      </c>
      <c r="HE172" s="377">
        <f ca="1">IF(ISERROR(OFFSET(Initiatives!$D$1,M172-1,$CB$3)),,OFFSET(Initiatives!$D$1,M172-1,$CB$3))</f>
        <v>0</v>
      </c>
      <c r="HF172" s="377">
        <f ca="1">IF(ISERROR(OFFSET(Initiatives!$D$1,N172-1,$CB$3)),,OFFSET(Initiatives!$D$1,N172-1,$CB$3))</f>
        <v>0</v>
      </c>
      <c r="HG172" s="377">
        <f ca="1">IF(ISERROR(OFFSET(Initiatives!$D$1,O172-1,$CB$3)),,OFFSET(Initiatives!$D$1,O172-1,$CB$3))</f>
        <v>0</v>
      </c>
      <c r="HH172" s="377">
        <f ca="1">IF(ISERROR(OFFSET(Initiatives!$D$1,P172-1,$CB$3)),,OFFSET(Initiatives!$D$1,P172-1,$CB$3))</f>
        <v>0</v>
      </c>
      <c r="HI172" s="377">
        <f ca="1">IF(ISERROR(OFFSET(Initiatives!$D$1,Q172-1,$CB$3)),,OFFSET(Initiatives!$D$1,Q172-1,$CB$3))</f>
        <v>0</v>
      </c>
      <c r="HJ172" s="377">
        <f ca="1">IF(ISERROR(OFFSET(Initiatives!$D$1,R172-1,$CB$3)),,OFFSET(Initiatives!$D$1,R172-1,$CB$3))</f>
        <v>0</v>
      </c>
      <c r="HK172" s="377">
        <f ca="1">IF(ISERROR(OFFSET(Initiatives!$D$1,S172-1,$CB$3)),,OFFSET(Initiatives!$D$1,S172-1,$CB$3))</f>
        <v>0</v>
      </c>
      <c r="HL172" s="377">
        <f ca="1">IF(ISERROR(OFFSET(Initiatives!$D$1,T172-1,$CB$3)),,OFFSET(Initiatives!$D$1,T172-1,$CB$3))</f>
        <v>0</v>
      </c>
      <c r="HM172" s="377">
        <f ca="1">IF(ISERROR(OFFSET(Initiatives!$D$1,U172-1,$CB$3)),,OFFSET(Initiatives!$D$1,U172-1,$CB$3))</f>
        <v>0</v>
      </c>
      <c r="HN172" s="377">
        <f ca="1">IF(ISERROR(OFFSET(Initiatives!$D$1,V172-1,$CB$3)),,OFFSET(Initiatives!$D$1,V172-1,$CB$3))</f>
        <v>0</v>
      </c>
      <c r="HO172" s="377">
        <f ca="1">IF(ISERROR(OFFSET(Initiatives!$D$1,W172-1,$CB$3)),,OFFSET(Initiatives!$D$1,W172-1,$CB$3))</f>
        <v>0</v>
      </c>
      <c r="HP172" s="377">
        <f ca="1">IF(ISERROR(OFFSET(Initiatives!$D$1,X172-1,$CB$3)),,OFFSET(Initiatives!$D$1,X172-1,$CB$3))</f>
        <v>0</v>
      </c>
      <c r="HR172" s="41">
        <f t="shared" ca="1" si="2888"/>
        <v>0.13666575556162958</v>
      </c>
      <c r="HS172" s="41">
        <f t="shared" ca="1" si="2889"/>
        <v>0.14999900000666663</v>
      </c>
      <c r="HT172" s="41">
        <f t="shared" ca="1" si="2890"/>
        <v>0</v>
      </c>
      <c r="HU172" s="41">
        <f t="shared" ca="1" si="2891"/>
        <v>0</v>
      </c>
      <c r="HV172" s="41">
        <f t="shared" ca="1" si="2892"/>
        <v>0</v>
      </c>
      <c r="HW172" s="41">
        <f t="shared" ca="1" si="2893"/>
        <v>0</v>
      </c>
      <c r="HX172" s="41">
        <f t="shared" ca="1" si="2894"/>
        <v>0</v>
      </c>
      <c r="HY172" s="41">
        <f t="shared" ca="1" si="2895"/>
        <v>0</v>
      </c>
      <c r="HZ172" s="41">
        <f t="shared" ca="1" si="2896"/>
        <v>0</v>
      </c>
      <c r="IA172" s="41">
        <f t="shared" ca="1" si="2897"/>
        <v>0</v>
      </c>
      <c r="IB172" s="41">
        <f t="shared" ca="1" si="2898"/>
        <v>0</v>
      </c>
      <c r="IC172" s="41">
        <f t="shared" ca="1" si="2899"/>
        <v>0</v>
      </c>
      <c r="ID172" s="41">
        <f t="shared" ca="1" si="2900"/>
        <v>0</v>
      </c>
      <c r="IE172" s="41">
        <f t="shared" ca="1" si="2901"/>
        <v>0</v>
      </c>
      <c r="IF172" s="41">
        <f t="shared" ca="1" si="2902"/>
        <v>0</v>
      </c>
      <c r="IG172" s="41">
        <f t="shared" ca="1" si="2903"/>
        <v>0</v>
      </c>
      <c r="IH172" s="41">
        <f t="shared" ca="1" si="2904"/>
        <v>0</v>
      </c>
      <c r="II172" s="41">
        <f t="shared" ca="1" si="2905"/>
        <v>0</v>
      </c>
      <c r="IJ172" s="41">
        <f t="shared" ca="1" si="2906"/>
        <v>0</v>
      </c>
      <c r="IK172" s="41">
        <f t="shared" ca="1" si="2907"/>
        <v>0</v>
      </c>
      <c r="IL172" s="41">
        <f t="shared" ca="1" si="2908"/>
        <v>0.28666475556829618</v>
      </c>
    </row>
    <row r="173" spans="1:246" hidden="1"/>
    <row r="174" spans="1:246" s="441" customFormat="1" ht="21" hidden="1">
      <c r="A174" s="1" t="s">
        <v>1080</v>
      </c>
      <c r="BP174" s="29"/>
    </row>
    <row r="175" spans="1:246" s="441" customFormat="1" ht="15" hidden="1">
      <c r="B175" s="6">
        <f>Maturity!A61</f>
        <v>0</v>
      </c>
      <c r="BP175" s="29"/>
    </row>
    <row r="176" spans="1:246" s="441" customFormat="1" ht="14.25" hidden="1" customHeight="1">
      <c r="B176" s="373"/>
      <c r="C176" s="443" t="str">
        <f>'Costs - HWSW'!D$4</f>
        <v>DW Database</v>
      </c>
      <c r="D176" s="404">
        <f t="shared" ref="D176" ca="1" si="2909">DN176</f>
        <v>0.32991487453520019</v>
      </c>
      <c r="E176" s="374">
        <f>ROW(Initiatives!$A$104)</f>
        <v>104</v>
      </c>
      <c r="F176" s="374">
        <f>ROW(Initiatives!$A$110)</f>
        <v>110</v>
      </c>
      <c r="G176" s="374">
        <f>ROW(Initiatives!$A$115)</f>
        <v>115</v>
      </c>
      <c r="H176" s="374">
        <f>ROW(Initiatives!$A$121)</f>
        <v>121</v>
      </c>
      <c r="I176" s="374">
        <f>ROW(Initiatives!$A$127)</f>
        <v>127</v>
      </c>
      <c r="J176" s="374">
        <f>ROW(Initiatives!$A$139)</f>
        <v>139</v>
      </c>
      <c r="K176" s="374">
        <f>ROW(Initiatives!$A$146)</f>
        <v>146</v>
      </c>
      <c r="L176" s="374">
        <f>ROW(Initiatives!$A$148)</f>
        <v>148</v>
      </c>
      <c r="M176" s="374">
        <f>ROW(Initiatives!$A$149)</f>
        <v>149</v>
      </c>
      <c r="N176" s="374">
        <f>ROW(Initiatives!$A$150)</f>
        <v>150</v>
      </c>
      <c r="O176" s="374">
        <f>ROW(Initiatives!$A$151)</f>
        <v>151</v>
      </c>
      <c r="P176" s="374">
        <f>ROW(Initiatives!$A$152)</f>
        <v>152</v>
      </c>
      <c r="Q176" s="374">
        <f>ROW(Initiatives!$A$154)</f>
        <v>154</v>
      </c>
      <c r="R176" s="374">
        <f>ROW(Initiatives!$A$161)</f>
        <v>161</v>
      </c>
      <c r="S176" s="374">
        <f>ROW(Initiatives!$A$242)</f>
        <v>242</v>
      </c>
      <c r="T176" s="374">
        <f>ROW(Initiatives!$A$248)</f>
        <v>248</v>
      </c>
      <c r="U176" s="374" t="s">
        <v>975</v>
      </c>
      <c r="V176" s="374" t="s">
        <v>975</v>
      </c>
      <c r="W176" s="374" t="s">
        <v>975</v>
      </c>
      <c r="X176" s="374" t="s">
        <v>975</v>
      </c>
      <c r="Y176" s="459" t="str">
        <f ca="1">OFFSET(Initiatives!$D$1,E176-1,$BS$3)</f>
        <v>Architecture Standards &amp; Adherence</v>
      </c>
      <c r="Z176" s="375"/>
      <c r="AA176" s="459" t="str">
        <f ca="1">OFFSET(Initiatives!$D$1,F176-1,$BS$3)</f>
        <v>Data Management</v>
      </c>
      <c r="AB176" s="375"/>
      <c r="AC176" s="459" t="str">
        <f ca="1">OFFSET(Initiatives!$D$1,G176-1,$BS$3)</f>
        <v>Data Integration/ETL</v>
      </c>
      <c r="AD176" s="375"/>
      <c r="AE176" s="461" t="str">
        <f ca="1">OFFSET(Initiatives!$D$1,H176-1,$BS$3)</f>
        <v>Data Warehouse / Data Marts</v>
      </c>
      <c r="AF176" s="375">
        <v>5</v>
      </c>
      <c r="AG176" s="459" t="str">
        <f ca="1">OFFSET(Initiatives!$D$1,I176-1,$BS$3)</f>
        <v>Development</v>
      </c>
      <c r="AH176" s="375"/>
      <c r="AI176" s="460" t="str">
        <f ca="1">OFFSET(Initiatives!$D$1,J176-1,$BS$3)</f>
        <v>Reporting</v>
      </c>
      <c r="AJ176" s="375"/>
      <c r="AK176" s="460" t="str">
        <f ca="1">OFFSET(Initiatives!$D$1,K176-1,$BS$3)</f>
        <v>Scorecards / Dashboards</v>
      </c>
      <c r="AL176" s="375"/>
      <c r="AM176" s="392" t="str">
        <f ca="1">OFFSET(Initiatives!$D$1,L176-1,$BS$3)</f>
        <v>Broad-reach analytic tools</v>
      </c>
      <c r="AN176" s="375"/>
      <c r="AO176" s="392" t="str">
        <f ca="1">OFFSET(Initiatives!$D$1,M176-1,$BS$3)</f>
        <v>BI/DW platform integration with user tools (e.g. Excel)</v>
      </c>
      <c r="AP176" s="375"/>
      <c r="AQ176" s="392" t="str">
        <f ca="1">OFFSET(Initiatives!$D$1,N176-1,$BS$3)</f>
        <v>Advanced data visualization</v>
      </c>
      <c r="AR176" s="375"/>
      <c r="AS176" s="392" t="str">
        <f ca="1">OFFSET(Initiatives!$D$1,O176-1,$BS$3)</f>
        <v>Advanced analytics</v>
      </c>
      <c r="AT176" s="375"/>
      <c r="AU176" s="392" t="str">
        <f ca="1">OFFSET(Initiatives!$D$1,P176-1,$BS$3)</f>
        <v>Predictive analysis</v>
      </c>
      <c r="AV176" s="375"/>
      <c r="AW176" s="460" t="str">
        <f ca="1">OFFSET(Initiatives!$D$1,Q176-1,$BS$3)</f>
        <v>Analytical Tools</v>
      </c>
      <c r="AX176" s="375"/>
      <c r="AY176" s="460" t="str">
        <f ca="1">OFFSET(Initiatives!$D$1,R176-1,$BS$3)</f>
        <v>Workflow and Collaboration</v>
      </c>
      <c r="AZ176" s="375"/>
      <c r="BA176" s="458" t="str">
        <f ca="1">OFFSET(Initiatives!$D$1,S176-1,$BS$3)</f>
        <v>BI Applications</v>
      </c>
      <c r="BB176" s="375">
        <v>4</v>
      </c>
      <c r="BC176" s="458" t="str">
        <f ca="1">OFFSET(Initiatives!$D$1,T176-1,$BS$3)</f>
        <v>Source System Inclusion / Integration</v>
      </c>
      <c r="BD176" s="375">
        <v>8</v>
      </c>
      <c r="BE176" s="392" t="e">
        <f ca="1">OFFSET(Initiatives!$D$1,U176-1,$BS$3)</f>
        <v>#VALUE!</v>
      </c>
      <c r="BF176" s="375"/>
      <c r="BG176" s="392" t="e">
        <f ca="1">OFFSET(Initiatives!$D$1,V176-1,$BS$3)</f>
        <v>#VALUE!</v>
      </c>
      <c r="BH176" s="375"/>
      <c r="BI176" s="392" t="e">
        <f ca="1">OFFSET(Initiatives!$D$1,W176-1,$BS$3)</f>
        <v>#VALUE!</v>
      </c>
      <c r="BJ176" s="375"/>
      <c r="BK176" s="392" t="e">
        <f ca="1">OFFSET(Initiatives!$D$1,X176-1,$BS$3)</f>
        <v>#VALUE!</v>
      </c>
      <c r="BL176" s="375"/>
      <c r="BN176" s="101">
        <f t="shared" ref="BN176" si="2910">SUM(Z176,AB176,AD176,AF176,AH176,AJ176,AL176,AN176,AP176,AR176,AT176,AV176,AX176,AZ176,BB176,BD176,BF176,BH176,BJ176,BL176)+0.0001</f>
        <v>17.0001</v>
      </c>
      <c r="BP176" s="231" t="str">
        <f t="shared" ref="BP176" ca="1" si="2911">CONCATENATE(GB176,GC176,GD176,GE176,GF176,GG176,GH176,GI176,GJ176,GK176,GL176,GM176,GN176,GO176,GP176,GQ176,GR176,GS176,GT176,GU176)</f>
        <v>Source System Inclusion / Integration (65%); BI Applications (32%)</v>
      </c>
      <c r="BQ176" s="338">
        <v>0.01</v>
      </c>
      <c r="BR176" s="40">
        <f t="shared" ref="BR176" ca="1" si="2912">COUNTIF(CT176:DM176,"&gt;"&amp;BQ176)</f>
        <v>2</v>
      </c>
      <c r="BS176" s="274">
        <v>0.05</v>
      </c>
      <c r="BT176" s="40">
        <f t="shared" ref="BT176" ca="1" si="2913">COUNTIF(DP176:EI176,"&gt;"&amp;BS176)</f>
        <v>2</v>
      </c>
      <c r="BU176" s="376">
        <v>7</v>
      </c>
      <c r="BV176" s="40">
        <f t="shared" ref="BV176" ca="1" si="2914">MIN(BR176,BT176,BU176)</f>
        <v>2</v>
      </c>
      <c r="BY176" s="377">
        <f ca="1">IF(ISERROR(OFFSET(Initiatives!$D$1,E176-1,$BY$3)),,OFFSET(Initiatives!$D$1,E176-1,$BY$3))</f>
        <v>0.14000000000000012</v>
      </c>
      <c r="BZ176" s="377">
        <f ca="1">IF(ISERROR(OFFSET(Initiatives!$D$1,F176-1,$BY$3)),,OFFSET(Initiatives!$D$1,F176-1,$BY$3))</f>
        <v>9.9999999999999978E-2</v>
      </c>
      <c r="CA176" s="377">
        <f ca="1">IF(ISERROR(OFFSET(Initiatives!$D$1,G176-1,$BY$3)),,OFFSET(Initiatives!$D$1,G176-1,$BY$3))</f>
        <v>9.9999999999999978E-2</v>
      </c>
      <c r="CB176" s="377">
        <f ca="1">IF(ISERROR(OFFSET(Initiatives!$D$1,H176-1,$BY$3)),,OFFSET(Initiatives!$D$1,H176-1,$BY$3))</f>
        <v>3.0000000000000027E-2</v>
      </c>
      <c r="CC176" s="377">
        <f ca="1">IF(ISERROR(OFFSET(Initiatives!$D$1,I176-1,$BY$3)),,OFFSET(Initiatives!$D$1,I176-1,$BY$3))</f>
        <v>1.5000000000000124E-2</v>
      </c>
      <c r="CD176" s="377">
        <f ca="1">IF(ISERROR(OFFSET(Initiatives!$D$1,J176-1,$BY$3)),,OFFSET(Initiatives!$D$1,J176-1,$BY$3))</f>
        <v>0.48</v>
      </c>
      <c r="CE176" s="377">
        <f ca="1">IF(ISERROR(OFFSET(Initiatives!$D$1,K176-1,$BY$3)),,OFFSET(Initiatives!$D$1,K176-1,$BY$3))</f>
        <v>0.6</v>
      </c>
      <c r="CF176" s="377">
        <f ca="1">IF(ISERROR(OFFSET(Initiatives!$D$1,L176-1,$BY$3)),,OFFSET(Initiatives!$D$1,L176-1,$BY$3))</f>
        <v>0.60000000000000009</v>
      </c>
      <c r="CG176" s="377">
        <f ca="1">IF(ISERROR(OFFSET(Initiatives!$D$1,M176-1,$BY$3)),,OFFSET(Initiatives!$D$1,M176-1,$BY$3))</f>
        <v>0.60000000000000009</v>
      </c>
      <c r="CH176" s="377">
        <f ca="1">IF(ISERROR(OFFSET(Initiatives!$D$1,N176-1,$BY$3)),,OFFSET(Initiatives!$D$1,N176-1,$BY$3))</f>
        <v>0.60000000000000009</v>
      </c>
      <c r="CI176" s="377">
        <f ca="1">IF(ISERROR(OFFSET(Initiatives!$D$1,O176-1,$BY$3)),,OFFSET(Initiatives!$D$1,O176-1,$BY$3))</f>
        <v>0.60000000000000009</v>
      </c>
      <c r="CJ176" s="377">
        <f ca="1">IF(ISERROR(OFFSET(Initiatives!$D$1,P176-1,$BY$3)),,OFFSET(Initiatives!$D$1,P176-1,$BY$3))</f>
        <v>0.60000000000000009</v>
      </c>
      <c r="CK176" s="377">
        <f ca="1">IF(ISERROR(OFFSET(Initiatives!$D$1,Q176-1,$BY$3)),,OFFSET(Initiatives!$D$1,Q176-1,$BY$3))</f>
        <v>0.6</v>
      </c>
      <c r="CL176" s="377">
        <f ca="1">IF(ISERROR(OFFSET(Initiatives!$D$1,R176-1,$BY$3)),,OFFSET(Initiatives!$D$1,R176-1,$BY$3))</f>
        <v>0.72000000000000008</v>
      </c>
      <c r="CM176" s="377">
        <f ca="1">IF(ISERROR(OFFSET(Initiatives!$D$1,S176-1,$BY$3)),,OFFSET(Initiatives!$D$1,S176-1,$BY$3))</f>
        <v>0.45555555555555544</v>
      </c>
      <c r="CN176" s="377">
        <f ca="1">IF(ISERROR(OFFSET(Initiatives!$D$1,T176-1,$BY$3)),,OFFSET(Initiatives!$D$1,T176-1,$BY$3))</f>
        <v>0.45454545454545436</v>
      </c>
      <c r="CO176" s="377">
        <f ca="1">IF(ISERROR(OFFSET(Initiatives!$D$1,U176-1,$BY$3)),,OFFSET(Initiatives!$D$1,U176-1,$BY$3))</f>
        <v>0</v>
      </c>
      <c r="CP176" s="377">
        <f ca="1">IF(ISERROR(OFFSET(Initiatives!$D$1,V176-1,$BY$3)),,OFFSET(Initiatives!$D$1,V176-1,$BY$3))</f>
        <v>0</v>
      </c>
      <c r="CQ176" s="377">
        <f ca="1">IF(ISERROR(OFFSET(Initiatives!$D$1,W176-1,$BY$3)),,OFFSET(Initiatives!$D$1,W176-1,$BY$3))</f>
        <v>0</v>
      </c>
      <c r="CR176" s="377">
        <f ca="1">IF(ISERROR(OFFSET(Initiatives!$D$1,X176-1,$BY$3)),,OFFSET(Initiatives!$D$1,X176-1,$BY$3))</f>
        <v>0</v>
      </c>
      <c r="CT176" s="41">
        <f t="shared" ref="CT176" ca="1" si="2915">BY176*Z176/$BN176</f>
        <v>0</v>
      </c>
      <c r="CU176" s="41">
        <f t="shared" ref="CU176" ca="1" si="2916">BZ176*AB176/$BN176</f>
        <v>0</v>
      </c>
      <c r="CV176" s="41">
        <f t="shared" ref="CV176" ca="1" si="2917">CA176*AD176/$BN176</f>
        <v>0</v>
      </c>
      <c r="CW176" s="41">
        <f t="shared" ref="CW176" ca="1" si="2918">CB176*AF176/$BN176</f>
        <v>8.8234775089558373E-3</v>
      </c>
      <c r="CX176" s="41">
        <f t="shared" ref="CX176" ca="1" si="2919">CC176*AH176/$BN176</f>
        <v>0</v>
      </c>
      <c r="CY176" s="41">
        <f t="shared" ref="CY176" ca="1" si="2920">CD176*AJ176/$BN176</f>
        <v>0</v>
      </c>
      <c r="CZ176" s="41">
        <f t="shared" ref="CZ176" ca="1" si="2921">CE176*AL176/$BN176</f>
        <v>0</v>
      </c>
      <c r="DA176" s="41">
        <f t="shared" ref="DA176" ca="1" si="2922">CF176*AN176/$BN176</f>
        <v>0</v>
      </c>
      <c r="DB176" s="41">
        <f t="shared" ref="DB176" ca="1" si="2923">CG176*AP176/$BN176</f>
        <v>0</v>
      </c>
      <c r="DC176" s="41">
        <f t="shared" ref="DC176" ca="1" si="2924">CH176*AR176/$BN176</f>
        <v>0</v>
      </c>
      <c r="DD176" s="41">
        <f t="shared" ref="DD176" ca="1" si="2925">CI176*AT176/$BN176</f>
        <v>0</v>
      </c>
      <c r="DE176" s="41">
        <f t="shared" ref="DE176" ca="1" si="2926">CJ176*AV176/$BN176</f>
        <v>0</v>
      </c>
      <c r="DF176" s="41">
        <f t="shared" ref="DF176" ca="1" si="2927">CK176*AX176/$BN176</f>
        <v>0</v>
      </c>
      <c r="DG176" s="41">
        <f t="shared" ref="DG176" ca="1" si="2928">CL176*AZ176/$BN176</f>
        <v>0</v>
      </c>
      <c r="DH176" s="41">
        <f t="shared" ref="DH176" ca="1" si="2929">CM176*BB176/$BN176</f>
        <v>0.10718891196064857</v>
      </c>
      <c r="DI176" s="41">
        <f t="shared" ref="DI176" ca="1" si="2930">CN176*BD176/$BN176</f>
        <v>0.21390248506559578</v>
      </c>
      <c r="DJ176" s="41">
        <f t="shared" ref="DJ176" ca="1" si="2931">CO176*BF176/$BN176</f>
        <v>0</v>
      </c>
      <c r="DK176" s="41">
        <f t="shared" ref="DK176" ca="1" si="2932">CP176*BH176/$BN176</f>
        <v>0</v>
      </c>
      <c r="DL176" s="41">
        <f t="shared" ref="DL176" ca="1" si="2933">CQ176*BJ176/$BN176</f>
        <v>0</v>
      </c>
      <c r="DM176" s="41">
        <f t="shared" ref="DM176" ca="1" si="2934">CR176*BL176/$BN176</f>
        <v>0</v>
      </c>
      <c r="DN176" s="41">
        <f t="shared" ref="DN176" ca="1" si="2935">SUM(CT176:DM176)</f>
        <v>0.32991487453520019</v>
      </c>
      <c r="DP176" s="41">
        <f t="shared" ref="DP176" ca="1" si="2936">CT176/$DN176-DP$5/100000</f>
        <v>-1.0000000000000001E-5</v>
      </c>
      <c r="DQ176" s="41">
        <f t="shared" ref="DQ176" ca="1" si="2937">CU176/$DN176-DQ$5/100000</f>
        <v>-2.0000000000000002E-5</v>
      </c>
      <c r="DR176" s="41">
        <f t="shared" ref="DR176" ca="1" si="2938">CV176/$DN176-DR$5/100000</f>
        <v>-3.0000000000000001E-5</v>
      </c>
      <c r="DS176" s="41">
        <f t="shared" ref="DS176" ca="1" si="2939">CW176/$DN176-DS$5/100000</f>
        <v>2.6704709590274683E-2</v>
      </c>
      <c r="DT176" s="41">
        <f t="shared" ref="DT176" ca="1" si="2940">CX176/$DN176-DT$5/100000</f>
        <v>-5.0000000000000002E-5</v>
      </c>
      <c r="DU176" s="41">
        <f t="shared" ref="DU176" ca="1" si="2941">CY176/$DN176-DU$5/100000</f>
        <v>-6.0000000000000002E-5</v>
      </c>
      <c r="DV176" s="41">
        <f t="shared" ref="DV176" ca="1" si="2942">CZ176/$DN176-DV$5/100000</f>
        <v>-6.9999999999999994E-5</v>
      </c>
      <c r="DW176" s="41">
        <f t="shared" ref="DW176" ca="1" si="2943">DA176/$DN176-DW$5/100000</f>
        <v>-8.0000000000000007E-5</v>
      </c>
      <c r="DX176" s="41">
        <f t="shared" ref="DX176" ca="1" si="2944">DB176/$DN176-DX$5/100000</f>
        <v>-9.0000000000000006E-5</v>
      </c>
      <c r="DY176" s="41">
        <f t="shared" ref="DY176" ca="1" si="2945">DC176/$DN176-DY$5/100000</f>
        <v>-1E-4</v>
      </c>
      <c r="DZ176" s="41">
        <f t="shared" ref="DZ176" ca="1" si="2946">DD176/$DN176-DZ$5/100000</f>
        <v>-1.1E-4</v>
      </c>
      <c r="EA176" s="41">
        <f t="shared" ref="EA176" ca="1" si="2947">DE176/$DN176-EA$5/100000</f>
        <v>-1.2E-4</v>
      </c>
      <c r="EB176" s="41">
        <f t="shared" ref="EB176" ca="1" si="2948">DF176/$DN176-EB$5/100000</f>
        <v>-1.2999999999999999E-4</v>
      </c>
      <c r="EC176" s="41">
        <f t="shared" ref="EC176" ca="1" si="2949">DG176/$DN176-EC$5/100000</f>
        <v>-1.3999999999999999E-4</v>
      </c>
      <c r="ED176" s="41">
        <f t="shared" ref="ED176" ca="1" si="2950">DH176/$DN176-ED$5/100000</f>
        <v>0.32474869428185504</v>
      </c>
      <c r="EE176" s="41">
        <f t="shared" ref="EE176" ca="1" si="2951">DI176/$DN176-EE$5/100000</f>
        <v>0.64819659612787028</v>
      </c>
      <c r="EF176" s="41">
        <f t="shared" ref="EF176" ca="1" si="2952">DJ176/$DN176-EF$5/100000</f>
        <v>-1.7000000000000001E-4</v>
      </c>
      <c r="EG176" s="41">
        <f t="shared" ref="EG176" ca="1" si="2953">DK176/$DN176-EG$5/100000</f>
        <v>-1.8000000000000001E-4</v>
      </c>
      <c r="EH176" s="41">
        <f t="shared" ref="EH176" ca="1" si="2954">DL176/$DN176-EH$5/100000</f>
        <v>-1.9000000000000001E-4</v>
      </c>
      <c r="EI176" s="41">
        <f t="shared" ref="EI176" ca="1" si="2955">DM176/$DN176-EI$5/100000</f>
        <v>-2.0000000000000001E-4</v>
      </c>
      <c r="EJ176" s="41">
        <f t="shared" ref="EJ176" ca="1" si="2956">SUM(DP176:EI176)</f>
        <v>0.99790000000000001</v>
      </c>
      <c r="EL176" s="378">
        <f t="shared" ref="EL176" ca="1" si="2957">RANK(DP176,$DP176:$EI176)</f>
        <v>4</v>
      </c>
      <c r="EM176" s="378">
        <f t="shared" ref="EM176" ca="1" si="2958">RANK(DQ176,$DP176:$EI176)</f>
        <v>5</v>
      </c>
      <c r="EN176" s="378">
        <f t="shared" ref="EN176" ca="1" si="2959">RANK(DR176,$DP176:$EI176)</f>
        <v>6</v>
      </c>
      <c r="EO176" s="378">
        <f t="shared" ref="EO176" ca="1" si="2960">RANK(DS176,$DP176:$EI176)</f>
        <v>3</v>
      </c>
      <c r="EP176" s="378">
        <f t="shared" ref="EP176" ca="1" si="2961">RANK(DT176,$DP176:$EI176)</f>
        <v>7</v>
      </c>
      <c r="EQ176" s="378">
        <f t="shared" ref="EQ176" ca="1" si="2962">RANK(DU176,$DP176:$EI176)</f>
        <v>8</v>
      </c>
      <c r="ER176" s="378">
        <f t="shared" ref="ER176" ca="1" si="2963">RANK(DV176,$DP176:$EI176)</f>
        <v>9</v>
      </c>
      <c r="ES176" s="378">
        <f t="shared" ref="ES176" ca="1" si="2964">RANK(DW176,$DP176:$EI176)</f>
        <v>10</v>
      </c>
      <c r="ET176" s="378">
        <f t="shared" ref="ET176" ca="1" si="2965">RANK(DX176,$DP176:$EI176)</f>
        <v>11</v>
      </c>
      <c r="EU176" s="378">
        <f t="shared" ref="EU176" ca="1" si="2966">RANK(DY176,$DP176:$EI176)</f>
        <v>12</v>
      </c>
      <c r="EV176" s="378">
        <f t="shared" ref="EV176" ca="1" si="2967">RANK(DZ176,$DP176:$EI176)</f>
        <v>13</v>
      </c>
      <c r="EW176" s="378">
        <f t="shared" ref="EW176" ca="1" si="2968">RANK(EA176,$DP176:$EI176)</f>
        <v>14</v>
      </c>
      <c r="EX176" s="378">
        <f t="shared" ref="EX176" ca="1" si="2969">RANK(EB176,$DP176:$EI176)</f>
        <v>15</v>
      </c>
      <c r="EY176" s="378">
        <f t="shared" ref="EY176" ca="1" si="2970">RANK(EC176,$DP176:$EI176)</f>
        <v>16</v>
      </c>
      <c r="EZ176" s="378">
        <f t="shared" ref="EZ176" ca="1" si="2971">RANK(ED176,$DP176:$EI176)</f>
        <v>2</v>
      </c>
      <c r="FA176" s="378">
        <f t="shared" ref="FA176" ca="1" si="2972">RANK(EE176,$DP176:$EI176)</f>
        <v>1</v>
      </c>
      <c r="FB176" s="378">
        <f t="shared" ref="FB176" ca="1" si="2973">RANK(EF176,$DP176:$EI176)</f>
        <v>17</v>
      </c>
      <c r="FC176" s="378">
        <f t="shared" ref="FC176" ca="1" si="2974">RANK(EG176,$DP176:$EI176)</f>
        <v>18</v>
      </c>
      <c r="FD176" s="378">
        <f t="shared" ref="FD176" ca="1" si="2975">RANK(EH176,$DP176:$EI176)</f>
        <v>19</v>
      </c>
      <c r="FE176" s="378">
        <f t="shared" ref="FE176" ca="1" si="2976">RANK(EI176,$DP176:$EI176)</f>
        <v>20</v>
      </c>
      <c r="FG176" s="378">
        <f t="shared" ref="FG176:FZ184" ca="1" si="2977">MATCH(FG$5,$EL176:$FE176,0)</f>
        <v>16</v>
      </c>
      <c r="FH176" s="378">
        <f t="shared" ca="1" si="2977"/>
        <v>15</v>
      </c>
      <c r="FI176" s="378">
        <f t="shared" ca="1" si="2977"/>
        <v>4</v>
      </c>
      <c r="FJ176" s="378">
        <f t="shared" ca="1" si="2977"/>
        <v>1</v>
      </c>
      <c r="FK176" s="378">
        <f t="shared" ca="1" si="2977"/>
        <v>2</v>
      </c>
      <c r="FL176" s="378">
        <f t="shared" ca="1" si="2977"/>
        <v>3</v>
      </c>
      <c r="FM176" s="378">
        <f t="shared" ca="1" si="2977"/>
        <v>5</v>
      </c>
      <c r="FN176" s="378">
        <f t="shared" ca="1" si="2977"/>
        <v>6</v>
      </c>
      <c r="FO176" s="378">
        <f t="shared" ca="1" si="2977"/>
        <v>7</v>
      </c>
      <c r="FP176" s="378">
        <f t="shared" ca="1" si="2977"/>
        <v>8</v>
      </c>
      <c r="FQ176" s="378">
        <f t="shared" ca="1" si="2977"/>
        <v>9</v>
      </c>
      <c r="FR176" s="378">
        <f t="shared" ca="1" si="2977"/>
        <v>10</v>
      </c>
      <c r="FS176" s="378">
        <f t="shared" ca="1" si="2977"/>
        <v>11</v>
      </c>
      <c r="FT176" s="378">
        <f t="shared" ca="1" si="2977"/>
        <v>12</v>
      </c>
      <c r="FU176" s="378">
        <f t="shared" ca="1" si="2977"/>
        <v>13</v>
      </c>
      <c r="FV176" s="378">
        <f t="shared" ca="1" si="2977"/>
        <v>14</v>
      </c>
      <c r="FW176" s="378">
        <f t="shared" ca="1" si="2977"/>
        <v>17</v>
      </c>
      <c r="FX176" s="378">
        <f t="shared" ca="1" si="2977"/>
        <v>18</v>
      </c>
      <c r="FY176" s="378">
        <f t="shared" ca="1" si="2977"/>
        <v>19</v>
      </c>
      <c r="FZ176" s="378">
        <f t="shared" ca="1" si="2977"/>
        <v>20</v>
      </c>
      <c r="GB176" s="275" t="str">
        <f t="shared" ref="GB176" ca="1" si="2978">IF(GB$5&lt;=$BV176,INDEX($Y176:$BL176,1,FG176*2-1)&amp;" ("&amp;TEXT(INDEX($DP176:$EI176,1,FG176),"0%")&amp;")","")</f>
        <v>Source System Inclusion / Integration (65%)</v>
      </c>
      <c r="GC176" s="231" t="str">
        <f t="shared" ref="GC176" ca="1" si="2979">IF(GC$5&lt;=$BV176,"; "&amp;INDEX($Y176:$BL176,1,FH176*2-1)&amp;" ("&amp;TEXT(INDEX($DP176:$EI176,1,FH176),"0%")&amp;")","")</f>
        <v>; BI Applications (32%)</v>
      </c>
      <c r="GD176" s="231" t="str">
        <f t="shared" ref="GD176" ca="1" si="2980">IF(GD$5&lt;=$BV176,"; "&amp;INDEX($Y176:$BL176,1,FI176*2-1)&amp;" ("&amp;TEXT(INDEX($DP176:$EI176,1,FI176),"0%")&amp;")","")</f>
        <v/>
      </c>
      <c r="GE176" s="231" t="str">
        <f t="shared" ref="GE176" ca="1" si="2981">IF(GE$5&lt;=$BV176,"; "&amp;INDEX($Y176:$BL176,1,FJ176*2-1)&amp;" ("&amp;TEXT(INDEX($DP176:$EI176,1,FJ176),"0%")&amp;")","")</f>
        <v/>
      </c>
      <c r="GF176" s="231" t="str">
        <f t="shared" ref="GF176" ca="1" si="2982">IF(GF$5&lt;=$BV176,"; "&amp;INDEX($Y176:$BL176,1,FK176*2-1)&amp;" ("&amp;TEXT(INDEX($DP176:$EI176,1,FK176),"0%")&amp;")","")</f>
        <v/>
      </c>
      <c r="GG176" s="231" t="str">
        <f t="shared" ref="GG176" ca="1" si="2983">IF(GG$5&lt;=$BV176,"; "&amp;INDEX($Y176:$BL176,1,FL176*2-1)&amp;" ("&amp;TEXT(INDEX($DP176:$EI176,1,FL176),"0%")&amp;")","")</f>
        <v/>
      </c>
      <c r="GH176" s="231" t="str">
        <f t="shared" ref="GH176" ca="1" si="2984">IF(GH$5&lt;=$BV176,"; "&amp;INDEX($Y176:$BL176,1,FM176*2-1)&amp;" ("&amp;TEXT(INDEX($DP176:$EI176,1,FM176),"0%")&amp;")","")</f>
        <v/>
      </c>
      <c r="GI176" s="231" t="str">
        <f t="shared" ref="GI176" ca="1" si="2985">IF(GI$5&lt;=$BV176,"; "&amp;INDEX($Y176:$BL176,1,FN176*2-1)&amp;" ("&amp;TEXT(INDEX($DP176:$EI176,1,FN176),"0%")&amp;")","")</f>
        <v/>
      </c>
      <c r="GJ176" s="231" t="str">
        <f t="shared" ref="GJ176" ca="1" si="2986">IF(GJ$5&lt;=$BV176,"; "&amp;INDEX($Y176:$BL176,1,FO176*2-1)&amp;" ("&amp;TEXT(INDEX($DP176:$EI176,1,FO176),"0%")&amp;")","")</f>
        <v/>
      </c>
      <c r="GK176" s="231" t="str">
        <f t="shared" ref="GK176" ca="1" si="2987">IF(GK$5&lt;=$BV176,"; "&amp;INDEX($Y176:$BL176,1,FP176*2-1)&amp;" ("&amp;TEXT(INDEX($DP176:$EI176,1,FP176),"0%")&amp;")","")</f>
        <v/>
      </c>
      <c r="GL176" s="231" t="str">
        <f t="shared" ref="GL176" ca="1" si="2988">IF(GL$5&lt;=$BV176,"; "&amp;INDEX($Y176:$BL176,1,FQ176*2-1)&amp;" ("&amp;TEXT(INDEX($DP176:$EI176,1,FQ176),"0%")&amp;")","")</f>
        <v/>
      </c>
      <c r="GM176" s="231" t="str">
        <f t="shared" ref="GM176" ca="1" si="2989">IF(GM$5&lt;=$BV176,"; "&amp;INDEX($Y176:$BL176,1,FR176*2-1)&amp;" ("&amp;TEXT(INDEX($DP176:$EI176,1,FR176),"0%")&amp;")","")</f>
        <v/>
      </c>
      <c r="GN176" s="231" t="str">
        <f t="shared" ref="GN176" ca="1" si="2990">IF(GN$5&lt;=$BV176,"; "&amp;INDEX($Y176:$BL176,1,FS176*2-1)&amp;" ("&amp;TEXT(INDEX($DP176:$EI176,1,FS176),"0%")&amp;")","")</f>
        <v/>
      </c>
      <c r="GO176" s="231" t="str">
        <f t="shared" ref="GO176" ca="1" si="2991">IF(GO$5&lt;=$BV176,"; "&amp;INDEX($Y176:$BL176,1,FT176*2-1)&amp;" ("&amp;TEXT(INDEX($DP176:$EI176,1,FT176),"0%")&amp;")","")</f>
        <v/>
      </c>
      <c r="GP176" s="231" t="str">
        <f t="shared" ref="GP176" ca="1" si="2992">IF(GP$5&lt;=$BV176,"; "&amp;INDEX($Y176:$BL176,1,FU176*2-1)&amp;" ("&amp;TEXT(INDEX($DP176:$EI176,1,FU176),"0%")&amp;")","")</f>
        <v/>
      </c>
      <c r="GQ176" s="231" t="str">
        <f t="shared" ref="GQ176" ca="1" si="2993">IF(GQ$5&lt;=$BV176,"; "&amp;INDEX($Y176:$BL176,1,FV176*2-1)&amp;" ("&amp;TEXT(INDEX($DP176:$EI176,1,FV176),"0%")&amp;")","")</f>
        <v/>
      </c>
      <c r="GR176" s="231" t="str">
        <f t="shared" ref="GR176" ca="1" si="2994">IF(GR$5&lt;=$BV176,"; "&amp;INDEX($Y176:$BL176,1,FW176*2-1)&amp;" ("&amp;TEXT(INDEX($DP176:$EI176,1,FW176),"0%")&amp;")","")</f>
        <v/>
      </c>
      <c r="GS176" s="231" t="str">
        <f t="shared" ref="GS176" ca="1" si="2995">IF(GS$5&lt;=$BV176,"; "&amp;INDEX($Y176:$BL176,1,FX176*2-1)&amp;" ("&amp;TEXT(INDEX($DP176:$EI176,1,FX176),"0%")&amp;")","")</f>
        <v/>
      </c>
      <c r="GT176" s="231" t="str">
        <f t="shared" ref="GT176" ca="1" si="2996">IF(GT$5&lt;=$BV176,"; "&amp;INDEX($Y176:$BL176,1,FY176*2-1)&amp;" ("&amp;TEXT(INDEX($DP176:$EI176,1,FY176),"0%")&amp;")","")</f>
        <v/>
      </c>
      <c r="GU176" s="231" t="str">
        <f t="shared" ref="GU176" ca="1" si="2997">IF(GU$5&lt;=$BV176,"; "&amp;INDEX($Y176:$BL176,1,FZ176*2-1)&amp;" ("&amp;TEXT(INDEX($DP176:$EI176,1,FZ176),"0%")&amp;")","")</f>
        <v/>
      </c>
      <c r="GW176" s="377">
        <f ca="1">IF(ISERROR(OFFSET(Initiatives!$D$1,E176-1,$CB$3)),,OFFSET(Initiatives!$D$1,E176-1,$CB$3))</f>
        <v>0.65</v>
      </c>
      <c r="GX176" s="377">
        <f ca="1">IF(ISERROR(OFFSET(Initiatives!$D$1,F176-1,$CB$3)),,OFFSET(Initiatives!$D$1,F176-1,$CB$3))</f>
        <v>0.75</v>
      </c>
      <c r="GY176" s="377">
        <f ca="1">IF(ISERROR(OFFSET(Initiatives!$D$1,G176-1,$CB$3)),,OFFSET(Initiatives!$D$1,G176-1,$CB$3))</f>
        <v>0.75</v>
      </c>
      <c r="GZ176" s="377">
        <f ca="1">IF(ISERROR(OFFSET(Initiatives!$D$1,H176-1,$CB$3)),,OFFSET(Initiatives!$D$1,H176-1,$CB$3))</f>
        <v>0.8</v>
      </c>
      <c r="HA176" s="377">
        <f ca="1">IF(ISERROR(OFFSET(Initiatives!$D$1,I176-1,$CB$3)),,OFFSET(Initiatives!$D$1,I176-1,$CB$3))</f>
        <v>0.9</v>
      </c>
      <c r="HB176" s="377">
        <f ca="1">IF(ISERROR(OFFSET(Initiatives!$D$1,J176-1,$CB$3)),,OFFSET(Initiatives!$D$1,J176-1,$CB$3))</f>
        <v>0.4</v>
      </c>
      <c r="HC176" s="377">
        <f ca="1">IF(ISERROR(OFFSET(Initiatives!$D$1,K176-1,$CB$3)),,OFFSET(Initiatives!$D$1,K176-1,$CB$3))</f>
        <v>0.25</v>
      </c>
      <c r="HD176" s="377">
        <f ca="1">IF(ISERROR(OFFSET(Initiatives!$D$1,L176-1,$CB$3)),,OFFSET(Initiatives!$D$1,L176-1,$CB$3))</f>
        <v>0.25</v>
      </c>
      <c r="HE176" s="377">
        <f ca="1">IF(ISERROR(OFFSET(Initiatives!$D$1,M176-1,$CB$3)),,OFFSET(Initiatives!$D$1,M176-1,$CB$3))</f>
        <v>0.25</v>
      </c>
      <c r="HF176" s="377">
        <f ca="1">IF(ISERROR(OFFSET(Initiatives!$D$1,N176-1,$CB$3)),,OFFSET(Initiatives!$D$1,N176-1,$CB$3))</f>
        <v>0.25</v>
      </c>
      <c r="HG176" s="377">
        <f ca="1">IF(ISERROR(OFFSET(Initiatives!$D$1,O176-1,$CB$3)),,OFFSET(Initiatives!$D$1,O176-1,$CB$3))</f>
        <v>0.25</v>
      </c>
      <c r="HH176" s="377">
        <f ca="1">IF(ISERROR(OFFSET(Initiatives!$D$1,P176-1,$CB$3)),,OFFSET(Initiatives!$D$1,P176-1,$CB$3))</f>
        <v>0.25</v>
      </c>
      <c r="HI176" s="377">
        <f ca="1">IF(ISERROR(OFFSET(Initiatives!$D$1,Q176-1,$CB$3)),,OFFSET(Initiatives!$D$1,Q176-1,$CB$3))</f>
        <v>0.25</v>
      </c>
      <c r="HJ176" s="377">
        <f ca="1">IF(ISERROR(OFFSET(Initiatives!$D$1,R176-1,$CB$3)),,OFFSET(Initiatives!$D$1,R176-1,$CB$3))</f>
        <v>0.1</v>
      </c>
      <c r="HK176" s="377">
        <f ca="1">IF(ISERROR(OFFSET(Initiatives!$D$1,S176-1,$CB$3)),,OFFSET(Initiatives!$D$1,S176-1,$CB$3))</f>
        <v>0.34166666666666662</v>
      </c>
      <c r="HL176" s="377">
        <f ca="1">IF(ISERROR(OFFSET(Initiatives!$D$1,T176-1,$CB$3)),,OFFSET(Initiatives!$D$1,T176-1,$CB$3))</f>
        <v>0.43181818181818177</v>
      </c>
      <c r="HM176" s="377">
        <f ca="1">IF(ISERROR(OFFSET(Initiatives!$D$1,U176-1,$CB$3)),,OFFSET(Initiatives!$D$1,U176-1,$CB$3))</f>
        <v>0</v>
      </c>
      <c r="HN176" s="377">
        <f ca="1">IF(ISERROR(OFFSET(Initiatives!$D$1,V176-1,$CB$3)),,OFFSET(Initiatives!$D$1,V176-1,$CB$3))</f>
        <v>0</v>
      </c>
      <c r="HO176" s="377">
        <f ca="1">IF(ISERROR(OFFSET(Initiatives!$D$1,W176-1,$CB$3)),,OFFSET(Initiatives!$D$1,W176-1,$CB$3))</f>
        <v>0</v>
      </c>
      <c r="HP176" s="377">
        <f ca="1">IF(ISERROR(OFFSET(Initiatives!$D$1,X176-1,$CB$3)),,OFFSET(Initiatives!$D$1,X176-1,$CB$3))</f>
        <v>0</v>
      </c>
      <c r="HR176" s="41">
        <f ca="1">GW176*Z176/$BN176</f>
        <v>0</v>
      </c>
      <c r="HS176" s="41">
        <f ca="1">GX176*AB176/$BN176</f>
        <v>0</v>
      </c>
      <c r="HT176" s="41">
        <f ca="1">GY176*AD176/$BN176</f>
        <v>0</v>
      </c>
      <c r="HU176" s="41">
        <f ca="1">GZ176*AF176/$BN176</f>
        <v>0.23529273357215547</v>
      </c>
      <c r="HV176" s="41">
        <f ca="1">HA176*AH176/$BN176</f>
        <v>0</v>
      </c>
      <c r="HW176" s="41">
        <f ca="1">HB176*AJ176/$BN176</f>
        <v>0</v>
      </c>
      <c r="HX176" s="41">
        <f ca="1">HC176*AL176/$BN176</f>
        <v>0</v>
      </c>
      <c r="HY176" s="41">
        <f ca="1">HD176*AN176/$BN176</f>
        <v>0</v>
      </c>
      <c r="HZ176" s="41">
        <f ca="1">HE176*AP176/$BN176</f>
        <v>0</v>
      </c>
      <c r="IA176" s="41">
        <f ca="1">HF176*AR176/$BN176</f>
        <v>0</v>
      </c>
      <c r="IB176" s="41">
        <f ca="1">HG176*AT176/$BN176</f>
        <v>0</v>
      </c>
      <c r="IC176" s="41">
        <f ca="1">HH176*AV176/$BN176</f>
        <v>0</v>
      </c>
      <c r="ID176" s="41">
        <f ca="1">HI176*AX176/$BN176</f>
        <v>0</v>
      </c>
      <c r="IE176" s="41">
        <f ca="1">HJ176*BZ176/$BN176</f>
        <v>5.8823183393038854E-4</v>
      </c>
      <c r="IF176" s="41">
        <f ca="1">HK176*BB176/$BN176</f>
        <v>8.0391683970486433E-2</v>
      </c>
      <c r="IG176" s="41">
        <f ca="1">HL176*BD176/$BN176</f>
        <v>0.20320736081231605</v>
      </c>
      <c r="IH176" s="41">
        <f ca="1">HM176*BF176/$BN176</f>
        <v>0</v>
      </c>
      <c r="II176" s="41">
        <f ca="1">HN176*BH176/$BN176</f>
        <v>0</v>
      </c>
      <c r="IJ176" s="41">
        <f ca="1">HO176*BJ176/$BN176</f>
        <v>0</v>
      </c>
      <c r="IK176" s="41">
        <f ca="1">HP176*BL176/$BN176</f>
        <v>0</v>
      </c>
      <c r="IL176" s="41">
        <f ca="1">SUM(HR176:IK176)</f>
        <v>0.51948001018888834</v>
      </c>
    </row>
    <row r="177" spans="2:246" s="441" customFormat="1" ht="15" hidden="1" customHeight="1">
      <c r="B177" s="373"/>
      <c r="C177" s="443" t="str">
        <f>'Costs - HWSW'!E$4</f>
        <v>Integration / ETL</v>
      </c>
      <c r="D177" s="404">
        <f t="shared" ref="D177:D184" ca="1" si="2998">DN177</f>
        <v>0.27733412524757572</v>
      </c>
      <c r="E177" s="374">
        <f>ROW(Initiatives!$A$104)</f>
        <v>104</v>
      </c>
      <c r="F177" s="374">
        <f>ROW(Initiatives!$A$110)</f>
        <v>110</v>
      </c>
      <c r="G177" s="374">
        <f>ROW(Initiatives!$A$115)</f>
        <v>115</v>
      </c>
      <c r="H177" s="374">
        <f>ROW(Initiatives!$A$121)</f>
        <v>121</v>
      </c>
      <c r="I177" s="374">
        <f>ROW(Initiatives!$A$127)</f>
        <v>127</v>
      </c>
      <c r="J177" s="374">
        <f>ROW(Initiatives!$A$139)</f>
        <v>139</v>
      </c>
      <c r="K177" s="374">
        <f>ROW(Initiatives!$A$146)</f>
        <v>146</v>
      </c>
      <c r="L177" s="374">
        <f>ROW(Initiatives!$A$148)</f>
        <v>148</v>
      </c>
      <c r="M177" s="374">
        <f>ROW(Initiatives!$A$149)</f>
        <v>149</v>
      </c>
      <c r="N177" s="374">
        <f>ROW(Initiatives!$A$150)</f>
        <v>150</v>
      </c>
      <c r="O177" s="374">
        <f>ROW(Initiatives!$A$151)</f>
        <v>151</v>
      </c>
      <c r="P177" s="374">
        <f>ROW(Initiatives!$A$152)</f>
        <v>152</v>
      </c>
      <c r="Q177" s="374">
        <f>ROW(Initiatives!$A$154)</f>
        <v>154</v>
      </c>
      <c r="R177" s="374">
        <f>ROW(Initiatives!$A$161)</f>
        <v>161</v>
      </c>
      <c r="S177" s="374">
        <f>ROW(Initiatives!$A$242)</f>
        <v>242</v>
      </c>
      <c r="T177" s="374">
        <f>ROW(Initiatives!$A$248)</f>
        <v>248</v>
      </c>
      <c r="U177" s="374" t="s">
        <v>975</v>
      </c>
      <c r="V177" s="374" t="s">
        <v>975</v>
      </c>
      <c r="W177" s="374" t="s">
        <v>975</v>
      </c>
      <c r="X177" s="374" t="s">
        <v>975</v>
      </c>
      <c r="Y177" s="392" t="str">
        <f ca="1">OFFSET(Initiatives!$D$1,E177-1,$BS$3)</f>
        <v>Architecture Standards &amp; Adherence</v>
      </c>
      <c r="Z177" s="375"/>
      <c r="AA177" s="392" t="str">
        <f ca="1">OFFSET(Initiatives!$D$1,F177-1,$BS$3)</f>
        <v>Data Management</v>
      </c>
      <c r="AB177" s="375"/>
      <c r="AC177" s="392" t="str">
        <f ca="1">OFFSET(Initiatives!$D$1,G177-1,$BS$3)</f>
        <v>Data Integration/ETL</v>
      </c>
      <c r="AD177" s="375">
        <v>8</v>
      </c>
      <c r="AE177" s="392" t="str">
        <f ca="1">OFFSET(Initiatives!$D$1,H177-1,$BS$3)</f>
        <v>Data Warehouse / Data Marts</v>
      </c>
      <c r="AF177" s="375"/>
      <c r="AG177" s="392" t="str">
        <f ca="1">OFFSET(Initiatives!$D$1,I177-1,$BS$3)</f>
        <v>Development</v>
      </c>
      <c r="AH177" s="375"/>
      <c r="AI177" s="392" t="str">
        <f ca="1">OFFSET(Initiatives!$D$1,J177-1,$BS$3)</f>
        <v>Reporting</v>
      </c>
      <c r="AJ177" s="375"/>
      <c r="AK177" s="392" t="str">
        <f ca="1">OFFSET(Initiatives!$D$1,K177-1,$BS$3)</f>
        <v>Scorecards / Dashboards</v>
      </c>
      <c r="AL177" s="375"/>
      <c r="AM177" s="392" t="str">
        <f ca="1">OFFSET(Initiatives!$D$1,L177-1,$BS$3)</f>
        <v>Broad-reach analytic tools</v>
      </c>
      <c r="AN177" s="375"/>
      <c r="AO177" s="392" t="str">
        <f ca="1">OFFSET(Initiatives!$D$1,M177-1,$BS$3)</f>
        <v>BI/DW platform integration with user tools (e.g. Excel)</v>
      </c>
      <c r="AP177" s="375"/>
      <c r="AQ177" s="392" t="str">
        <f ca="1">OFFSET(Initiatives!$D$1,N177-1,$BS$3)</f>
        <v>Advanced data visualization</v>
      </c>
      <c r="AR177" s="375"/>
      <c r="AS177" s="392" t="str">
        <f ca="1">OFFSET(Initiatives!$D$1,O177-1,$BS$3)</f>
        <v>Advanced analytics</v>
      </c>
      <c r="AT177" s="375"/>
      <c r="AU177" s="392" t="str">
        <f ca="1">OFFSET(Initiatives!$D$1,P177-1,$BS$3)</f>
        <v>Predictive analysis</v>
      </c>
      <c r="AV177" s="375"/>
      <c r="AW177" s="392" t="str">
        <f ca="1">OFFSET(Initiatives!$D$1,Q177-1,$BS$3)</f>
        <v>Analytical Tools</v>
      </c>
      <c r="AX177" s="375"/>
      <c r="AY177" s="392" t="str">
        <f ca="1">OFFSET(Initiatives!$D$1,R177-1,$BS$3)</f>
        <v>Workflow and Collaboration</v>
      </c>
      <c r="AZ177" s="375"/>
      <c r="BA177" s="392" t="str">
        <f ca="1">OFFSET(Initiatives!$D$1,S177-1,$BS$3)</f>
        <v>BI Applications</v>
      </c>
      <c r="BB177" s="375">
        <v>1</v>
      </c>
      <c r="BC177" s="392" t="str">
        <f ca="1">OFFSET(Initiatives!$D$1,T177-1,$BS$3)</f>
        <v>Source System Inclusion / Integration</v>
      </c>
      <c r="BD177" s="375">
        <v>7</v>
      </c>
      <c r="BE177" s="392" t="e">
        <f ca="1">OFFSET(Initiatives!$D$1,U177-1,$BS$3)</f>
        <v>#VALUE!</v>
      </c>
      <c r="BF177" s="375"/>
      <c r="BG177" s="392" t="e">
        <f ca="1">OFFSET(Initiatives!$D$1,V177-1,$BS$3)</f>
        <v>#VALUE!</v>
      </c>
      <c r="BH177" s="375"/>
      <c r="BI177" s="392" t="e">
        <f ca="1">OFFSET(Initiatives!$D$1,W177-1,$BS$3)</f>
        <v>#VALUE!</v>
      </c>
      <c r="BJ177" s="375"/>
      <c r="BK177" s="392" t="e">
        <f ca="1">OFFSET(Initiatives!$D$1,X177-1,$BS$3)</f>
        <v>#VALUE!</v>
      </c>
      <c r="BL177" s="375"/>
      <c r="BN177" s="101">
        <f t="shared" ref="BN177:BN184" si="2999">SUM(Z177,AB177,AD177,AF177,AH177,AJ177,AL177,AN177,AP177,AR177,AT177,AV177,AX177,AZ177,BB177,BD177,BF177,BH177,BJ177,BL177)+0.0001</f>
        <v>16.0001</v>
      </c>
      <c r="BP177" s="231" t="str">
        <f t="shared" ref="BP177:BP184" ca="1" si="3000">CONCATENATE(GB177,GC177,GD177,GE177,GF177,GG177,GH177,GI177,GJ177,GK177,GL177,GM177,GN177,GO177,GP177,GQ177,GR177,GS177,GT177,GU177)</f>
        <v>Source System Inclusion / Integration (72%); Data Integration/ETL (18%); BI Applications (10%)</v>
      </c>
      <c r="BQ177" s="338">
        <v>0.01</v>
      </c>
      <c r="BR177" s="40">
        <f t="shared" ref="BR177:BR184" ca="1" si="3001">COUNTIF(CT177:DM177,"&gt;"&amp;BQ177)</f>
        <v>3</v>
      </c>
      <c r="BS177" s="274">
        <v>0.05</v>
      </c>
      <c r="BT177" s="40">
        <f t="shared" ref="BT177:BT184" ca="1" si="3002">COUNTIF(DP177:EI177,"&gt;"&amp;BS177)</f>
        <v>3</v>
      </c>
      <c r="BU177" s="376">
        <v>7</v>
      </c>
      <c r="BV177" s="40">
        <f t="shared" ref="BV177:BV184" ca="1" si="3003">MIN(BR177,BT177,BU177)</f>
        <v>3</v>
      </c>
      <c r="BY177" s="377">
        <f ca="1">IF(ISERROR(OFFSET(Initiatives!$D$1,E177-1,$BY$3)),,OFFSET(Initiatives!$D$1,E177-1,$BY$3))</f>
        <v>0.14000000000000012</v>
      </c>
      <c r="BZ177" s="377">
        <f ca="1">IF(ISERROR(OFFSET(Initiatives!$D$1,F177-1,$BY$3)),,OFFSET(Initiatives!$D$1,F177-1,$BY$3))</f>
        <v>9.9999999999999978E-2</v>
      </c>
      <c r="CA177" s="377">
        <f ca="1">IF(ISERROR(OFFSET(Initiatives!$D$1,G177-1,$BY$3)),,OFFSET(Initiatives!$D$1,G177-1,$BY$3))</f>
        <v>9.9999999999999978E-2</v>
      </c>
      <c r="CB177" s="377">
        <f ca="1">IF(ISERROR(OFFSET(Initiatives!$D$1,H177-1,$BY$3)),,OFFSET(Initiatives!$D$1,H177-1,$BY$3))</f>
        <v>3.0000000000000027E-2</v>
      </c>
      <c r="CC177" s="377">
        <f ca="1">IF(ISERROR(OFFSET(Initiatives!$D$1,I177-1,$BY$3)),,OFFSET(Initiatives!$D$1,I177-1,$BY$3))</f>
        <v>1.5000000000000124E-2</v>
      </c>
      <c r="CD177" s="377">
        <f ca="1">IF(ISERROR(OFFSET(Initiatives!$D$1,J177-1,$BY$3)),,OFFSET(Initiatives!$D$1,J177-1,$BY$3))</f>
        <v>0.48</v>
      </c>
      <c r="CE177" s="377">
        <f ca="1">IF(ISERROR(OFFSET(Initiatives!$D$1,K177-1,$BY$3)),,OFFSET(Initiatives!$D$1,K177-1,$BY$3))</f>
        <v>0.6</v>
      </c>
      <c r="CF177" s="377">
        <f ca="1">IF(ISERROR(OFFSET(Initiatives!$D$1,L177-1,$BY$3)),,OFFSET(Initiatives!$D$1,L177-1,$BY$3))</f>
        <v>0.60000000000000009</v>
      </c>
      <c r="CG177" s="377">
        <f ca="1">IF(ISERROR(OFFSET(Initiatives!$D$1,M177-1,$BY$3)),,OFFSET(Initiatives!$D$1,M177-1,$BY$3))</f>
        <v>0.60000000000000009</v>
      </c>
      <c r="CH177" s="377">
        <f ca="1">IF(ISERROR(OFFSET(Initiatives!$D$1,N177-1,$BY$3)),,OFFSET(Initiatives!$D$1,N177-1,$BY$3))</f>
        <v>0.60000000000000009</v>
      </c>
      <c r="CI177" s="377">
        <f ca="1">IF(ISERROR(OFFSET(Initiatives!$D$1,O177-1,$BY$3)),,OFFSET(Initiatives!$D$1,O177-1,$BY$3))</f>
        <v>0.60000000000000009</v>
      </c>
      <c r="CJ177" s="377">
        <f ca="1">IF(ISERROR(OFFSET(Initiatives!$D$1,P177-1,$BY$3)),,OFFSET(Initiatives!$D$1,P177-1,$BY$3))</f>
        <v>0.60000000000000009</v>
      </c>
      <c r="CK177" s="377">
        <f ca="1">IF(ISERROR(OFFSET(Initiatives!$D$1,Q177-1,$BY$3)),,OFFSET(Initiatives!$D$1,Q177-1,$BY$3))</f>
        <v>0.6</v>
      </c>
      <c r="CL177" s="377">
        <f ca="1">IF(ISERROR(OFFSET(Initiatives!$D$1,R177-1,$BY$3)),,OFFSET(Initiatives!$D$1,R177-1,$BY$3))</f>
        <v>0.72000000000000008</v>
      </c>
      <c r="CM177" s="377">
        <f ca="1">IF(ISERROR(OFFSET(Initiatives!$D$1,S177-1,$BY$3)),,OFFSET(Initiatives!$D$1,S177-1,$BY$3))</f>
        <v>0.45555555555555544</v>
      </c>
      <c r="CN177" s="377">
        <f ca="1">IF(ISERROR(OFFSET(Initiatives!$D$1,T177-1,$BY$3)),,OFFSET(Initiatives!$D$1,T177-1,$BY$3))</f>
        <v>0.45454545454545436</v>
      </c>
      <c r="CO177" s="377">
        <f ca="1">IF(ISERROR(OFFSET(Initiatives!$D$1,U177-1,$BY$3)),,OFFSET(Initiatives!$D$1,U177-1,$BY$3))</f>
        <v>0</v>
      </c>
      <c r="CP177" s="377">
        <f ca="1">IF(ISERROR(OFFSET(Initiatives!$D$1,V177-1,$BY$3)),,OFFSET(Initiatives!$D$1,V177-1,$BY$3))</f>
        <v>0</v>
      </c>
      <c r="CQ177" s="377">
        <f ca="1">IF(ISERROR(OFFSET(Initiatives!$D$1,W177-1,$BY$3)),,OFFSET(Initiatives!$D$1,W177-1,$BY$3))</f>
        <v>0</v>
      </c>
      <c r="CR177" s="377">
        <f ca="1">IF(ISERROR(OFFSET(Initiatives!$D$1,X177-1,$BY$3)),,OFFSET(Initiatives!$D$1,X177-1,$BY$3))</f>
        <v>0</v>
      </c>
      <c r="CT177" s="41">
        <f t="shared" ref="CT177:CT184" ca="1" si="3004">BY177*Z177/$BN177</f>
        <v>0</v>
      </c>
      <c r="CU177" s="41">
        <f t="shared" ref="CU177:CU184" ca="1" si="3005">BZ177*AB177/$BN177</f>
        <v>0</v>
      </c>
      <c r="CV177" s="41">
        <f t="shared" ref="CV177:CV184" ca="1" si="3006">CA177*AD177/$BN177</f>
        <v>4.9999687501953105E-2</v>
      </c>
      <c r="CW177" s="41">
        <f t="shared" ref="CW177:CW184" ca="1" si="3007">CB177*AF177/$BN177</f>
        <v>0</v>
      </c>
      <c r="CX177" s="41">
        <f t="shared" ref="CX177:CX184" ca="1" si="3008">CC177*AH177/$BN177</f>
        <v>0</v>
      </c>
      <c r="CY177" s="41">
        <f t="shared" ref="CY177:CY184" ca="1" si="3009">CD177*AJ177/$BN177</f>
        <v>0</v>
      </c>
      <c r="CZ177" s="41">
        <f t="shared" ref="CZ177:CZ184" ca="1" si="3010">CE177*AL177/$BN177</f>
        <v>0</v>
      </c>
      <c r="DA177" s="41">
        <f t="shared" ref="DA177:DA184" ca="1" si="3011">CF177*AN177/$BN177</f>
        <v>0</v>
      </c>
      <c r="DB177" s="41">
        <f t="shared" ref="DB177:DB184" ca="1" si="3012">CG177*AP177/$BN177</f>
        <v>0</v>
      </c>
      <c r="DC177" s="41">
        <f t="shared" ref="DC177:DC184" ca="1" si="3013">CH177*AR177/$BN177</f>
        <v>0</v>
      </c>
      <c r="DD177" s="41">
        <f t="shared" ref="DD177:DD184" ca="1" si="3014">CI177*AT177/$BN177</f>
        <v>0</v>
      </c>
      <c r="DE177" s="41">
        <f t="shared" ref="DE177:DE184" ca="1" si="3015">CJ177*AV177/$BN177</f>
        <v>0</v>
      </c>
      <c r="DF177" s="41">
        <f t="shared" ref="DF177:DF184" ca="1" si="3016">CK177*AX177/$BN177</f>
        <v>0</v>
      </c>
      <c r="DG177" s="41">
        <f t="shared" ref="DG177:DG184" ca="1" si="3017">CL177*AZ177/$BN177</f>
        <v>0</v>
      </c>
      <c r="DH177" s="41">
        <f t="shared" ref="DH177:DH184" ca="1" si="3018">CM177*BB177/$BN177</f>
        <v>2.8472044271945517E-2</v>
      </c>
      <c r="DI177" s="41">
        <f t="shared" ref="DI177:DI184" ca="1" si="3019">CN177*BD177/$BN177</f>
        <v>0.1988623934736771</v>
      </c>
      <c r="DJ177" s="41">
        <f t="shared" ref="DJ177:DJ184" ca="1" si="3020">CO177*BF177/$BN177</f>
        <v>0</v>
      </c>
      <c r="DK177" s="41">
        <f t="shared" ref="DK177:DK184" ca="1" si="3021">CP177*BH177/$BN177</f>
        <v>0</v>
      </c>
      <c r="DL177" s="41">
        <f t="shared" ref="DL177:DL184" ca="1" si="3022">CQ177*BJ177/$BN177</f>
        <v>0</v>
      </c>
      <c r="DM177" s="41">
        <f t="shared" ref="DM177:DM184" ca="1" si="3023">CR177*BL177/$BN177</f>
        <v>0</v>
      </c>
      <c r="DN177" s="41">
        <f t="shared" ref="DN177:DN184" ca="1" si="3024">SUM(CT177:DM177)</f>
        <v>0.27733412524757572</v>
      </c>
      <c r="DP177" s="41">
        <f t="shared" ref="DP177:DP184" ca="1" si="3025">CT177/$DN177-DP$5/100000</f>
        <v>-1.0000000000000001E-5</v>
      </c>
      <c r="DQ177" s="41">
        <f t="shared" ref="DQ177:DQ184" ca="1" si="3026">CU177/$DN177-DQ$5/100000</f>
        <v>-2.0000000000000002E-5</v>
      </c>
      <c r="DR177" s="41">
        <f t="shared" ref="DR177:DR184" ca="1" si="3027">CV177/$DN177-DR$5/100000</f>
        <v>0.18025681994081494</v>
      </c>
      <c r="DS177" s="41">
        <f t="shared" ref="DS177:DS184" ca="1" si="3028">CW177/$DN177-DS$5/100000</f>
        <v>-4.0000000000000003E-5</v>
      </c>
      <c r="DT177" s="41">
        <f t="shared" ref="DT177:DT184" ca="1" si="3029">CX177/$DN177-DT$5/100000</f>
        <v>-5.0000000000000002E-5</v>
      </c>
      <c r="DU177" s="41">
        <f t="shared" ref="DU177:DU184" ca="1" si="3030">CY177/$DN177-DU$5/100000</f>
        <v>-6.0000000000000002E-5</v>
      </c>
      <c r="DV177" s="41">
        <f t="shared" ref="DV177:DV184" ca="1" si="3031">CZ177/$DN177-DV$5/100000</f>
        <v>-6.9999999999999994E-5</v>
      </c>
      <c r="DW177" s="41">
        <f t="shared" ref="DW177:DW184" ca="1" si="3032">DA177/$DN177-DW$5/100000</f>
        <v>-8.0000000000000007E-5</v>
      </c>
      <c r="DX177" s="41">
        <f t="shared" ref="DX177:DX184" ca="1" si="3033">DB177/$DN177-DX$5/100000</f>
        <v>-9.0000000000000006E-5</v>
      </c>
      <c r="DY177" s="41">
        <f t="shared" ref="DY177:DY184" ca="1" si="3034">DC177/$DN177-DY$5/100000</f>
        <v>-1E-4</v>
      </c>
      <c r="DZ177" s="41">
        <f t="shared" ref="DZ177:DZ184" ca="1" si="3035">DD177/$DN177-DZ$5/100000</f>
        <v>-1.1E-4</v>
      </c>
      <c r="EA177" s="41">
        <f t="shared" ref="EA177:EA184" ca="1" si="3036">DE177/$DN177-EA$5/100000</f>
        <v>-1.2E-4</v>
      </c>
      <c r="EB177" s="41">
        <f t="shared" ref="EB177:EB184" ca="1" si="3037">DF177/$DN177-EB$5/100000</f>
        <v>-1.2999999999999999E-4</v>
      </c>
      <c r="EC177" s="41">
        <f t="shared" ref="EC177:EC184" ca="1" si="3038">DG177/$DN177-EC$5/100000</f>
        <v>-1.3999999999999999E-4</v>
      </c>
      <c r="ED177" s="41">
        <f t="shared" ref="ED177:ED184" ca="1" si="3039">DH177/$DN177-ED$5/100000</f>
        <v>0.10251332802185295</v>
      </c>
      <c r="EE177" s="41">
        <f t="shared" ref="EE177:EE184" ca="1" si="3040">DI177/$DN177-EE$5/100000</f>
        <v>0.71688985203733202</v>
      </c>
      <c r="EF177" s="41">
        <f t="shared" ref="EF177:EF184" ca="1" si="3041">DJ177/$DN177-EF$5/100000</f>
        <v>-1.7000000000000001E-4</v>
      </c>
      <c r="EG177" s="41">
        <f t="shared" ref="EG177:EG184" ca="1" si="3042">DK177/$DN177-EG$5/100000</f>
        <v>-1.8000000000000001E-4</v>
      </c>
      <c r="EH177" s="41">
        <f t="shared" ref="EH177:EH184" ca="1" si="3043">DL177/$DN177-EH$5/100000</f>
        <v>-1.9000000000000001E-4</v>
      </c>
      <c r="EI177" s="41">
        <f t="shared" ref="EI177:EI184" ca="1" si="3044">DM177/$DN177-EI$5/100000</f>
        <v>-2.0000000000000001E-4</v>
      </c>
      <c r="EJ177" s="41">
        <f t="shared" ref="EJ177:EJ184" ca="1" si="3045">SUM(DP177:EI177)</f>
        <v>0.99790000000000001</v>
      </c>
      <c r="EL177" s="378">
        <f t="shared" ref="EL177:EL184" ca="1" si="3046">RANK(DP177,$DP177:$EI177)</f>
        <v>4</v>
      </c>
      <c r="EM177" s="378">
        <f t="shared" ref="EM177:EM184" ca="1" si="3047">RANK(DQ177,$DP177:$EI177)</f>
        <v>5</v>
      </c>
      <c r="EN177" s="378">
        <f t="shared" ref="EN177:EN184" ca="1" si="3048">RANK(DR177,$DP177:$EI177)</f>
        <v>2</v>
      </c>
      <c r="EO177" s="378">
        <f t="shared" ref="EO177:EO184" ca="1" si="3049">RANK(DS177,$DP177:$EI177)</f>
        <v>6</v>
      </c>
      <c r="EP177" s="378">
        <f t="shared" ref="EP177:EP184" ca="1" si="3050">RANK(DT177,$DP177:$EI177)</f>
        <v>7</v>
      </c>
      <c r="EQ177" s="378">
        <f t="shared" ref="EQ177:EQ184" ca="1" si="3051">RANK(DU177,$DP177:$EI177)</f>
        <v>8</v>
      </c>
      <c r="ER177" s="378">
        <f t="shared" ref="ER177:ER184" ca="1" si="3052">RANK(DV177,$DP177:$EI177)</f>
        <v>9</v>
      </c>
      <c r="ES177" s="378">
        <f t="shared" ref="ES177:ES184" ca="1" si="3053">RANK(DW177,$DP177:$EI177)</f>
        <v>10</v>
      </c>
      <c r="ET177" s="378">
        <f t="shared" ref="ET177:ET184" ca="1" si="3054">RANK(DX177,$DP177:$EI177)</f>
        <v>11</v>
      </c>
      <c r="EU177" s="378">
        <f t="shared" ref="EU177:EU184" ca="1" si="3055">RANK(DY177,$DP177:$EI177)</f>
        <v>12</v>
      </c>
      <c r="EV177" s="378">
        <f t="shared" ref="EV177:EV184" ca="1" si="3056">RANK(DZ177,$DP177:$EI177)</f>
        <v>13</v>
      </c>
      <c r="EW177" s="378">
        <f t="shared" ref="EW177:EW184" ca="1" si="3057">RANK(EA177,$DP177:$EI177)</f>
        <v>14</v>
      </c>
      <c r="EX177" s="378">
        <f t="shared" ref="EX177:EX184" ca="1" si="3058">RANK(EB177,$DP177:$EI177)</f>
        <v>15</v>
      </c>
      <c r="EY177" s="378">
        <f t="shared" ref="EY177:EY184" ca="1" si="3059">RANK(EC177,$DP177:$EI177)</f>
        <v>16</v>
      </c>
      <c r="EZ177" s="378">
        <f t="shared" ref="EZ177:EZ184" ca="1" si="3060">RANK(ED177,$DP177:$EI177)</f>
        <v>3</v>
      </c>
      <c r="FA177" s="378">
        <f t="shared" ref="FA177:FA184" ca="1" si="3061">RANK(EE177,$DP177:$EI177)</f>
        <v>1</v>
      </c>
      <c r="FB177" s="378">
        <f t="shared" ref="FB177:FB184" ca="1" si="3062">RANK(EF177,$DP177:$EI177)</f>
        <v>17</v>
      </c>
      <c r="FC177" s="378">
        <f t="shared" ref="FC177:FC184" ca="1" si="3063">RANK(EG177,$DP177:$EI177)</f>
        <v>18</v>
      </c>
      <c r="FD177" s="378">
        <f t="shared" ref="FD177:FD184" ca="1" si="3064">RANK(EH177,$DP177:$EI177)</f>
        <v>19</v>
      </c>
      <c r="FE177" s="378">
        <f t="shared" ref="FE177:FE184" ca="1" si="3065">RANK(EI177,$DP177:$EI177)</f>
        <v>20</v>
      </c>
      <c r="FG177" s="378">
        <f t="shared" ca="1" si="2977"/>
        <v>16</v>
      </c>
      <c r="FH177" s="378">
        <f t="shared" ca="1" si="2977"/>
        <v>3</v>
      </c>
      <c r="FI177" s="378">
        <f t="shared" ca="1" si="2977"/>
        <v>15</v>
      </c>
      <c r="FJ177" s="378">
        <f t="shared" ca="1" si="2977"/>
        <v>1</v>
      </c>
      <c r="FK177" s="378">
        <f t="shared" ca="1" si="2977"/>
        <v>2</v>
      </c>
      <c r="FL177" s="378">
        <f t="shared" ca="1" si="2977"/>
        <v>4</v>
      </c>
      <c r="FM177" s="378">
        <f t="shared" ca="1" si="2977"/>
        <v>5</v>
      </c>
      <c r="FN177" s="378">
        <f t="shared" ca="1" si="2977"/>
        <v>6</v>
      </c>
      <c r="FO177" s="378">
        <f t="shared" ca="1" si="2977"/>
        <v>7</v>
      </c>
      <c r="FP177" s="378">
        <f t="shared" ca="1" si="2977"/>
        <v>8</v>
      </c>
      <c r="FQ177" s="378">
        <f t="shared" ca="1" si="2977"/>
        <v>9</v>
      </c>
      <c r="FR177" s="378">
        <f t="shared" ca="1" si="2977"/>
        <v>10</v>
      </c>
      <c r="FS177" s="378">
        <f t="shared" ca="1" si="2977"/>
        <v>11</v>
      </c>
      <c r="FT177" s="378">
        <f t="shared" ca="1" si="2977"/>
        <v>12</v>
      </c>
      <c r="FU177" s="378">
        <f t="shared" ca="1" si="2977"/>
        <v>13</v>
      </c>
      <c r="FV177" s="378">
        <f t="shared" ca="1" si="2977"/>
        <v>14</v>
      </c>
      <c r="FW177" s="378">
        <f t="shared" ca="1" si="2977"/>
        <v>17</v>
      </c>
      <c r="FX177" s="378">
        <f t="shared" ca="1" si="2977"/>
        <v>18</v>
      </c>
      <c r="FY177" s="378">
        <f t="shared" ca="1" si="2977"/>
        <v>19</v>
      </c>
      <c r="FZ177" s="378">
        <f t="shared" ca="1" si="2977"/>
        <v>20</v>
      </c>
      <c r="GB177" s="275" t="str">
        <f t="shared" ref="GB177:GB184" ca="1" si="3066">IF(GB$5&lt;=$BV177,INDEX($Y177:$BL177,1,FG177*2-1)&amp;" ("&amp;TEXT(INDEX($DP177:$EI177,1,FG177),"0%")&amp;")","")</f>
        <v>Source System Inclusion / Integration (72%)</v>
      </c>
      <c r="GC177" s="231" t="str">
        <f t="shared" ref="GC177:GC184" ca="1" si="3067">IF(GC$5&lt;=$BV177,"; "&amp;INDEX($Y177:$BL177,1,FH177*2-1)&amp;" ("&amp;TEXT(INDEX($DP177:$EI177,1,FH177),"0%")&amp;")","")</f>
        <v>; Data Integration/ETL (18%)</v>
      </c>
      <c r="GD177" s="231" t="str">
        <f t="shared" ref="GD177:GD184" ca="1" si="3068">IF(GD$5&lt;=$BV177,"; "&amp;INDEX($Y177:$BL177,1,FI177*2-1)&amp;" ("&amp;TEXT(INDEX($DP177:$EI177,1,FI177),"0%")&amp;")","")</f>
        <v>; BI Applications (10%)</v>
      </c>
      <c r="GE177" s="231" t="str">
        <f t="shared" ref="GE177:GE184" ca="1" si="3069">IF(GE$5&lt;=$BV177,"; "&amp;INDEX($Y177:$BL177,1,FJ177*2-1)&amp;" ("&amp;TEXT(INDEX($DP177:$EI177,1,FJ177),"0%")&amp;")","")</f>
        <v/>
      </c>
      <c r="GF177" s="231" t="str">
        <f t="shared" ref="GF177:GF184" ca="1" si="3070">IF(GF$5&lt;=$BV177,"; "&amp;INDEX($Y177:$BL177,1,FK177*2-1)&amp;" ("&amp;TEXT(INDEX($DP177:$EI177,1,FK177),"0%")&amp;")","")</f>
        <v/>
      </c>
      <c r="GG177" s="231" t="str">
        <f t="shared" ref="GG177:GG184" ca="1" si="3071">IF(GG$5&lt;=$BV177,"; "&amp;INDEX($Y177:$BL177,1,FL177*2-1)&amp;" ("&amp;TEXT(INDEX($DP177:$EI177,1,FL177),"0%")&amp;")","")</f>
        <v/>
      </c>
      <c r="GH177" s="231" t="str">
        <f t="shared" ref="GH177:GH184" ca="1" si="3072">IF(GH$5&lt;=$BV177,"; "&amp;INDEX($Y177:$BL177,1,FM177*2-1)&amp;" ("&amp;TEXT(INDEX($DP177:$EI177,1,FM177),"0%")&amp;")","")</f>
        <v/>
      </c>
      <c r="GI177" s="231" t="str">
        <f t="shared" ref="GI177:GI184" ca="1" si="3073">IF(GI$5&lt;=$BV177,"; "&amp;INDEX($Y177:$BL177,1,FN177*2-1)&amp;" ("&amp;TEXT(INDEX($DP177:$EI177,1,FN177),"0%")&amp;")","")</f>
        <v/>
      </c>
      <c r="GJ177" s="231" t="str">
        <f t="shared" ref="GJ177:GJ184" ca="1" si="3074">IF(GJ$5&lt;=$BV177,"; "&amp;INDEX($Y177:$BL177,1,FO177*2-1)&amp;" ("&amp;TEXT(INDEX($DP177:$EI177,1,FO177),"0%")&amp;")","")</f>
        <v/>
      </c>
      <c r="GK177" s="231" t="str">
        <f t="shared" ref="GK177:GK184" ca="1" si="3075">IF(GK$5&lt;=$BV177,"; "&amp;INDEX($Y177:$BL177,1,FP177*2-1)&amp;" ("&amp;TEXT(INDEX($DP177:$EI177,1,FP177),"0%")&amp;")","")</f>
        <v/>
      </c>
      <c r="GL177" s="231" t="str">
        <f t="shared" ref="GL177:GL184" ca="1" si="3076">IF(GL$5&lt;=$BV177,"; "&amp;INDEX($Y177:$BL177,1,FQ177*2-1)&amp;" ("&amp;TEXT(INDEX($DP177:$EI177,1,FQ177),"0%")&amp;")","")</f>
        <v/>
      </c>
      <c r="GM177" s="231" t="str">
        <f t="shared" ref="GM177:GM184" ca="1" si="3077">IF(GM$5&lt;=$BV177,"; "&amp;INDEX($Y177:$BL177,1,FR177*2-1)&amp;" ("&amp;TEXT(INDEX($DP177:$EI177,1,FR177),"0%")&amp;")","")</f>
        <v/>
      </c>
      <c r="GN177" s="231" t="str">
        <f t="shared" ref="GN177:GN184" ca="1" si="3078">IF(GN$5&lt;=$BV177,"; "&amp;INDEX($Y177:$BL177,1,FS177*2-1)&amp;" ("&amp;TEXT(INDEX($DP177:$EI177,1,FS177),"0%")&amp;")","")</f>
        <v/>
      </c>
      <c r="GO177" s="231" t="str">
        <f t="shared" ref="GO177:GO184" ca="1" si="3079">IF(GO$5&lt;=$BV177,"; "&amp;INDEX($Y177:$BL177,1,FT177*2-1)&amp;" ("&amp;TEXT(INDEX($DP177:$EI177,1,FT177),"0%")&amp;")","")</f>
        <v/>
      </c>
      <c r="GP177" s="231" t="str">
        <f t="shared" ref="GP177:GP184" ca="1" si="3080">IF(GP$5&lt;=$BV177,"; "&amp;INDEX($Y177:$BL177,1,FU177*2-1)&amp;" ("&amp;TEXT(INDEX($DP177:$EI177,1,FU177),"0%")&amp;")","")</f>
        <v/>
      </c>
      <c r="GQ177" s="231" t="str">
        <f t="shared" ref="GQ177:GQ184" ca="1" si="3081">IF(GQ$5&lt;=$BV177,"; "&amp;INDEX($Y177:$BL177,1,FV177*2-1)&amp;" ("&amp;TEXT(INDEX($DP177:$EI177,1,FV177),"0%")&amp;")","")</f>
        <v/>
      </c>
      <c r="GR177" s="231" t="str">
        <f t="shared" ref="GR177:GR184" ca="1" si="3082">IF(GR$5&lt;=$BV177,"; "&amp;INDEX($Y177:$BL177,1,FW177*2-1)&amp;" ("&amp;TEXT(INDEX($DP177:$EI177,1,FW177),"0%")&amp;")","")</f>
        <v/>
      </c>
      <c r="GS177" s="231" t="str">
        <f t="shared" ref="GS177:GS184" ca="1" si="3083">IF(GS$5&lt;=$BV177,"; "&amp;INDEX($Y177:$BL177,1,FX177*2-1)&amp;" ("&amp;TEXT(INDEX($DP177:$EI177,1,FX177),"0%")&amp;")","")</f>
        <v/>
      </c>
      <c r="GT177" s="231" t="str">
        <f t="shared" ref="GT177:GT184" ca="1" si="3084">IF(GT$5&lt;=$BV177,"; "&amp;INDEX($Y177:$BL177,1,FY177*2-1)&amp;" ("&amp;TEXT(INDEX($DP177:$EI177,1,FY177),"0%")&amp;")","")</f>
        <v/>
      </c>
      <c r="GU177" s="231" t="str">
        <f t="shared" ref="GU177:GU184" ca="1" si="3085">IF(GU$5&lt;=$BV177,"; "&amp;INDEX($Y177:$BL177,1,FZ177*2-1)&amp;" ("&amp;TEXT(INDEX($DP177:$EI177,1,FZ177),"0%")&amp;")","")</f>
        <v/>
      </c>
      <c r="GW177" s="377">
        <f ca="1">IF(ISERROR(OFFSET(Initiatives!$D$1,E177-1,$CB$3)),,OFFSET(Initiatives!$D$1,E177-1,$CB$3))</f>
        <v>0.65</v>
      </c>
      <c r="GX177" s="377">
        <f ca="1">IF(ISERROR(OFFSET(Initiatives!$D$1,F177-1,$CB$3)),,OFFSET(Initiatives!$D$1,F177-1,$CB$3))</f>
        <v>0.75</v>
      </c>
      <c r="GY177" s="377">
        <f ca="1">IF(ISERROR(OFFSET(Initiatives!$D$1,G177-1,$CB$3)),,OFFSET(Initiatives!$D$1,G177-1,$CB$3))</f>
        <v>0.75</v>
      </c>
      <c r="GZ177" s="377">
        <f ca="1">IF(ISERROR(OFFSET(Initiatives!$D$1,H177-1,$CB$3)),,OFFSET(Initiatives!$D$1,H177-1,$CB$3))</f>
        <v>0.8</v>
      </c>
      <c r="HA177" s="377">
        <f ca="1">IF(ISERROR(OFFSET(Initiatives!$D$1,I177-1,$CB$3)),,OFFSET(Initiatives!$D$1,I177-1,$CB$3))</f>
        <v>0.9</v>
      </c>
      <c r="HB177" s="377">
        <f ca="1">IF(ISERROR(OFFSET(Initiatives!$D$1,J177-1,$CB$3)),,OFFSET(Initiatives!$D$1,J177-1,$CB$3))</f>
        <v>0.4</v>
      </c>
      <c r="HC177" s="377">
        <f ca="1">IF(ISERROR(OFFSET(Initiatives!$D$1,K177-1,$CB$3)),,OFFSET(Initiatives!$D$1,K177-1,$CB$3))</f>
        <v>0.25</v>
      </c>
      <c r="HD177" s="377">
        <f ca="1">IF(ISERROR(OFFSET(Initiatives!$D$1,L177-1,$CB$3)),,OFFSET(Initiatives!$D$1,L177-1,$CB$3))</f>
        <v>0.25</v>
      </c>
      <c r="HE177" s="377">
        <f ca="1">IF(ISERROR(OFFSET(Initiatives!$D$1,M177-1,$CB$3)),,OFFSET(Initiatives!$D$1,M177-1,$CB$3))</f>
        <v>0.25</v>
      </c>
      <c r="HF177" s="377">
        <f ca="1">IF(ISERROR(OFFSET(Initiatives!$D$1,N177-1,$CB$3)),,OFFSET(Initiatives!$D$1,N177-1,$CB$3))</f>
        <v>0.25</v>
      </c>
      <c r="HG177" s="377">
        <f ca="1">IF(ISERROR(OFFSET(Initiatives!$D$1,O177-1,$CB$3)),,OFFSET(Initiatives!$D$1,O177-1,$CB$3))</f>
        <v>0.25</v>
      </c>
      <c r="HH177" s="377">
        <f ca="1">IF(ISERROR(OFFSET(Initiatives!$D$1,P177-1,$CB$3)),,OFFSET(Initiatives!$D$1,P177-1,$CB$3))</f>
        <v>0.25</v>
      </c>
      <c r="HI177" s="377">
        <f ca="1">IF(ISERROR(OFFSET(Initiatives!$D$1,Q177-1,$CB$3)),,OFFSET(Initiatives!$D$1,Q177-1,$CB$3))</f>
        <v>0.25</v>
      </c>
      <c r="HJ177" s="377">
        <f ca="1">IF(ISERROR(OFFSET(Initiatives!$D$1,R177-1,$CB$3)),,OFFSET(Initiatives!$D$1,R177-1,$CB$3))</f>
        <v>0.1</v>
      </c>
      <c r="HK177" s="377">
        <f ca="1">IF(ISERROR(OFFSET(Initiatives!$D$1,S177-1,$CB$3)),,OFFSET(Initiatives!$D$1,S177-1,$CB$3))</f>
        <v>0.34166666666666662</v>
      </c>
      <c r="HL177" s="377">
        <f ca="1">IF(ISERROR(OFFSET(Initiatives!$D$1,T177-1,$CB$3)),,OFFSET(Initiatives!$D$1,T177-1,$CB$3))</f>
        <v>0.43181818181818177</v>
      </c>
      <c r="HM177" s="377">
        <f ca="1">IF(ISERROR(OFFSET(Initiatives!$D$1,U177-1,$CB$3)),,OFFSET(Initiatives!$D$1,U177-1,$CB$3))</f>
        <v>0</v>
      </c>
      <c r="HN177" s="377">
        <f ca="1">IF(ISERROR(OFFSET(Initiatives!$D$1,V177-1,$CB$3)),,OFFSET(Initiatives!$D$1,V177-1,$CB$3))</f>
        <v>0</v>
      </c>
      <c r="HO177" s="377">
        <f ca="1">IF(ISERROR(OFFSET(Initiatives!$D$1,W177-1,$CB$3)),,OFFSET(Initiatives!$D$1,W177-1,$CB$3))</f>
        <v>0</v>
      </c>
      <c r="HP177" s="377">
        <f ca="1">IF(ISERROR(OFFSET(Initiatives!$D$1,X177-1,$CB$3)),,OFFSET(Initiatives!$D$1,X177-1,$CB$3))</f>
        <v>0</v>
      </c>
      <c r="HR177" s="41">
        <f t="shared" ref="HR177:HR184" ca="1" si="3086">GW177*Z177/$BN177</f>
        <v>0</v>
      </c>
      <c r="HS177" s="41">
        <f t="shared" ref="HS177:HS184" ca="1" si="3087">GX177*AB177/$BN177</f>
        <v>0</v>
      </c>
      <c r="HT177" s="41">
        <f t="shared" ref="HT177:HT184" ca="1" si="3088">GY177*AD177/$BN177</f>
        <v>0.37499765626464837</v>
      </c>
      <c r="HU177" s="41">
        <f t="shared" ref="HU177:HU184" ca="1" si="3089">GZ177*AF177/$BN177</f>
        <v>0</v>
      </c>
      <c r="HV177" s="41">
        <f t="shared" ref="HV177:HV184" ca="1" si="3090">HA177*AH177/$BN177</f>
        <v>0</v>
      </c>
      <c r="HW177" s="41">
        <f t="shared" ref="HW177:HW184" ca="1" si="3091">HB177*AJ177/$BN177</f>
        <v>0</v>
      </c>
      <c r="HX177" s="41">
        <f t="shared" ref="HX177:HX184" ca="1" si="3092">HC177*AL177/$BN177</f>
        <v>0</v>
      </c>
      <c r="HY177" s="41">
        <f t="shared" ref="HY177:HY184" ca="1" si="3093">HD177*AN177/$BN177</f>
        <v>0</v>
      </c>
      <c r="HZ177" s="41">
        <f t="shared" ref="HZ177:HZ184" ca="1" si="3094">HE177*AP177/$BN177</f>
        <v>0</v>
      </c>
      <c r="IA177" s="41">
        <f t="shared" ref="IA177:IA184" ca="1" si="3095">HF177*AR177/$BN177</f>
        <v>0</v>
      </c>
      <c r="IB177" s="41">
        <f t="shared" ref="IB177:IB184" ca="1" si="3096">HG177*AT177/$BN177</f>
        <v>0</v>
      </c>
      <c r="IC177" s="41">
        <f t="shared" ref="IC177:IC184" ca="1" si="3097">HH177*AV177/$BN177</f>
        <v>0</v>
      </c>
      <c r="ID177" s="41">
        <f t="shared" ref="ID177:ID184" ca="1" si="3098">HI177*AX177/$BN177</f>
        <v>0</v>
      </c>
      <c r="IE177" s="41">
        <f t="shared" ref="IE177:IE184" ca="1" si="3099">HJ177*BZ177/$BN177</f>
        <v>6.2499609377441386E-4</v>
      </c>
      <c r="IF177" s="41">
        <f t="shared" ref="IF177:IF184" ca="1" si="3100">HK177*BB177/$BN177</f>
        <v>2.1354033203959139E-2</v>
      </c>
      <c r="IG177" s="41">
        <f t="shared" ref="IG177:IG184" ca="1" si="3101">HL177*BD177/$BN177</f>
        <v>0.18891927379999329</v>
      </c>
      <c r="IH177" s="41">
        <f t="shared" ref="IH177:IH184" ca="1" si="3102">HM177*BF177/$BN177</f>
        <v>0</v>
      </c>
      <c r="II177" s="41">
        <f t="shared" ref="II177:II184" ca="1" si="3103">HN177*BH177/$BN177</f>
        <v>0</v>
      </c>
      <c r="IJ177" s="41">
        <f t="shared" ref="IJ177:IJ184" ca="1" si="3104">HO177*BJ177/$BN177</f>
        <v>0</v>
      </c>
      <c r="IK177" s="41">
        <f t="shared" ref="IK177:IK184" ca="1" si="3105">HP177*BL177/$BN177</f>
        <v>0</v>
      </c>
      <c r="IL177" s="41">
        <f t="shared" ref="IL177:IL184" ca="1" si="3106">SUM(HR177:IK177)</f>
        <v>0.58589595936237515</v>
      </c>
    </row>
    <row r="178" spans="2:246" s="441" customFormat="1" ht="15" hidden="1" customHeight="1">
      <c r="B178" s="373"/>
      <c r="C178" s="443" t="str">
        <f>'Costs - HWSW'!F$4</f>
        <v>Development</v>
      </c>
      <c r="D178" s="404">
        <f t="shared" ca="1" si="2998"/>
        <v>0.14179913144920542</v>
      </c>
      <c r="E178" s="374">
        <f>ROW(Initiatives!$A$104)</f>
        <v>104</v>
      </c>
      <c r="F178" s="374">
        <f>ROW(Initiatives!$A$110)</f>
        <v>110</v>
      </c>
      <c r="G178" s="374">
        <f>ROW(Initiatives!$A$115)</f>
        <v>115</v>
      </c>
      <c r="H178" s="374">
        <f>ROW(Initiatives!$A$121)</f>
        <v>121</v>
      </c>
      <c r="I178" s="374">
        <f>ROW(Initiatives!$A$127)</f>
        <v>127</v>
      </c>
      <c r="J178" s="374">
        <f>ROW(Initiatives!$A$139)</f>
        <v>139</v>
      </c>
      <c r="K178" s="374">
        <f>ROW(Initiatives!$A$146)</f>
        <v>146</v>
      </c>
      <c r="L178" s="374">
        <f>ROW(Initiatives!$A$148)</f>
        <v>148</v>
      </c>
      <c r="M178" s="374">
        <f>ROW(Initiatives!$A$149)</f>
        <v>149</v>
      </c>
      <c r="N178" s="374">
        <f>ROW(Initiatives!$A$150)</f>
        <v>150</v>
      </c>
      <c r="O178" s="374">
        <f>ROW(Initiatives!$A$151)</f>
        <v>151</v>
      </c>
      <c r="P178" s="374">
        <f>ROW(Initiatives!$A$152)</f>
        <v>152</v>
      </c>
      <c r="Q178" s="374">
        <f>ROW(Initiatives!$A$154)</f>
        <v>154</v>
      </c>
      <c r="R178" s="374">
        <f>ROW(Initiatives!$A$161)</f>
        <v>161</v>
      </c>
      <c r="S178" s="374">
        <f>ROW(Initiatives!$A$242)</f>
        <v>242</v>
      </c>
      <c r="T178" s="374">
        <f>ROW(Initiatives!$A$248)</f>
        <v>248</v>
      </c>
      <c r="U178" s="374" t="s">
        <v>975</v>
      </c>
      <c r="V178" s="374" t="s">
        <v>975</v>
      </c>
      <c r="W178" s="374" t="s">
        <v>975</v>
      </c>
      <c r="X178" s="374" t="s">
        <v>975</v>
      </c>
      <c r="Y178" s="392" t="str">
        <f ca="1">OFFSET(Initiatives!$D$1,E178-1,$BS$3)</f>
        <v>Architecture Standards &amp; Adherence</v>
      </c>
      <c r="Z178" s="375"/>
      <c r="AA178" s="392" t="str">
        <f ca="1">OFFSET(Initiatives!$D$1,F178-1,$BS$3)</f>
        <v>Data Management</v>
      </c>
      <c r="AB178" s="375"/>
      <c r="AC178" s="392" t="str">
        <f ca="1">OFFSET(Initiatives!$D$1,G178-1,$BS$3)</f>
        <v>Data Integration/ETL</v>
      </c>
      <c r="AD178" s="375"/>
      <c r="AE178" s="392" t="str">
        <f ca="1">OFFSET(Initiatives!$D$1,H178-1,$BS$3)</f>
        <v>Data Warehouse / Data Marts</v>
      </c>
      <c r="AF178" s="375">
        <v>1</v>
      </c>
      <c r="AG178" s="392" t="str">
        <f ca="1">OFFSET(Initiatives!$D$1,I178-1,$BS$3)</f>
        <v>Development</v>
      </c>
      <c r="AH178" s="375">
        <v>9</v>
      </c>
      <c r="AI178" s="392" t="str">
        <f ca="1">OFFSET(Initiatives!$D$1,J178-1,$BS$3)</f>
        <v>Reporting</v>
      </c>
      <c r="AJ178" s="375"/>
      <c r="AK178" s="392" t="str">
        <f ca="1">OFFSET(Initiatives!$D$1,K178-1,$BS$3)</f>
        <v>Scorecards / Dashboards</v>
      </c>
      <c r="AL178" s="375"/>
      <c r="AM178" s="392" t="str">
        <f ca="1">OFFSET(Initiatives!$D$1,L178-1,$BS$3)</f>
        <v>Broad-reach analytic tools</v>
      </c>
      <c r="AN178" s="375"/>
      <c r="AO178" s="392" t="str">
        <f ca="1">OFFSET(Initiatives!$D$1,M178-1,$BS$3)</f>
        <v>BI/DW platform integration with user tools (e.g. Excel)</v>
      </c>
      <c r="AP178" s="375"/>
      <c r="AQ178" s="392" t="str">
        <f ca="1">OFFSET(Initiatives!$D$1,N178-1,$BS$3)</f>
        <v>Advanced data visualization</v>
      </c>
      <c r="AR178" s="375"/>
      <c r="AS178" s="392" t="str">
        <f ca="1">OFFSET(Initiatives!$D$1,O178-1,$BS$3)</f>
        <v>Advanced analytics</v>
      </c>
      <c r="AT178" s="375"/>
      <c r="AU178" s="392" t="str">
        <f ca="1">OFFSET(Initiatives!$D$1,P178-1,$BS$3)</f>
        <v>Predictive analysis</v>
      </c>
      <c r="AV178" s="375"/>
      <c r="AW178" s="392" t="str">
        <f ca="1">OFFSET(Initiatives!$D$1,Q178-1,$BS$3)</f>
        <v>Analytical Tools</v>
      </c>
      <c r="AX178" s="375"/>
      <c r="AY178" s="392" t="str">
        <f ca="1">OFFSET(Initiatives!$D$1,R178-1,$BS$3)</f>
        <v>Workflow and Collaboration</v>
      </c>
      <c r="AZ178" s="375"/>
      <c r="BA178" s="392" t="str">
        <f ca="1">OFFSET(Initiatives!$D$1,S178-1,$BS$3)</f>
        <v>BI Applications</v>
      </c>
      <c r="BB178" s="375">
        <v>2</v>
      </c>
      <c r="BC178" s="392" t="str">
        <f ca="1">OFFSET(Initiatives!$D$1,T178-1,$BS$3)</f>
        <v>Source System Inclusion / Integration</v>
      </c>
      <c r="BD178" s="375">
        <v>2</v>
      </c>
      <c r="BE178" s="392" t="e">
        <f ca="1">OFFSET(Initiatives!$D$1,U178-1,$BS$3)</f>
        <v>#VALUE!</v>
      </c>
      <c r="BF178" s="375"/>
      <c r="BG178" s="392" t="e">
        <f ca="1">OFFSET(Initiatives!$D$1,V178-1,$BS$3)</f>
        <v>#VALUE!</v>
      </c>
      <c r="BH178" s="375"/>
      <c r="BI178" s="392" t="e">
        <f ca="1">OFFSET(Initiatives!$D$1,W178-1,$BS$3)</f>
        <v>#VALUE!</v>
      </c>
      <c r="BJ178" s="375"/>
      <c r="BK178" s="392" t="e">
        <f ca="1">OFFSET(Initiatives!$D$1,X178-1,$BS$3)</f>
        <v>#VALUE!</v>
      </c>
      <c r="BL178" s="375"/>
      <c r="BN178" s="101">
        <f t="shared" si="2999"/>
        <v>14.0001</v>
      </c>
      <c r="BP178" s="231" t="str">
        <f t="shared" ca="1" si="3000"/>
        <v>BI Applications (46%); Source System Inclusion / Integration (46%)</v>
      </c>
      <c r="BQ178" s="338">
        <v>0.01</v>
      </c>
      <c r="BR178" s="40">
        <f t="shared" ca="1" si="3001"/>
        <v>2</v>
      </c>
      <c r="BS178" s="274">
        <v>0.05</v>
      </c>
      <c r="BT178" s="40">
        <f t="shared" ca="1" si="3002"/>
        <v>3</v>
      </c>
      <c r="BU178" s="376">
        <v>7</v>
      </c>
      <c r="BV178" s="40">
        <f t="shared" ca="1" si="3003"/>
        <v>2</v>
      </c>
      <c r="BY178" s="377">
        <f ca="1">IF(ISERROR(OFFSET(Initiatives!$D$1,E178-1,$BY$3)),,OFFSET(Initiatives!$D$1,E178-1,$BY$3))</f>
        <v>0.14000000000000012</v>
      </c>
      <c r="BZ178" s="377">
        <f ca="1">IF(ISERROR(OFFSET(Initiatives!$D$1,F178-1,$BY$3)),,OFFSET(Initiatives!$D$1,F178-1,$BY$3))</f>
        <v>9.9999999999999978E-2</v>
      </c>
      <c r="CA178" s="377">
        <f ca="1">IF(ISERROR(OFFSET(Initiatives!$D$1,G178-1,$BY$3)),,OFFSET(Initiatives!$D$1,G178-1,$BY$3))</f>
        <v>9.9999999999999978E-2</v>
      </c>
      <c r="CB178" s="377">
        <f ca="1">IF(ISERROR(OFFSET(Initiatives!$D$1,H178-1,$BY$3)),,OFFSET(Initiatives!$D$1,H178-1,$BY$3))</f>
        <v>3.0000000000000027E-2</v>
      </c>
      <c r="CC178" s="377">
        <f ca="1">IF(ISERROR(OFFSET(Initiatives!$D$1,I178-1,$BY$3)),,OFFSET(Initiatives!$D$1,I178-1,$BY$3))</f>
        <v>1.5000000000000124E-2</v>
      </c>
      <c r="CD178" s="377">
        <f ca="1">IF(ISERROR(OFFSET(Initiatives!$D$1,J178-1,$BY$3)),,OFFSET(Initiatives!$D$1,J178-1,$BY$3))</f>
        <v>0.48</v>
      </c>
      <c r="CE178" s="377">
        <f ca="1">IF(ISERROR(OFFSET(Initiatives!$D$1,K178-1,$BY$3)),,OFFSET(Initiatives!$D$1,K178-1,$BY$3))</f>
        <v>0.6</v>
      </c>
      <c r="CF178" s="377">
        <f ca="1">IF(ISERROR(OFFSET(Initiatives!$D$1,L178-1,$BY$3)),,OFFSET(Initiatives!$D$1,L178-1,$BY$3))</f>
        <v>0.60000000000000009</v>
      </c>
      <c r="CG178" s="377">
        <f ca="1">IF(ISERROR(OFFSET(Initiatives!$D$1,M178-1,$BY$3)),,OFFSET(Initiatives!$D$1,M178-1,$BY$3))</f>
        <v>0.60000000000000009</v>
      </c>
      <c r="CH178" s="377">
        <f ca="1">IF(ISERROR(OFFSET(Initiatives!$D$1,N178-1,$BY$3)),,OFFSET(Initiatives!$D$1,N178-1,$BY$3))</f>
        <v>0.60000000000000009</v>
      </c>
      <c r="CI178" s="377">
        <f ca="1">IF(ISERROR(OFFSET(Initiatives!$D$1,O178-1,$BY$3)),,OFFSET(Initiatives!$D$1,O178-1,$BY$3))</f>
        <v>0.60000000000000009</v>
      </c>
      <c r="CJ178" s="377">
        <f ca="1">IF(ISERROR(OFFSET(Initiatives!$D$1,P178-1,$BY$3)),,OFFSET(Initiatives!$D$1,P178-1,$BY$3))</f>
        <v>0.60000000000000009</v>
      </c>
      <c r="CK178" s="377">
        <f ca="1">IF(ISERROR(OFFSET(Initiatives!$D$1,Q178-1,$BY$3)),,OFFSET(Initiatives!$D$1,Q178-1,$BY$3))</f>
        <v>0.6</v>
      </c>
      <c r="CL178" s="377">
        <f ca="1">IF(ISERROR(OFFSET(Initiatives!$D$1,R178-1,$BY$3)),,OFFSET(Initiatives!$D$1,R178-1,$BY$3))</f>
        <v>0.72000000000000008</v>
      </c>
      <c r="CM178" s="377">
        <f ca="1">IF(ISERROR(OFFSET(Initiatives!$D$1,S178-1,$BY$3)),,OFFSET(Initiatives!$D$1,S178-1,$BY$3))</f>
        <v>0.45555555555555544</v>
      </c>
      <c r="CN178" s="377">
        <f ca="1">IF(ISERROR(OFFSET(Initiatives!$D$1,T178-1,$BY$3)),,OFFSET(Initiatives!$D$1,T178-1,$BY$3))</f>
        <v>0.45454545454545436</v>
      </c>
      <c r="CO178" s="377">
        <f ca="1">IF(ISERROR(OFFSET(Initiatives!$D$1,U178-1,$BY$3)),,OFFSET(Initiatives!$D$1,U178-1,$BY$3))</f>
        <v>0</v>
      </c>
      <c r="CP178" s="377">
        <f ca="1">IF(ISERROR(OFFSET(Initiatives!$D$1,V178-1,$BY$3)),,OFFSET(Initiatives!$D$1,V178-1,$BY$3))</f>
        <v>0</v>
      </c>
      <c r="CQ178" s="377">
        <f ca="1">IF(ISERROR(OFFSET(Initiatives!$D$1,W178-1,$BY$3)),,OFFSET(Initiatives!$D$1,W178-1,$BY$3))</f>
        <v>0</v>
      </c>
      <c r="CR178" s="377">
        <f ca="1">IF(ISERROR(OFFSET(Initiatives!$D$1,X178-1,$BY$3)),,OFFSET(Initiatives!$D$1,X178-1,$BY$3))</f>
        <v>0</v>
      </c>
      <c r="CT178" s="41">
        <f t="shared" ca="1" si="3004"/>
        <v>0</v>
      </c>
      <c r="CU178" s="41">
        <f t="shared" ca="1" si="3005"/>
        <v>0</v>
      </c>
      <c r="CV178" s="41">
        <f t="shared" ca="1" si="3006"/>
        <v>0</v>
      </c>
      <c r="CW178" s="41">
        <f t="shared" ca="1" si="3007"/>
        <v>2.1428418368440246E-3</v>
      </c>
      <c r="CX178" s="41">
        <f t="shared" ca="1" si="3008"/>
        <v>9.6427882657981814E-3</v>
      </c>
      <c r="CY178" s="41">
        <f t="shared" ca="1" si="3009"/>
        <v>0</v>
      </c>
      <c r="CZ178" s="41">
        <f t="shared" ca="1" si="3010"/>
        <v>0</v>
      </c>
      <c r="DA178" s="41">
        <f t="shared" ca="1" si="3011"/>
        <v>0</v>
      </c>
      <c r="DB178" s="41">
        <f t="shared" ca="1" si="3012"/>
        <v>0</v>
      </c>
      <c r="DC178" s="41">
        <f t="shared" ca="1" si="3013"/>
        <v>0</v>
      </c>
      <c r="DD178" s="41">
        <f t="shared" ca="1" si="3014"/>
        <v>0</v>
      </c>
      <c r="DE178" s="41">
        <f t="shared" ca="1" si="3015"/>
        <v>0</v>
      </c>
      <c r="DF178" s="41">
        <f t="shared" ca="1" si="3016"/>
        <v>0</v>
      </c>
      <c r="DG178" s="41">
        <f t="shared" ca="1" si="3017"/>
        <v>0</v>
      </c>
      <c r="DH178" s="41">
        <f t="shared" ca="1" si="3018"/>
        <v>6.5078900230077702E-2</v>
      </c>
      <c r="DI178" s="41">
        <f t="shared" ca="1" si="3019"/>
        <v>6.493460111648551E-2</v>
      </c>
      <c r="DJ178" s="41">
        <f t="shared" ca="1" si="3020"/>
        <v>0</v>
      </c>
      <c r="DK178" s="41">
        <f t="shared" ca="1" si="3021"/>
        <v>0</v>
      </c>
      <c r="DL178" s="41">
        <f t="shared" ca="1" si="3022"/>
        <v>0</v>
      </c>
      <c r="DM178" s="41">
        <f t="shared" ca="1" si="3023"/>
        <v>0</v>
      </c>
      <c r="DN178" s="41">
        <f t="shared" ca="1" si="3024"/>
        <v>0.14179913144920542</v>
      </c>
      <c r="DP178" s="41">
        <f t="shared" ca="1" si="3025"/>
        <v>-1.0000000000000001E-5</v>
      </c>
      <c r="DQ178" s="41">
        <f t="shared" ca="1" si="3026"/>
        <v>-2.0000000000000002E-5</v>
      </c>
      <c r="DR178" s="41">
        <f t="shared" ca="1" si="3027"/>
        <v>-3.0000000000000001E-5</v>
      </c>
      <c r="DS178" s="41">
        <f t="shared" ca="1" si="3028"/>
        <v>1.5071812145419401E-2</v>
      </c>
      <c r="DT178" s="41">
        <f t="shared" ca="1" si="3029"/>
        <v>6.795315465438781E-2</v>
      </c>
      <c r="DU178" s="41">
        <f t="shared" ca="1" si="3030"/>
        <v>-6.0000000000000002E-5</v>
      </c>
      <c r="DV178" s="41">
        <f t="shared" ca="1" si="3031"/>
        <v>-6.9999999999999994E-5</v>
      </c>
      <c r="DW178" s="41">
        <f t="shared" ca="1" si="3032"/>
        <v>-8.0000000000000007E-5</v>
      </c>
      <c r="DX178" s="41">
        <f t="shared" ca="1" si="3033"/>
        <v>-9.0000000000000006E-5</v>
      </c>
      <c r="DY178" s="41">
        <f t="shared" ca="1" si="3034"/>
        <v>-1E-4</v>
      </c>
      <c r="DZ178" s="41">
        <f t="shared" ca="1" si="3035"/>
        <v>-1.1E-4</v>
      </c>
      <c r="EA178" s="41">
        <f t="shared" ca="1" si="3036"/>
        <v>-1.2E-4</v>
      </c>
      <c r="EB178" s="41">
        <f t="shared" ca="1" si="3037"/>
        <v>-1.2999999999999999E-4</v>
      </c>
      <c r="EC178" s="41">
        <f t="shared" ca="1" si="3038"/>
        <v>-1.3999999999999999E-4</v>
      </c>
      <c r="ED178" s="41">
        <f t="shared" ca="1" si="3039"/>
        <v>0.45880133182384791</v>
      </c>
      <c r="EE178" s="41">
        <f t="shared" ca="1" si="3040"/>
        <v>0.45777370137634493</v>
      </c>
      <c r="EF178" s="41">
        <f t="shared" ca="1" si="3041"/>
        <v>-1.7000000000000001E-4</v>
      </c>
      <c r="EG178" s="41">
        <f t="shared" ca="1" si="3042"/>
        <v>-1.8000000000000001E-4</v>
      </c>
      <c r="EH178" s="41">
        <f t="shared" ca="1" si="3043"/>
        <v>-1.9000000000000001E-4</v>
      </c>
      <c r="EI178" s="41">
        <f t="shared" ca="1" si="3044"/>
        <v>-2.0000000000000001E-4</v>
      </c>
      <c r="EJ178" s="41">
        <f t="shared" ca="1" si="3045"/>
        <v>0.99790000000000001</v>
      </c>
      <c r="EL178" s="378">
        <f t="shared" ca="1" si="3046"/>
        <v>5</v>
      </c>
      <c r="EM178" s="378">
        <f t="shared" ca="1" si="3047"/>
        <v>6</v>
      </c>
      <c r="EN178" s="378">
        <f t="shared" ca="1" si="3048"/>
        <v>7</v>
      </c>
      <c r="EO178" s="378">
        <f t="shared" ca="1" si="3049"/>
        <v>4</v>
      </c>
      <c r="EP178" s="378">
        <f t="shared" ca="1" si="3050"/>
        <v>3</v>
      </c>
      <c r="EQ178" s="378">
        <f t="shared" ca="1" si="3051"/>
        <v>8</v>
      </c>
      <c r="ER178" s="378">
        <f t="shared" ca="1" si="3052"/>
        <v>9</v>
      </c>
      <c r="ES178" s="378">
        <f t="shared" ca="1" si="3053"/>
        <v>10</v>
      </c>
      <c r="ET178" s="378">
        <f t="shared" ca="1" si="3054"/>
        <v>11</v>
      </c>
      <c r="EU178" s="378">
        <f t="shared" ca="1" si="3055"/>
        <v>12</v>
      </c>
      <c r="EV178" s="378">
        <f t="shared" ca="1" si="3056"/>
        <v>13</v>
      </c>
      <c r="EW178" s="378">
        <f t="shared" ca="1" si="3057"/>
        <v>14</v>
      </c>
      <c r="EX178" s="378">
        <f t="shared" ca="1" si="3058"/>
        <v>15</v>
      </c>
      <c r="EY178" s="378">
        <f t="shared" ca="1" si="3059"/>
        <v>16</v>
      </c>
      <c r="EZ178" s="378">
        <f t="shared" ca="1" si="3060"/>
        <v>1</v>
      </c>
      <c r="FA178" s="378">
        <f t="shared" ca="1" si="3061"/>
        <v>2</v>
      </c>
      <c r="FB178" s="378">
        <f t="shared" ca="1" si="3062"/>
        <v>17</v>
      </c>
      <c r="FC178" s="378">
        <f t="shared" ca="1" si="3063"/>
        <v>18</v>
      </c>
      <c r="FD178" s="378">
        <f t="shared" ca="1" si="3064"/>
        <v>19</v>
      </c>
      <c r="FE178" s="378">
        <f t="shared" ca="1" si="3065"/>
        <v>20</v>
      </c>
      <c r="FG178" s="378">
        <f t="shared" ca="1" si="2977"/>
        <v>15</v>
      </c>
      <c r="FH178" s="378">
        <f t="shared" ca="1" si="2977"/>
        <v>16</v>
      </c>
      <c r="FI178" s="378">
        <f t="shared" ca="1" si="2977"/>
        <v>5</v>
      </c>
      <c r="FJ178" s="378">
        <f t="shared" ca="1" si="2977"/>
        <v>4</v>
      </c>
      <c r="FK178" s="378">
        <f t="shared" ca="1" si="2977"/>
        <v>1</v>
      </c>
      <c r="FL178" s="378">
        <f t="shared" ca="1" si="2977"/>
        <v>2</v>
      </c>
      <c r="FM178" s="378">
        <f t="shared" ca="1" si="2977"/>
        <v>3</v>
      </c>
      <c r="FN178" s="378">
        <f t="shared" ca="1" si="2977"/>
        <v>6</v>
      </c>
      <c r="FO178" s="378">
        <f t="shared" ca="1" si="2977"/>
        <v>7</v>
      </c>
      <c r="FP178" s="378">
        <f t="shared" ca="1" si="2977"/>
        <v>8</v>
      </c>
      <c r="FQ178" s="378">
        <f t="shared" ca="1" si="2977"/>
        <v>9</v>
      </c>
      <c r="FR178" s="378">
        <f t="shared" ca="1" si="2977"/>
        <v>10</v>
      </c>
      <c r="FS178" s="378">
        <f t="shared" ca="1" si="2977"/>
        <v>11</v>
      </c>
      <c r="FT178" s="378">
        <f t="shared" ca="1" si="2977"/>
        <v>12</v>
      </c>
      <c r="FU178" s="378">
        <f t="shared" ca="1" si="2977"/>
        <v>13</v>
      </c>
      <c r="FV178" s="378">
        <f t="shared" ca="1" si="2977"/>
        <v>14</v>
      </c>
      <c r="FW178" s="378">
        <f t="shared" ca="1" si="2977"/>
        <v>17</v>
      </c>
      <c r="FX178" s="378">
        <f t="shared" ca="1" si="2977"/>
        <v>18</v>
      </c>
      <c r="FY178" s="378">
        <f t="shared" ca="1" si="2977"/>
        <v>19</v>
      </c>
      <c r="FZ178" s="378">
        <f t="shared" ca="1" si="2977"/>
        <v>20</v>
      </c>
      <c r="GB178" s="275" t="str">
        <f t="shared" ca="1" si="3066"/>
        <v>BI Applications (46%)</v>
      </c>
      <c r="GC178" s="231" t="str">
        <f t="shared" ca="1" si="3067"/>
        <v>; Source System Inclusion / Integration (46%)</v>
      </c>
      <c r="GD178" s="231" t="str">
        <f t="shared" ca="1" si="3068"/>
        <v/>
      </c>
      <c r="GE178" s="231" t="str">
        <f t="shared" ca="1" si="3069"/>
        <v/>
      </c>
      <c r="GF178" s="231" t="str">
        <f t="shared" ca="1" si="3070"/>
        <v/>
      </c>
      <c r="GG178" s="231" t="str">
        <f t="shared" ca="1" si="3071"/>
        <v/>
      </c>
      <c r="GH178" s="231" t="str">
        <f t="shared" ca="1" si="3072"/>
        <v/>
      </c>
      <c r="GI178" s="231" t="str">
        <f t="shared" ca="1" si="3073"/>
        <v/>
      </c>
      <c r="GJ178" s="231" t="str">
        <f t="shared" ca="1" si="3074"/>
        <v/>
      </c>
      <c r="GK178" s="231" t="str">
        <f t="shared" ca="1" si="3075"/>
        <v/>
      </c>
      <c r="GL178" s="231" t="str">
        <f t="shared" ca="1" si="3076"/>
        <v/>
      </c>
      <c r="GM178" s="231" t="str">
        <f t="shared" ca="1" si="3077"/>
        <v/>
      </c>
      <c r="GN178" s="231" t="str">
        <f t="shared" ca="1" si="3078"/>
        <v/>
      </c>
      <c r="GO178" s="231" t="str">
        <f t="shared" ca="1" si="3079"/>
        <v/>
      </c>
      <c r="GP178" s="231" t="str">
        <f t="shared" ca="1" si="3080"/>
        <v/>
      </c>
      <c r="GQ178" s="231" t="str">
        <f t="shared" ca="1" si="3081"/>
        <v/>
      </c>
      <c r="GR178" s="231" t="str">
        <f t="shared" ca="1" si="3082"/>
        <v/>
      </c>
      <c r="GS178" s="231" t="str">
        <f t="shared" ca="1" si="3083"/>
        <v/>
      </c>
      <c r="GT178" s="231" t="str">
        <f t="shared" ca="1" si="3084"/>
        <v/>
      </c>
      <c r="GU178" s="231" t="str">
        <f t="shared" ca="1" si="3085"/>
        <v/>
      </c>
      <c r="GW178" s="377">
        <f ca="1">IF(ISERROR(OFFSET(Initiatives!$D$1,E178-1,$CB$3)),,OFFSET(Initiatives!$D$1,E178-1,$CB$3))</f>
        <v>0.65</v>
      </c>
      <c r="GX178" s="377">
        <f ca="1">IF(ISERROR(OFFSET(Initiatives!$D$1,F178-1,$CB$3)),,OFFSET(Initiatives!$D$1,F178-1,$CB$3))</f>
        <v>0.75</v>
      </c>
      <c r="GY178" s="377">
        <f ca="1">IF(ISERROR(OFFSET(Initiatives!$D$1,G178-1,$CB$3)),,OFFSET(Initiatives!$D$1,G178-1,$CB$3))</f>
        <v>0.75</v>
      </c>
      <c r="GZ178" s="377">
        <f ca="1">IF(ISERROR(OFFSET(Initiatives!$D$1,H178-1,$CB$3)),,OFFSET(Initiatives!$D$1,H178-1,$CB$3))</f>
        <v>0.8</v>
      </c>
      <c r="HA178" s="377">
        <f ca="1">IF(ISERROR(OFFSET(Initiatives!$D$1,I178-1,$CB$3)),,OFFSET(Initiatives!$D$1,I178-1,$CB$3))</f>
        <v>0.9</v>
      </c>
      <c r="HB178" s="377">
        <f ca="1">IF(ISERROR(OFFSET(Initiatives!$D$1,J178-1,$CB$3)),,OFFSET(Initiatives!$D$1,J178-1,$CB$3))</f>
        <v>0.4</v>
      </c>
      <c r="HC178" s="377">
        <f ca="1">IF(ISERROR(OFFSET(Initiatives!$D$1,K178-1,$CB$3)),,OFFSET(Initiatives!$D$1,K178-1,$CB$3))</f>
        <v>0.25</v>
      </c>
      <c r="HD178" s="377">
        <f ca="1">IF(ISERROR(OFFSET(Initiatives!$D$1,L178-1,$CB$3)),,OFFSET(Initiatives!$D$1,L178-1,$CB$3))</f>
        <v>0.25</v>
      </c>
      <c r="HE178" s="377">
        <f ca="1">IF(ISERROR(OFFSET(Initiatives!$D$1,M178-1,$CB$3)),,OFFSET(Initiatives!$D$1,M178-1,$CB$3))</f>
        <v>0.25</v>
      </c>
      <c r="HF178" s="377">
        <f ca="1">IF(ISERROR(OFFSET(Initiatives!$D$1,N178-1,$CB$3)),,OFFSET(Initiatives!$D$1,N178-1,$CB$3))</f>
        <v>0.25</v>
      </c>
      <c r="HG178" s="377">
        <f ca="1">IF(ISERROR(OFFSET(Initiatives!$D$1,O178-1,$CB$3)),,OFFSET(Initiatives!$D$1,O178-1,$CB$3))</f>
        <v>0.25</v>
      </c>
      <c r="HH178" s="377">
        <f ca="1">IF(ISERROR(OFFSET(Initiatives!$D$1,P178-1,$CB$3)),,OFFSET(Initiatives!$D$1,P178-1,$CB$3))</f>
        <v>0.25</v>
      </c>
      <c r="HI178" s="377">
        <f ca="1">IF(ISERROR(OFFSET(Initiatives!$D$1,Q178-1,$CB$3)),,OFFSET(Initiatives!$D$1,Q178-1,$CB$3))</f>
        <v>0.25</v>
      </c>
      <c r="HJ178" s="377">
        <f ca="1">IF(ISERROR(OFFSET(Initiatives!$D$1,R178-1,$CB$3)),,OFFSET(Initiatives!$D$1,R178-1,$CB$3))</f>
        <v>0.1</v>
      </c>
      <c r="HK178" s="377">
        <f ca="1">IF(ISERROR(OFFSET(Initiatives!$D$1,S178-1,$CB$3)),,OFFSET(Initiatives!$D$1,S178-1,$CB$3))</f>
        <v>0.34166666666666662</v>
      </c>
      <c r="HL178" s="377">
        <f ca="1">IF(ISERROR(OFFSET(Initiatives!$D$1,T178-1,$CB$3)),,OFFSET(Initiatives!$D$1,T178-1,$CB$3))</f>
        <v>0.43181818181818177</v>
      </c>
      <c r="HM178" s="377">
        <f ca="1">IF(ISERROR(OFFSET(Initiatives!$D$1,U178-1,$CB$3)),,OFFSET(Initiatives!$D$1,U178-1,$CB$3))</f>
        <v>0</v>
      </c>
      <c r="HN178" s="377">
        <f ca="1">IF(ISERROR(OFFSET(Initiatives!$D$1,V178-1,$CB$3)),,OFFSET(Initiatives!$D$1,V178-1,$CB$3))</f>
        <v>0</v>
      </c>
      <c r="HO178" s="377">
        <f ca="1">IF(ISERROR(OFFSET(Initiatives!$D$1,W178-1,$CB$3)),,OFFSET(Initiatives!$D$1,W178-1,$CB$3))</f>
        <v>0</v>
      </c>
      <c r="HP178" s="377">
        <f ca="1">IF(ISERROR(OFFSET(Initiatives!$D$1,X178-1,$CB$3)),,OFFSET(Initiatives!$D$1,X178-1,$CB$3))</f>
        <v>0</v>
      </c>
      <c r="HR178" s="41">
        <f t="shared" ca="1" si="3086"/>
        <v>0</v>
      </c>
      <c r="HS178" s="41">
        <f t="shared" ca="1" si="3087"/>
        <v>0</v>
      </c>
      <c r="HT178" s="41">
        <f t="shared" ca="1" si="3088"/>
        <v>0</v>
      </c>
      <c r="HU178" s="41">
        <f t="shared" ca="1" si="3089"/>
        <v>5.7142448982507275E-2</v>
      </c>
      <c r="HV178" s="41">
        <f t="shared" ca="1" si="3090"/>
        <v>0.57856729594788603</v>
      </c>
      <c r="HW178" s="41">
        <f t="shared" ca="1" si="3091"/>
        <v>0</v>
      </c>
      <c r="HX178" s="41">
        <f t="shared" ca="1" si="3092"/>
        <v>0</v>
      </c>
      <c r="HY178" s="41">
        <f t="shared" ca="1" si="3093"/>
        <v>0</v>
      </c>
      <c r="HZ178" s="41">
        <f t="shared" ca="1" si="3094"/>
        <v>0</v>
      </c>
      <c r="IA178" s="41">
        <f t="shared" ca="1" si="3095"/>
        <v>0</v>
      </c>
      <c r="IB178" s="41">
        <f t="shared" ca="1" si="3096"/>
        <v>0</v>
      </c>
      <c r="IC178" s="41">
        <f t="shared" ca="1" si="3097"/>
        <v>0</v>
      </c>
      <c r="ID178" s="41">
        <f t="shared" ca="1" si="3098"/>
        <v>0</v>
      </c>
      <c r="IE178" s="41">
        <f t="shared" ca="1" si="3099"/>
        <v>7.1428061228134073E-4</v>
      </c>
      <c r="IF178" s="41">
        <f t="shared" ca="1" si="3100"/>
        <v>4.8809175172558283E-2</v>
      </c>
      <c r="IG178" s="41">
        <f t="shared" ca="1" si="3101"/>
        <v>6.1687871060661252E-2</v>
      </c>
      <c r="IH178" s="41">
        <f t="shared" ca="1" si="3102"/>
        <v>0</v>
      </c>
      <c r="II178" s="41">
        <f t="shared" ca="1" si="3103"/>
        <v>0</v>
      </c>
      <c r="IJ178" s="41">
        <f t="shared" ca="1" si="3104"/>
        <v>0</v>
      </c>
      <c r="IK178" s="41">
        <f t="shared" ca="1" si="3105"/>
        <v>0</v>
      </c>
      <c r="IL178" s="41">
        <f t="shared" ca="1" si="3106"/>
        <v>0.74692107177589406</v>
      </c>
    </row>
    <row r="179" spans="2:246" s="441" customFormat="1" ht="15" hidden="1" customHeight="1">
      <c r="B179" s="373"/>
      <c r="C179" s="443" t="str">
        <f>'Costs - HWSW'!G$4</f>
        <v>Reporting / Query / OLAP</v>
      </c>
      <c r="D179" s="404">
        <f t="shared" ca="1" si="2998"/>
        <v>0.48212399094762876</v>
      </c>
      <c r="E179" s="374">
        <f>ROW(Initiatives!$A$104)</f>
        <v>104</v>
      </c>
      <c r="F179" s="374">
        <f>ROW(Initiatives!$A$110)</f>
        <v>110</v>
      </c>
      <c r="G179" s="374">
        <f>ROW(Initiatives!$A$115)</f>
        <v>115</v>
      </c>
      <c r="H179" s="374">
        <f>ROW(Initiatives!$A$121)</f>
        <v>121</v>
      </c>
      <c r="I179" s="374">
        <f>ROW(Initiatives!$A$127)</f>
        <v>127</v>
      </c>
      <c r="J179" s="374">
        <f>ROW(Initiatives!$A$139)</f>
        <v>139</v>
      </c>
      <c r="K179" s="374">
        <f>ROW(Initiatives!$A$146)</f>
        <v>146</v>
      </c>
      <c r="L179" s="374">
        <f>ROW(Initiatives!$A$148)</f>
        <v>148</v>
      </c>
      <c r="M179" s="374">
        <f>ROW(Initiatives!$A$149)</f>
        <v>149</v>
      </c>
      <c r="N179" s="374">
        <f>ROW(Initiatives!$A$150)</f>
        <v>150</v>
      </c>
      <c r="O179" s="374">
        <f>ROW(Initiatives!$A$151)</f>
        <v>151</v>
      </c>
      <c r="P179" s="374">
        <f>ROW(Initiatives!$A$152)</f>
        <v>152</v>
      </c>
      <c r="Q179" s="374">
        <f>ROW(Initiatives!$A$154)</f>
        <v>154</v>
      </c>
      <c r="R179" s="374">
        <f>ROW(Initiatives!$A$161)</f>
        <v>161</v>
      </c>
      <c r="S179" s="374">
        <f>ROW(Initiatives!$A$242)</f>
        <v>242</v>
      </c>
      <c r="T179" s="374">
        <f>ROW(Initiatives!$A$248)</f>
        <v>248</v>
      </c>
      <c r="U179" s="374" t="s">
        <v>975</v>
      </c>
      <c r="V179" s="374" t="s">
        <v>975</v>
      </c>
      <c r="W179" s="374" t="s">
        <v>975</v>
      </c>
      <c r="X179" s="374" t="s">
        <v>975</v>
      </c>
      <c r="Y179" s="392" t="str">
        <f ca="1">OFFSET(Initiatives!$D$1,E179-1,$BS$3)</f>
        <v>Architecture Standards &amp; Adherence</v>
      </c>
      <c r="Z179" s="375"/>
      <c r="AA179" s="392" t="str">
        <f ca="1">OFFSET(Initiatives!$D$1,F179-1,$BS$3)</f>
        <v>Data Management</v>
      </c>
      <c r="AB179" s="375"/>
      <c r="AC179" s="392" t="str">
        <f ca="1">OFFSET(Initiatives!$D$1,G179-1,$BS$3)</f>
        <v>Data Integration/ETL</v>
      </c>
      <c r="AD179" s="375"/>
      <c r="AE179" s="392" t="str">
        <f ca="1">OFFSET(Initiatives!$D$1,H179-1,$BS$3)</f>
        <v>Data Warehouse / Data Marts</v>
      </c>
      <c r="AF179" s="375"/>
      <c r="AG179" s="392" t="str">
        <f ca="1">OFFSET(Initiatives!$D$1,I179-1,$BS$3)</f>
        <v>Development</v>
      </c>
      <c r="AH179" s="375"/>
      <c r="AI179" s="392" t="str">
        <f ca="1">OFFSET(Initiatives!$D$1,J179-1,$BS$3)</f>
        <v>Reporting</v>
      </c>
      <c r="AJ179" s="375">
        <v>9</v>
      </c>
      <c r="AK179" s="392" t="str">
        <f ca="1">OFFSET(Initiatives!$D$1,K179-1,$BS$3)</f>
        <v>Scorecards / Dashboards</v>
      </c>
      <c r="AL179" s="375">
        <v>2</v>
      </c>
      <c r="AM179" s="392" t="str">
        <f ca="1">OFFSET(Initiatives!$D$1,L179-1,$BS$3)</f>
        <v>Broad-reach analytic tools</v>
      </c>
      <c r="AN179" s="375"/>
      <c r="AO179" s="392" t="str">
        <f ca="1">OFFSET(Initiatives!$D$1,M179-1,$BS$3)</f>
        <v>BI/DW platform integration with user tools (e.g. Excel)</v>
      </c>
      <c r="AP179" s="375"/>
      <c r="AQ179" s="392" t="str">
        <f ca="1">OFFSET(Initiatives!$D$1,N179-1,$BS$3)</f>
        <v>Advanced data visualization</v>
      </c>
      <c r="AR179" s="375"/>
      <c r="AS179" s="392" t="str">
        <f ca="1">OFFSET(Initiatives!$D$1,O179-1,$BS$3)</f>
        <v>Advanced analytics</v>
      </c>
      <c r="AT179" s="375"/>
      <c r="AU179" s="392" t="str">
        <f ca="1">OFFSET(Initiatives!$D$1,P179-1,$BS$3)</f>
        <v>Predictive analysis</v>
      </c>
      <c r="AV179" s="375"/>
      <c r="AW179" s="392" t="str">
        <f ca="1">OFFSET(Initiatives!$D$1,Q179-1,$BS$3)</f>
        <v>Analytical Tools</v>
      </c>
      <c r="AX179" s="375"/>
      <c r="AY179" s="392" t="str">
        <f ca="1">OFFSET(Initiatives!$D$1,R179-1,$BS$3)</f>
        <v>Workflow and Collaboration</v>
      </c>
      <c r="AZ179" s="375"/>
      <c r="BA179" s="392" t="str">
        <f ca="1">OFFSET(Initiatives!$D$1,S179-1,$BS$3)</f>
        <v>BI Applications</v>
      </c>
      <c r="BB179" s="375">
        <v>4</v>
      </c>
      <c r="BC179" s="392" t="str">
        <f ca="1">OFFSET(Initiatives!$D$1,T179-1,$BS$3)</f>
        <v>Source System Inclusion / Integration</v>
      </c>
      <c r="BD179" s="375">
        <v>4</v>
      </c>
      <c r="BE179" s="392" t="e">
        <f ca="1">OFFSET(Initiatives!$D$1,U179-1,$BS$3)</f>
        <v>#VALUE!</v>
      </c>
      <c r="BF179" s="375"/>
      <c r="BG179" s="392" t="e">
        <f ca="1">OFFSET(Initiatives!$D$1,V179-1,$BS$3)</f>
        <v>#VALUE!</v>
      </c>
      <c r="BH179" s="375"/>
      <c r="BI179" s="392" t="e">
        <f ca="1">OFFSET(Initiatives!$D$1,W179-1,$BS$3)</f>
        <v>#VALUE!</v>
      </c>
      <c r="BJ179" s="375"/>
      <c r="BK179" s="392" t="e">
        <f ca="1">OFFSET(Initiatives!$D$1,X179-1,$BS$3)</f>
        <v>#VALUE!</v>
      </c>
      <c r="BL179" s="375"/>
      <c r="BN179" s="101">
        <f t="shared" si="2999"/>
        <v>19.0001</v>
      </c>
      <c r="BP179" s="231" t="str">
        <f t="shared" ca="1" si="3000"/>
        <v>Reporting (47%); BI Applications (20%); Source System Inclusion / Integration (20%); Scorecards / Dashboards (13%)</v>
      </c>
      <c r="BQ179" s="338">
        <v>0.01</v>
      </c>
      <c r="BR179" s="40">
        <f t="shared" ca="1" si="3001"/>
        <v>4</v>
      </c>
      <c r="BS179" s="274">
        <v>0.05</v>
      </c>
      <c r="BT179" s="40">
        <f t="shared" ca="1" si="3002"/>
        <v>4</v>
      </c>
      <c r="BU179" s="376">
        <v>7</v>
      </c>
      <c r="BV179" s="40">
        <f t="shared" ca="1" si="3003"/>
        <v>4</v>
      </c>
      <c r="BY179" s="377">
        <f ca="1">IF(ISERROR(OFFSET(Initiatives!$D$1,E179-1,$BY$3)),,OFFSET(Initiatives!$D$1,E179-1,$BY$3))</f>
        <v>0.14000000000000012</v>
      </c>
      <c r="BZ179" s="377">
        <f ca="1">IF(ISERROR(OFFSET(Initiatives!$D$1,F179-1,$BY$3)),,OFFSET(Initiatives!$D$1,F179-1,$BY$3))</f>
        <v>9.9999999999999978E-2</v>
      </c>
      <c r="CA179" s="377">
        <f ca="1">IF(ISERROR(OFFSET(Initiatives!$D$1,G179-1,$BY$3)),,OFFSET(Initiatives!$D$1,G179-1,$BY$3))</f>
        <v>9.9999999999999978E-2</v>
      </c>
      <c r="CB179" s="377">
        <f ca="1">IF(ISERROR(OFFSET(Initiatives!$D$1,H179-1,$BY$3)),,OFFSET(Initiatives!$D$1,H179-1,$BY$3))</f>
        <v>3.0000000000000027E-2</v>
      </c>
      <c r="CC179" s="377">
        <f ca="1">IF(ISERROR(OFFSET(Initiatives!$D$1,I179-1,$BY$3)),,OFFSET(Initiatives!$D$1,I179-1,$BY$3))</f>
        <v>1.5000000000000124E-2</v>
      </c>
      <c r="CD179" s="377">
        <f ca="1">IF(ISERROR(OFFSET(Initiatives!$D$1,J179-1,$BY$3)),,OFFSET(Initiatives!$D$1,J179-1,$BY$3))</f>
        <v>0.48</v>
      </c>
      <c r="CE179" s="377">
        <f ca="1">IF(ISERROR(OFFSET(Initiatives!$D$1,K179-1,$BY$3)),,OFFSET(Initiatives!$D$1,K179-1,$BY$3))</f>
        <v>0.6</v>
      </c>
      <c r="CF179" s="377">
        <f ca="1">IF(ISERROR(OFFSET(Initiatives!$D$1,L179-1,$BY$3)),,OFFSET(Initiatives!$D$1,L179-1,$BY$3))</f>
        <v>0.60000000000000009</v>
      </c>
      <c r="CG179" s="377">
        <f ca="1">IF(ISERROR(OFFSET(Initiatives!$D$1,M179-1,$BY$3)),,OFFSET(Initiatives!$D$1,M179-1,$BY$3))</f>
        <v>0.60000000000000009</v>
      </c>
      <c r="CH179" s="377">
        <f ca="1">IF(ISERROR(OFFSET(Initiatives!$D$1,N179-1,$BY$3)),,OFFSET(Initiatives!$D$1,N179-1,$BY$3))</f>
        <v>0.60000000000000009</v>
      </c>
      <c r="CI179" s="377">
        <f ca="1">IF(ISERROR(OFFSET(Initiatives!$D$1,O179-1,$BY$3)),,OFFSET(Initiatives!$D$1,O179-1,$BY$3))</f>
        <v>0.60000000000000009</v>
      </c>
      <c r="CJ179" s="377">
        <f ca="1">IF(ISERROR(OFFSET(Initiatives!$D$1,P179-1,$BY$3)),,OFFSET(Initiatives!$D$1,P179-1,$BY$3))</f>
        <v>0.60000000000000009</v>
      </c>
      <c r="CK179" s="377">
        <f ca="1">IF(ISERROR(OFFSET(Initiatives!$D$1,Q179-1,$BY$3)),,OFFSET(Initiatives!$D$1,Q179-1,$BY$3))</f>
        <v>0.6</v>
      </c>
      <c r="CL179" s="377">
        <f ca="1">IF(ISERROR(OFFSET(Initiatives!$D$1,R179-1,$BY$3)),,OFFSET(Initiatives!$D$1,R179-1,$BY$3))</f>
        <v>0.72000000000000008</v>
      </c>
      <c r="CM179" s="377">
        <f ca="1">IF(ISERROR(OFFSET(Initiatives!$D$1,S179-1,$BY$3)),,OFFSET(Initiatives!$D$1,S179-1,$BY$3))</f>
        <v>0.45555555555555544</v>
      </c>
      <c r="CN179" s="377">
        <f ca="1">IF(ISERROR(OFFSET(Initiatives!$D$1,T179-1,$BY$3)),,OFFSET(Initiatives!$D$1,T179-1,$BY$3))</f>
        <v>0.45454545454545436</v>
      </c>
      <c r="CO179" s="377">
        <f ca="1">IF(ISERROR(OFFSET(Initiatives!$D$1,U179-1,$BY$3)),,OFFSET(Initiatives!$D$1,U179-1,$BY$3))</f>
        <v>0</v>
      </c>
      <c r="CP179" s="377">
        <f ca="1">IF(ISERROR(OFFSET(Initiatives!$D$1,V179-1,$BY$3)),,OFFSET(Initiatives!$D$1,V179-1,$BY$3))</f>
        <v>0</v>
      </c>
      <c r="CQ179" s="377">
        <f ca="1">IF(ISERROR(OFFSET(Initiatives!$D$1,W179-1,$BY$3)),,OFFSET(Initiatives!$D$1,W179-1,$BY$3))</f>
        <v>0</v>
      </c>
      <c r="CR179" s="377">
        <f ca="1">IF(ISERROR(OFFSET(Initiatives!$D$1,X179-1,$BY$3)),,OFFSET(Initiatives!$D$1,X179-1,$BY$3))</f>
        <v>0</v>
      </c>
      <c r="CT179" s="41">
        <f t="shared" ca="1" si="3004"/>
        <v>0</v>
      </c>
      <c r="CU179" s="41">
        <f t="shared" ca="1" si="3005"/>
        <v>0</v>
      </c>
      <c r="CV179" s="41">
        <f t="shared" ca="1" si="3006"/>
        <v>0</v>
      </c>
      <c r="CW179" s="41">
        <f t="shared" ca="1" si="3007"/>
        <v>0</v>
      </c>
      <c r="CX179" s="41">
        <f t="shared" ca="1" si="3008"/>
        <v>0</v>
      </c>
      <c r="CY179" s="41">
        <f t="shared" ca="1" si="3009"/>
        <v>0.22736722438302959</v>
      </c>
      <c r="CZ179" s="41">
        <f t="shared" ca="1" si="3010"/>
        <v>6.3157562328619327E-2</v>
      </c>
      <c r="DA179" s="41">
        <f t="shared" ca="1" si="3011"/>
        <v>0</v>
      </c>
      <c r="DB179" s="41">
        <f t="shared" ca="1" si="3012"/>
        <v>0</v>
      </c>
      <c r="DC179" s="41">
        <f t="shared" ca="1" si="3013"/>
        <v>0</v>
      </c>
      <c r="DD179" s="41">
        <f t="shared" ca="1" si="3014"/>
        <v>0</v>
      </c>
      <c r="DE179" s="41">
        <f t="shared" ca="1" si="3015"/>
        <v>0</v>
      </c>
      <c r="DF179" s="41">
        <f t="shared" ca="1" si="3016"/>
        <v>0</v>
      </c>
      <c r="DG179" s="41">
        <f t="shared" ca="1" si="3017"/>
        <v>0</v>
      </c>
      <c r="DH179" s="41">
        <f t="shared" ca="1" si="3018"/>
        <v>9.5905927980495992E-2</v>
      </c>
      <c r="DI179" s="41">
        <f t="shared" ca="1" si="3019"/>
        <v>9.5693276255483781E-2</v>
      </c>
      <c r="DJ179" s="41">
        <f t="shared" ca="1" si="3020"/>
        <v>0</v>
      </c>
      <c r="DK179" s="41">
        <f t="shared" ca="1" si="3021"/>
        <v>0</v>
      </c>
      <c r="DL179" s="41">
        <f t="shared" ca="1" si="3022"/>
        <v>0</v>
      </c>
      <c r="DM179" s="41">
        <f t="shared" ca="1" si="3023"/>
        <v>0</v>
      </c>
      <c r="DN179" s="41">
        <f t="shared" ca="1" si="3024"/>
        <v>0.48212399094762876</v>
      </c>
      <c r="DP179" s="41">
        <f t="shared" ca="1" si="3025"/>
        <v>-1.0000000000000001E-5</v>
      </c>
      <c r="DQ179" s="41">
        <f t="shared" ca="1" si="3026"/>
        <v>-2.0000000000000002E-5</v>
      </c>
      <c r="DR179" s="41">
        <f t="shared" ca="1" si="3027"/>
        <v>-3.0000000000000001E-5</v>
      </c>
      <c r="DS179" s="41">
        <f t="shared" ca="1" si="3028"/>
        <v>-4.0000000000000003E-5</v>
      </c>
      <c r="DT179" s="41">
        <f t="shared" ca="1" si="3029"/>
        <v>-5.0000000000000002E-5</v>
      </c>
      <c r="DU179" s="41">
        <f t="shared" ca="1" si="3030"/>
        <v>0.47153491884262527</v>
      </c>
      <c r="DV179" s="41">
        <f t="shared" ca="1" si="3031"/>
        <v>0.13092858856739592</v>
      </c>
      <c r="DW179" s="41">
        <f t="shared" ca="1" si="3032"/>
        <v>-8.0000000000000007E-5</v>
      </c>
      <c r="DX179" s="41">
        <f t="shared" ca="1" si="3033"/>
        <v>-9.0000000000000006E-5</v>
      </c>
      <c r="DY179" s="41">
        <f t="shared" ca="1" si="3034"/>
        <v>-1E-4</v>
      </c>
      <c r="DZ179" s="41">
        <f t="shared" ca="1" si="3035"/>
        <v>-1.1E-4</v>
      </c>
      <c r="EA179" s="41">
        <f t="shared" ca="1" si="3036"/>
        <v>-1.2E-4</v>
      </c>
      <c r="EB179" s="41">
        <f t="shared" ca="1" si="3037"/>
        <v>-1.2999999999999999E-4</v>
      </c>
      <c r="EC179" s="41">
        <f t="shared" ca="1" si="3038"/>
        <v>-1.3999999999999999E-4</v>
      </c>
      <c r="ED179" s="41">
        <f t="shared" ca="1" si="3039"/>
        <v>0.19877378263937892</v>
      </c>
      <c r="EE179" s="41">
        <f t="shared" ca="1" si="3040"/>
        <v>0.19832270995059975</v>
      </c>
      <c r="EF179" s="41">
        <f t="shared" ca="1" si="3041"/>
        <v>-1.7000000000000001E-4</v>
      </c>
      <c r="EG179" s="41">
        <f t="shared" ca="1" si="3042"/>
        <v>-1.8000000000000001E-4</v>
      </c>
      <c r="EH179" s="41">
        <f t="shared" ca="1" si="3043"/>
        <v>-1.9000000000000001E-4</v>
      </c>
      <c r="EI179" s="41">
        <f t="shared" ca="1" si="3044"/>
        <v>-2.0000000000000001E-4</v>
      </c>
      <c r="EJ179" s="41">
        <f t="shared" ca="1" si="3045"/>
        <v>0.9978999999999999</v>
      </c>
      <c r="EL179" s="378">
        <f t="shared" ca="1" si="3046"/>
        <v>5</v>
      </c>
      <c r="EM179" s="378">
        <f t="shared" ca="1" si="3047"/>
        <v>6</v>
      </c>
      <c r="EN179" s="378">
        <f t="shared" ca="1" si="3048"/>
        <v>7</v>
      </c>
      <c r="EO179" s="378">
        <f t="shared" ca="1" si="3049"/>
        <v>8</v>
      </c>
      <c r="EP179" s="378">
        <f t="shared" ca="1" si="3050"/>
        <v>9</v>
      </c>
      <c r="EQ179" s="378">
        <f t="shared" ca="1" si="3051"/>
        <v>1</v>
      </c>
      <c r="ER179" s="378">
        <f t="shared" ca="1" si="3052"/>
        <v>4</v>
      </c>
      <c r="ES179" s="378">
        <f t="shared" ca="1" si="3053"/>
        <v>10</v>
      </c>
      <c r="ET179" s="378">
        <f t="shared" ca="1" si="3054"/>
        <v>11</v>
      </c>
      <c r="EU179" s="378">
        <f t="shared" ca="1" si="3055"/>
        <v>12</v>
      </c>
      <c r="EV179" s="378">
        <f t="shared" ca="1" si="3056"/>
        <v>13</v>
      </c>
      <c r="EW179" s="378">
        <f t="shared" ca="1" si="3057"/>
        <v>14</v>
      </c>
      <c r="EX179" s="378">
        <f t="shared" ca="1" si="3058"/>
        <v>15</v>
      </c>
      <c r="EY179" s="378">
        <f t="shared" ca="1" si="3059"/>
        <v>16</v>
      </c>
      <c r="EZ179" s="378">
        <f t="shared" ca="1" si="3060"/>
        <v>2</v>
      </c>
      <c r="FA179" s="378">
        <f t="shared" ca="1" si="3061"/>
        <v>3</v>
      </c>
      <c r="FB179" s="378">
        <f t="shared" ca="1" si="3062"/>
        <v>17</v>
      </c>
      <c r="FC179" s="378">
        <f t="shared" ca="1" si="3063"/>
        <v>18</v>
      </c>
      <c r="FD179" s="378">
        <f t="shared" ca="1" si="3064"/>
        <v>19</v>
      </c>
      <c r="FE179" s="378">
        <f t="shared" ca="1" si="3065"/>
        <v>20</v>
      </c>
      <c r="FG179" s="378">
        <f t="shared" ca="1" si="2977"/>
        <v>6</v>
      </c>
      <c r="FH179" s="378">
        <f t="shared" ca="1" si="2977"/>
        <v>15</v>
      </c>
      <c r="FI179" s="378">
        <f t="shared" ca="1" si="2977"/>
        <v>16</v>
      </c>
      <c r="FJ179" s="378">
        <f t="shared" ca="1" si="2977"/>
        <v>7</v>
      </c>
      <c r="FK179" s="378">
        <f t="shared" ca="1" si="2977"/>
        <v>1</v>
      </c>
      <c r="FL179" s="378">
        <f t="shared" ca="1" si="2977"/>
        <v>2</v>
      </c>
      <c r="FM179" s="378">
        <f t="shared" ca="1" si="2977"/>
        <v>3</v>
      </c>
      <c r="FN179" s="378">
        <f t="shared" ca="1" si="2977"/>
        <v>4</v>
      </c>
      <c r="FO179" s="378">
        <f t="shared" ca="1" si="2977"/>
        <v>5</v>
      </c>
      <c r="FP179" s="378">
        <f t="shared" ca="1" si="2977"/>
        <v>8</v>
      </c>
      <c r="FQ179" s="378">
        <f t="shared" ca="1" si="2977"/>
        <v>9</v>
      </c>
      <c r="FR179" s="378">
        <f t="shared" ca="1" si="2977"/>
        <v>10</v>
      </c>
      <c r="FS179" s="378">
        <f t="shared" ca="1" si="2977"/>
        <v>11</v>
      </c>
      <c r="FT179" s="378">
        <f t="shared" ca="1" si="2977"/>
        <v>12</v>
      </c>
      <c r="FU179" s="378">
        <f t="shared" ca="1" si="2977"/>
        <v>13</v>
      </c>
      <c r="FV179" s="378">
        <f t="shared" ca="1" si="2977"/>
        <v>14</v>
      </c>
      <c r="FW179" s="378">
        <f t="shared" ca="1" si="2977"/>
        <v>17</v>
      </c>
      <c r="FX179" s="378">
        <f t="shared" ca="1" si="2977"/>
        <v>18</v>
      </c>
      <c r="FY179" s="378">
        <f t="shared" ca="1" si="2977"/>
        <v>19</v>
      </c>
      <c r="FZ179" s="378">
        <f t="shared" ca="1" si="2977"/>
        <v>20</v>
      </c>
      <c r="GB179" s="275" t="str">
        <f t="shared" ca="1" si="3066"/>
        <v>Reporting (47%)</v>
      </c>
      <c r="GC179" s="231" t="str">
        <f t="shared" ca="1" si="3067"/>
        <v>; BI Applications (20%)</v>
      </c>
      <c r="GD179" s="231" t="str">
        <f t="shared" ca="1" si="3068"/>
        <v>; Source System Inclusion / Integration (20%)</v>
      </c>
      <c r="GE179" s="231" t="str">
        <f t="shared" ca="1" si="3069"/>
        <v>; Scorecards / Dashboards (13%)</v>
      </c>
      <c r="GF179" s="231" t="str">
        <f t="shared" ca="1" si="3070"/>
        <v/>
      </c>
      <c r="GG179" s="231" t="str">
        <f t="shared" ca="1" si="3071"/>
        <v/>
      </c>
      <c r="GH179" s="231" t="str">
        <f t="shared" ca="1" si="3072"/>
        <v/>
      </c>
      <c r="GI179" s="231" t="str">
        <f t="shared" ca="1" si="3073"/>
        <v/>
      </c>
      <c r="GJ179" s="231" t="str">
        <f t="shared" ca="1" si="3074"/>
        <v/>
      </c>
      <c r="GK179" s="231" t="str">
        <f t="shared" ca="1" si="3075"/>
        <v/>
      </c>
      <c r="GL179" s="231" t="str">
        <f t="shared" ca="1" si="3076"/>
        <v/>
      </c>
      <c r="GM179" s="231" t="str">
        <f t="shared" ca="1" si="3077"/>
        <v/>
      </c>
      <c r="GN179" s="231" t="str">
        <f t="shared" ca="1" si="3078"/>
        <v/>
      </c>
      <c r="GO179" s="231" t="str">
        <f t="shared" ca="1" si="3079"/>
        <v/>
      </c>
      <c r="GP179" s="231" t="str">
        <f t="shared" ca="1" si="3080"/>
        <v/>
      </c>
      <c r="GQ179" s="231" t="str">
        <f t="shared" ca="1" si="3081"/>
        <v/>
      </c>
      <c r="GR179" s="231" t="str">
        <f t="shared" ca="1" si="3082"/>
        <v/>
      </c>
      <c r="GS179" s="231" t="str">
        <f t="shared" ca="1" si="3083"/>
        <v/>
      </c>
      <c r="GT179" s="231" t="str">
        <f t="shared" ca="1" si="3084"/>
        <v/>
      </c>
      <c r="GU179" s="231" t="str">
        <f t="shared" ca="1" si="3085"/>
        <v/>
      </c>
      <c r="GW179" s="377">
        <f ca="1">IF(ISERROR(OFFSET(Initiatives!$D$1,E179-1,$CB$3)),,OFFSET(Initiatives!$D$1,E179-1,$CB$3))</f>
        <v>0.65</v>
      </c>
      <c r="GX179" s="377">
        <f ca="1">IF(ISERROR(OFFSET(Initiatives!$D$1,F179-1,$CB$3)),,OFFSET(Initiatives!$D$1,F179-1,$CB$3))</f>
        <v>0.75</v>
      </c>
      <c r="GY179" s="377">
        <f ca="1">IF(ISERROR(OFFSET(Initiatives!$D$1,G179-1,$CB$3)),,OFFSET(Initiatives!$D$1,G179-1,$CB$3))</f>
        <v>0.75</v>
      </c>
      <c r="GZ179" s="377">
        <f ca="1">IF(ISERROR(OFFSET(Initiatives!$D$1,H179-1,$CB$3)),,OFFSET(Initiatives!$D$1,H179-1,$CB$3))</f>
        <v>0.8</v>
      </c>
      <c r="HA179" s="377">
        <f ca="1">IF(ISERROR(OFFSET(Initiatives!$D$1,I179-1,$CB$3)),,OFFSET(Initiatives!$D$1,I179-1,$CB$3))</f>
        <v>0.9</v>
      </c>
      <c r="HB179" s="377">
        <f ca="1">IF(ISERROR(OFFSET(Initiatives!$D$1,J179-1,$CB$3)),,OFFSET(Initiatives!$D$1,J179-1,$CB$3))</f>
        <v>0.4</v>
      </c>
      <c r="HC179" s="377">
        <f ca="1">IF(ISERROR(OFFSET(Initiatives!$D$1,K179-1,$CB$3)),,OFFSET(Initiatives!$D$1,K179-1,$CB$3))</f>
        <v>0.25</v>
      </c>
      <c r="HD179" s="377">
        <f ca="1">IF(ISERROR(OFFSET(Initiatives!$D$1,L179-1,$CB$3)),,OFFSET(Initiatives!$D$1,L179-1,$CB$3))</f>
        <v>0.25</v>
      </c>
      <c r="HE179" s="377">
        <f ca="1">IF(ISERROR(OFFSET(Initiatives!$D$1,M179-1,$CB$3)),,OFFSET(Initiatives!$D$1,M179-1,$CB$3))</f>
        <v>0.25</v>
      </c>
      <c r="HF179" s="377">
        <f ca="1">IF(ISERROR(OFFSET(Initiatives!$D$1,N179-1,$CB$3)),,OFFSET(Initiatives!$D$1,N179-1,$CB$3))</f>
        <v>0.25</v>
      </c>
      <c r="HG179" s="377">
        <f ca="1">IF(ISERROR(OFFSET(Initiatives!$D$1,O179-1,$CB$3)),,OFFSET(Initiatives!$D$1,O179-1,$CB$3))</f>
        <v>0.25</v>
      </c>
      <c r="HH179" s="377">
        <f ca="1">IF(ISERROR(OFFSET(Initiatives!$D$1,P179-1,$CB$3)),,OFFSET(Initiatives!$D$1,P179-1,$CB$3))</f>
        <v>0.25</v>
      </c>
      <c r="HI179" s="377">
        <f ca="1">IF(ISERROR(OFFSET(Initiatives!$D$1,Q179-1,$CB$3)),,OFFSET(Initiatives!$D$1,Q179-1,$CB$3))</f>
        <v>0.25</v>
      </c>
      <c r="HJ179" s="377">
        <f ca="1">IF(ISERROR(OFFSET(Initiatives!$D$1,R179-1,$CB$3)),,OFFSET(Initiatives!$D$1,R179-1,$CB$3))</f>
        <v>0.1</v>
      </c>
      <c r="HK179" s="377">
        <f ca="1">IF(ISERROR(OFFSET(Initiatives!$D$1,S179-1,$CB$3)),,OFFSET(Initiatives!$D$1,S179-1,$CB$3))</f>
        <v>0.34166666666666662</v>
      </c>
      <c r="HL179" s="377">
        <f ca="1">IF(ISERROR(OFFSET(Initiatives!$D$1,T179-1,$CB$3)),,OFFSET(Initiatives!$D$1,T179-1,$CB$3))</f>
        <v>0.43181818181818177</v>
      </c>
      <c r="HM179" s="377">
        <f ca="1">IF(ISERROR(OFFSET(Initiatives!$D$1,U179-1,$CB$3)),,OFFSET(Initiatives!$D$1,U179-1,$CB$3))</f>
        <v>0</v>
      </c>
      <c r="HN179" s="377">
        <f ca="1">IF(ISERROR(OFFSET(Initiatives!$D$1,V179-1,$CB$3)),,OFFSET(Initiatives!$D$1,V179-1,$CB$3))</f>
        <v>0</v>
      </c>
      <c r="HO179" s="377">
        <f ca="1">IF(ISERROR(OFFSET(Initiatives!$D$1,W179-1,$CB$3)),,OFFSET(Initiatives!$D$1,W179-1,$CB$3))</f>
        <v>0</v>
      </c>
      <c r="HP179" s="377">
        <f ca="1">IF(ISERROR(OFFSET(Initiatives!$D$1,X179-1,$CB$3)),,OFFSET(Initiatives!$D$1,X179-1,$CB$3))</f>
        <v>0</v>
      </c>
      <c r="HR179" s="41">
        <f t="shared" ca="1" si="3086"/>
        <v>0</v>
      </c>
      <c r="HS179" s="41">
        <f t="shared" ca="1" si="3087"/>
        <v>0</v>
      </c>
      <c r="HT179" s="41">
        <f t="shared" ca="1" si="3088"/>
        <v>0</v>
      </c>
      <c r="HU179" s="41">
        <f t="shared" ca="1" si="3089"/>
        <v>0</v>
      </c>
      <c r="HV179" s="41">
        <f t="shared" ca="1" si="3090"/>
        <v>0</v>
      </c>
      <c r="HW179" s="41">
        <f t="shared" ca="1" si="3091"/>
        <v>0.18947268698585798</v>
      </c>
      <c r="HX179" s="41">
        <f t="shared" ca="1" si="3092"/>
        <v>2.631565097025805E-2</v>
      </c>
      <c r="HY179" s="41">
        <f t="shared" ca="1" si="3093"/>
        <v>0</v>
      </c>
      <c r="HZ179" s="41">
        <f t="shared" ca="1" si="3094"/>
        <v>0</v>
      </c>
      <c r="IA179" s="41">
        <f t="shared" ca="1" si="3095"/>
        <v>0</v>
      </c>
      <c r="IB179" s="41">
        <f t="shared" ca="1" si="3096"/>
        <v>0</v>
      </c>
      <c r="IC179" s="41">
        <f t="shared" ca="1" si="3097"/>
        <v>0</v>
      </c>
      <c r="ID179" s="41">
        <f t="shared" ca="1" si="3098"/>
        <v>0</v>
      </c>
      <c r="IE179" s="41">
        <f t="shared" ca="1" si="3099"/>
        <v>5.26313019405161E-4</v>
      </c>
      <c r="IF179" s="41">
        <f t="shared" ca="1" si="3100"/>
        <v>7.1929445985372001E-2</v>
      </c>
      <c r="IG179" s="41">
        <f t="shared" ca="1" si="3101"/>
        <v>9.0908612442709619E-2</v>
      </c>
      <c r="IH179" s="41">
        <f t="shared" ca="1" si="3102"/>
        <v>0</v>
      </c>
      <c r="II179" s="41">
        <f t="shared" ca="1" si="3103"/>
        <v>0</v>
      </c>
      <c r="IJ179" s="41">
        <f t="shared" ca="1" si="3104"/>
        <v>0</v>
      </c>
      <c r="IK179" s="41">
        <f t="shared" ca="1" si="3105"/>
        <v>0</v>
      </c>
      <c r="IL179" s="41">
        <f t="shared" ca="1" si="3106"/>
        <v>0.37915270940360279</v>
      </c>
    </row>
    <row r="180" spans="2:246" s="441" customFormat="1" ht="15" hidden="1" customHeight="1">
      <c r="B180" s="373"/>
      <c r="C180" s="443" t="str">
        <f>'Costs - HWSW'!H$4</f>
        <v>Portal / Collab / Workflow</v>
      </c>
      <c r="D180" s="404">
        <f t="shared" ca="1" si="2998"/>
        <v>0.63586847395534485</v>
      </c>
      <c r="E180" s="374">
        <f>ROW(Initiatives!$A$104)</f>
        <v>104</v>
      </c>
      <c r="F180" s="374">
        <f>ROW(Initiatives!$A$110)</f>
        <v>110</v>
      </c>
      <c r="G180" s="374">
        <f>ROW(Initiatives!$A$115)</f>
        <v>115</v>
      </c>
      <c r="H180" s="374">
        <f>ROW(Initiatives!$A$121)</f>
        <v>121</v>
      </c>
      <c r="I180" s="374">
        <f>ROW(Initiatives!$A$127)</f>
        <v>127</v>
      </c>
      <c r="J180" s="374">
        <f>ROW(Initiatives!$A$139)</f>
        <v>139</v>
      </c>
      <c r="K180" s="374">
        <f>ROW(Initiatives!$A$146)</f>
        <v>146</v>
      </c>
      <c r="L180" s="374">
        <f>ROW(Initiatives!$A$148)</f>
        <v>148</v>
      </c>
      <c r="M180" s="374">
        <f>ROW(Initiatives!$A$149)</f>
        <v>149</v>
      </c>
      <c r="N180" s="374">
        <f>ROW(Initiatives!$A$150)</f>
        <v>150</v>
      </c>
      <c r="O180" s="374">
        <f>ROW(Initiatives!$A$151)</f>
        <v>151</v>
      </c>
      <c r="P180" s="374">
        <f>ROW(Initiatives!$A$152)</f>
        <v>152</v>
      </c>
      <c r="Q180" s="374">
        <f>ROW(Initiatives!$A$154)</f>
        <v>154</v>
      </c>
      <c r="R180" s="374">
        <f>ROW(Initiatives!$A$161)</f>
        <v>161</v>
      </c>
      <c r="S180" s="374">
        <f>ROW(Initiatives!$A$242)</f>
        <v>242</v>
      </c>
      <c r="T180" s="374">
        <f>ROW(Initiatives!$A$248)</f>
        <v>248</v>
      </c>
      <c r="U180" s="374" t="s">
        <v>975</v>
      </c>
      <c r="V180" s="374" t="s">
        <v>975</v>
      </c>
      <c r="W180" s="374" t="s">
        <v>975</v>
      </c>
      <c r="X180" s="374" t="s">
        <v>975</v>
      </c>
      <c r="Y180" s="392" t="str">
        <f ca="1">OFFSET(Initiatives!$D$1,E180-1,$BS$3)</f>
        <v>Architecture Standards &amp; Adherence</v>
      </c>
      <c r="Z180" s="375"/>
      <c r="AA180" s="392" t="str">
        <f ca="1">OFFSET(Initiatives!$D$1,F180-1,$BS$3)</f>
        <v>Data Management</v>
      </c>
      <c r="AB180" s="375"/>
      <c r="AC180" s="392" t="str">
        <f ca="1">OFFSET(Initiatives!$D$1,G180-1,$BS$3)</f>
        <v>Data Integration/ETL</v>
      </c>
      <c r="AD180" s="375"/>
      <c r="AE180" s="392" t="str">
        <f ca="1">OFFSET(Initiatives!$D$1,H180-1,$BS$3)</f>
        <v>Data Warehouse / Data Marts</v>
      </c>
      <c r="AF180" s="375"/>
      <c r="AG180" s="392" t="str">
        <f ca="1">OFFSET(Initiatives!$D$1,I180-1,$BS$3)</f>
        <v>Development</v>
      </c>
      <c r="AH180" s="375"/>
      <c r="AI180" s="392" t="str">
        <f ca="1">OFFSET(Initiatives!$D$1,J180-1,$BS$3)</f>
        <v>Reporting</v>
      </c>
      <c r="AJ180" s="375"/>
      <c r="AK180" s="392" t="str">
        <f ca="1">OFFSET(Initiatives!$D$1,K180-1,$BS$3)</f>
        <v>Scorecards / Dashboards</v>
      </c>
      <c r="AL180" s="375">
        <v>1</v>
      </c>
      <c r="AM180" s="392" t="str">
        <f ca="1">OFFSET(Initiatives!$D$1,L180-1,$BS$3)</f>
        <v>Broad-reach analytic tools</v>
      </c>
      <c r="AN180" s="375"/>
      <c r="AO180" s="392" t="str">
        <f ca="1">OFFSET(Initiatives!$D$1,M180-1,$BS$3)</f>
        <v>BI/DW platform integration with user tools (e.g. Excel)</v>
      </c>
      <c r="AP180" s="375"/>
      <c r="AQ180" s="392" t="str">
        <f ca="1">OFFSET(Initiatives!$D$1,N180-1,$BS$3)</f>
        <v>Advanced data visualization</v>
      </c>
      <c r="AR180" s="375"/>
      <c r="AS180" s="392" t="str">
        <f ca="1">OFFSET(Initiatives!$D$1,O180-1,$BS$3)</f>
        <v>Advanced analytics</v>
      </c>
      <c r="AT180" s="375"/>
      <c r="AU180" s="392" t="str">
        <f ca="1">OFFSET(Initiatives!$D$1,P180-1,$BS$3)</f>
        <v>Predictive analysis</v>
      </c>
      <c r="AV180" s="375"/>
      <c r="AW180" s="392" t="str">
        <f ca="1">OFFSET(Initiatives!$D$1,Q180-1,$BS$3)</f>
        <v>Analytical Tools</v>
      </c>
      <c r="AX180" s="375"/>
      <c r="AY180" s="392" t="str">
        <f ca="1">OFFSET(Initiatives!$D$1,R180-1,$BS$3)</f>
        <v>Workflow and Collaboration</v>
      </c>
      <c r="AZ180" s="375">
        <v>9</v>
      </c>
      <c r="BA180" s="392" t="str">
        <f ca="1">OFFSET(Initiatives!$D$1,S180-1,$BS$3)</f>
        <v>BI Applications</v>
      </c>
      <c r="BB180" s="375">
        <v>4</v>
      </c>
      <c r="BC180" s="392" t="str">
        <f ca="1">OFFSET(Initiatives!$D$1,T180-1,$BS$3)</f>
        <v>Source System Inclusion / Integration</v>
      </c>
      <c r="BD180" s="375"/>
      <c r="BE180" s="392" t="e">
        <f ca="1">OFFSET(Initiatives!$D$1,U180-1,$BS$3)</f>
        <v>#VALUE!</v>
      </c>
      <c r="BF180" s="375"/>
      <c r="BG180" s="392" t="e">
        <f ca="1">OFFSET(Initiatives!$D$1,V180-1,$BS$3)</f>
        <v>#VALUE!</v>
      </c>
      <c r="BH180" s="375"/>
      <c r="BI180" s="392" t="e">
        <f ca="1">OFFSET(Initiatives!$D$1,W180-1,$BS$3)</f>
        <v>#VALUE!</v>
      </c>
      <c r="BJ180" s="375"/>
      <c r="BK180" s="392" t="e">
        <f ca="1">OFFSET(Initiatives!$D$1,X180-1,$BS$3)</f>
        <v>#VALUE!</v>
      </c>
      <c r="BL180" s="375"/>
      <c r="BN180" s="101">
        <f t="shared" si="2999"/>
        <v>14.0001</v>
      </c>
      <c r="BP180" s="231" t="str">
        <f t="shared" ca="1" si="3000"/>
        <v>Workflow and Collaboration (73%); BI Applications (20%); Scorecards / Dashboards (7%)</v>
      </c>
      <c r="BQ180" s="338">
        <v>0.01</v>
      </c>
      <c r="BR180" s="40">
        <f t="shared" ca="1" si="3001"/>
        <v>3</v>
      </c>
      <c r="BS180" s="274">
        <v>0.05</v>
      </c>
      <c r="BT180" s="40">
        <f t="shared" ca="1" si="3002"/>
        <v>3</v>
      </c>
      <c r="BU180" s="376">
        <v>7</v>
      </c>
      <c r="BV180" s="40">
        <f t="shared" ca="1" si="3003"/>
        <v>3</v>
      </c>
      <c r="BY180" s="377">
        <f ca="1">IF(ISERROR(OFFSET(Initiatives!$D$1,E180-1,$BY$3)),,OFFSET(Initiatives!$D$1,E180-1,$BY$3))</f>
        <v>0.14000000000000012</v>
      </c>
      <c r="BZ180" s="377">
        <f ca="1">IF(ISERROR(OFFSET(Initiatives!$D$1,F180-1,$BY$3)),,OFFSET(Initiatives!$D$1,F180-1,$BY$3))</f>
        <v>9.9999999999999978E-2</v>
      </c>
      <c r="CA180" s="377">
        <f ca="1">IF(ISERROR(OFFSET(Initiatives!$D$1,G180-1,$BY$3)),,OFFSET(Initiatives!$D$1,G180-1,$BY$3))</f>
        <v>9.9999999999999978E-2</v>
      </c>
      <c r="CB180" s="377">
        <f ca="1">IF(ISERROR(OFFSET(Initiatives!$D$1,H180-1,$BY$3)),,OFFSET(Initiatives!$D$1,H180-1,$BY$3))</f>
        <v>3.0000000000000027E-2</v>
      </c>
      <c r="CC180" s="377">
        <f ca="1">IF(ISERROR(OFFSET(Initiatives!$D$1,I180-1,$BY$3)),,OFFSET(Initiatives!$D$1,I180-1,$BY$3))</f>
        <v>1.5000000000000124E-2</v>
      </c>
      <c r="CD180" s="377">
        <f ca="1">IF(ISERROR(OFFSET(Initiatives!$D$1,J180-1,$BY$3)),,OFFSET(Initiatives!$D$1,J180-1,$BY$3))</f>
        <v>0.48</v>
      </c>
      <c r="CE180" s="377">
        <f ca="1">IF(ISERROR(OFFSET(Initiatives!$D$1,K180-1,$BY$3)),,OFFSET(Initiatives!$D$1,K180-1,$BY$3))</f>
        <v>0.6</v>
      </c>
      <c r="CF180" s="377">
        <f ca="1">IF(ISERROR(OFFSET(Initiatives!$D$1,L180-1,$BY$3)),,OFFSET(Initiatives!$D$1,L180-1,$BY$3))</f>
        <v>0.60000000000000009</v>
      </c>
      <c r="CG180" s="377">
        <f ca="1">IF(ISERROR(OFFSET(Initiatives!$D$1,M180-1,$BY$3)),,OFFSET(Initiatives!$D$1,M180-1,$BY$3))</f>
        <v>0.60000000000000009</v>
      </c>
      <c r="CH180" s="377">
        <f ca="1">IF(ISERROR(OFFSET(Initiatives!$D$1,N180-1,$BY$3)),,OFFSET(Initiatives!$D$1,N180-1,$BY$3))</f>
        <v>0.60000000000000009</v>
      </c>
      <c r="CI180" s="377">
        <f ca="1">IF(ISERROR(OFFSET(Initiatives!$D$1,O180-1,$BY$3)),,OFFSET(Initiatives!$D$1,O180-1,$BY$3))</f>
        <v>0.60000000000000009</v>
      </c>
      <c r="CJ180" s="377">
        <f ca="1">IF(ISERROR(OFFSET(Initiatives!$D$1,P180-1,$BY$3)),,OFFSET(Initiatives!$D$1,P180-1,$BY$3))</f>
        <v>0.60000000000000009</v>
      </c>
      <c r="CK180" s="377">
        <f ca="1">IF(ISERROR(OFFSET(Initiatives!$D$1,Q180-1,$BY$3)),,OFFSET(Initiatives!$D$1,Q180-1,$BY$3))</f>
        <v>0.6</v>
      </c>
      <c r="CL180" s="377">
        <f ca="1">IF(ISERROR(OFFSET(Initiatives!$D$1,R180-1,$BY$3)),,OFFSET(Initiatives!$D$1,R180-1,$BY$3))</f>
        <v>0.72000000000000008</v>
      </c>
      <c r="CM180" s="377">
        <f ca="1">IF(ISERROR(OFFSET(Initiatives!$D$1,S180-1,$BY$3)),,OFFSET(Initiatives!$D$1,S180-1,$BY$3))</f>
        <v>0.45555555555555544</v>
      </c>
      <c r="CN180" s="377">
        <f ca="1">IF(ISERROR(OFFSET(Initiatives!$D$1,T180-1,$BY$3)),,OFFSET(Initiatives!$D$1,T180-1,$BY$3))</f>
        <v>0.45454545454545436</v>
      </c>
      <c r="CO180" s="377">
        <f ca="1">IF(ISERROR(OFFSET(Initiatives!$D$1,U180-1,$BY$3)),,OFFSET(Initiatives!$D$1,U180-1,$BY$3))</f>
        <v>0</v>
      </c>
      <c r="CP180" s="377">
        <f ca="1">IF(ISERROR(OFFSET(Initiatives!$D$1,V180-1,$BY$3)),,OFFSET(Initiatives!$D$1,V180-1,$BY$3))</f>
        <v>0</v>
      </c>
      <c r="CQ180" s="377">
        <f ca="1">IF(ISERROR(OFFSET(Initiatives!$D$1,W180-1,$BY$3)),,OFFSET(Initiatives!$D$1,W180-1,$BY$3))</f>
        <v>0</v>
      </c>
      <c r="CR180" s="377">
        <f ca="1">IF(ISERROR(OFFSET(Initiatives!$D$1,X180-1,$BY$3)),,OFFSET(Initiatives!$D$1,X180-1,$BY$3))</f>
        <v>0</v>
      </c>
      <c r="CT180" s="41">
        <f t="shared" ca="1" si="3004"/>
        <v>0</v>
      </c>
      <c r="CU180" s="41">
        <f t="shared" ca="1" si="3005"/>
        <v>0</v>
      </c>
      <c r="CV180" s="41">
        <f t="shared" ca="1" si="3006"/>
        <v>0</v>
      </c>
      <c r="CW180" s="41">
        <f t="shared" ca="1" si="3007"/>
        <v>0</v>
      </c>
      <c r="CX180" s="41">
        <f t="shared" ca="1" si="3008"/>
        <v>0</v>
      </c>
      <c r="CY180" s="41">
        <f t="shared" ca="1" si="3009"/>
        <v>0</v>
      </c>
      <c r="CZ180" s="41">
        <f t="shared" ca="1" si="3010"/>
        <v>4.2856836736880448E-2</v>
      </c>
      <c r="DA180" s="41">
        <f t="shared" ca="1" si="3011"/>
        <v>0</v>
      </c>
      <c r="DB180" s="41">
        <f t="shared" ca="1" si="3012"/>
        <v>0</v>
      </c>
      <c r="DC180" s="41">
        <f t="shared" ca="1" si="3013"/>
        <v>0</v>
      </c>
      <c r="DD180" s="41">
        <f t="shared" ca="1" si="3014"/>
        <v>0</v>
      </c>
      <c r="DE180" s="41">
        <f t="shared" ca="1" si="3015"/>
        <v>0</v>
      </c>
      <c r="DF180" s="41">
        <f t="shared" ca="1" si="3016"/>
        <v>0</v>
      </c>
      <c r="DG180" s="41">
        <f t="shared" ca="1" si="3017"/>
        <v>0.46285383675830893</v>
      </c>
      <c r="DH180" s="41">
        <f t="shared" ca="1" si="3018"/>
        <v>0.1301578004601554</v>
      </c>
      <c r="DI180" s="41">
        <f t="shared" ca="1" si="3019"/>
        <v>0</v>
      </c>
      <c r="DJ180" s="41">
        <f t="shared" ca="1" si="3020"/>
        <v>0</v>
      </c>
      <c r="DK180" s="41">
        <f t="shared" ca="1" si="3021"/>
        <v>0</v>
      </c>
      <c r="DL180" s="41">
        <f t="shared" ca="1" si="3022"/>
        <v>0</v>
      </c>
      <c r="DM180" s="41">
        <f t="shared" ca="1" si="3023"/>
        <v>0</v>
      </c>
      <c r="DN180" s="41">
        <f t="shared" ca="1" si="3024"/>
        <v>0.63586847395534485</v>
      </c>
      <c r="DP180" s="41">
        <f t="shared" ca="1" si="3025"/>
        <v>-1.0000000000000001E-5</v>
      </c>
      <c r="DQ180" s="41">
        <f t="shared" ca="1" si="3026"/>
        <v>-2.0000000000000002E-5</v>
      </c>
      <c r="DR180" s="41">
        <f t="shared" ca="1" si="3027"/>
        <v>-3.0000000000000001E-5</v>
      </c>
      <c r="DS180" s="41">
        <f t="shared" ca="1" si="3028"/>
        <v>-4.0000000000000003E-5</v>
      </c>
      <c r="DT180" s="41">
        <f t="shared" ca="1" si="3029"/>
        <v>-5.0000000000000002E-5</v>
      </c>
      <c r="DU180" s="41">
        <f t="shared" ca="1" si="3030"/>
        <v>-6.0000000000000002E-5</v>
      </c>
      <c r="DV180" s="41">
        <f t="shared" ca="1" si="3031"/>
        <v>6.7328901647528694E-2</v>
      </c>
      <c r="DW180" s="41">
        <f t="shared" ca="1" si="3032"/>
        <v>-8.0000000000000007E-5</v>
      </c>
      <c r="DX180" s="41">
        <f t="shared" ca="1" si="3033"/>
        <v>-9.0000000000000006E-5</v>
      </c>
      <c r="DY180" s="41">
        <f t="shared" ca="1" si="3034"/>
        <v>-1E-4</v>
      </c>
      <c r="DZ180" s="41">
        <f t="shared" ca="1" si="3035"/>
        <v>-1.1E-4</v>
      </c>
      <c r="EA180" s="41">
        <f t="shared" ca="1" si="3036"/>
        <v>-1.2E-4</v>
      </c>
      <c r="EB180" s="41">
        <f t="shared" ca="1" si="3037"/>
        <v>-1.2999999999999999E-4</v>
      </c>
      <c r="EC180" s="41">
        <f t="shared" ca="1" si="3038"/>
        <v>0.72776813779331007</v>
      </c>
      <c r="ED180" s="41">
        <f t="shared" ca="1" si="3039"/>
        <v>0.20454296055916116</v>
      </c>
      <c r="EE180" s="41">
        <f t="shared" ca="1" si="3040"/>
        <v>-1.6000000000000001E-4</v>
      </c>
      <c r="EF180" s="41">
        <f t="shared" ca="1" si="3041"/>
        <v>-1.7000000000000001E-4</v>
      </c>
      <c r="EG180" s="41">
        <f t="shared" ca="1" si="3042"/>
        <v>-1.8000000000000001E-4</v>
      </c>
      <c r="EH180" s="41">
        <f t="shared" ca="1" si="3043"/>
        <v>-1.9000000000000001E-4</v>
      </c>
      <c r="EI180" s="41">
        <f t="shared" ca="1" si="3044"/>
        <v>-2.0000000000000001E-4</v>
      </c>
      <c r="EJ180" s="41">
        <f t="shared" ca="1" si="3045"/>
        <v>0.9978999999999999</v>
      </c>
      <c r="EL180" s="378">
        <f t="shared" ca="1" si="3046"/>
        <v>4</v>
      </c>
      <c r="EM180" s="378">
        <f t="shared" ca="1" si="3047"/>
        <v>5</v>
      </c>
      <c r="EN180" s="378">
        <f t="shared" ca="1" si="3048"/>
        <v>6</v>
      </c>
      <c r="EO180" s="378">
        <f t="shared" ca="1" si="3049"/>
        <v>7</v>
      </c>
      <c r="EP180" s="378">
        <f t="shared" ca="1" si="3050"/>
        <v>8</v>
      </c>
      <c r="EQ180" s="378">
        <f t="shared" ca="1" si="3051"/>
        <v>9</v>
      </c>
      <c r="ER180" s="378">
        <f t="shared" ca="1" si="3052"/>
        <v>3</v>
      </c>
      <c r="ES180" s="378">
        <f t="shared" ca="1" si="3053"/>
        <v>10</v>
      </c>
      <c r="ET180" s="378">
        <f t="shared" ca="1" si="3054"/>
        <v>11</v>
      </c>
      <c r="EU180" s="378">
        <f t="shared" ca="1" si="3055"/>
        <v>12</v>
      </c>
      <c r="EV180" s="378">
        <f t="shared" ca="1" si="3056"/>
        <v>13</v>
      </c>
      <c r="EW180" s="378">
        <f t="shared" ca="1" si="3057"/>
        <v>14</v>
      </c>
      <c r="EX180" s="378">
        <f t="shared" ca="1" si="3058"/>
        <v>15</v>
      </c>
      <c r="EY180" s="378">
        <f t="shared" ca="1" si="3059"/>
        <v>1</v>
      </c>
      <c r="EZ180" s="378">
        <f t="shared" ca="1" si="3060"/>
        <v>2</v>
      </c>
      <c r="FA180" s="378">
        <f t="shared" ca="1" si="3061"/>
        <v>16</v>
      </c>
      <c r="FB180" s="378">
        <f t="shared" ca="1" si="3062"/>
        <v>17</v>
      </c>
      <c r="FC180" s="378">
        <f t="shared" ca="1" si="3063"/>
        <v>18</v>
      </c>
      <c r="FD180" s="378">
        <f t="shared" ca="1" si="3064"/>
        <v>19</v>
      </c>
      <c r="FE180" s="378">
        <f t="shared" ca="1" si="3065"/>
        <v>20</v>
      </c>
      <c r="FG180" s="378">
        <f t="shared" ca="1" si="2977"/>
        <v>14</v>
      </c>
      <c r="FH180" s="378">
        <f t="shared" ca="1" si="2977"/>
        <v>15</v>
      </c>
      <c r="FI180" s="378">
        <f t="shared" ca="1" si="2977"/>
        <v>7</v>
      </c>
      <c r="FJ180" s="378">
        <f t="shared" ca="1" si="2977"/>
        <v>1</v>
      </c>
      <c r="FK180" s="378">
        <f t="shared" ca="1" si="2977"/>
        <v>2</v>
      </c>
      <c r="FL180" s="378">
        <f t="shared" ca="1" si="2977"/>
        <v>3</v>
      </c>
      <c r="FM180" s="378">
        <f t="shared" ca="1" si="2977"/>
        <v>4</v>
      </c>
      <c r="FN180" s="378">
        <f t="shared" ca="1" si="2977"/>
        <v>5</v>
      </c>
      <c r="FO180" s="378">
        <f t="shared" ca="1" si="2977"/>
        <v>6</v>
      </c>
      <c r="FP180" s="378">
        <f t="shared" ca="1" si="2977"/>
        <v>8</v>
      </c>
      <c r="FQ180" s="378">
        <f t="shared" ca="1" si="2977"/>
        <v>9</v>
      </c>
      <c r="FR180" s="378">
        <f t="shared" ca="1" si="2977"/>
        <v>10</v>
      </c>
      <c r="FS180" s="378">
        <f t="shared" ca="1" si="2977"/>
        <v>11</v>
      </c>
      <c r="FT180" s="378">
        <f t="shared" ca="1" si="2977"/>
        <v>12</v>
      </c>
      <c r="FU180" s="378">
        <f t="shared" ca="1" si="2977"/>
        <v>13</v>
      </c>
      <c r="FV180" s="378">
        <f t="shared" ca="1" si="2977"/>
        <v>16</v>
      </c>
      <c r="FW180" s="378">
        <f t="shared" ca="1" si="2977"/>
        <v>17</v>
      </c>
      <c r="FX180" s="378">
        <f t="shared" ca="1" si="2977"/>
        <v>18</v>
      </c>
      <c r="FY180" s="378">
        <f t="shared" ca="1" si="2977"/>
        <v>19</v>
      </c>
      <c r="FZ180" s="378">
        <f t="shared" ca="1" si="2977"/>
        <v>20</v>
      </c>
      <c r="GB180" s="275" t="str">
        <f t="shared" ca="1" si="3066"/>
        <v>Workflow and Collaboration (73%)</v>
      </c>
      <c r="GC180" s="231" t="str">
        <f t="shared" ca="1" si="3067"/>
        <v>; BI Applications (20%)</v>
      </c>
      <c r="GD180" s="231" t="str">
        <f t="shared" ca="1" si="3068"/>
        <v>; Scorecards / Dashboards (7%)</v>
      </c>
      <c r="GE180" s="231" t="str">
        <f t="shared" ca="1" si="3069"/>
        <v/>
      </c>
      <c r="GF180" s="231" t="str">
        <f t="shared" ca="1" si="3070"/>
        <v/>
      </c>
      <c r="GG180" s="231" t="str">
        <f t="shared" ca="1" si="3071"/>
        <v/>
      </c>
      <c r="GH180" s="231" t="str">
        <f t="shared" ca="1" si="3072"/>
        <v/>
      </c>
      <c r="GI180" s="231" t="str">
        <f t="shared" ca="1" si="3073"/>
        <v/>
      </c>
      <c r="GJ180" s="231" t="str">
        <f t="shared" ca="1" si="3074"/>
        <v/>
      </c>
      <c r="GK180" s="231" t="str">
        <f t="shared" ca="1" si="3075"/>
        <v/>
      </c>
      <c r="GL180" s="231" t="str">
        <f t="shared" ca="1" si="3076"/>
        <v/>
      </c>
      <c r="GM180" s="231" t="str">
        <f t="shared" ca="1" si="3077"/>
        <v/>
      </c>
      <c r="GN180" s="231" t="str">
        <f t="shared" ca="1" si="3078"/>
        <v/>
      </c>
      <c r="GO180" s="231" t="str">
        <f t="shared" ca="1" si="3079"/>
        <v/>
      </c>
      <c r="GP180" s="231" t="str">
        <f t="shared" ca="1" si="3080"/>
        <v/>
      </c>
      <c r="GQ180" s="231" t="str">
        <f t="shared" ca="1" si="3081"/>
        <v/>
      </c>
      <c r="GR180" s="231" t="str">
        <f t="shared" ca="1" si="3082"/>
        <v/>
      </c>
      <c r="GS180" s="231" t="str">
        <f t="shared" ca="1" si="3083"/>
        <v/>
      </c>
      <c r="GT180" s="231" t="str">
        <f t="shared" ca="1" si="3084"/>
        <v/>
      </c>
      <c r="GU180" s="231" t="str">
        <f t="shared" ca="1" si="3085"/>
        <v/>
      </c>
      <c r="GW180" s="377">
        <f ca="1">IF(ISERROR(OFFSET(Initiatives!$D$1,E180-1,$CB$3)),,OFFSET(Initiatives!$D$1,E180-1,$CB$3))</f>
        <v>0.65</v>
      </c>
      <c r="GX180" s="377">
        <f ca="1">IF(ISERROR(OFFSET(Initiatives!$D$1,F180-1,$CB$3)),,OFFSET(Initiatives!$D$1,F180-1,$CB$3))</f>
        <v>0.75</v>
      </c>
      <c r="GY180" s="377">
        <f ca="1">IF(ISERROR(OFFSET(Initiatives!$D$1,G180-1,$CB$3)),,OFFSET(Initiatives!$D$1,G180-1,$CB$3))</f>
        <v>0.75</v>
      </c>
      <c r="GZ180" s="377">
        <f ca="1">IF(ISERROR(OFFSET(Initiatives!$D$1,H180-1,$CB$3)),,OFFSET(Initiatives!$D$1,H180-1,$CB$3))</f>
        <v>0.8</v>
      </c>
      <c r="HA180" s="377">
        <f ca="1">IF(ISERROR(OFFSET(Initiatives!$D$1,I180-1,$CB$3)),,OFFSET(Initiatives!$D$1,I180-1,$CB$3))</f>
        <v>0.9</v>
      </c>
      <c r="HB180" s="377">
        <f ca="1">IF(ISERROR(OFFSET(Initiatives!$D$1,J180-1,$CB$3)),,OFFSET(Initiatives!$D$1,J180-1,$CB$3))</f>
        <v>0.4</v>
      </c>
      <c r="HC180" s="377">
        <f ca="1">IF(ISERROR(OFFSET(Initiatives!$D$1,K180-1,$CB$3)),,OFFSET(Initiatives!$D$1,K180-1,$CB$3))</f>
        <v>0.25</v>
      </c>
      <c r="HD180" s="377">
        <f ca="1">IF(ISERROR(OFFSET(Initiatives!$D$1,L180-1,$CB$3)),,OFFSET(Initiatives!$D$1,L180-1,$CB$3))</f>
        <v>0.25</v>
      </c>
      <c r="HE180" s="377">
        <f ca="1">IF(ISERROR(OFFSET(Initiatives!$D$1,M180-1,$CB$3)),,OFFSET(Initiatives!$D$1,M180-1,$CB$3))</f>
        <v>0.25</v>
      </c>
      <c r="HF180" s="377">
        <f ca="1">IF(ISERROR(OFFSET(Initiatives!$D$1,N180-1,$CB$3)),,OFFSET(Initiatives!$D$1,N180-1,$CB$3))</f>
        <v>0.25</v>
      </c>
      <c r="HG180" s="377">
        <f ca="1">IF(ISERROR(OFFSET(Initiatives!$D$1,O180-1,$CB$3)),,OFFSET(Initiatives!$D$1,O180-1,$CB$3))</f>
        <v>0.25</v>
      </c>
      <c r="HH180" s="377">
        <f ca="1">IF(ISERROR(OFFSET(Initiatives!$D$1,P180-1,$CB$3)),,OFFSET(Initiatives!$D$1,P180-1,$CB$3))</f>
        <v>0.25</v>
      </c>
      <c r="HI180" s="377">
        <f ca="1">IF(ISERROR(OFFSET(Initiatives!$D$1,Q180-1,$CB$3)),,OFFSET(Initiatives!$D$1,Q180-1,$CB$3))</f>
        <v>0.25</v>
      </c>
      <c r="HJ180" s="377">
        <f ca="1">IF(ISERROR(OFFSET(Initiatives!$D$1,R180-1,$CB$3)),,OFFSET(Initiatives!$D$1,R180-1,$CB$3))</f>
        <v>0.1</v>
      </c>
      <c r="HK180" s="377">
        <f ca="1">IF(ISERROR(OFFSET(Initiatives!$D$1,S180-1,$CB$3)),,OFFSET(Initiatives!$D$1,S180-1,$CB$3))</f>
        <v>0.34166666666666662</v>
      </c>
      <c r="HL180" s="377">
        <f ca="1">IF(ISERROR(OFFSET(Initiatives!$D$1,T180-1,$CB$3)),,OFFSET(Initiatives!$D$1,T180-1,$CB$3))</f>
        <v>0.43181818181818177</v>
      </c>
      <c r="HM180" s="377">
        <f ca="1">IF(ISERROR(OFFSET(Initiatives!$D$1,U180-1,$CB$3)),,OFFSET(Initiatives!$D$1,U180-1,$CB$3))</f>
        <v>0</v>
      </c>
      <c r="HN180" s="377">
        <f ca="1">IF(ISERROR(OFFSET(Initiatives!$D$1,V180-1,$CB$3)),,OFFSET(Initiatives!$D$1,V180-1,$CB$3))</f>
        <v>0</v>
      </c>
      <c r="HO180" s="377">
        <f ca="1">IF(ISERROR(OFFSET(Initiatives!$D$1,W180-1,$CB$3)),,OFFSET(Initiatives!$D$1,W180-1,$CB$3))</f>
        <v>0</v>
      </c>
      <c r="HP180" s="377">
        <f ca="1">IF(ISERROR(OFFSET(Initiatives!$D$1,X180-1,$CB$3)),,OFFSET(Initiatives!$D$1,X180-1,$CB$3))</f>
        <v>0</v>
      </c>
      <c r="HR180" s="41">
        <f t="shared" ca="1" si="3086"/>
        <v>0</v>
      </c>
      <c r="HS180" s="41">
        <f t="shared" ca="1" si="3087"/>
        <v>0</v>
      </c>
      <c r="HT180" s="41">
        <f t="shared" ca="1" si="3088"/>
        <v>0</v>
      </c>
      <c r="HU180" s="41">
        <f t="shared" ca="1" si="3089"/>
        <v>0</v>
      </c>
      <c r="HV180" s="41">
        <f t="shared" ca="1" si="3090"/>
        <v>0</v>
      </c>
      <c r="HW180" s="41">
        <f t="shared" ca="1" si="3091"/>
        <v>0</v>
      </c>
      <c r="HX180" s="41">
        <f t="shared" ca="1" si="3092"/>
        <v>1.7857015307033521E-2</v>
      </c>
      <c r="HY180" s="41">
        <f t="shared" ca="1" si="3093"/>
        <v>0</v>
      </c>
      <c r="HZ180" s="41">
        <f t="shared" ca="1" si="3094"/>
        <v>0</v>
      </c>
      <c r="IA180" s="41">
        <f t="shared" ca="1" si="3095"/>
        <v>0</v>
      </c>
      <c r="IB180" s="41">
        <f t="shared" ca="1" si="3096"/>
        <v>0</v>
      </c>
      <c r="IC180" s="41">
        <f t="shared" ca="1" si="3097"/>
        <v>0</v>
      </c>
      <c r="ID180" s="41">
        <f t="shared" ca="1" si="3098"/>
        <v>0</v>
      </c>
      <c r="IE180" s="41">
        <f t="shared" ca="1" si="3099"/>
        <v>7.1428061228134073E-4</v>
      </c>
      <c r="IF180" s="41">
        <f t="shared" ca="1" si="3100"/>
        <v>9.7618350345116567E-2</v>
      </c>
      <c r="IG180" s="41">
        <f t="shared" ca="1" si="3101"/>
        <v>0</v>
      </c>
      <c r="IH180" s="41">
        <f t="shared" ca="1" si="3102"/>
        <v>0</v>
      </c>
      <c r="II180" s="41">
        <f t="shared" ca="1" si="3103"/>
        <v>0</v>
      </c>
      <c r="IJ180" s="41">
        <f t="shared" ca="1" si="3104"/>
        <v>0</v>
      </c>
      <c r="IK180" s="41">
        <f t="shared" ca="1" si="3105"/>
        <v>0</v>
      </c>
      <c r="IL180" s="41">
        <f t="shared" ca="1" si="3106"/>
        <v>0.11618964626443143</v>
      </c>
    </row>
    <row r="181" spans="2:246" s="441" customFormat="1" ht="15" hidden="1" customHeight="1">
      <c r="B181" s="373"/>
      <c r="C181" s="443" t="str">
        <f>'Costs - HWSW'!I$4</f>
        <v>Perf Mgmt / Scorecarding</v>
      </c>
      <c r="D181" s="404">
        <f t="shared" ca="1" si="2998"/>
        <v>0.56388418985397337</v>
      </c>
      <c r="E181" s="374">
        <f>ROW(Initiatives!$A$104)</f>
        <v>104</v>
      </c>
      <c r="F181" s="374">
        <f>ROW(Initiatives!$A$110)</f>
        <v>110</v>
      </c>
      <c r="G181" s="374">
        <f>ROW(Initiatives!$A$115)</f>
        <v>115</v>
      </c>
      <c r="H181" s="374">
        <f>ROW(Initiatives!$A$121)</f>
        <v>121</v>
      </c>
      <c r="I181" s="374">
        <f>ROW(Initiatives!$A$127)</f>
        <v>127</v>
      </c>
      <c r="J181" s="374">
        <f>ROW(Initiatives!$A$139)</f>
        <v>139</v>
      </c>
      <c r="K181" s="374">
        <f>ROW(Initiatives!$A$146)</f>
        <v>146</v>
      </c>
      <c r="L181" s="374">
        <f>ROW(Initiatives!$A$148)</f>
        <v>148</v>
      </c>
      <c r="M181" s="374">
        <f>ROW(Initiatives!$A$149)</f>
        <v>149</v>
      </c>
      <c r="N181" s="374">
        <f>ROW(Initiatives!$A$150)</f>
        <v>150</v>
      </c>
      <c r="O181" s="374">
        <f>ROW(Initiatives!$A$151)</f>
        <v>151</v>
      </c>
      <c r="P181" s="374">
        <f>ROW(Initiatives!$A$152)</f>
        <v>152</v>
      </c>
      <c r="Q181" s="374">
        <f>ROW(Initiatives!$A$154)</f>
        <v>154</v>
      </c>
      <c r="R181" s="374">
        <f>ROW(Initiatives!$A$161)</f>
        <v>161</v>
      </c>
      <c r="S181" s="374">
        <f>ROW(Initiatives!$A$242)</f>
        <v>242</v>
      </c>
      <c r="T181" s="374">
        <f>ROW(Initiatives!$A$248)</f>
        <v>248</v>
      </c>
      <c r="U181" s="374" t="s">
        <v>975</v>
      </c>
      <c r="V181" s="374" t="s">
        <v>975</v>
      </c>
      <c r="W181" s="374" t="s">
        <v>975</v>
      </c>
      <c r="X181" s="374" t="s">
        <v>975</v>
      </c>
      <c r="Y181" s="392" t="str">
        <f ca="1">OFFSET(Initiatives!$D$1,E181-1,$BS$3)</f>
        <v>Architecture Standards &amp; Adherence</v>
      </c>
      <c r="Z181" s="375"/>
      <c r="AA181" s="392" t="str">
        <f ca="1">OFFSET(Initiatives!$D$1,F181-1,$BS$3)</f>
        <v>Data Management</v>
      </c>
      <c r="AB181" s="375"/>
      <c r="AC181" s="392" t="str">
        <f ca="1">OFFSET(Initiatives!$D$1,G181-1,$BS$3)</f>
        <v>Data Integration/ETL</v>
      </c>
      <c r="AD181" s="375"/>
      <c r="AE181" s="392" t="str">
        <f ca="1">OFFSET(Initiatives!$D$1,H181-1,$BS$3)</f>
        <v>Data Warehouse / Data Marts</v>
      </c>
      <c r="AF181" s="375"/>
      <c r="AG181" s="392" t="str">
        <f ca="1">OFFSET(Initiatives!$D$1,I181-1,$BS$3)</f>
        <v>Development</v>
      </c>
      <c r="AH181" s="375"/>
      <c r="AI181" s="392" t="str">
        <f ca="1">OFFSET(Initiatives!$D$1,J181-1,$BS$3)</f>
        <v>Reporting</v>
      </c>
      <c r="AJ181" s="375"/>
      <c r="AK181" s="392" t="str">
        <f ca="1">OFFSET(Initiatives!$D$1,K181-1,$BS$3)</f>
        <v>Scorecards / Dashboards</v>
      </c>
      <c r="AL181" s="375">
        <v>9</v>
      </c>
      <c r="AM181" s="392" t="str">
        <f ca="1">OFFSET(Initiatives!$D$1,L181-1,$BS$3)</f>
        <v>Broad-reach analytic tools</v>
      </c>
      <c r="AN181" s="375"/>
      <c r="AO181" s="392" t="str">
        <f ca="1">OFFSET(Initiatives!$D$1,M181-1,$BS$3)</f>
        <v>BI/DW platform integration with user tools (e.g. Excel)</v>
      </c>
      <c r="AP181" s="375"/>
      <c r="AQ181" s="392" t="str">
        <f ca="1">OFFSET(Initiatives!$D$1,N181-1,$BS$3)</f>
        <v>Advanced data visualization</v>
      </c>
      <c r="AR181" s="375"/>
      <c r="AS181" s="392" t="str">
        <f ca="1">OFFSET(Initiatives!$D$1,O181-1,$BS$3)</f>
        <v>Advanced analytics</v>
      </c>
      <c r="AT181" s="375"/>
      <c r="AU181" s="392" t="str">
        <f ca="1">OFFSET(Initiatives!$D$1,P181-1,$BS$3)</f>
        <v>Predictive analysis</v>
      </c>
      <c r="AV181" s="375"/>
      <c r="AW181" s="392" t="str">
        <f ca="1">OFFSET(Initiatives!$D$1,Q181-1,$BS$3)</f>
        <v>Analytical Tools</v>
      </c>
      <c r="AX181" s="375"/>
      <c r="AY181" s="392" t="str">
        <f ca="1">OFFSET(Initiatives!$D$1,R181-1,$BS$3)</f>
        <v>Workflow and Collaboration</v>
      </c>
      <c r="AZ181" s="375"/>
      <c r="BA181" s="392" t="str">
        <f ca="1">OFFSET(Initiatives!$D$1,S181-1,$BS$3)</f>
        <v>BI Applications</v>
      </c>
      <c r="BB181" s="375">
        <v>3</v>
      </c>
      <c r="BC181" s="392" t="str">
        <f ca="1">OFFSET(Initiatives!$D$1,T181-1,$BS$3)</f>
        <v>Source System Inclusion / Integration</v>
      </c>
      <c r="BD181" s="375"/>
      <c r="BE181" s="392" t="e">
        <f ca="1">OFFSET(Initiatives!$D$1,U181-1,$BS$3)</f>
        <v>#VALUE!</v>
      </c>
      <c r="BF181" s="375"/>
      <c r="BG181" s="392" t="e">
        <f ca="1">OFFSET(Initiatives!$D$1,V181-1,$BS$3)</f>
        <v>#VALUE!</v>
      </c>
      <c r="BH181" s="375"/>
      <c r="BI181" s="392" t="e">
        <f ca="1">OFFSET(Initiatives!$D$1,W181-1,$BS$3)</f>
        <v>#VALUE!</v>
      </c>
      <c r="BJ181" s="375"/>
      <c r="BK181" s="392" t="e">
        <f ca="1">OFFSET(Initiatives!$D$1,X181-1,$BS$3)</f>
        <v>#VALUE!</v>
      </c>
      <c r="BL181" s="375"/>
      <c r="BN181" s="101">
        <f t="shared" si="2999"/>
        <v>12.0001</v>
      </c>
      <c r="BP181" s="231" t="str">
        <f t="shared" ca="1" si="3000"/>
        <v>Scorecards / Dashboards (80%); BI Applications (20%)</v>
      </c>
      <c r="BQ181" s="338">
        <v>0.01</v>
      </c>
      <c r="BR181" s="40">
        <f t="shared" ca="1" si="3001"/>
        <v>2</v>
      </c>
      <c r="BS181" s="274">
        <v>0.05</v>
      </c>
      <c r="BT181" s="40">
        <f t="shared" ca="1" si="3002"/>
        <v>2</v>
      </c>
      <c r="BU181" s="376">
        <v>7</v>
      </c>
      <c r="BV181" s="40">
        <f t="shared" ca="1" si="3003"/>
        <v>2</v>
      </c>
      <c r="BY181" s="377">
        <f ca="1">IF(ISERROR(OFFSET(Initiatives!$D$1,E181-1,$BY$3)),,OFFSET(Initiatives!$D$1,E181-1,$BY$3))</f>
        <v>0.14000000000000012</v>
      </c>
      <c r="BZ181" s="377">
        <f ca="1">IF(ISERROR(OFFSET(Initiatives!$D$1,F181-1,$BY$3)),,OFFSET(Initiatives!$D$1,F181-1,$BY$3))</f>
        <v>9.9999999999999978E-2</v>
      </c>
      <c r="CA181" s="377">
        <f ca="1">IF(ISERROR(OFFSET(Initiatives!$D$1,G181-1,$BY$3)),,OFFSET(Initiatives!$D$1,G181-1,$BY$3))</f>
        <v>9.9999999999999978E-2</v>
      </c>
      <c r="CB181" s="377">
        <f ca="1">IF(ISERROR(OFFSET(Initiatives!$D$1,H181-1,$BY$3)),,OFFSET(Initiatives!$D$1,H181-1,$BY$3))</f>
        <v>3.0000000000000027E-2</v>
      </c>
      <c r="CC181" s="377">
        <f ca="1">IF(ISERROR(OFFSET(Initiatives!$D$1,I181-1,$BY$3)),,OFFSET(Initiatives!$D$1,I181-1,$BY$3))</f>
        <v>1.5000000000000124E-2</v>
      </c>
      <c r="CD181" s="377">
        <f ca="1">IF(ISERROR(OFFSET(Initiatives!$D$1,J181-1,$BY$3)),,OFFSET(Initiatives!$D$1,J181-1,$BY$3))</f>
        <v>0.48</v>
      </c>
      <c r="CE181" s="377">
        <f ca="1">IF(ISERROR(OFFSET(Initiatives!$D$1,K181-1,$BY$3)),,OFFSET(Initiatives!$D$1,K181-1,$BY$3))</f>
        <v>0.6</v>
      </c>
      <c r="CF181" s="377">
        <f ca="1">IF(ISERROR(OFFSET(Initiatives!$D$1,L181-1,$BY$3)),,OFFSET(Initiatives!$D$1,L181-1,$BY$3))</f>
        <v>0.60000000000000009</v>
      </c>
      <c r="CG181" s="377">
        <f ca="1">IF(ISERROR(OFFSET(Initiatives!$D$1,M181-1,$BY$3)),,OFFSET(Initiatives!$D$1,M181-1,$BY$3))</f>
        <v>0.60000000000000009</v>
      </c>
      <c r="CH181" s="377">
        <f ca="1">IF(ISERROR(OFFSET(Initiatives!$D$1,N181-1,$BY$3)),,OFFSET(Initiatives!$D$1,N181-1,$BY$3))</f>
        <v>0.60000000000000009</v>
      </c>
      <c r="CI181" s="377">
        <f ca="1">IF(ISERROR(OFFSET(Initiatives!$D$1,O181-1,$BY$3)),,OFFSET(Initiatives!$D$1,O181-1,$BY$3))</f>
        <v>0.60000000000000009</v>
      </c>
      <c r="CJ181" s="377">
        <f ca="1">IF(ISERROR(OFFSET(Initiatives!$D$1,P181-1,$BY$3)),,OFFSET(Initiatives!$D$1,P181-1,$BY$3))</f>
        <v>0.60000000000000009</v>
      </c>
      <c r="CK181" s="377">
        <f ca="1">IF(ISERROR(OFFSET(Initiatives!$D$1,Q181-1,$BY$3)),,OFFSET(Initiatives!$D$1,Q181-1,$BY$3))</f>
        <v>0.6</v>
      </c>
      <c r="CL181" s="377">
        <f ca="1">IF(ISERROR(OFFSET(Initiatives!$D$1,R181-1,$BY$3)),,OFFSET(Initiatives!$D$1,R181-1,$BY$3))</f>
        <v>0.72000000000000008</v>
      </c>
      <c r="CM181" s="377">
        <f ca="1">IF(ISERROR(OFFSET(Initiatives!$D$1,S181-1,$BY$3)),,OFFSET(Initiatives!$D$1,S181-1,$BY$3))</f>
        <v>0.45555555555555544</v>
      </c>
      <c r="CN181" s="377">
        <f ca="1">IF(ISERROR(OFFSET(Initiatives!$D$1,T181-1,$BY$3)),,OFFSET(Initiatives!$D$1,T181-1,$BY$3))</f>
        <v>0.45454545454545436</v>
      </c>
      <c r="CO181" s="377">
        <f ca="1">IF(ISERROR(OFFSET(Initiatives!$D$1,U181-1,$BY$3)),,OFFSET(Initiatives!$D$1,U181-1,$BY$3))</f>
        <v>0</v>
      </c>
      <c r="CP181" s="377">
        <f ca="1">IF(ISERROR(OFFSET(Initiatives!$D$1,V181-1,$BY$3)),,OFFSET(Initiatives!$D$1,V181-1,$BY$3))</f>
        <v>0</v>
      </c>
      <c r="CQ181" s="377">
        <f ca="1">IF(ISERROR(OFFSET(Initiatives!$D$1,W181-1,$BY$3)),,OFFSET(Initiatives!$D$1,W181-1,$BY$3))</f>
        <v>0</v>
      </c>
      <c r="CR181" s="377">
        <f ca="1">IF(ISERROR(OFFSET(Initiatives!$D$1,X181-1,$BY$3)),,OFFSET(Initiatives!$D$1,X181-1,$BY$3))</f>
        <v>0</v>
      </c>
      <c r="CT181" s="41">
        <f t="shared" ca="1" si="3004"/>
        <v>0</v>
      </c>
      <c r="CU181" s="41">
        <f t="shared" ca="1" si="3005"/>
        <v>0</v>
      </c>
      <c r="CV181" s="41">
        <f t="shared" ca="1" si="3006"/>
        <v>0</v>
      </c>
      <c r="CW181" s="41">
        <f t="shared" ca="1" si="3007"/>
        <v>0</v>
      </c>
      <c r="CX181" s="41">
        <f t="shared" ca="1" si="3008"/>
        <v>0</v>
      </c>
      <c r="CY181" s="41">
        <f t="shared" ca="1" si="3009"/>
        <v>0</v>
      </c>
      <c r="CZ181" s="41">
        <f t="shared" ca="1" si="3010"/>
        <v>0.44999625003124971</v>
      </c>
      <c r="DA181" s="41">
        <f t="shared" ca="1" si="3011"/>
        <v>0</v>
      </c>
      <c r="DB181" s="41">
        <f t="shared" ca="1" si="3012"/>
        <v>0</v>
      </c>
      <c r="DC181" s="41">
        <f t="shared" ca="1" si="3013"/>
        <v>0</v>
      </c>
      <c r="DD181" s="41">
        <f t="shared" ca="1" si="3014"/>
        <v>0</v>
      </c>
      <c r="DE181" s="41">
        <f t="shared" ca="1" si="3015"/>
        <v>0</v>
      </c>
      <c r="DF181" s="41">
        <f t="shared" ca="1" si="3016"/>
        <v>0</v>
      </c>
      <c r="DG181" s="41">
        <f t="shared" ca="1" si="3017"/>
        <v>0</v>
      </c>
      <c r="DH181" s="41">
        <f t="shared" ca="1" si="3018"/>
        <v>0.11388793982272366</v>
      </c>
      <c r="DI181" s="41">
        <f t="shared" ca="1" si="3019"/>
        <v>0</v>
      </c>
      <c r="DJ181" s="41">
        <f t="shared" ca="1" si="3020"/>
        <v>0</v>
      </c>
      <c r="DK181" s="41">
        <f t="shared" ca="1" si="3021"/>
        <v>0</v>
      </c>
      <c r="DL181" s="41">
        <f t="shared" ca="1" si="3022"/>
        <v>0</v>
      </c>
      <c r="DM181" s="41">
        <f t="shared" ca="1" si="3023"/>
        <v>0</v>
      </c>
      <c r="DN181" s="41">
        <f t="shared" ca="1" si="3024"/>
        <v>0.56388418985397337</v>
      </c>
      <c r="DP181" s="41">
        <f t="shared" ca="1" si="3025"/>
        <v>-1.0000000000000001E-5</v>
      </c>
      <c r="DQ181" s="41">
        <f t="shared" ca="1" si="3026"/>
        <v>-2.0000000000000002E-5</v>
      </c>
      <c r="DR181" s="41">
        <f t="shared" ca="1" si="3027"/>
        <v>-3.0000000000000001E-5</v>
      </c>
      <c r="DS181" s="41">
        <f t="shared" ca="1" si="3028"/>
        <v>-4.0000000000000003E-5</v>
      </c>
      <c r="DT181" s="41">
        <f t="shared" ca="1" si="3029"/>
        <v>-5.0000000000000002E-5</v>
      </c>
      <c r="DU181" s="41">
        <f t="shared" ca="1" si="3030"/>
        <v>-6.0000000000000002E-5</v>
      </c>
      <c r="DV181" s="41">
        <f t="shared" ca="1" si="3031"/>
        <v>0.79795955665024632</v>
      </c>
      <c r="DW181" s="41">
        <f t="shared" ca="1" si="3032"/>
        <v>-8.0000000000000007E-5</v>
      </c>
      <c r="DX181" s="41">
        <f t="shared" ca="1" si="3033"/>
        <v>-9.0000000000000006E-5</v>
      </c>
      <c r="DY181" s="41">
        <f t="shared" ca="1" si="3034"/>
        <v>-1E-4</v>
      </c>
      <c r="DZ181" s="41">
        <f t="shared" ca="1" si="3035"/>
        <v>-1.1E-4</v>
      </c>
      <c r="EA181" s="41">
        <f t="shared" ca="1" si="3036"/>
        <v>-1.2E-4</v>
      </c>
      <c r="EB181" s="41">
        <f t="shared" ca="1" si="3037"/>
        <v>-1.2999999999999999E-4</v>
      </c>
      <c r="EC181" s="41">
        <f t="shared" ca="1" si="3038"/>
        <v>-1.3999999999999999E-4</v>
      </c>
      <c r="ED181" s="41">
        <f t="shared" ca="1" si="3039"/>
        <v>0.20182044334975363</v>
      </c>
      <c r="EE181" s="41">
        <f t="shared" ca="1" si="3040"/>
        <v>-1.6000000000000001E-4</v>
      </c>
      <c r="EF181" s="41">
        <f t="shared" ca="1" si="3041"/>
        <v>-1.7000000000000001E-4</v>
      </c>
      <c r="EG181" s="41">
        <f t="shared" ca="1" si="3042"/>
        <v>-1.8000000000000001E-4</v>
      </c>
      <c r="EH181" s="41">
        <f t="shared" ca="1" si="3043"/>
        <v>-1.9000000000000001E-4</v>
      </c>
      <c r="EI181" s="41">
        <f t="shared" ca="1" si="3044"/>
        <v>-2.0000000000000001E-4</v>
      </c>
      <c r="EJ181" s="41">
        <f t="shared" ca="1" si="3045"/>
        <v>0.9978999999999999</v>
      </c>
      <c r="EL181" s="378">
        <f t="shared" ca="1" si="3046"/>
        <v>3</v>
      </c>
      <c r="EM181" s="378">
        <f t="shared" ca="1" si="3047"/>
        <v>4</v>
      </c>
      <c r="EN181" s="378">
        <f t="shared" ca="1" si="3048"/>
        <v>5</v>
      </c>
      <c r="EO181" s="378">
        <f t="shared" ca="1" si="3049"/>
        <v>6</v>
      </c>
      <c r="EP181" s="378">
        <f t="shared" ca="1" si="3050"/>
        <v>7</v>
      </c>
      <c r="EQ181" s="378">
        <f t="shared" ca="1" si="3051"/>
        <v>8</v>
      </c>
      <c r="ER181" s="378">
        <f t="shared" ca="1" si="3052"/>
        <v>1</v>
      </c>
      <c r="ES181" s="378">
        <f t="shared" ca="1" si="3053"/>
        <v>9</v>
      </c>
      <c r="ET181" s="378">
        <f t="shared" ca="1" si="3054"/>
        <v>10</v>
      </c>
      <c r="EU181" s="378">
        <f t="shared" ca="1" si="3055"/>
        <v>11</v>
      </c>
      <c r="EV181" s="378">
        <f t="shared" ca="1" si="3056"/>
        <v>12</v>
      </c>
      <c r="EW181" s="378">
        <f t="shared" ca="1" si="3057"/>
        <v>13</v>
      </c>
      <c r="EX181" s="378">
        <f t="shared" ca="1" si="3058"/>
        <v>14</v>
      </c>
      <c r="EY181" s="378">
        <f t="shared" ca="1" si="3059"/>
        <v>15</v>
      </c>
      <c r="EZ181" s="378">
        <f t="shared" ca="1" si="3060"/>
        <v>2</v>
      </c>
      <c r="FA181" s="378">
        <f t="shared" ca="1" si="3061"/>
        <v>16</v>
      </c>
      <c r="FB181" s="378">
        <f t="shared" ca="1" si="3062"/>
        <v>17</v>
      </c>
      <c r="FC181" s="378">
        <f t="shared" ca="1" si="3063"/>
        <v>18</v>
      </c>
      <c r="FD181" s="378">
        <f t="shared" ca="1" si="3064"/>
        <v>19</v>
      </c>
      <c r="FE181" s="378">
        <f t="shared" ca="1" si="3065"/>
        <v>20</v>
      </c>
      <c r="FG181" s="378">
        <f t="shared" ca="1" si="2977"/>
        <v>7</v>
      </c>
      <c r="FH181" s="378">
        <f t="shared" ca="1" si="2977"/>
        <v>15</v>
      </c>
      <c r="FI181" s="378">
        <f t="shared" ca="1" si="2977"/>
        <v>1</v>
      </c>
      <c r="FJ181" s="378">
        <f t="shared" ca="1" si="2977"/>
        <v>2</v>
      </c>
      <c r="FK181" s="378">
        <f t="shared" ca="1" si="2977"/>
        <v>3</v>
      </c>
      <c r="FL181" s="378">
        <f t="shared" ca="1" si="2977"/>
        <v>4</v>
      </c>
      <c r="FM181" s="378">
        <f t="shared" ca="1" si="2977"/>
        <v>5</v>
      </c>
      <c r="FN181" s="378">
        <f t="shared" ca="1" si="2977"/>
        <v>6</v>
      </c>
      <c r="FO181" s="378">
        <f t="shared" ca="1" si="2977"/>
        <v>8</v>
      </c>
      <c r="FP181" s="378">
        <f t="shared" ca="1" si="2977"/>
        <v>9</v>
      </c>
      <c r="FQ181" s="378">
        <f t="shared" ca="1" si="2977"/>
        <v>10</v>
      </c>
      <c r="FR181" s="378">
        <f t="shared" ca="1" si="2977"/>
        <v>11</v>
      </c>
      <c r="FS181" s="378">
        <f t="shared" ca="1" si="2977"/>
        <v>12</v>
      </c>
      <c r="FT181" s="378">
        <f t="shared" ca="1" si="2977"/>
        <v>13</v>
      </c>
      <c r="FU181" s="378">
        <f t="shared" ca="1" si="2977"/>
        <v>14</v>
      </c>
      <c r="FV181" s="378">
        <f t="shared" ca="1" si="2977"/>
        <v>16</v>
      </c>
      <c r="FW181" s="378">
        <f t="shared" ca="1" si="2977"/>
        <v>17</v>
      </c>
      <c r="FX181" s="378">
        <f t="shared" ca="1" si="2977"/>
        <v>18</v>
      </c>
      <c r="FY181" s="378">
        <f t="shared" ca="1" si="2977"/>
        <v>19</v>
      </c>
      <c r="FZ181" s="378">
        <f t="shared" ca="1" si="2977"/>
        <v>20</v>
      </c>
      <c r="GB181" s="275" t="str">
        <f t="shared" ca="1" si="3066"/>
        <v>Scorecards / Dashboards (80%)</v>
      </c>
      <c r="GC181" s="231" t="str">
        <f t="shared" ca="1" si="3067"/>
        <v>; BI Applications (20%)</v>
      </c>
      <c r="GD181" s="231" t="str">
        <f t="shared" ca="1" si="3068"/>
        <v/>
      </c>
      <c r="GE181" s="231" t="str">
        <f t="shared" ca="1" si="3069"/>
        <v/>
      </c>
      <c r="GF181" s="231" t="str">
        <f t="shared" ca="1" si="3070"/>
        <v/>
      </c>
      <c r="GG181" s="231" t="str">
        <f t="shared" ca="1" si="3071"/>
        <v/>
      </c>
      <c r="GH181" s="231" t="str">
        <f t="shared" ca="1" si="3072"/>
        <v/>
      </c>
      <c r="GI181" s="231" t="str">
        <f t="shared" ca="1" si="3073"/>
        <v/>
      </c>
      <c r="GJ181" s="231" t="str">
        <f t="shared" ca="1" si="3074"/>
        <v/>
      </c>
      <c r="GK181" s="231" t="str">
        <f t="shared" ca="1" si="3075"/>
        <v/>
      </c>
      <c r="GL181" s="231" t="str">
        <f t="shared" ca="1" si="3076"/>
        <v/>
      </c>
      <c r="GM181" s="231" t="str">
        <f t="shared" ca="1" si="3077"/>
        <v/>
      </c>
      <c r="GN181" s="231" t="str">
        <f t="shared" ca="1" si="3078"/>
        <v/>
      </c>
      <c r="GO181" s="231" t="str">
        <f t="shared" ca="1" si="3079"/>
        <v/>
      </c>
      <c r="GP181" s="231" t="str">
        <f t="shared" ca="1" si="3080"/>
        <v/>
      </c>
      <c r="GQ181" s="231" t="str">
        <f t="shared" ca="1" si="3081"/>
        <v/>
      </c>
      <c r="GR181" s="231" t="str">
        <f t="shared" ca="1" si="3082"/>
        <v/>
      </c>
      <c r="GS181" s="231" t="str">
        <f t="shared" ca="1" si="3083"/>
        <v/>
      </c>
      <c r="GT181" s="231" t="str">
        <f t="shared" ca="1" si="3084"/>
        <v/>
      </c>
      <c r="GU181" s="231" t="str">
        <f t="shared" ca="1" si="3085"/>
        <v/>
      </c>
      <c r="GW181" s="377">
        <f ca="1">IF(ISERROR(OFFSET(Initiatives!$D$1,E181-1,$CB$3)),,OFFSET(Initiatives!$D$1,E181-1,$CB$3))</f>
        <v>0.65</v>
      </c>
      <c r="GX181" s="377">
        <f ca="1">IF(ISERROR(OFFSET(Initiatives!$D$1,F181-1,$CB$3)),,OFFSET(Initiatives!$D$1,F181-1,$CB$3))</f>
        <v>0.75</v>
      </c>
      <c r="GY181" s="377">
        <f ca="1">IF(ISERROR(OFFSET(Initiatives!$D$1,G181-1,$CB$3)),,OFFSET(Initiatives!$D$1,G181-1,$CB$3))</f>
        <v>0.75</v>
      </c>
      <c r="GZ181" s="377">
        <f ca="1">IF(ISERROR(OFFSET(Initiatives!$D$1,H181-1,$CB$3)),,OFFSET(Initiatives!$D$1,H181-1,$CB$3))</f>
        <v>0.8</v>
      </c>
      <c r="HA181" s="377">
        <f ca="1">IF(ISERROR(OFFSET(Initiatives!$D$1,I181-1,$CB$3)),,OFFSET(Initiatives!$D$1,I181-1,$CB$3))</f>
        <v>0.9</v>
      </c>
      <c r="HB181" s="377">
        <f ca="1">IF(ISERROR(OFFSET(Initiatives!$D$1,J181-1,$CB$3)),,OFFSET(Initiatives!$D$1,J181-1,$CB$3))</f>
        <v>0.4</v>
      </c>
      <c r="HC181" s="377">
        <f ca="1">IF(ISERROR(OFFSET(Initiatives!$D$1,K181-1,$CB$3)),,OFFSET(Initiatives!$D$1,K181-1,$CB$3))</f>
        <v>0.25</v>
      </c>
      <c r="HD181" s="377">
        <f ca="1">IF(ISERROR(OFFSET(Initiatives!$D$1,L181-1,$CB$3)),,OFFSET(Initiatives!$D$1,L181-1,$CB$3))</f>
        <v>0.25</v>
      </c>
      <c r="HE181" s="377">
        <f ca="1">IF(ISERROR(OFFSET(Initiatives!$D$1,M181-1,$CB$3)),,OFFSET(Initiatives!$D$1,M181-1,$CB$3))</f>
        <v>0.25</v>
      </c>
      <c r="HF181" s="377">
        <f ca="1">IF(ISERROR(OFFSET(Initiatives!$D$1,N181-1,$CB$3)),,OFFSET(Initiatives!$D$1,N181-1,$CB$3))</f>
        <v>0.25</v>
      </c>
      <c r="HG181" s="377">
        <f ca="1">IF(ISERROR(OFFSET(Initiatives!$D$1,O181-1,$CB$3)),,OFFSET(Initiatives!$D$1,O181-1,$CB$3))</f>
        <v>0.25</v>
      </c>
      <c r="HH181" s="377">
        <f ca="1">IF(ISERROR(OFFSET(Initiatives!$D$1,P181-1,$CB$3)),,OFFSET(Initiatives!$D$1,P181-1,$CB$3))</f>
        <v>0.25</v>
      </c>
      <c r="HI181" s="377">
        <f ca="1">IF(ISERROR(OFFSET(Initiatives!$D$1,Q181-1,$CB$3)),,OFFSET(Initiatives!$D$1,Q181-1,$CB$3))</f>
        <v>0.25</v>
      </c>
      <c r="HJ181" s="377">
        <f ca="1">IF(ISERROR(OFFSET(Initiatives!$D$1,R181-1,$CB$3)),,OFFSET(Initiatives!$D$1,R181-1,$CB$3))</f>
        <v>0.1</v>
      </c>
      <c r="HK181" s="377">
        <f ca="1">IF(ISERROR(OFFSET(Initiatives!$D$1,S181-1,$CB$3)),,OFFSET(Initiatives!$D$1,S181-1,$CB$3))</f>
        <v>0.34166666666666662</v>
      </c>
      <c r="HL181" s="377">
        <f ca="1">IF(ISERROR(OFFSET(Initiatives!$D$1,T181-1,$CB$3)),,OFFSET(Initiatives!$D$1,T181-1,$CB$3))</f>
        <v>0.43181818181818177</v>
      </c>
      <c r="HM181" s="377">
        <f ca="1">IF(ISERROR(OFFSET(Initiatives!$D$1,U181-1,$CB$3)),,OFFSET(Initiatives!$D$1,U181-1,$CB$3))</f>
        <v>0</v>
      </c>
      <c r="HN181" s="377">
        <f ca="1">IF(ISERROR(OFFSET(Initiatives!$D$1,V181-1,$CB$3)),,OFFSET(Initiatives!$D$1,V181-1,$CB$3))</f>
        <v>0</v>
      </c>
      <c r="HO181" s="377">
        <f ca="1">IF(ISERROR(OFFSET(Initiatives!$D$1,W181-1,$CB$3)),,OFFSET(Initiatives!$D$1,W181-1,$CB$3))</f>
        <v>0</v>
      </c>
      <c r="HP181" s="377">
        <f ca="1">IF(ISERROR(OFFSET(Initiatives!$D$1,X181-1,$CB$3)),,OFFSET(Initiatives!$D$1,X181-1,$CB$3))</f>
        <v>0</v>
      </c>
      <c r="HR181" s="41">
        <f t="shared" ca="1" si="3086"/>
        <v>0</v>
      </c>
      <c r="HS181" s="41">
        <f t="shared" ca="1" si="3087"/>
        <v>0</v>
      </c>
      <c r="HT181" s="41">
        <f t="shared" ca="1" si="3088"/>
        <v>0</v>
      </c>
      <c r="HU181" s="41">
        <f t="shared" ca="1" si="3089"/>
        <v>0</v>
      </c>
      <c r="HV181" s="41">
        <f t="shared" ca="1" si="3090"/>
        <v>0</v>
      </c>
      <c r="HW181" s="41">
        <f t="shared" ca="1" si="3091"/>
        <v>0</v>
      </c>
      <c r="HX181" s="41">
        <f t="shared" ca="1" si="3092"/>
        <v>0.18749843751302073</v>
      </c>
      <c r="HY181" s="41">
        <f t="shared" ca="1" si="3093"/>
        <v>0</v>
      </c>
      <c r="HZ181" s="41">
        <f t="shared" ca="1" si="3094"/>
        <v>0</v>
      </c>
      <c r="IA181" s="41">
        <f t="shared" ca="1" si="3095"/>
        <v>0</v>
      </c>
      <c r="IB181" s="41">
        <f t="shared" ca="1" si="3096"/>
        <v>0</v>
      </c>
      <c r="IC181" s="41">
        <f t="shared" ca="1" si="3097"/>
        <v>0</v>
      </c>
      <c r="ID181" s="41">
        <f t="shared" ca="1" si="3098"/>
        <v>0</v>
      </c>
      <c r="IE181" s="41">
        <f t="shared" ca="1" si="3099"/>
        <v>8.3332638894675871E-4</v>
      </c>
      <c r="IF181" s="41">
        <f t="shared" ca="1" si="3100"/>
        <v>8.5415954867042773E-2</v>
      </c>
      <c r="IG181" s="41">
        <f t="shared" ca="1" si="3101"/>
        <v>0</v>
      </c>
      <c r="IH181" s="41">
        <f t="shared" ca="1" si="3102"/>
        <v>0</v>
      </c>
      <c r="II181" s="41">
        <f t="shared" ca="1" si="3103"/>
        <v>0</v>
      </c>
      <c r="IJ181" s="41">
        <f t="shared" ca="1" si="3104"/>
        <v>0</v>
      </c>
      <c r="IK181" s="41">
        <f t="shared" ca="1" si="3105"/>
        <v>0</v>
      </c>
      <c r="IL181" s="41">
        <f t="shared" ca="1" si="3106"/>
        <v>0.27374771876901027</v>
      </c>
    </row>
    <row r="182" spans="2:246" s="441" customFormat="1" ht="15" hidden="1" customHeight="1">
      <c r="B182" s="373"/>
      <c r="C182" s="443" t="str">
        <f>'Costs - HWSW'!J$4</f>
        <v>Other IT Tools</v>
      </c>
      <c r="D182" s="404">
        <f t="shared" ca="1" si="2998"/>
        <v>0.1952515954830229</v>
      </c>
      <c r="E182" s="374">
        <f>ROW(Initiatives!$A$104)</f>
        <v>104</v>
      </c>
      <c r="F182" s="374">
        <f>ROW(Initiatives!$A$110)</f>
        <v>110</v>
      </c>
      <c r="G182" s="374">
        <f>ROW(Initiatives!$A$115)</f>
        <v>115</v>
      </c>
      <c r="H182" s="374">
        <f>ROW(Initiatives!$A$121)</f>
        <v>121</v>
      </c>
      <c r="I182" s="374">
        <f>ROW(Initiatives!$A$127)</f>
        <v>127</v>
      </c>
      <c r="J182" s="374">
        <f>ROW(Initiatives!$A$139)</f>
        <v>139</v>
      </c>
      <c r="K182" s="374">
        <f>ROW(Initiatives!$A$146)</f>
        <v>146</v>
      </c>
      <c r="L182" s="374">
        <f>ROW(Initiatives!$A$148)</f>
        <v>148</v>
      </c>
      <c r="M182" s="374">
        <f>ROW(Initiatives!$A$149)</f>
        <v>149</v>
      </c>
      <c r="N182" s="374">
        <f>ROW(Initiatives!$A$150)</f>
        <v>150</v>
      </c>
      <c r="O182" s="374">
        <f>ROW(Initiatives!$A$151)</f>
        <v>151</v>
      </c>
      <c r="P182" s="374">
        <f>ROW(Initiatives!$A$152)</f>
        <v>152</v>
      </c>
      <c r="Q182" s="374">
        <f>ROW(Initiatives!$A$154)</f>
        <v>154</v>
      </c>
      <c r="R182" s="374">
        <f>ROW(Initiatives!$A$161)</f>
        <v>161</v>
      </c>
      <c r="S182" s="374">
        <f>ROW(Initiatives!$A$242)</f>
        <v>242</v>
      </c>
      <c r="T182" s="374">
        <f>ROW(Initiatives!$A$248)</f>
        <v>248</v>
      </c>
      <c r="U182" s="374" t="s">
        <v>975</v>
      </c>
      <c r="V182" s="374" t="s">
        <v>975</v>
      </c>
      <c r="W182" s="374" t="s">
        <v>975</v>
      </c>
      <c r="X182" s="374" t="s">
        <v>975</v>
      </c>
      <c r="Y182" s="392" t="str">
        <f ca="1">OFFSET(Initiatives!$D$1,E182-1,$BS$3)</f>
        <v>Architecture Standards &amp; Adherence</v>
      </c>
      <c r="Z182" s="375">
        <v>2</v>
      </c>
      <c r="AA182" s="392" t="str">
        <f ca="1">OFFSET(Initiatives!$D$1,F182-1,$BS$3)</f>
        <v>Data Management</v>
      </c>
      <c r="AB182" s="375">
        <v>9</v>
      </c>
      <c r="AC182" s="392" t="str">
        <f ca="1">OFFSET(Initiatives!$D$1,G182-1,$BS$3)</f>
        <v>Data Integration/ETL</v>
      </c>
      <c r="AD182" s="375">
        <v>1</v>
      </c>
      <c r="AE182" s="392" t="str">
        <f ca="1">OFFSET(Initiatives!$D$1,H182-1,$BS$3)</f>
        <v>Data Warehouse / Data Marts</v>
      </c>
      <c r="AF182" s="375">
        <v>3</v>
      </c>
      <c r="AG182" s="392" t="str">
        <f ca="1">OFFSET(Initiatives!$D$1,I182-1,$BS$3)</f>
        <v>Development</v>
      </c>
      <c r="AH182" s="375"/>
      <c r="AI182" s="392" t="str">
        <f ca="1">OFFSET(Initiatives!$D$1,J182-1,$BS$3)</f>
        <v>Reporting</v>
      </c>
      <c r="AJ182" s="375"/>
      <c r="AK182" s="392" t="str">
        <f ca="1">OFFSET(Initiatives!$D$1,K182-1,$BS$3)</f>
        <v>Scorecards / Dashboards</v>
      </c>
      <c r="AL182" s="375"/>
      <c r="AM182" s="392" t="str">
        <f ca="1">OFFSET(Initiatives!$D$1,L182-1,$BS$3)</f>
        <v>Broad-reach analytic tools</v>
      </c>
      <c r="AN182" s="375"/>
      <c r="AO182" s="392" t="str">
        <f ca="1">OFFSET(Initiatives!$D$1,M182-1,$BS$3)</f>
        <v>BI/DW platform integration with user tools (e.g. Excel)</v>
      </c>
      <c r="AP182" s="375"/>
      <c r="AQ182" s="392" t="str">
        <f ca="1">OFFSET(Initiatives!$D$1,N182-1,$BS$3)</f>
        <v>Advanced data visualization</v>
      </c>
      <c r="AR182" s="375"/>
      <c r="AS182" s="392" t="str">
        <f ca="1">OFFSET(Initiatives!$D$1,O182-1,$BS$3)</f>
        <v>Advanced analytics</v>
      </c>
      <c r="AT182" s="375"/>
      <c r="AU182" s="392" t="str">
        <f ca="1">OFFSET(Initiatives!$D$1,P182-1,$BS$3)</f>
        <v>Predictive analysis</v>
      </c>
      <c r="AV182" s="375"/>
      <c r="AW182" s="392" t="str">
        <f ca="1">OFFSET(Initiatives!$D$1,Q182-1,$BS$3)</f>
        <v>Analytical Tools</v>
      </c>
      <c r="AX182" s="375"/>
      <c r="AY182" s="392" t="str">
        <f ca="1">OFFSET(Initiatives!$D$1,R182-1,$BS$3)</f>
        <v>Workflow and Collaboration</v>
      </c>
      <c r="AZ182" s="375"/>
      <c r="BA182" s="392" t="str">
        <f ca="1">OFFSET(Initiatives!$D$1,S182-1,$BS$3)</f>
        <v>BI Applications</v>
      </c>
      <c r="BB182" s="375">
        <v>3</v>
      </c>
      <c r="BC182" s="392" t="str">
        <f ca="1">OFFSET(Initiatives!$D$1,T182-1,$BS$3)</f>
        <v>Source System Inclusion / Integration</v>
      </c>
      <c r="BD182" s="375">
        <v>3</v>
      </c>
      <c r="BE182" s="392" t="e">
        <f ca="1">OFFSET(Initiatives!$D$1,U182-1,$BS$3)</f>
        <v>#VALUE!</v>
      </c>
      <c r="BF182" s="375"/>
      <c r="BG182" s="392" t="e">
        <f ca="1">OFFSET(Initiatives!$D$1,V182-1,$BS$3)</f>
        <v>#VALUE!</v>
      </c>
      <c r="BH182" s="375"/>
      <c r="BI182" s="392" t="e">
        <f ca="1">OFFSET(Initiatives!$D$1,W182-1,$BS$3)</f>
        <v>#VALUE!</v>
      </c>
      <c r="BJ182" s="375"/>
      <c r="BK182" s="392" t="e">
        <f ca="1">OFFSET(Initiatives!$D$1,X182-1,$BS$3)</f>
        <v>#VALUE!</v>
      </c>
      <c r="BL182" s="375"/>
      <c r="BN182" s="101">
        <f t="shared" si="2999"/>
        <v>21.0001</v>
      </c>
      <c r="BP182" s="231" t="str">
        <f t="shared" ca="1" si="3000"/>
        <v>BI Applications (33%); Source System Inclusion / Integration (33%); Data Management (22%); Architecture Standards &amp; Adherence (7%)</v>
      </c>
      <c r="BQ182" s="338">
        <v>0.01</v>
      </c>
      <c r="BR182" s="40">
        <f t="shared" ca="1" si="3001"/>
        <v>4</v>
      </c>
      <c r="BS182" s="274">
        <v>0.05</v>
      </c>
      <c r="BT182" s="40">
        <f t="shared" ca="1" si="3002"/>
        <v>4</v>
      </c>
      <c r="BU182" s="376">
        <v>7</v>
      </c>
      <c r="BV182" s="40">
        <f t="shared" ca="1" si="3003"/>
        <v>4</v>
      </c>
      <c r="BY182" s="377">
        <f ca="1">IF(ISERROR(OFFSET(Initiatives!$D$1,E182-1,$BY$3)),,OFFSET(Initiatives!$D$1,E182-1,$BY$3))</f>
        <v>0.14000000000000012</v>
      </c>
      <c r="BZ182" s="377">
        <f ca="1">IF(ISERROR(OFFSET(Initiatives!$D$1,F182-1,$BY$3)),,OFFSET(Initiatives!$D$1,F182-1,$BY$3))</f>
        <v>9.9999999999999978E-2</v>
      </c>
      <c r="CA182" s="377">
        <f ca="1">IF(ISERROR(OFFSET(Initiatives!$D$1,G182-1,$BY$3)),,OFFSET(Initiatives!$D$1,G182-1,$BY$3))</f>
        <v>9.9999999999999978E-2</v>
      </c>
      <c r="CB182" s="377">
        <f ca="1">IF(ISERROR(OFFSET(Initiatives!$D$1,H182-1,$BY$3)),,OFFSET(Initiatives!$D$1,H182-1,$BY$3))</f>
        <v>3.0000000000000027E-2</v>
      </c>
      <c r="CC182" s="377">
        <f ca="1">IF(ISERROR(OFFSET(Initiatives!$D$1,I182-1,$BY$3)),,OFFSET(Initiatives!$D$1,I182-1,$BY$3))</f>
        <v>1.5000000000000124E-2</v>
      </c>
      <c r="CD182" s="377">
        <f ca="1">IF(ISERROR(OFFSET(Initiatives!$D$1,J182-1,$BY$3)),,OFFSET(Initiatives!$D$1,J182-1,$BY$3))</f>
        <v>0.48</v>
      </c>
      <c r="CE182" s="377">
        <f ca="1">IF(ISERROR(OFFSET(Initiatives!$D$1,K182-1,$BY$3)),,OFFSET(Initiatives!$D$1,K182-1,$BY$3))</f>
        <v>0.6</v>
      </c>
      <c r="CF182" s="377">
        <f ca="1">IF(ISERROR(OFFSET(Initiatives!$D$1,L182-1,$BY$3)),,OFFSET(Initiatives!$D$1,L182-1,$BY$3))</f>
        <v>0.60000000000000009</v>
      </c>
      <c r="CG182" s="377">
        <f ca="1">IF(ISERROR(OFFSET(Initiatives!$D$1,M182-1,$BY$3)),,OFFSET(Initiatives!$D$1,M182-1,$BY$3))</f>
        <v>0.60000000000000009</v>
      </c>
      <c r="CH182" s="377">
        <f ca="1">IF(ISERROR(OFFSET(Initiatives!$D$1,N182-1,$BY$3)),,OFFSET(Initiatives!$D$1,N182-1,$BY$3))</f>
        <v>0.60000000000000009</v>
      </c>
      <c r="CI182" s="377">
        <f ca="1">IF(ISERROR(OFFSET(Initiatives!$D$1,O182-1,$BY$3)),,OFFSET(Initiatives!$D$1,O182-1,$BY$3))</f>
        <v>0.60000000000000009</v>
      </c>
      <c r="CJ182" s="377">
        <f ca="1">IF(ISERROR(OFFSET(Initiatives!$D$1,P182-1,$BY$3)),,OFFSET(Initiatives!$D$1,P182-1,$BY$3))</f>
        <v>0.60000000000000009</v>
      </c>
      <c r="CK182" s="377">
        <f ca="1">IF(ISERROR(OFFSET(Initiatives!$D$1,Q182-1,$BY$3)),,OFFSET(Initiatives!$D$1,Q182-1,$BY$3))</f>
        <v>0.6</v>
      </c>
      <c r="CL182" s="377">
        <f ca="1">IF(ISERROR(OFFSET(Initiatives!$D$1,R182-1,$BY$3)),,OFFSET(Initiatives!$D$1,R182-1,$BY$3))</f>
        <v>0.72000000000000008</v>
      </c>
      <c r="CM182" s="377">
        <f ca="1">IF(ISERROR(OFFSET(Initiatives!$D$1,S182-1,$BY$3)),,OFFSET(Initiatives!$D$1,S182-1,$BY$3))</f>
        <v>0.45555555555555544</v>
      </c>
      <c r="CN182" s="377">
        <f ca="1">IF(ISERROR(OFFSET(Initiatives!$D$1,T182-1,$BY$3)),,OFFSET(Initiatives!$D$1,T182-1,$BY$3))</f>
        <v>0.45454545454545436</v>
      </c>
      <c r="CO182" s="377">
        <f ca="1">IF(ISERROR(OFFSET(Initiatives!$D$1,U182-1,$BY$3)),,OFFSET(Initiatives!$D$1,U182-1,$BY$3))</f>
        <v>0</v>
      </c>
      <c r="CP182" s="377">
        <f ca="1">IF(ISERROR(OFFSET(Initiatives!$D$1,V182-1,$BY$3)),,OFFSET(Initiatives!$D$1,V182-1,$BY$3))</f>
        <v>0</v>
      </c>
      <c r="CQ182" s="377">
        <f ca="1">IF(ISERROR(OFFSET(Initiatives!$D$1,W182-1,$BY$3)),,OFFSET(Initiatives!$D$1,W182-1,$BY$3))</f>
        <v>0</v>
      </c>
      <c r="CR182" s="377">
        <f ca="1">IF(ISERROR(OFFSET(Initiatives!$D$1,X182-1,$BY$3)),,OFFSET(Initiatives!$D$1,X182-1,$BY$3))</f>
        <v>0</v>
      </c>
      <c r="CT182" s="41">
        <f t="shared" ca="1" si="3004"/>
        <v>1.3333269841572196E-2</v>
      </c>
      <c r="CU182" s="41">
        <f t="shared" ca="1" si="3005"/>
        <v>4.2856938776482008E-2</v>
      </c>
      <c r="CV182" s="41">
        <f t="shared" ca="1" si="3006"/>
        <v>4.7618820862757785E-3</v>
      </c>
      <c r="CW182" s="41">
        <f t="shared" ca="1" si="3007"/>
        <v>4.2856938776482051E-3</v>
      </c>
      <c r="CX182" s="41">
        <f t="shared" ca="1" si="3008"/>
        <v>0</v>
      </c>
      <c r="CY182" s="41">
        <f t="shared" ca="1" si="3009"/>
        <v>0</v>
      </c>
      <c r="CZ182" s="41">
        <f t="shared" ca="1" si="3010"/>
        <v>0</v>
      </c>
      <c r="DA182" s="41">
        <f t="shared" ca="1" si="3011"/>
        <v>0</v>
      </c>
      <c r="DB182" s="41">
        <f t="shared" ca="1" si="3012"/>
        <v>0</v>
      </c>
      <c r="DC182" s="41">
        <f t="shared" ca="1" si="3013"/>
        <v>0</v>
      </c>
      <c r="DD182" s="41">
        <f t="shared" ca="1" si="3014"/>
        <v>0</v>
      </c>
      <c r="DE182" s="41">
        <f t="shared" ca="1" si="3015"/>
        <v>0</v>
      </c>
      <c r="DF182" s="41">
        <f t="shared" ca="1" si="3016"/>
        <v>0</v>
      </c>
      <c r="DG182" s="41">
        <f t="shared" ca="1" si="3017"/>
        <v>0</v>
      </c>
      <c r="DH182" s="41">
        <f t="shared" ca="1" si="3018"/>
        <v>6.5079055179102299E-2</v>
      </c>
      <c r="DI182" s="41">
        <f t="shared" ca="1" si="3019"/>
        <v>6.4934755721942419E-2</v>
      </c>
      <c r="DJ182" s="41">
        <f t="shared" ca="1" si="3020"/>
        <v>0</v>
      </c>
      <c r="DK182" s="41">
        <f t="shared" ca="1" si="3021"/>
        <v>0</v>
      </c>
      <c r="DL182" s="41">
        <f t="shared" ca="1" si="3022"/>
        <v>0</v>
      </c>
      <c r="DM182" s="41">
        <f t="shared" ca="1" si="3023"/>
        <v>0</v>
      </c>
      <c r="DN182" s="41">
        <f t="shared" ca="1" si="3024"/>
        <v>0.1952515954830229</v>
      </c>
      <c r="DP182" s="41">
        <f t="shared" ca="1" si="3025"/>
        <v>6.8277635799275829E-2</v>
      </c>
      <c r="DQ182" s="41">
        <f t="shared" ca="1" si="3026"/>
        <v>0.21947597221195775</v>
      </c>
      <c r="DR182" s="41">
        <f t="shared" ca="1" si="3027"/>
        <v>2.4358441356884194E-2</v>
      </c>
      <c r="DS182" s="41">
        <f t="shared" ca="1" si="3028"/>
        <v>2.1909597221195797E-2</v>
      </c>
      <c r="DT182" s="41">
        <f t="shared" ca="1" si="3029"/>
        <v>-5.0000000000000002E-5</v>
      </c>
      <c r="DU182" s="41">
        <f t="shared" ca="1" si="3030"/>
        <v>-6.0000000000000002E-5</v>
      </c>
      <c r="DV182" s="41">
        <f t="shared" ca="1" si="3031"/>
        <v>-6.9999999999999994E-5</v>
      </c>
      <c r="DW182" s="41">
        <f t="shared" ca="1" si="3032"/>
        <v>-8.0000000000000007E-5</v>
      </c>
      <c r="DX182" s="41">
        <f t="shared" ca="1" si="3033"/>
        <v>-9.0000000000000006E-5</v>
      </c>
      <c r="DY182" s="41">
        <f t="shared" ca="1" si="3034"/>
        <v>-1E-4</v>
      </c>
      <c r="DZ182" s="41">
        <f t="shared" ca="1" si="3035"/>
        <v>-1.1E-4</v>
      </c>
      <c r="EA182" s="41">
        <f t="shared" ca="1" si="3036"/>
        <v>-1.2E-4</v>
      </c>
      <c r="EB182" s="41">
        <f t="shared" ca="1" si="3037"/>
        <v>-1.2999999999999999E-4</v>
      </c>
      <c r="EC182" s="41">
        <f t="shared" ca="1" si="3038"/>
        <v>-1.3999999999999999E-4</v>
      </c>
      <c r="ED182" s="41">
        <f t="shared" ca="1" si="3039"/>
        <v>0.33315869854408392</v>
      </c>
      <c r="EE182" s="41">
        <f t="shared" ca="1" si="3040"/>
        <v>0.33240965486660257</v>
      </c>
      <c r="EF182" s="41">
        <f t="shared" ca="1" si="3041"/>
        <v>-1.7000000000000001E-4</v>
      </c>
      <c r="EG182" s="41">
        <f t="shared" ca="1" si="3042"/>
        <v>-1.8000000000000001E-4</v>
      </c>
      <c r="EH182" s="41">
        <f t="shared" ca="1" si="3043"/>
        <v>-1.9000000000000001E-4</v>
      </c>
      <c r="EI182" s="41">
        <f t="shared" ca="1" si="3044"/>
        <v>-2.0000000000000001E-4</v>
      </c>
      <c r="EJ182" s="41">
        <f t="shared" ca="1" si="3045"/>
        <v>0.99790000000000012</v>
      </c>
      <c r="EL182" s="378">
        <f t="shared" ca="1" si="3046"/>
        <v>4</v>
      </c>
      <c r="EM182" s="378">
        <f t="shared" ca="1" si="3047"/>
        <v>3</v>
      </c>
      <c r="EN182" s="378">
        <f t="shared" ca="1" si="3048"/>
        <v>5</v>
      </c>
      <c r="EO182" s="378">
        <f t="shared" ca="1" si="3049"/>
        <v>6</v>
      </c>
      <c r="EP182" s="378">
        <f t="shared" ca="1" si="3050"/>
        <v>7</v>
      </c>
      <c r="EQ182" s="378">
        <f t="shared" ca="1" si="3051"/>
        <v>8</v>
      </c>
      <c r="ER182" s="378">
        <f t="shared" ca="1" si="3052"/>
        <v>9</v>
      </c>
      <c r="ES182" s="378">
        <f t="shared" ca="1" si="3053"/>
        <v>10</v>
      </c>
      <c r="ET182" s="378">
        <f t="shared" ca="1" si="3054"/>
        <v>11</v>
      </c>
      <c r="EU182" s="378">
        <f t="shared" ca="1" si="3055"/>
        <v>12</v>
      </c>
      <c r="EV182" s="378">
        <f t="shared" ca="1" si="3056"/>
        <v>13</v>
      </c>
      <c r="EW182" s="378">
        <f t="shared" ca="1" si="3057"/>
        <v>14</v>
      </c>
      <c r="EX182" s="378">
        <f t="shared" ca="1" si="3058"/>
        <v>15</v>
      </c>
      <c r="EY182" s="378">
        <f t="shared" ca="1" si="3059"/>
        <v>16</v>
      </c>
      <c r="EZ182" s="378">
        <f t="shared" ca="1" si="3060"/>
        <v>1</v>
      </c>
      <c r="FA182" s="378">
        <f t="shared" ca="1" si="3061"/>
        <v>2</v>
      </c>
      <c r="FB182" s="378">
        <f t="shared" ca="1" si="3062"/>
        <v>17</v>
      </c>
      <c r="FC182" s="378">
        <f t="shared" ca="1" si="3063"/>
        <v>18</v>
      </c>
      <c r="FD182" s="378">
        <f t="shared" ca="1" si="3064"/>
        <v>19</v>
      </c>
      <c r="FE182" s="378">
        <f t="shared" ca="1" si="3065"/>
        <v>20</v>
      </c>
      <c r="FG182" s="378">
        <f t="shared" ca="1" si="2977"/>
        <v>15</v>
      </c>
      <c r="FH182" s="378">
        <f t="shared" ca="1" si="2977"/>
        <v>16</v>
      </c>
      <c r="FI182" s="378">
        <f t="shared" ca="1" si="2977"/>
        <v>2</v>
      </c>
      <c r="FJ182" s="378">
        <f t="shared" ca="1" si="2977"/>
        <v>1</v>
      </c>
      <c r="FK182" s="378">
        <f t="shared" ca="1" si="2977"/>
        <v>3</v>
      </c>
      <c r="FL182" s="378">
        <f t="shared" ca="1" si="2977"/>
        <v>4</v>
      </c>
      <c r="FM182" s="378">
        <f t="shared" ca="1" si="2977"/>
        <v>5</v>
      </c>
      <c r="FN182" s="378">
        <f t="shared" ca="1" si="2977"/>
        <v>6</v>
      </c>
      <c r="FO182" s="378">
        <f t="shared" ca="1" si="2977"/>
        <v>7</v>
      </c>
      <c r="FP182" s="378">
        <f t="shared" ca="1" si="2977"/>
        <v>8</v>
      </c>
      <c r="FQ182" s="378">
        <f t="shared" ca="1" si="2977"/>
        <v>9</v>
      </c>
      <c r="FR182" s="378">
        <f t="shared" ca="1" si="2977"/>
        <v>10</v>
      </c>
      <c r="FS182" s="378">
        <f t="shared" ca="1" si="2977"/>
        <v>11</v>
      </c>
      <c r="FT182" s="378">
        <f t="shared" ca="1" si="2977"/>
        <v>12</v>
      </c>
      <c r="FU182" s="378">
        <f t="shared" ca="1" si="2977"/>
        <v>13</v>
      </c>
      <c r="FV182" s="378">
        <f t="shared" ca="1" si="2977"/>
        <v>14</v>
      </c>
      <c r="FW182" s="378">
        <f t="shared" ca="1" si="2977"/>
        <v>17</v>
      </c>
      <c r="FX182" s="378">
        <f t="shared" ca="1" si="2977"/>
        <v>18</v>
      </c>
      <c r="FY182" s="378">
        <f t="shared" ca="1" si="2977"/>
        <v>19</v>
      </c>
      <c r="FZ182" s="378">
        <f t="shared" ca="1" si="2977"/>
        <v>20</v>
      </c>
      <c r="GB182" s="275" t="str">
        <f t="shared" ca="1" si="3066"/>
        <v>BI Applications (33%)</v>
      </c>
      <c r="GC182" s="231" t="str">
        <f t="shared" ca="1" si="3067"/>
        <v>; Source System Inclusion / Integration (33%)</v>
      </c>
      <c r="GD182" s="231" t="str">
        <f t="shared" ca="1" si="3068"/>
        <v>; Data Management (22%)</v>
      </c>
      <c r="GE182" s="231" t="str">
        <f t="shared" ca="1" si="3069"/>
        <v>; Architecture Standards &amp; Adherence (7%)</v>
      </c>
      <c r="GF182" s="231" t="str">
        <f t="shared" ca="1" si="3070"/>
        <v/>
      </c>
      <c r="GG182" s="231" t="str">
        <f t="shared" ca="1" si="3071"/>
        <v/>
      </c>
      <c r="GH182" s="231" t="str">
        <f t="shared" ca="1" si="3072"/>
        <v/>
      </c>
      <c r="GI182" s="231" t="str">
        <f t="shared" ca="1" si="3073"/>
        <v/>
      </c>
      <c r="GJ182" s="231" t="str">
        <f t="shared" ca="1" si="3074"/>
        <v/>
      </c>
      <c r="GK182" s="231" t="str">
        <f t="shared" ca="1" si="3075"/>
        <v/>
      </c>
      <c r="GL182" s="231" t="str">
        <f t="shared" ca="1" si="3076"/>
        <v/>
      </c>
      <c r="GM182" s="231" t="str">
        <f t="shared" ca="1" si="3077"/>
        <v/>
      </c>
      <c r="GN182" s="231" t="str">
        <f t="shared" ca="1" si="3078"/>
        <v/>
      </c>
      <c r="GO182" s="231" t="str">
        <f t="shared" ca="1" si="3079"/>
        <v/>
      </c>
      <c r="GP182" s="231" t="str">
        <f t="shared" ca="1" si="3080"/>
        <v/>
      </c>
      <c r="GQ182" s="231" t="str">
        <f t="shared" ca="1" si="3081"/>
        <v/>
      </c>
      <c r="GR182" s="231" t="str">
        <f t="shared" ca="1" si="3082"/>
        <v/>
      </c>
      <c r="GS182" s="231" t="str">
        <f t="shared" ca="1" si="3083"/>
        <v/>
      </c>
      <c r="GT182" s="231" t="str">
        <f t="shared" ca="1" si="3084"/>
        <v/>
      </c>
      <c r="GU182" s="231" t="str">
        <f t="shared" ca="1" si="3085"/>
        <v/>
      </c>
      <c r="GW182" s="377">
        <f ca="1">IF(ISERROR(OFFSET(Initiatives!$D$1,E182-1,$CB$3)),,OFFSET(Initiatives!$D$1,E182-1,$CB$3))</f>
        <v>0.65</v>
      </c>
      <c r="GX182" s="377">
        <f ca="1">IF(ISERROR(OFFSET(Initiatives!$D$1,F182-1,$CB$3)),,OFFSET(Initiatives!$D$1,F182-1,$CB$3))</f>
        <v>0.75</v>
      </c>
      <c r="GY182" s="377">
        <f ca="1">IF(ISERROR(OFFSET(Initiatives!$D$1,G182-1,$CB$3)),,OFFSET(Initiatives!$D$1,G182-1,$CB$3))</f>
        <v>0.75</v>
      </c>
      <c r="GZ182" s="377">
        <f ca="1">IF(ISERROR(OFFSET(Initiatives!$D$1,H182-1,$CB$3)),,OFFSET(Initiatives!$D$1,H182-1,$CB$3))</f>
        <v>0.8</v>
      </c>
      <c r="HA182" s="377">
        <f ca="1">IF(ISERROR(OFFSET(Initiatives!$D$1,I182-1,$CB$3)),,OFFSET(Initiatives!$D$1,I182-1,$CB$3))</f>
        <v>0.9</v>
      </c>
      <c r="HB182" s="377">
        <f ca="1">IF(ISERROR(OFFSET(Initiatives!$D$1,J182-1,$CB$3)),,OFFSET(Initiatives!$D$1,J182-1,$CB$3))</f>
        <v>0.4</v>
      </c>
      <c r="HC182" s="377">
        <f ca="1">IF(ISERROR(OFFSET(Initiatives!$D$1,K182-1,$CB$3)),,OFFSET(Initiatives!$D$1,K182-1,$CB$3))</f>
        <v>0.25</v>
      </c>
      <c r="HD182" s="377">
        <f ca="1">IF(ISERROR(OFFSET(Initiatives!$D$1,L182-1,$CB$3)),,OFFSET(Initiatives!$D$1,L182-1,$CB$3))</f>
        <v>0.25</v>
      </c>
      <c r="HE182" s="377">
        <f ca="1">IF(ISERROR(OFFSET(Initiatives!$D$1,M182-1,$CB$3)),,OFFSET(Initiatives!$D$1,M182-1,$CB$3))</f>
        <v>0.25</v>
      </c>
      <c r="HF182" s="377">
        <f ca="1">IF(ISERROR(OFFSET(Initiatives!$D$1,N182-1,$CB$3)),,OFFSET(Initiatives!$D$1,N182-1,$CB$3))</f>
        <v>0.25</v>
      </c>
      <c r="HG182" s="377">
        <f ca="1">IF(ISERROR(OFFSET(Initiatives!$D$1,O182-1,$CB$3)),,OFFSET(Initiatives!$D$1,O182-1,$CB$3))</f>
        <v>0.25</v>
      </c>
      <c r="HH182" s="377">
        <f ca="1">IF(ISERROR(OFFSET(Initiatives!$D$1,P182-1,$CB$3)),,OFFSET(Initiatives!$D$1,P182-1,$CB$3))</f>
        <v>0.25</v>
      </c>
      <c r="HI182" s="377">
        <f ca="1">IF(ISERROR(OFFSET(Initiatives!$D$1,Q182-1,$CB$3)),,OFFSET(Initiatives!$D$1,Q182-1,$CB$3))</f>
        <v>0.25</v>
      </c>
      <c r="HJ182" s="377">
        <f ca="1">IF(ISERROR(OFFSET(Initiatives!$D$1,R182-1,$CB$3)),,OFFSET(Initiatives!$D$1,R182-1,$CB$3))</f>
        <v>0.1</v>
      </c>
      <c r="HK182" s="377">
        <f ca="1">IF(ISERROR(OFFSET(Initiatives!$D$1,S182-1,$CB$3)),,OFFSET(Initiatives!$D$1,S182-1,$CB$3))</f>
        <v>0.34166666666666662</v>
      </c>
      <c r="HL182" s="377">
        <f ca="1">IF(ISERROR(OFFSET(Initiatives!$D$1,T182-1,$CB$3)),,OFFSET(Initiatives!$D$1,T182-1,$CB$3))</f>
        <v>0.43181818181818177</v>
      </c>
      <c r="HM182" s="377">
        <f ca="1">IF(ISERROR(OFFSET(Initiatives!$D$1,U182-1,$CB$3)),,OFFSET(Initiatives!$D$1,U182-1,$CB$3))</f>
        <v>0</v>
      </c>
      <c r="HN182" s="377">
        <f ca="1">IF(ISERROR(OFFSET(Initiatives!$D$1,V182-1,$CB$3)),,OFFSET(Initiatives!$D$1,V182-1,$CB$3))</f>
        <v>0</v>
      </c>
      <c r="HO182" s="377">
        <f ca="1">IF(ISERROR(OFFSET(Initiatives!$D$1,W182-1,$CB$3)),,OFFSET(Initiatives!$D$1,W182-1,$CB$3))</f>
        <v>0</v>
      </c>
      <c r="HP182" s="377">
        <f ca="1">IF(ISERROR(OFFSET(Initiatives!$D$1,X182-1,$CB$3)),,OFFSET(Initiatives!$D$1,X182-1,$CB$3))</f>
        <v>0</v>
      </c>
      <c r="HR182" s="41">
        <f t="shared" ca="1" si="3086"/>
        <v>6.1904467121585136E-2</v>
      </c>
      <c r="HS182" s="41">
        <f t="shared" ca="1" si="3087"/>
        <v>0.32142704082361512</v>
      </c>
      <c r="HT182" s="41">
        <f t="shared" ca="1" si="3088"/>
        <v>3.5714115647068348E-2</v>
      </c>
      <c r="HU182" s="41">
        <f t="shared" ca="1" si="3089"/>
        <v>0.11428517007061872</v>
      </c>
      <c r="HV182" s="41">
        <f t="shared" ca="1" si="3090"/>
        <v>0</v>
      </c>
      <c r="HW182" s="41">
        <f t="shared" ca="1" si="3091"/>
        <v>0</v>
      </c>
      <c r="HX182" s="41">
        <f t="shared" ca="1" si="3092"/>
        <v>0</v>
      </c>
      <c r="HY182" s="41">
        <f t="shared" ca="1" si="3093"/>
        <v>0</v>
      </c>
      <c r="HZ182" s="41">
        <f t="shared" ca="1" si="3094"/>
        <v>0</v>
      </c>
      <c r="IA182" s="41">
        <f t="shared" ca="1" si="3095"/>
        <v>0</v>
      </c>
      <c r="IB182" s="41">
        <f t="shared" ca="1" si="3096"/>
        <v>0</v>
      </c>
      <c r="IC182" s="41">
        <f t="shared" ca="1" si="3097"/>
        <v>0</v>
      </c>
      <c r="ID182" s="41">
        <f t="shared" ca="1" si="3098"/>
        <v>0</v>
      </c>
      <c r="IE182" s="41">
        <f t="shared" ca="1" si="3099"/>
        <v>4.7618820862757789E-4</v>
      </c>
      <c r="IF182" s="41">
        <f t="shared" ca="1" si="3100"/>
        <v>4.8809291384326735E-2</v>
      </c>
      <c r="IG182" s="41">
        <f t="shared" ca="1" si="3101"/>
        <v>6.1688017935845323E-2</v>
      </c>
      <c r="IH182" s="41">
        <f t="shared" ca="1" si="3102"/>
        <v>0</v>
      </c>
      <c r="II182" s="41">
        <f t="shared" ca="1" si="3103"/>
        <v>0</v>
      </c>
      <c r="IJ182" s="41">
        <f t="shared" ca="1" si="3104"/>
        <v>0</v>
      </c>
      <c r="IK182" s="41">
        <f t="shared" ca="1" si="3105"/>
        <v>0</v>
      </c>
      <c r="IL182" s="41">
        <f t="shared" ca="1" si="3106"/>
        <v>0.64430429119168697</v>
      </c>
    </row>
    <row r="183" spans="2:246" s="441" customFormat="1" ht="15" hidden="1" customHeight="1">
      <c r="B183" s="373"/>
      <c r="C183" s="443" t="str">
        <f>'Costs - HWSW'!K$4</f>
        <v>Casual User Tools</v>
      </c>
      <c r="D183" s="404">
        <f t="shared" ca="1" si="2998"/>
        <v>0.55981731639089116</v>
      </c>
      <c r="E183" s="374">
        <f>ROW(Initiatives!$A$104)</f>
        <v>104</v>
      </c>
      <c r="F183" s="374">
        <f>ROW(Initiatives!$A$110)</f>
        <v>110</v>
      </c>
      <c r="G183" s="374">
        <f>ROW(Initiatives!$A$115)</f>
        <v>115</v>
      </c>
      <c r="H183" s="374">
        <f>ROW(Initiatives!$A$121)</f>
        <v>121</v>
      </c>
      <c r="I183" s="374">
        <f>ROW(Initiatives!$A$127)</f>
        <v>127</v>
      </c>
      <c r="J183" s="374">
        <f>ROW(Initiatives!$A$139)</f>
        <v>139</v>
      </c>
      <c r="K183" s="374">
        <f>ROW(Initiatives!$A$146)</f>
        <v>146</v>
      </c>
      <c r="L183" s="374">
        <f>ROW(Initiatives!$A$148)</f>
        <v>148</v>
      </c>
      <c r="M183" s="374">
        <f>ROW(Initiatives!$A$149)</f>
        <v>149</v>
      </c>
      <c r="N183" s="374">
        <f>ROW(Initiatives!$A$150)</f>
        <v>150</v>
      </c>
      <c r="O183" s="374">
        <f>ROW(Initiatives!$A$151)</f>
        <v>151</v>
      </c>
      <c r="P183" s="374">
        <f>ROW(Initiatives!$A$152)</f>
        <v>152</v>
      </c>
      <c r="Q183" s="374">
        <f>ROW(Initiatives!$A$154)</f>
        <v>154</v>
      </c>
      <c r="R183" s="374">
        <f>ROW(Initiatives!$A$161)</f>
        <v>161</v>
      </c>
      <c r="S183" s="374">
        <f>ROW(Initiatives!$A$242)</f>
        <v>242</v>
      </c>
      <c r="T183" s="374">
        <f>ROW(Initiatives!$A$248)</f>
        <v>248</v>
      </c>
      <c r="U183" s="374" t="s">
        <v>975</v>
      </c>
      <c r="V183" s="374" t="s">
        <v>975</v>
      </c>
      <c r="W183" s="374" t="s">
        <v>975</v>
      </c>
      <c r="X183" s="374" t="s">
        <v>975</v>
      </c>
      <c r="Y183" s="392" t="str">
        <f ca="1">OFFSET(Initiatives!$D$1,E183-1,$BS$3)</f>
        <v>Architecture Standards &amp; Adherence</v>
      </c>
      <c r="Z183" s="375"/>
      <c r="AA183" s="392" t="str">
        <f ca="1">OFFSET(Initiatives!$D$1,F183-1,$BS$3)</f>
        <v>Data Management</v>
      </c>
      <c r="AB183" s="375"/>
      <c r="AC183" s="392" t="str">
        <f ca="1">OFFSET(Initiatives!$D$1,G183-1,$BS$3)</f>
        <v>Data Integration/ETL</v>
      </c>
      <c r="AD183" s="375"/>
      <c r="AE183" s="392" t="str">
        <f ca="1">OFFSET(Initiatives!$D$1,H183-1,$BS$3)</f>
        <v>Data Warehouse / Data Marts</v>
      </c>
      <c r="AF183" s="375"/>
      <c r="AG183" s="392" t="str">
        <f ca="1">OFFSET(Initiatives!$D$1,I183-1,$BS$3)</f>
        <v>Development</v>
      </c>
      <c r="AH183" s="375"/>
      <c r="AI183" s="392" t="str">
        <f ca="1">OFFSET(Initiatives!$D$1,J183-1,$BS$3)</f>
        <v>Reporting</v>
      </c>
      <c r="AJ183" s="375"/>
      <c r="AK183" s="392" t="str">
        <f ca="1">OFFSET(Initiatives!$D$1,K183-1,$BS$3)</f>
        <v>Scorecards / Dashboards</v>
      </c>
      <c r="AL183" s="375"/>
      <c r="AM183" s="392" t="str">
        <f ca="1">OFFSET(Initiatives!$D$1,L183-1,$BS$3)</f>
        <v>Broad-reach analytic tools</v>
      </c>
      <c r="AN183" s="375">
        <v>9</v>
      </c>
      <c r="AO183" s="392" t="str">
        <f ca="1">OFFSET(Initiatives!$D$1,M183-1,$BS$3)</f>
        <v>BI/DW platform integration with user tools (e.g. Excel)</v>
      </c>
      <c r="AP183" s="375">
        <v>3</v>
      </c>
      <c r="AQ183" s="392" t="str">
        <f ca="1">OFFSET(Initiatives!$D$1,N183-1,$BS$3)</f>
        <v>Advanced data visualization</v>
      </c>
      <c r="AR183" s="375">
        <v>1</v>
      </c>
      <c r="AS183" s="392" t="str">
        <f ca="1">OFFSET(Initiatives!$D$1,O183-1,$BS$3)</f>
        <v>Advanced analytics</v>
      </c>
      <c r="AT183" s="375"/>
      <c r="AU183" s="392" t="str">
        <f ca="1">OFFSET(Initiatives!$D$1,P183-1,$BS$3)</f>
        <v>Predictive analysis</v>
      </c>
      <c r="AV183" s="375"/>
      <c r="AW183" s="392" t="str">
        <f ca="1">OFFSET(Initiatives!$D$1,Q183-1,$BS$3)</f>
        <v>Analytical Tools</v>
      </c>
      <c r="AX183" s="375"/>
      <c r="AY183" s="392" t="str">
        <f ca="1">OFFSET(Initiatives!$D$1,R183-1,$BS$3)</f>
        <v>Workflow and Collaboration</v>
      </c>
      <c r="AZ183" s="375"/>
      <c r="BA183" s="392" t="str">
        <f ca="1">OFFSET(Initiatives!$D$1,S183-1,$BS$3)</f>
        <v>BI Applications</v>
      </c>
      <c r="BB183" s="375">
        <v>4</v>
      </c>
      <c r="BC183" s="392" t="str">
        <f ca="1">OFFSET(Initiatives!$D$1,T183-1,$BS$3)</f>
        <v>Source System Inclusion / Integration</v>
      </c>
      <c r="BD183" s="375">
        <v>1</v>
      </c>
      <c r="BE183" s="392" t="e">
        <f ca="1">OFFSET(Initiatives!$D$1,U183-1,$BS$3)</f>
        <v>#VALUE!</v>
      </c>
      <c r="BF183" s="375"/>
      <c r="BG183" s="392" t="e">
        <f ca="1">OFFSET(Initiatives!$D$1,V183-1,$BS$3)</f>
        <v>#VALUE!</v>
      </c>
      <c r="BH183" s="375"/>
      <c r="BI183" s="392" t="e">
        <f ca="1">OFFSET(Initiatives!$D$1,W183-1,$BS$3)</f>
        <v>#VALUE!</v>
      </c>
      <c r="BJ183" s="375"/>
      <c r="BK183" s="392" t="e">
        <f ca="1">OFFSET(Initiatives!$D$1,X183-1,$BS$3)</f>
        <v>#VALUE!</v>
      </c>
      <c r="BL183" s="375"/>
      <c r="BN183" s="101">
        <f t="shared" si="2999"/>
        <v>18.0001</v>
      </c>
      <c r="BP183" s="231" t="str">
        <f t="shared" ca="1" si="3000"/>
        <v>Broad-reach analytic tools (54%); BI Applications (18%); BI/DW platform integration with user tools (e.g. Excel) (18%); Advanced data visualization (6%)</v>
      </c>
      <c r="BQ183" s="338">
        <v>0.01</v>
      </c>
      <c r="BR183" s="40">
        <f t="shared" ca="1" si="3001"/>
        <v>5</v>
      </c>
      <c r="BS183" s="274">
        <v>0.05</v>
      </c>
      <c r="BT183" s="40">
        <f t="shared" ca="1" si="3002"/>
        <v>4</v>
      </c>
      <c r="BU183" s="376">
        <v>7</v>
      </c>
      <c r="BV183" s="40">
        <f t="shared" ca="1" si="3003"/>
        <v>4</v>
      </c>
      <c r="BY183" s="377">
        <f ca="1">IF(ISERROR(OFFSET(Initiatives!$D$1,E183-1,$BY$3)),,OFFSET(Initiatives!$D$1,E183-1,$BY$3))</f>
        <v>0.14000000000000012</v>
      </c>
      <c r="BZ183" s="377">
        <f ca="1">IF(ISERROR(OFFSET(Initiatives!$D$1,F183-1,$BY$3)),,OFFSET(Initiatives!$D$1,F183-1,$BY$3))</f>
        <v>9.9999999999999978E-2</v>
      </c>
      <c r="CA183" s="377">
        <f ca="1">IF(ISERROR(OFFSET(Initiatives!$D$1,G183-1,$BY$3)),,OFFSET(Initiatives!$D$1,G183-1,$BY$3))</f>
        <v>9.9999999999999978E-2</v>
      </c>
      <c r="CB183" s="377">
        <f ca="1">IF(ISERROR(OFFSET(Initiatives!$D$1,H183-1,$BY$3)),,OFFSET(Initiatives!$D$1,H183-1,$BY$3))</f>
        <v>3.0000000000000027E-2</v>
      </c>
      <c r="CC183" s="377">
        <f ca="1">IF(ISERROR(OFFSET(Initiatives!$D$1,I183-1,$BY$3)),,OFFSET(Initiatives!$D$1,I183-1,$BY$3))</f>
        <v>1.5000000000000124E-2</v>
      </c>
      <c r="CD183" s="377">
        <f ca="1">IF(ISERROR(OFFSET(Initiatives!$D$1,J183-1,$BY$3)),,OFFSET(Initiatives!$D$1,J183-1,$BY$3))</f>
        <v>0.48</v>
      </c>
      <c r="CE183" s="377">
        <f ca="1">IF(ISERROR(OFFSET(Initiatives!$D$1,K183-1,$BY$3)),,OFFSET(Initiatives!$D$1,K183-1,$BY$3))</f>
        <v>0.6</v>
      </c>
      <c r="CF183" s="377">
        <f ca="1">IF(ISERROR(OFFSET(Initiatives!$D$1,L183-1,$BY$3)),,OFFSET(Initiatives!$D$1,L183-1,$BY$3))</f>
        <v>0.60000000000000009</v>
      </c>
      <c r="CG183" s="377">
        <f ca="1">IF(ISERROR(OFFSET(Initiatives!$D$1,M183-1,$BY$3)),,OFFSET(Initiatives!$D$1,M183-1,$BY$3))</f>
        <v>0.60000000000000009</v>
      </c>
      <c r="CH183" s="377">
        <f ca="1">IF(ISERROR(OFFSET(Initiatives!$D$1,N183-1,$BY$3)),,OFFSET(Initiatives!$D$1,N183-1,$BY$3))</f>
        <v>0.60000000000000009</v>
      </c>
      <c r="CI183" s="377">
        <f ca="1">IF(ISERROR(OFFSET(Initiatives!$D$1,O183-1,$BY$3)),,OFFSET(Initiatives!$D$1,O183-1,$BY$3))</f>
        <v>0.60000000000000009</v>
      </c>
      <c r="CJ183" s="377">
        <f ca="1">IF(ISERROR(OFFSET(Initiatives!$D$1,P183-1,$BY$3)),,OFFSET(Initiatives!$D$1,P183-1,$BY$3))</f>
        <v>0.60000000000000009</v>
      </c>
      <c r="CK183" s="377">
        <f ca="1">IF(ISERROR(OFFSET(Initiatives!$D$1,Q183-1,$BY$3)),,OFFSET(Initiatives!$D$1,Q183-1,$BY$3))</f>
        <v>0.6</v>
      </c>
      <c r="CL183" s="377">
        <f ca="1">IF(ISERROR(OFFSET(Initiatives!$D$1,R183-1,$BY$3)),,OFFSET(Initiatives!$D$1,R183-1,$BY$3))</f>
        <v>0.72000000000000008</v>
      </c>
      <c r="CM183" s="377">
        <f ca="1">IF(ISERROR(OFFSET(Initiatives!$D$1,S183-1,$BY$3)),,OFFSET(Initiatives!$D$1,S183-1,$BY$3))</f>
        <v>0.45555555555555544</v>
      </c>
      <c r="CN183" s="377">
        <f ca="1">IF(ISERROR(OFFSET(Initiatives!$D$1,T183-1,$BY$3)),,OFFSET(Initiatives!$D$1,T183-1,$BY$3))</f>
        <v>0.45454545454545436</v>
      </c>
      <c r="CO183" s="377">
        <f ca="1">IF(ISERROR(OFFSET(Initiatives!$D$1,U183-1,$BY$3)),,OFFSET(Initiatives!$D$1,U183-1,$BY$3))</f>
        <v>0</v>
      </c>
      <c r="CP183" s="377">
        <f ca="1">IF(ISERROR(OFFSET(Initiatives!$D$1,V183-1,$BY$3)),,OFFSET(Initiatives!$D$1,V183-1,$BY$3))</f>
        <v>0</v>
      </c>
      <c r="CQ183" s="377">
        <f ca="1">IF(ISERROR(OFFSET(Initiatives!$D$1,W183-1,$BY$3)),,OFFSET(Initiatives!$D$1,W183-1,$BY$3))</f>
        <v>0</v>
      </c>
      <c r="CR183" s="377">
        <f ca="1">IF(ISERROR(OFFSET(Initiatives!$D$1,X183-1,$BY$3)),,OFFSET(Initiatives!$D$1,X183-1,$BY$3))</f>
        <v>0</v>
      </c>
      <c r="CT183" s="41">
        <f t="shared" ca="1" si="3004"/>
        <v>0</v>
      </c>
      <c r="CU183" s="41">
        <f t="shared" ca="1" si="3005"/>
        <v>0</v>
      </c>
      <c r="CV183" s="41">
        <f t="shared" ca="1" si="3006"/>
        <v>0</v>
      </c>
      <c r="CW183" s="41">
        <f t="shared" ca="1" si="3007"/>
        <v>0</v>
      </c>
      <c r="CX183" s="41">
        <f t="shared" ca="1" si="3008"/>
        <v>0</v>
      </c>
      <c r="CY183" s="41">
        <f t="shared" ca="1" si="3009"/>
        <v>0</v>
      </c>
      <c r="CZ183" s="41">
        <f t="shared" ca="1" si="3010"/>
        <v>0</v>
      </c>
      <c r="DA183" s="41">
        <f t="shared" ca="1" si="3011"/>
        <v>0.29999833334259257</v>
      </c>
      <c r="DB183" s="41">
        <f t="shared" ca="1" si="3012"/>
        <v>9.9999444447530866E-2</v>
      </c>
      <c r="DC183" s="41">
        <f t="shared" ca="1" si="3013"/>
        <v>3.3333148149176955E-2</v>
      </c>
      <c r="DD183" s="41">
        <f t="shared" ca="1" si="3014"/>
        <v>0</v>
      </c>
      <c r="DE183" s="41">
        <f t="shared" ca="1" si="3015"/>
        <v>0</v>
      </c>
      <c r="DF183" s="41">
        <f t="shared" ca="1" si="3016"/>
        <v>0</v>
      </c>
      <c r="DG183" s="41">
        <f t="shared" ca="1" si="3017"/>
        <v>0</v>
      </c>
      <c r="DH183" s="41">
        <f t="shared" ca="1" si="3018"/>
        <v>0.10123400549009293</v>
      </c>
      <c r="DI183" s="41">
        <f t="shared" ca="1" si="3019"/>
        <v>2.5252384961497679E-2</v>
      </c>
      <c r="DJ183" s="41">
        <f t="shared" ca="1" si="3020"/>
        <v>0</v>
      </c>
      <c r="DK183" s="41">
        <f t="shared" ca="1" si="3021"/>
        <v>0</v>
      </c>
      <c r="DL183" s="41">
        <f t="shared" ca="1" si="3022"/>
        <v>0</v>
      </c>
      <c r="DM183" s="41">
        <f t="shared" ca="1" si="3023"/>
        <v>0</v>
      </c>
      <c r="DN183" s="41">
        <f t="shared" ca="1" si="3024"/>
        <v>0.55981731639089116</v>
      </c>
      <c r="DP183" s="41">
        <f t="shared" ca="1" si="3025"/>
        <v>-1.0000000000000001E-5</v>
      </c>
      <c r="DQ183" s="41">
        <f t="shared" ca="1" si="3026"/>
        <v>-2.0000000000000002E-5</v>
      </c>
      <c r="DR183" s="41">
        <f t="shared" ca="1" si="3027"/>
        <v>-3.0000000000000001E-5</v>
      </c>
      <c r="DS183" s="41">
        <f t="shared" ca="1" si="3028"/>
        <v>-4.0000000000000003E-5</v>
      </c>
      <c r="DT183" s="41">
        <f t="shared" ca="1" si="3029"/>
        <v>-5.0000000000000002E-5</v>
      </c>
      <c r="DU183" s="41">
        <f t="shared" ca="1" si="3030"/>
        <v>-6.0000000000000002E-5</v>
      </c>
      <c r="DV183" s="41">
        <f t="shared" ca="1" si="3031"/>
        <v>-6.9999999999999994E-5</v>
      </c>
      <c r="DW183" s="41">
        <f t="shared" ca="1" si="3032"/>
        <v>0.53580612670408978</v>
      </c>
      <c r="DX183" s="41">
        <f t="shared" ca="1" si="3033"/>
        <v>0.17853870890136325</v>
      </c>
      <c r="DY183" s="41">
        <f t="shared" ca="1" si="3034"/>
        <v>5.9442902967121083E-2</v>
      </c>
      <c r="DZ183" s="41">
        <f t="shared" ca="1" si="3035"/>
        <v>-1.1E-4</v>
      </c>
      <c r="EA183" s="41">
        <f t="shared" ca="1" si="3036"/>
        <v>-1.2E-4</v>
      </c>
      <c r="EB183" s="41">
        <f t="shared" ca="1" si="3037"/>
        <v>-1.2999999999999999E-4</v>
      </c>
      <c r="EC183" s="41">
        <f t="shared" ca="1" si="3038"/>
        <v>-1.3999999999999999E-4</v>
      </c>
      <c r="ED183" s="41">
        <f t="shared" ca="1" si="3039"/>
        <v>0.18068400160384912</v>
      </c>
      <c r="EE183" s="41">
        <f t="shared" ca="1" si="3040"/>
        <v>4.4948259823576552E-2</v>
      </c>
      <c r="EF183" s="41">
        <f t="shared" ca="1" si="3041"/>
        <v>-1.7000000000000001E-4</v>
      </c>
      <c r="EG183" s="41">
        <f t="shared" ca="1" si="3042"/>
        <v>-1.8000000000000001E-4</v>
      </c>
      <c r="EH183" s="41">
        <f t="shared" ca="1" si="3043"/>
        <v>-1.9000000000000001E-4</v>
      </c>
      <c r="EI183" s="41">
        <f t="shared" ca="1" si="3044"/>
        <v>-2.0000000000000001E-4</v>
      </c>
      <c r="EJ183" s="41">
        <f t="shared" ca="1" si="3045"/>
        <v>0.99789999999999979</v>
      </c>
      <c r="EL183" s="378">
        <f t="shared" ca="1" si="3046"/>
        <v>6</v>
      </c>
      <c r="EM183" s="378">
        <f t="shared" ca="1" si="3047"/>
        <v>7</v>
      </c>
      <c r="EN183" s="378">
        <f t="shared" ca="1" si="3048"/>
        <v>8</v>
      </c>
      <c r="EO183" s="378">
        <f t="shared" ca="1" si="3049"/>
        <v>9</v>
      </c>
      <c r="EP183" s="378">
        <f t="shared" ca="1" si="3050"/>
        <v>10</v>
      </c>
      <c r="EQ183" s="378">
        <f t="shared" ca="1" si="3051"/>
        <v>11</v>
      </c>
      <c r="ER183" s="378">
        <f t="shared" ca="1" si="3052"/>
        <v>12</v>
      </c>
      <c r="ES183" s="378">
        <f t="shared" ca="1" si="3053"/>
        <v>1</v>
      </c>
      <c r="ET183" s="378">
        <f t="shared" ca="1" si="3054"/>
        <v>3</v>
      </c>
      <c r="EU183" s="378">
        <f t="shared" ca="1" si="3055"/>
        <v>4</v>
      </c>
      <c r="EV183" s="378">
        <f t="shared" ca="1" si="3056"/>
        <v>13</v>
      </c>
      <c r="EW183" s="378">
        <f t="shared" ca="1" si="3057"/>
        <v>14</v>
      </c>
      <c r="EX183" s="378">
        <f t="shared" ca="1" si="3058"/>
        <v>15</v>
      </c>
      <c r="EY183" s="378">
        <f t="shared" ca="1" si="3059"/>
        <v>16</v>
      </c>
      <c r="EZ183" s="378">
        <f t="shared" ca="1" si="3060"/>
        <v>2</v>
      </c>
      <c r="FA183" s="378">
        <f t="shared" ca="1" si="3061"/>
        <v>5</v>
      </c>
      <c r="FB183" s="378">
        <f t="shared" ca="1" si="3062"/>
        <v>17</v>
      </c>
      <c r="FC183" s="378">
        <f t="shared" ca="1" si="3063"/>
        <v>18</v>
      </c>
      <c r="FD183" s="378">
        <f t="shared" ca="1" si="3064"/>
        <v>19</v>
      </c>
      <c r="FE183" s="378">
        <f t="shared" ca="1" si="3065"/>
        <v>20</v>
      </c>
      <c r="FG183" s="378">
        <f t="shared" ca="1" si="2977"/>
        <v>8</v>
      </c>
      <c r="FH183" s="378">
        <f t="shared" ca="1" si="2977"/>
        <v>15</v>
      </c>
      <c r="FI183" s="378">
        <f t="shared" ca="1" si="2977"/>
        <v>9</v>
      </c>
      <c r="FJ183" s="378">
        <f t="shared" ca="1" si="2977"/>
        <v>10</v>
      </c>
      <c r="FK183" s="378">
        <f t="shared" ca="1" si="2977"/>
        <v>16</v>
      </c>
      <c r="FL183" s="378">
        <f t="shared" ca="1" si="2977"/>
        <v>1</v>
      </c>
      <c r="FM183" s="378">
        <f t="shared" ca="1" si="2977"/>
        <v>2</v>
      </c>
      <c r="FN183" s="378">
        <f t="shared" ca="1" si="2977"/>
        <v>3</v>
      </c>
      <c r="FO183" s="378">
        <f t="shared" ca="1" si="2977"/>
        <v>4</v>
      </c>
      <c r="FP183" s="378">
        <f t="shared" ca="1" si="2977"/>
        <v>5</v>
      </c>
      <c r="FQ183" s="378">
        <f t="shared" ca="1" si="2977"/>
        <v>6</v>
      </c>
      <c r="FR183" s="378">
        <f t="shared" ca="1" si="2977"/>
        <v>7</v>
      </c>
      <c r="FS183" s="378">
        <f t="shared" ca="1" si="2977"/>
        <v>11</v>
      </c>
      <c r="FT183" s="378">
        <f t="shared" ca="1" si="2977"/>
        <v>12</v>
      </c>
      <c r="FU183" s="378">
        <f t="shared" ca="1" si="2977"/>
        <v>13</v>
      </c>
      <c r="FV183" s="378">
        <f t="shared" ca="1" si="2977"/>
        <v>14</v>
      </c>
      <c r="FW183" s="378">
        <f t="shared" ca="1" si="2977"/>
        <v>17</v>
      </c>
      <c r="FX183" s="378">
        <f t="shared" ca="1" si="2977"/>
        <v>18</v>
      </c>
      <c r="FY183" s="378">
        <f t="shared" ca="1" si="2977"/>
        <v>19</v>
      </c>
      <c r="FZ183" s="378">
        <f t="shared" ca="1" si="2977"/>
        <v>20</v>
      </c>
      <c r="GB183" s="275" t="str">
        <f t="shared" ca="1" si="3066"/>
        <v>Broad-reach analytic tools (54%)</v>
      </c>
      <c r="GC183" s="231" t="str">
        <f t="shared" ca="1" si="3067"/>
        <v>; BI Applications (18%)</v>
      </c>
      <c r="GD183" s="231" t="str">
        <f t="shared" ca="1" si="3068"/>
        <v>; BI/DW platform integration with user tools (e.g. Excel) (18%)</v>
      </c>
      <c r="GE183" s="231" t="str">
        <f t="shared" ca="1" si="3069"/>
        <v>; Advanced data visualization (6%)</v>
      </c>
      <c r="GF183" s="231" t="str">
        <f t="shared" ca="1" si="3070"/>
        <v/>
      </c>
      <c r="GG183" s="231" t="str">
        <f t="shared" ca="1" si="3071"/>
        <v/>
      </c>
      <c r="GH183" s="231" t="str">
        <f t="shared" ca="1" si="3072"/>
        <v/>
      </c>
      <c r="GI183" s="231" t="str">
        <f t="shared" ca="1" si="3073"/>
        <v/>
      </c>
      <c r="GJ183" s="231" t="str">
        <f t="shared" ca="1" si="3074"/>
        <v/>
      </c>
      <c r="GK183" s="231" t="str">
        <f t="shared" ca="1" si="3075"/>
        <v/>
      </c>
      <c r="GL183" s="231" t="str">
        <f t="shared" ca="1" si="3076"/>
        <v/>
      </c>
      <c r="GM183" s="231" t="str">
        <f t="shared" ca="1" si="3077"/>
        <v/>
      </c>
      <c r="GN183" s="231" t="str">
        <f t="shared" ca="1" si="3078"/>
        <v/>
      </c>
      <c r="GO183" s="231" t="str">
        <f t="shared" ca="1" si="3079"/>
        <v/>
      </c>
      <c r="GP183" s="231" t="str">
        <f t="shared" ca="1" si="3080"/>
        <v/>
      </c>
      <c r="GQ183" s="231" t="str">
        <f t="shared" ca="1" si="3081"/>
        <v/>
      </c>
      <c r="GR183" s="231" t="str">
        <f t="shared" ca="1" si="3082"/>
        <v/>
      </c>
      <c r="GS183" s="231" t="str">
        <f t="shared" ca="1" si="3083"/>
        <v/>
      </c>
      <c r="GT183" s="231" t="str">
        <f t="shared" ca="1" si="3084"/>
        <v/>
      </c>
      <c r="GU183" s="231" t="str">
        <f t="shared" ca="1" si="3085"/>
        <v/>
      </c>
      <c r="GW183" s="377">
        <f ca="1">IF(ISERROR(OFFSET(Initiatives!$D$1,E183-1,$CB$3)),,OFFSET(Initiatives!$D$1,E183-1,$CB$3))</f>
        <v>0.65</v>
      </c>
      <c r="GX183" s="377">
        <f ca="1">IF(ISERROR(OFFSET(Initiatives!$D$1,F183-1,$CB$3)),,OFFSET(Initiatives!$D$1,F183-1,$CB$3))</f>
        <v>0.75</v>
      </c>
      <c r="GY183" s="377">
        <f ca="1">IF(ISERROR(OFFSET(Initiatives!$D$1,G183-1,$CB$3)),,OFFSET(Initiatives!$D$1,G183-1,$CB$3))</f>
        <v>0.75</v>
      </c>
      <c r="GZ183" s="377">
        <f ca="1">IF(ISERROR(OFFSET(Initiatives!$D$1,H183-1,$CB$3)),,OFFSET(Initiatives!$D$1,H183-1,$CB$3))</f>
        <v>0.8</v>
      </c>
      <c r="HA183" s="377">
        <f ca="1">IF(ISERROR(OFFSET(Initiatives!$D$1,I183-1,$CB$3)),,OFFSET(Initiatives!$D$1,I183-1,$CB$3))</f>
        <v>0.9</v>
      </c>
      <c r="HB183" s="377">
        <f ca="1">IF(ISERROR(OFFSET(Initiatives!$D$1,J183-1,$CB$3)),,OFFSET(Initiatives!$D$1,J183-1,$CB$3))</f>
        <v>0.4</v>
      </c>
      <c r="HC183" s="377">
        <f ca="1">IF(ISERROR(OFFSET(Initiatives!$D$1,K183-1,$CB$3)),,OFFSET(Initiatives!$D$1,K183-1,$CB$3))</f>
        <v>0.25</v>
      </c>
      <c r="HD183" s="377">
        <f ca="1">IF(ISERROR(OFFSET(Initiatives!$D$1,L183-1,$CB$3)),,OFFSET(Initiatives!$D$1,L183-1,$CB$3))</f>
        <v>0.25</v>
      </c>
      <c r="HE183" s="377">
        <f ca="1">IF(ISERROR(OFFSET(Initiatives!$D$1,M183-1,$CB$3)),,OFFSET(Initiatives!$D$1,M183-1,$CB$3))</f>
        <v>0.25</v>
      </c>
      <c r="HF183" s="377">
        <f ca="1">IF(ISERROR(OFFSET(Initiatives!$D$1,N183-1,$CB$3)),,OFFSET(Initiatives!$D$1,N183-1,$CB$3))</f>
        <v>0.25</v>
      </c>
      <c r="HG183" s="377">
        <f ca="1">IF(ISERROR(OFFSET(Initiatives!$D$1,O183-1,$CB$3)),,OFFSET(Initiatives!$D$1,O183-1,$CB$3))</f>
        <v>0.25</v>
      </c>
      <c r="HH183" s="377">
        <f ca="1">IF(ISERROR(OFFSET(Initiatives!$D$1,P183-1,$CB$3)),,OFFSET(Initiatives!$D$1,P183-1,$CB$3))</f>
        <v>0.25</v>
      </c>
      <c r="HI183" s="377">
        <f ca="1">IF(ISERROR(OFFSET(Initiatives!$D$1,Q183-1,$CB$3)),,OFFSET(Initiatives!$D$1,Q183-1,$CB$3))</f>
        <v>0.25</v>
      </c>
      <c r="HJ183" s="377">
        <f ca="1">IF(ISERROR(OFFSET(Initiatives!$D$1,R183-1,$CB$3)),,OFFSET(Initiatives!$D$1,R183-1,$CB$3))</f>
        <v>0.1</v>
      </c>
      <c r="HK183" s="377">
        <f ca="1">IF(ISERROR(OFFSET(Initiatives!$D$1,S183-1,$CB$3)),,OFFSET(Initiatives!$D$1,S183-1,$CB$3))</f>
        <v>0.34166666666666662</v>
      </c>
      <c r="HL183" s="377">
        <f ca="1">IF(ISERROR(OFFSET(Initiatives!$D$1,T183-1,$CB$3)),,OFFSET(Initiatives!$D$1,T183-1,$CB$3))</f>
        <v>0.43181818181818177</v>
      </c>
      <c r="HM183" s="377">
        <f ca="1">IF(ISERROR(OFFSET(Initiatives!$D$1,U183-1,$CB$3)),,OFFSET(Initiatives!$D$1,U183-1,$CB$3))</f>
        <v>0</v>
      </c>
      <c r="HN183" s="377">
        <f ca="1">IF(ISERROR(OFFSET(Initiatives!$D$1,V183-1,$CB$3)),,OFFSET(Initiatives!$D$1,V183-1,$CB$3))</f>
        <v>0</v>
      </c>
      <c r="HO183" s="377">
        <f ca="1">IF(ISERROR(OFFSET(Initiatives!$D$1,W183-1,$CB$3)),,OFFSET(Initiatives!$D$1,W183-1,$CB$3))</f>
        <v>0</v>
      </c>
      <c r="HP183" s="377">
        <f ca="1">IF(ISERROR(OFFSET(Initiatives!$D$1,X183-1,$CB$3)),,OFFSET(Initiatives!$D$1,X183-1,$CB$3))</f>
        <v>0</v>
      </c>
      <c r="HR183" s="41">
        <f t="shared" ca="1" si="3086"/>
        <v>0</v>
      </c>
      <c r="HS183" s="41">
        <f t="shared" ca="1" si="3087"/>
        <v>0</v>
      </c>
      <c r="HT183" s="41">
        <f t="shared" ca="1" si="3088"/>
        <v>0</v>
      </c>
      <c r="HU183" s="41">
        <f t="shared" ca="1" si="3089"/>
        <v>0</v>
      </c>
      <c r="HV183" s="41">
        <f t="shared" ca="1" si="3090"/>
        <v>0</v>
      </c>
      <c r="HW183" s="41">
        <f t="shared" ca="1" si="3091"/>
        <v>0</v>
      </c>
      <c r="HX183" s="41">
        <f t="shared" ca="1" si="3092"/>
        <v>0</v>
      </c>
      <c r="HY183" s="41">
        <f t="shared" ca="1" si="3093"/>
        <v>0.12499930555941356</v>
      </c>
      <c r="HZ183" s="41">
        <f t="shared" ca="1" si="3094"/>
        <v>4.1666435186471187E-2</v>
      </c>
      <c r="IA183" s="41">
        <f t="shared" ca="1" si="3095"/>
        <v>1.388881172882373E-2</v>
      </c>
      <c r="IB183" s="41">
        <f t="shared" ca="1" si="3096"/>
        <v>0</v>
      </c>
      <c r="IC183" s="41">
        <f t="shared" ca="1" si="3097"/>
        <v>0</v>
      </c>
      <c r="ID183" s="41">
        <f t="shared" ca="1" si="3098"/>
        <v>0</v>
      </c>
      <c r="IE183" s="41">
        <f t="shared" ca="1" si="3099"/>
        <v>5.5555246915294908E-4</v>
      </c>
      <c r="IF183" s="41">
        <f t="shared" ca="1" si="3100"/>
        <v>7.5925504117569709E-2</v>
      </c>
      <c r="IG183" s="41">
        <f t="shared" ca="1" si="3101"/>
        <v>2.3989765713422803E-2</v>
      </c>
      <c r="IH183" s="41">
        <f t="shared" ca="1" si="3102"/>
        <v>0</v>
      </c>
      <c r="II183" s="41">
        <f t="shared" ca="1" si="3103"/>
        <v>0</v>
      </c>
      <c r="IJ183" s="41">
        <f t="shared" ca="1" si="3104"/>
        <v>0</v>
      </c>
      <c r="IK183" s="41">
        <f t="shared" ca="1" si="3105"/>
        <v>0</v>
      </c>
      <c r="IL183" s="41">
        <f t="shared" ca="1" si="3106"/>
        <v>0.28102537477485395</v>
      </c>
    </row>
    <row r="184" spans="2:246" s="441" customFormat="1" ht="15" hidden="1" customHeight="1">
      <c r="B184" s="373"/>
      <c r="C184" s="443" t="str">
        <f>'Costs - HWSW'!L$4</f>
        <v>Power User Tools</v>
      </c>
      <c r="D184" s="404">
        <f t="shared" ca="1" si="2998"/>
        <v>0.56850872716890699</v>
      </c>
      <c r="E184" s="374">
        <f>ROW(Initiatives!$A$104)</f>
        <v>104</v>
      </c>
      <c r="F184" s="374">
        <f>ROW(Initiatives!$A$110)</f>
        <v>110</v>
      </c>
      <c r="G184" s="374">
        <f>ROW(Initiatives!$A$115)</f>
        <v>115</v>
      </c>
      <c r="H184" s="374">
        <f>ROW(Initiatives!$A$121)</f>
        <v>121</v>
      </c>
      <c r="I184" s="374">
        <f>ROW(Initiatives!$A$127)</f>
        <v>127</v>
      </c>
      <c r="J184" s="374">
        <f>ROW(Initiatives!$A$139)</f>
        <v>139</v>
      </c>
      <c r="K184" s="374">
        <f>ROW(Initiatives!$A$146)</f>
        <v>146</v>
      </c>
      <c r="L184" s="374">
        <f>ROW(Initiatives!$A$148)</f>
        <v>148</v>
      </c>
      <c r="M184" s="374">
        <f>ROW(Initiatives!$A$149)</f>
        <v>149</v>
      </c>
      <c r="N184" s="374">
        <f>ROW(Initiatives!$A$150)</f>
        <v>150</v>
      </c>
      <c r="O184" s="374">
        <f>ROW(Initiatives!$A$151)</f>
        <v>151</v>
      </c>
      <c r="P184" s="374">
        <f>ROW(Initiatives!$A$152)</f>
        <v>152</v>
      </c>
      <c r="Q184" s="374">
        <f>ROW(Initiatives!$A$154)</f>
        <v>154</v>
      </c>
      <c r="R184" s="374">
        <f>ROW(Initiatives!$A$161)</f>
        <v>161</v>
      </c>
      <c r="S184" s="374">
        <f>ROW(Initiatives!$A$242)</f>
        <v>242</v>
      </c>
      <c r="T184" s="374">
        <f>ROW(Initiatives!$A$248)</f>
        <v>248</v>
      </c>
      <c r="U184" s="374" t="s">
        <v>975</v>
      </c>
      <c r="V184" s="374" t="s">
        <v>975</v>
      </c>
      <c r="W184" s="374" t="s">
        <v>975</v>
      </c>
      <c r="X184" s="374" t="s">
        <v>975</v>
      </c>
      <c r="Y184" s="392" t="str">
        <f ca="1">OFFSET(Initiatives!$D$1,E184-1,$BS$3)</f>
        <v>Architecture Standards &amp; Adherence</v>
      </c>
      <c r="Z184" s="375"/>
      <c r="AA184" s="392" t="str">
        <f ca="1">OFFSET(Initiatives!$D$1,F184-1,$BS$3)</f>
        <v>Data Management</v>
      </c>
      <c r="AB184" s="375"/>
      <c r="AC184" s="392" t="str">
        <f ca="1">OFFSET(Initiatives!$D$1,G184-1,$BS$3)</f>
        <v>Data Integration/ETL</v>
      </c>
      <c r="AD184" s="375"/>
      <c r="AE184" s="392" t="str">
        <f ca="1">OFFSET(Initiatives!$D$1,H184-1,$BS$3)</f>
        <v>Data Warehouse / Data Marts</v>
      </c>
      <c r="AF184" s="375"/>
      <c r="AG184" s="392" t="str">
        <f ca="1">OFFSET(Initiatives!$D$1,I184-1,$BS$3)</f>
        <v>Development</v>
      </c>
      <c r="AH184" s="375"/>
      <c r="AI184" s="392" t="str">
        <f ca="1">OFFSET(Initiatives!$D$1,J184-1,$BS$3)</f>
        <v>Reporting</v>
      </c>
      <c r="AJ184" s="375"/>
      <c r="AK184" s="392" t="str">
        <f ca="1">OFFSET(Initiatives!$D$1,K184-1,$BS$3)</f>
        <v>Scorecards / Dashboards</v>
      </c>
      <c r="AL184" s="375"/>
      <c r="AM184" s="392" t="str">
        <f ca="1">OFFSET(Initiatives!$D$1,L184-1,$BS$3)</f>
        <v>Broad-reach analytic tools</v>
      </c>
      <c r="AN184" s="375"/>
      <c r="AO184" s="392" t="str">
        <f ca="1">OFFSET(Initiatives!$D$1,M184-1,$BS$3)</f>
        <v>BI/DW platform integration with user tools (e.g. Excel)</v>
      </c>
      <c r="AP184" s="375">
        <v>2</v>
      </c>
      <c r="AQ184" s="392" t="str">
        <f ca="1">OFFSET(Initiatives!$D$1,N184-1,$BS$3)</f>
        <v>Advanced data visualization</v>
      </c>
      <c r="AR184" s="375">
        <v>4</v>
      </c>
      <c r="AS184" s="392" t="str">
        <f ca="1">OFFSET(Initiatives!$D$1,O184-1,$BS$3)</f>
        <v>Advanced analytics</v>
      </c>
      <c r="AT184" s="375">
        <v>9</v>
      </c>
      <c r="AU184" s="392" t="str">
        <f ca="1">OFFSET(Initiatives!$D$1,P184-1,$BS$3)</f>
        <v>Predictive analysis</v>
      </c>
      <c r="AV184" s="375">
        <v>3</v>
      </c>
      <c r="AW184" s="392" t="str">
        <f ca="1">OFFSET(Initiatives!$D$1,Q184-1,$BS$3)</f>
        <v>Analytical Tools</v>
      </c>
      <c r="AX184" s="375"/>
      <c r="AY184" s="392" t="str">
        <f ca="1">OFFSET(Initiatives!$D$1,R184-1,$BS$3)</f>
        <v>Workflow and Collaboration</v>
      </c>
      <c r="AZ184" s="375"/>
      <c r="BA184" s="392" t="str">
        <f ca="1">OFFSET(Initiatives!$D$1,S184-1,$BS$3)</f>
        <v>BI Applications</v>
      </c>
      <c r="BB184" s="375">
        <v>3</v>
      </c>
      <c r="BC184" s="392" t="str">
        <f ca="1">OFFSET(Initiatives!$D$1,T184-1,$BS$3)</f>
        <v>Source System Inclusion / Integration</v>
      </c>
      <c r="BD184" s="375">
        <v>2</v>
      </c>
      <c r="BE184" s="392" t="e">
        <f ca="1">OFFSET(Initiatives!$D$1,U184-1,$BS$3)</f>
        <v>#VALUE!</v>
      </c>
      <c r="BF184" s="375"/>
      <c r="BG184" s="392" t="e">
        <f ca="1">OFFSET(Initiatives!$D$1,V184-1,$BS$3)</f>
        <v>#VALUE!</v>
      </c>
      <c r="BH184" s="375"/>
      <c r="BI184" s="392" t="e">
        <f ca="1">OFFSET(Initiatives!$D$1,W184-1,$BS$3)</f>
        <v>#VALUE!</v>
      </c>
      <c r="BJ184" s="375"/>
      <c r="BK184" s="392" t="e">
        <f ca="1">OFFSET(Initiatives!$D$1,X184-1,$BS$3)</f>
        <v>#VALUE!</v>
      </c>
      <c r="BL184" s="375"/>
      <c r="BN184" s="101">
        <f t="shared" si="2999"/>
        <v>23.0001</v>
      </c>
      <c r="BP184" s="231" t="str">
        <f t="shared" ca="1" si="3000"/>
        <v>Advanced analytics (41%); Advanced data visualization (18%); Predictive analysis (14%); BI Applications (10%); BI/DW platform integration with user tools (e.g. Excel) (9%); Source System Inclusion / Integration (7%)</v>
      </c>
      <c r="BQ184" s="338">
        <v>0.01</v>
      </c>
      <c r="BR184" s="40">
        <f t="shared" ca="1" si="3001"/>
        <v>6</v>
      </c>
      <c r="BS184" s="274">
        <v>0.05</v>
      </c>
      <c r="BT184" s="40">
        <f t="shared" ca="1" si="3002"/>
        <v>6</v>
      </c>
      <c r="BU184" s="376">
        <v>7</v>
      </c>
      <c r="BV184" s="40">
        <f t="shared" ca="1" si="3003"/>
        <v>6</v>
      </c>
      <c r="BY184" s="377">
        <f ca="1">IF(ISERROR(OFFSET(Initiatives!$D$1,E184-1,$BY$3)),,OFFSET(Initiatives!$D$1,E184-1,$BY$3))</f>
        <v>0.14000000000000012</v>
      </c>
      <c r="BZ184" s="377">
        <f ca="1">IF(ISERROR(OFFSET(Initiatives!$D$1,F184-1,$BY$3)),,OFFSET(Initiatives!$D$1,F184-1,$BY$3))</f>
        <v>9.9999999999999978E-2</v>
      </c>
      <c r="CA184" s="377">
        <f ca="1">IF(ISERROR(OFFSET(Initiatives!$D$1,G184-1,$BY$3)),,OFFSET(Initiatives!$D$1,G184-1,$BY$3))</f>
        <v>9.9999999999999978E-2</v>
      </c>
      <c r="CB184" s="377">
        <f ca="1">IF(ISERROR(OFFSET(Initiatives!$D$1,H184-1,$BY$3)),,OFFSET(Initiatives!$D$1,H184-1,$BY$3))</f>
        <v>3.0000000000000027E-2</v>
      </c>
      <c r="CC184" s="377">
        <f ca="1">IF(ISERROR(OFFSET(Initiatives!$D$1,I184-1,$BY$3)),,OFFSET(Initiatives!$D$1,I184-1,$BY$3))</f>
        <v>1.5000000000000124E-2</v>
      </c>
      <c r="CD184" s="377">
        <f ca="1">IF(ISERROR(OFFSET(Initiatives!$D$1,J184-1,$BY$3)),,OFFSET(Initiatives!$D$1,J184-1,$BY$3))</f>
        <v>0.48</v>
      </c>
      <c r="CE184" s="377">
        <f ca="1">IF(ISERROR(OFFSET(Initiatives!$D$1,K184-1,$BY$3)),,OFFSET(Initiatives!$D$1,K184-1,$BY$3))</f>
        <v>0.6</v>
      </c>
      <c r="CF184" s="377">
        <f ca="1">IF(ISERROR(OFFSET(Initiatives!$D$1,L184-1,$BY$3)),,OFFSET(Initiatives!$D$1,L184-1,$BY$3))</f>
        <v>0.60000000000000009</v>
      </c>
      <c r="CG184" s="377">
        <f ca="1">IF(ISERROR(OFFSET(Initiatives!$D$1,M184-1,$BY$3)),,OFFSET(Initiatives!$D$1,M184-1,$BY$3))</f>
        <v>0.60000000000000009</v>
      </c>
      <c r="CH184" s="377">
        <f ca="1">IF(ISERROR(OFFSET(Initiatives!$D$1,N184-1,$BY$3)),,OFFSET(Initiatives!$D$1,N184-1,$BY$3))</f>
        <v>0.60000000000000009</v>
      </c>
      <c r="CI184" s="377">
        <f ca="1">IF(ISERROR(OFFSET(Initiatives!$D$1,O184-1,$BY$3)),,OFFSET(Initiatives!$D$1,O184-1,$BY$3))</f>
        <v>0.60000000000000009</v>
      </c>
      <c r="CJ184" s="377">
        <f ca="1">IF(ISERROR(OFFSET(Initiatives!$D$1,P184-1,$BY$3)),,OFFSET(Initiatives!$D$1,P184-1,$BY$3))</f>
        <v>0.60000000000000009</v>
      </c>
      <c r="CK184" s="377">
        <f ca="1">IF(ISERROR(OFFSET(Initiatives!$D$1,Q184-1,$BY$3)),,OFFSET(Initiatives!$D$1,Q184-1,$BY$3))</f>
        <v>0.6</v>
      </c>
      <c r="CL184" s="377">
        <f ca="1">IF(ISERROR(OFFSET(Initiatives!$D$1,R184-1,$BY$3)),,OFFSET(Initiatives!$D$1,R184-1,$BY$3))</f>
        <v>0.72000000000000008</v>
      </c>
      <c r="CM184" s="377">
        <f ca="1">IF(ISERROR(OFFSET(Initiatives!$D$1,S184-1,$BY$3)),,OFFSET(Initiatives!$D$1,S184-1,$BY$3))</f>
        <v>0.45555555555555544</v>
      </c>
      <c r="CN184" s="377">
        <f ca="1">IF(ISERROR(OFFSET(Initiatives!$D$1,T184-1,$BY$3)),,OFFSET(Initiatives!$D$1,T184-1,$BY$3))</f>
        <v>0.45454545454545436</v>
      </c>
      <c r="CO184" s="377">
        <f ca="1">IF(ISERROR(OFFSET(Initiatives!$D$1,U184-1,$BY$3)),,OFFSET(Initiatives!$D$1,U184-1,$BY$3))</f>
        <v>0</v>
      </c>
      <c r="CP184" s="377">
        <f ca="1">IF(ISERROR(OFFSET(Initiatives!$D$1,V184-1,$BY$3)),,OFFSET(Initiatives!$D$1,V184-1,$BY$3))</f>
        <v>0</v>
      </c>
      <c r="CQ184" s="377">
        <f ca="1">IF(ISERROR(OFFSET(Initiatives!$D$1,W184-1,$BY$3)),,OFFSET(Initiatives!$D$1,W184-1,$BY$3))</f>
        <v>0</v>
      </c>
      <c r="CR184" s="377">
        <f ca="1">IF(ISERROR(OFFSET(Initiatives!$D$1,X184-1,$BY$3)),,OFFSET(Initiatives!$D$1,X184-1,$BY$3))</f>
        <v>0</v>
      </c>
      <c r="CT184" s="41">
        <f t="shared" ca="1" si="3004"/>
        <v>0</v>
      </c>
      <c r="CU184" s="41">
        <f t="shared" ca="1" si="3005"/>
        <v>0</v>
      </c>
      <c r="CV184" s="41">
        <f t="shared" ca="1" si="3006"/>
        <v>0</v>
      </c>
      <c r="CW184" s="41">
        <f t="shared" ca="1" si="3007"/>
        <v>0</v>
      </c>
      <c r="CX184" s="41">
        <f t="shared" ca="1" si="3008"/>
        <v>0</v>
      </c>
      <c r="CY184" s="41">
        <f t="shared" ca="1" si="3009"/>
        <v>0</v>
      </c>
      <c r="CZ184" s="41">
        <f t="shared" ca="1" si="3010"/>
        <v>0</v>
      </c>
      <c r="DA184" s="41">
        <f t="shared" ca="1" si="3011"/>
        <v>0</v>
      </c>
      <c r="DB184" s="41">
        <f t="shared" ca="1" si="3012"/>
        <v>5.2173686201364353E-2</v>
      </c>
      <c r="DC184" s="41">
        <f t="shared" ca="1" si="3013"/>
        <v>0.10434737240272871</v>
      </c>
      <c r="DD184" s="41">
        <f t="shared" ca="1" si="3014"/>
        <v>0.23478158790613957</v>
      </c>
      <c r="DE184" s="41">
        <f t="shared" ca="1" si="3015"/>
        <v>7.8260529302046522E-2</v>
      </c>
      <c r="DF184" s="41">
        <f t="shared" ca="1" si="3016"/>
        <v>0</v>
      </c>
      <c r="DG184" s="41">
        <f t="shared" ca="1" si="3017"/>
        <v>0</v>
      </c>
      <c r="DH184" s="41">
        <f t="shared" ca="1" si="3018"/>
        <v>5.9420031507109373E-2</v>
      </c>
      <c r="DI184" s="41">
        <f t="shared" ca="1" si="3019"/>
        <v>3.9525519849518423E-2</v>
      </c>
      <c r="DJ184" s="41">
        <f t="shared" ca="1" si="3020"/>
        <v>0</v>
      </c>
      <c r="DK184" s="41">
        <f t="shared" ca="1" si="3021"/>
        <v>0</v>
      </c>
      <c r="DL184" s="41">
        <f t="shared" ca="1" si="3022"/>
        <v>0</v>
      </c>
      <c r="DM184" s="41">
        <f t="shared" ca="1" si="3023"/>
        <v>0</v>
      </c>
      <c r="DN184" s="41">
        <f t="shared" ca="1" si="3024"/>
        <v>0.56850872716890699</v>
      </c>
      <c r="DP184" s="41">
        <f t="shared" ca="1" si="3025"/>
        <v>-1.0000000000000001E-5</v>
      </c>
      <c r="DQ184" s="41">
        <f t="shared" ca="1" si="3026"/>
        <v>-2.0000000000000002E-5</v>
      </c>
      <c r="DR184" s="41">
        <f t="shared" ca="1" si="3027"/>
        <v>-3.0000000000000001E-5</v>
      </c>
      <c r="DS184" s="41">
        <f t="shared" ca="1" si="3028"/>
        <v>-4.0000000000000003E-5</v>
      </c>
      <c r="DT184" s="41">
        <f t="shared" ca="1" si="3029"/>
        <v>-5.0000000000000002E-5</v>
      </c>
      <c r="DU184" s="41">
        <f t="shared" ca="1" si="3030"/>
        <v>-6.0000000000000002E-5</v>
      </c>
      <c r="DV184" s="41">
        <f t="shared" ca="1" si="3031"/>
        <v>-6.9999999999999994E-5</v>
      </c>
      <c r="DW184" s="41">
        <f t="shared" ca="1" si="3032"/>
        <v>-8.0000000000000007E-5</v>
      </c>
      <c r="DX184" s="41">
        <f t="shared" ca="1" si="3033"/>
        <v>9.1682885283893401E-2</v>
      </c>
      <c r="DY184" s="41">
        <f t="shared" ca="1" si="3034"/>
        <v>0.18344577056778683</v>
      </c>
      <c r="DZ184" s="41">
        <f t="shared" ca="1" si="3035"/>
        <v>0.41286798377752026</v>
      </c>
      <c r="EA184" s="41">
        <f t="shared" ca="1" si="3036"/>
        <v>0.13753932792584009</v>
      </c>
      <c r="EB184" s="41">
        <f t="shared" ca="1" si="3037"/>
        <v>-1.2999999999999999E-4</v>
      </c>
      <c r="EC184" s="41">
        <f t="shared" ca="1" si="3038"/>
        <v>-1.3999999999999999E-4</v>
      </c>
      <c r="ED184" s="41">
        <f t="shared" ca="1" si="3039"/>
        <v>0.10436911935110077</v>
      </c>
      <c r="EE184" s="41">
        <f t="shared" ca="1" si="3040"/>
        <v>6.9364913093858602E-2</v>
      </c>
      <c r="EF184" s="41">
        <f t="shared" ca="1" si="3041"/>
        <v>-1.7000000000000001E-4</v>
      </c>
      <c r="EG184" s="41">
        <f t="shared" ca="1" si="3042"/>
        <v>-1.8000000000000001E-4</v>
      </c>
      <c r="EH184" s="41">
        <f t="shared" ca="1" si="3043"/>
        <v>-1.9000000000000001E-4</v>
      </c>
      <c r="EI184" s="41">
        <f t="shared" ca="1" si="3044"/>
        <v>-2.0000000000000001E-4</v>
      </c>
      <c r="EJ184" s="41">
        <f t="shared" ca="1" si="3045"/>
        <v>0.9978999999999999</v>
      </c>
      <c r="EL184" s="378">
        <f t="shared" ca="1" si="3046"/>
        <v>7</v>
      </c>
      <c r="EM184" s="378">
        <f t="shared" ca="1" si="3047"/>
        <v>8</v>
      </c>
      <c r="EN184" s="378">
        <f t="shared" ca="1" si="3048"/>
        <v>9</v>
      </c>
      <c r="EO184" s="378">
        <f t="shared" ca="1" si="3049"/>
        <v>10</v>
      </c>
      <c r="EP184" s="378">
        <f t="shared" ca="1" si="3050"/>
        <v>11</v>
      </c>
      <c r="EQ184" s="378">
        <f t="shared" ca="1" si="3051"/>
        <v>12</v>
      </c>
      <c r="ER184" s="378">
        <f t="shared" ca="1" si="3052"/>
        <v>13</v>
      </c>
      <c r="ES184" s="378">
        <f t="shared" ca="1" si="3053"/>
        <v>14</v>
      </c>
      <c r="ET184" s="378">
        <f t="shared" ca="1" si="3054"/>
        <v>5</v>
      </c>
      <c r="EU184" s="378">
        <f t="shared" ca="1" si="3055"/>
        <v>2</v>
      </c>
      <c r="EV184" s="378">
        <f t="shared" ca="1" si="3056"/>
        <v>1</v>
      </c>
      <c r="EW184" s="378">
        <f t="shared" ca="1" si="3057"/>
        <v>3</v>
      </c>
      <c r="EX184" s="378">
        <f t="shared" ca="1" si="3058"/>
        <v>15</v>
      </c>
      <c r="EY184" s="378">
        <f t="shared" ca="1" si="3059"/>
        <v>16</v>
      </c>
      <c r="EZ184" s="378">
        <f t="shared" ca="1" si="3060"/>
        <v>4</v>
      </c>
      <c r="FA184" s="378">
        <f t="shared" ca="1" si="3061"/>
        <v>6</v>
      </c>
      <c r="FB184" s="378">
        <f t="shared" ca="1" si="3062"/>
        <v>17</v>
      </c>
      <c r="FC184" s="378">
        <f t="shared" ca="1" si="3063"/>
        <v>18</v>
      </c>
      <c r="FD184" s="378">
        <f t="shared" ca="1" si="3064"/>
        <v>19</v>
      </c>
      <c r="FE184" s="378">
        <f t="shared" ca="1" si="3065"/>
        <v>20</v>
      </c>
      <c r="FG184" s="378">
        <f t="shared" ca="1" si="2977"/>
        <v>11</v>
      </c>
      <c r="FH184" s="378">
        <f t="shared" ca="1" si="2977"/>
        <v>10</v>
      </c>
      <c r="FI184" s="378">
        <f t="shared" ca="1" si="2977"/>
        <v>12</v>
      </c>
      <c r="FJ184" s="378">
        <f t="shared" ca="1" si="2977"/>
        <v>15</v>
      </c>
      <c r="FK184" s="378">
        <f t="shared" ca="1" si="2977"/>
        <v>9</v>
      </c>
      <c r="FL184" s="378">
        <f t="shared" ca="1" si="2977"/>
        <v>16</v>
      </c>
      <c r="FM184" s="378">
        <f t="shared" ca="1" si="2977"/>
        <v>1</v>
      </c>
      <c r="FN184" s="378">
        <f t="shared" ca="1" si="2977"/>
        <v>2</v>
      </c>
      <c r="FO184" s="378">
        <f t="shared" ca="1" si="2977"/>
        <v>3</v>
      </c>
      <c r="FP184" s="378">
        <f t="shared" ca="1" si="2977"/>
        <v>4</v>
      </c>
      <c r="FQ184" s="378">
        <f t="shared" ca="1" si="2977"/>
        <v>5</v>
      </c>
      <c r="FR184" s="378">
        <f t="shared" ca="1" si="2977"/>
        <v>6</v>
      </c>
      <c r="FS184" s="378">
        <f t="shared" ca="1" si="2977"/>
        <v>7</v>
      </c>
      <c r="FT184" s="378">
        <f t="shared" ca="1" si="2977"/>
        <v>8</v>
      </c>
      <c r="FU184" s="378">
        <f t="shared" ca="1" si="2977"/>
        <v>13</v>
      </c>
      <c r="FV184" s="378">
        <f t="shared" ca="1" si="2977"/>
        <v>14</v>
      </c>
      <c r="FW184" s="378">
        <f t="shared" ca="1" si="2977"/>
        <v>17</v>
      </c>
      <c r="FX184" s="378">
        <f t="shared" ca="1" si="2977"/>
        <v>18</v>
      </c>
      <c r="FY184" s="378">
        <f t="shared" ca="1" si="2977"/>
        <v>19</v>
      </c>
      <c r="FZ184" s="378">
        <f t="shared" ca="1" si="2977"/>
        <v>20</v>
      </c>
      <c r="GB184" s="275" t="str">
        <f t="shared" ca="1" si="3066"/>
        <v>Advanced analytics (41%)</v>
      </c>
      <c r="GC184" s="231" t="str">
        <f t="shared" ca="1" si="3067"/>
        <v>; Advanced data visualization (18%)</v>
      </c>
      <c r="GD184" s="231" t="str">
        <f t="shared" ca="1" si="3068"/>
        <v>; Predictive analysis (14%)</v>
      </c>
      <c r="GE184" s="231" t="str">
        <f t="shared" ca="1" si="3069"/>
        <v>; BI Applications (10%)</v>
      </c>
      <c r="GF184" s="231" t="str">
        <f t="shared" ca="1" si="3070"/>
        <v>; BI/DW platform integration with user tools (e.g. Excel) (9%)</v>
      </c>
      <c r="GG184" s="231" t="str">
        <f t="shared" ca="1" si="3071"/>
        <v>; Source System Inclusion / Integration (7%)</v>
      </c>
      <c r="GH184" s="231" t="str">
        <f t="shared" ca="1" si="3072"/>
        <v/>
      </c>
      <c r="GI184" s="231" t="str">
        <f t="shared" ca="1" si="3073"/>
        <v/>
      </c>
      <c r="GJ184" s="231" t="str">
        <f t="shared" ca="1" si="3074"/>
        <v/>
      </c>
      <c r="GK184" s="231" t="str">
        <f t="shared" ca="1" si="3075"/>
        <v/>
      </c>
      <c r="GL184" s="231" t="str">
        <f t="shared" ca="1" si="3076"/>
        <v/>
      </c>
      <c r="GM184" s="231" t="str">
        <f t="shared" ca="1" si="3077"/>
        <v/>
      </c>
      <c r="GN184" s="231" t="str">
        <f t="shared" ca="1" si="3078"/>
        <v/>
      </c>
      <c r="GO184" s="231" t="str">
        <f t="shared" ca="1" si="3079"/>
        <v/>
      </c>
      <c r="GP184" s="231" t="str">
        <f t="shared" ca="1" si="3080"/>
        <v/>
      </c>
      <c r="GQ184" s="231" t="str">
        <f t="shared" ca="1" si="3081"/>
        <v/>
      </c>
      <c r="GR184" s="231" t="str">
        <f t="shared" ca="1" si="3082"/>
        <v/>
      </c>
      <c r="GS184" s="231" t="str">
        <f t="shared" ca="1" si="3083"/>
        <v/>
      </c>
      <c r="GT184" s="231" t="str">
        <f t="shared" ca="1" si="3084"/>
        <v/>
      </c>
      <c r="GU184" s="231" t="str">
        <f t="shared" ca="1" si="3085"/>
        <v/>
      </c>
      <c r="GW184" s="377">
        <f ca="1">IF(ISERROR(OFFSET(Initiatives!$D$1,E184-1,$CB$3)),,OFFSET(Initiatives!$D$1,E184-1,$CB$3))</f>
        <v>0.65</v>
      </c>
      <c r="GX184" s="377">
        <f ca="1">IF(ISERROR(OFFSET(Initiatives!$D$1,F184-1,$CB$3)),,OFFSET(Initiatives!$D$1,F184-1,$CB$3))</f>
        <v>0.75</v>
      </c>
      <c r="GY184" s="377">
        <f ca="1">IF(ISERROR(OFFSET(Initiatives!$D$1,G184-1,$CB$3)),,OFFSET(Initiatives!$D$1,G184-1,$CB$3))</f>
        <v>0.75</v>
      </c>
      <c r="GZ184" s="377">
        <f ca="1">IF(ISERROR(OFFSET(Initiatives!$D$1,H184-1,$CB$3)),,OFFSET(Initiatives!$D$1,H184-1,$CB$3))</f>
        <v>0.8</v>
      </c>
      <c r="HA184" s="377">
        <f ca="1">IF(ISERROR(OFFSET(Initiatives!$D$1,I184-1,$CB$3)),,OFFSET(Initiatives!$D$1,I184-1,$CB$3))</f>
        <v>0.9</v>
      </c>
      <c r="HB184" s="377">
        <f ca="1">IF(ISERROR(OFFSET(Initiatives!$D$1,J184-1,$CB$3)),,OFFSET(Initiatives!$D$1,J184-1,$CB$3))</f>
        <v>0.4</v>
      </c>
      <c r="HC184" s="377">
        <f ca="1">IF(ISERROR(OFFSET(Initiatives!$D$1,K184-1,$CB$3)),,OFFSET(Initiatives!$D$1,K184-1,$CB$3))</f>
        <v>0.25</v>
      </c>
      <c r="HD184" s="377">
        <f ca="1">IF(ISERROR(OFFSET(Initiatives!$D$1,L184-1,$CB$3)),,OFFSET(Initiatives!$D$1,L184-1,$CB$3))</f>
        <v>0.25</v>
      </c>
      <c r="HE184" s="377">
        <f ca="1">IF(ISERROR(OFFSET(Initiatives!$D$1,M184-1,$CB$3)),,OFFSET(Initiatives!$D$1,M184-1,$CB$3))</f>
        <v>0.25</v>
      </c>
      <c r="HF184" s="377">
        <f ca="1">IF(ISERROR(OFFSET(Initiatives!$D$1,N184-1,$CB$3)),,OFFSET(Initiatives!$D$1,N184-1,$CB$3))</f>
        <v>0.25</v>
      </c>
      <c r="HG184" s="377">
        <f ca="1">IF(ISERROR(OFFSET(Initiatives!$D$1,O184-1,$CB$3)),,OFFSET(Initiatives!$D$1,O184-1,$CB$3))</f>
        <v>0.25</v>
      </c>
      <c r="HH184" s="377">
        <f ca="1">IF(ISERROR(OFFSET(Initiatives!$D$1,P184-1,$CB$3)),,OFFSET(Initiatives!$D$1,P184-1,$CB$3))</f>
        <v>0.25</v>
      </c>
      <c r="HI184" s="377">
        <f ca="1">IF(ISERROR(OFFSET(Initiatives!$D$1,Q184-1,$CB$3)),,OFFSET(Initiatives!$D$1,Q184-1,$CB$3))</f>
        <v>0.25</v>
      </c>
      <c r="HJ184" s="377">
        <f ca="1">IF(ISERROR(OFFSET(Initiatives!$D$1,R184-1,$CB$3)),,OFFSET(Initiatives!$D$1,R184-1,$CB$3))</f>
        <v>0.1</v>
      </c>
      <c r="HK184" s="377">
        <f ca="1">IF(ISERROR(OFFSET(Initiatives!$D$1,S184-1,$CB$3)),,OFFSET(Initiatives!$D$1,S184-1,$CB$3))</f>
        <v>0.34166666666666662</v>
      </c>
      <c r="HL184" s="377">
        <f ca="1">IF(ISERROR(OFFSET(Initiatives!$D$1,T184-1,$CB$3)),,OFFSET(Initiatives!$D$1,T184-1,$CB$3))</f>
        <v>0.43181818181818177</v>
      </c>
      <c r="HM184" s="377">
        <f ca="1">IF(ISERROR(OFFSET(Initiatives!$D$1,U184-1,$CB$3)),,OFFSET(Initiatives!$D$1,U184-1,$CB$3))</f>
        <v>0</v>
      </c>
      <c r="HN184" s="377">
        <f ca="1">IF(ISERROR(OFFSET(Initiatives!$D$1,V184-1,$CB$3)),,OFFSET(Initiatives!$D$1,V184-1,$CB$3))</f>
        <v>0</v>
      </c>
      <c r="HO184" s="377">
        <f ca="1">IF(ISERROR(OFFSET(Initiatives!$D$1,W184-1,$CB$3)),,OFFSET(Initiatives!$D$1,W184-1,$CB$3))</f>
        <v>0</v>
      </c>
      <c r="HP184" s="377">
        <f ca="1">IF(ISERROR(OFFSET(Initiatives!$D$1,X184-1,$CB$3)),,OFFSET(Initiatives!$D$1,X184-1,$CB$3))</f>
        <v>0</v>
      </c>
      <c r="HR184" s="41">
        <f t="shared" ca="1" si="3086"/>
        <v>0</v>
      </c>
      <c r="HS184" s="41">
        <f t="shared" ca="1" si="3087"/>
        <v>0</v>
      </c>
      <c r="HT184" s="41">
        <f t="shared" ca="1" si="3088"/>
        <v>0</v>
      </c>
      <c r="HU184" s="41">
        <f t="shared" ca="1" si="3089"/>
        <v>0</v>
      </c>
      <c r="HV184" s="41">
        <f t="shared" ca="1" si="3090"/>
        <v>0</v>
      </c>
      <c r="HW184" s="41">
        <f t="shared" ca="1" si="3091"/>
        <v>0</v>
      </c>
      <c r="HX184" s="41">
        <f t="shared" ca="1" si="3092"/>
        <v>0</v>
      </c>
      <c r="HY184" s="41">
        <f t="shared" ca="1" si="3093"/>
        <v>0</v>
      </c>
      <c r="HZ184" s="41">
        <f t="shared" ca="1" si="3094"/>
        <v>2.1739035917235142E-2</v>
      </c>
      <c r="IA184" s="41">
        <f t="shared" ca="1" si="3095"/>
        <v>4.3478071834470285E-2</v>
      </c>
      <c r="IB184" s="41">
        <f t="shared" ca="1" si="3096"/>
        <v>9.7825661627558139E-2</v>
      </c>
      <c r="IC184" s="41">
        <f t="shared" ca="1" si="3097"/>
        <v>3.2608553875852715E-2</v>
      </c>
      <c r="ID184" s="41">
        <f t="shared" ca="1" si="3098"/>
        <v>0</v>
      </c>
      <c r="IE184" s="41">
        <f t="shared" ca="1" si="3099"/>
        <v>4.3478071834470279E-4</v>
      </c>
      <c r="IF184" s="41">
        <f t="shared" ca="1" si="3100"/>
        <v>4.4565023630332039E-2</v>
      </c>
      <c r="IG184" s="41">
        <f t="shared" ca="1" si="3101"/>
        <v>3.7549243857042516E-2</v>
      </c>
      <c r="IH184" s="41">
        <f t="shared" ca="1" si="3102"/>
        <v>0</v>
      </c>
      <c r="II184" s="41">
        <f t="shared" ca="1" si="3103"/>
        <v>0</v>
      </c>
      <c r="IJ184" s="41">
        <f t="shared" ca="1" si="3104"/>
        <v>0</v>
      </c>
      <c r="IK184" s="41">
        <f t="shared" ca="1" si="3105"/>
        <v>0</v>
      </c>
      <c r="IL184" s="41">
        <f t="shared" ca="1" si="3106"/>
        <v>0.27820037146083554</v>
      </c>
    </row>
    <row r="185" spans="2:246" hidden="1"/>
    <row r="186" spans="2:246" hidden="1"/>
  </sheetData>
  <sheetProtection selectLockedCells="1" selectUnlockedCells="1"/>
  <mergeCells count="10">
    <mergeCell ref="GW4:HP4"/>
    <mergeCell ref="HR4:IL4"/>
    <mergeCell ref="D4:D5"/>
    <mergeCell ref="GB4:GU4"/>
    <mergeCell ref="BQ4:BV4"/>
    <mergeCell ref="BY4:CR4"/>
    <mergeCell ref="CT4:DN4"/>
    <mergeCell ref="DP4:EJ4"/>
    <mergeCell ref="EL4:FE4"/>
    <mergeCell ref="FG4:FZ4"/>
  </mergeCells>
  <pageMargins left="0.25" right="0.25" top="0.75" bottom="0.75" header="0.3" footer="0.3"/>
  <pageSetup fitToHeight="10" orientation="portrait" horizontalDpi="300" verticalDpi="300" r:id="rId1"/>
  <headerFooter>
    <oddFooter>&amp;L&amp;F&amp;C&amp;A&amp;R&amp;P of &amp;N</oddFooter>
  </headerFooter>
</worksheet>
</file>

<file path=xl/worksheets/sheet14.xml><?xml version="1.0" encoding="utf-8"?>
<worksheet xmlns="http://schemas.openxmlformats.org/spreadsheetml/2006/main" xmlns:r="http://schemas.openxmlformats.org/officeDocument/2006/relationships">
  <sheetPr codeName="Sheet81">
    <tabColor theme="1"/>
    <pageSetUpPr fitToPage="1"/>
  </sheetPr>
  <dimension ref="A1:AM143"/>
  <sheetViews>
    <sheetView showGridLines="0" workbookViewId="0">
      <pane xSplit="2" ySplit="1" topLeftCell="C2" activePane="bottomRight" state="frozen"/>
      <selection activeCell="D22" sqref="D22"/>
      <selection pane="topRight" activeCell="D22" sqref="D22"/>
      <selection pane="bottomLeft" activeCell="D22" sqref="D22"/>
      <selection pane="bottomRight" activeCell="C136" sqref="C136"/>
    </sheetView>
  </sheetViews>
  <sheetFormatPr defaultColWidth="9.109375" defaultRowHeight="13.2"/>
  <cols>
    <col min="1" max="1" width="3" style="67" customWidth="1"/>
    <col min="2" max="2" width="44.88671875" style="67" customWidth="1"/>
    <col min="3" max="3" width="12.109375" style="67" customWidth="1"/>
    <col min="4" max="4" width="14.6640625" style="67" customWidth="1"/>
    <col min="5" max="6" width="11.5546875" style="67" bestFit="1" customWidth="1"/>
    <col min="7" max="8" width="9.6640625" style="67" bestFit="1" customWidth="1"/>
    <col min="9" max="9" width="11.33203125" style="67" bestFit="1" customWidth="1"/>
    <col min="10" max="15" width="9.109375" style="67"/>
    <col min="16" max="16" width="15.33203125" style="67" customWidth="1"/>
    <col min="17" max="17" width="8.88671875" style="67" bestFit="1" customWidth="1"/>
    <col min="18" max="18" width="13.5546875" style="67" customWidth="1"/>
    <col min="19" max="20" width="9.109375" style="67"/>
    <col min="21" max="21" width="10.88671875" style="67" customWidth="1"/>
    <col min="22" max="22" width="10.109375" style="67" bestFit="1" customWidth="1"/>
    <col min="23" max="16384" width="9.109375" style="67"/>
  </cols>
  <sheetData>
    <row r="1" spans="1:39" ht="27.6">
      <c r="A1" s="2" t="s">
        <v>205</v>
      </c>
    </row>
    <row r="2" spans="1:39" hidden="1"/>
    <row r="3" spans="1:39" hidden="1">
      <c r="B3" s="68" t="s">
        <v>105</v>
      </c>
      <c r="C3" s="69">
        <v>2</v>
      </c>
      <c r="D3" s="69">
        <f>C3+1</f>
        <v>3</v>
      </c>
      <c r="E3" s="69">
        <f t="shared" ref="E3:AM3" si="0">D3+1</f>
        <v>4</v>
      </c>
      <c r="F3" s="69">
        <f t="shared" si="0"/>
        <v>5</v>
      </c>
      <c r="G3" s="69">
        <f t="shared" si="0"/>
        <v>6</v>
      </c>
      <c r="H3" s="69">
        <f t="shared" si="0"/>
        <v>7</v>
      </c>
      <c r="I3" s="69">
        <f t="shared" si="0"/>
        <v>8</v>
      </c>
      <c r="J3" s="69">
        <f t="shared" si="0"/>
        <v>9</v>
      </c>
      <c r="K3" s="69">
        <f t="shared" si="0"/>
        <v>10</v>
      </c>
      <c r="L3" s="69">
        <f t="shared" si="0"/>
        <v>11</v>
      </c>
      <c r="M3" s="69">
        <f t="shared" si="0"/>
        <v>12</v>
      </c>
      <c r="N3" s="69">
        <f t="shared" si="0"/>
        <v>13</v>
      </c>
      <c r="O3" s="69">
        <f t="shared" si="0"/>
        <v>14</v>
      </c>
      <c r="P3" s="69">
        <f t="shared" si="0"/>
        <v>15</v>
      </c>
      <c r="Q3" s="69">
        <f t="shared" si="0"/>
        <v>16</v>
      </c>
      <c r="R3" s="69">
        <f t="shared" si="0"/>
        <v>17</v>
      </c>
      <c r="S3" s="69">
        <f t="shared" si="0"/>
        <v>18</v>
      </c>
      <c r="T3" s="69">
        <f t="shared" si="0"/>
        <v>19</v>
      </c>
      <c r="U3" s="69">
        <f t="shared" si="0"/>
        <v>20</v>
      </c>
      <c r="V3" s="69">
        <f t="shared" si="0"/>
        <v>21</v>
      </c>
      <c r="W3" s="69">
        <f t="shared" si="0"/>
        <v>22</v>
      </c>
      <c r="X3" s="69">
        <f t="shared" si="0"/>
        <v>23</v>
      </c>
      <c r="Y3" s="69">
        <f t="shared" si="0"/>
        <v>24</v>
      </c>
      <c r="Z3" s="69">
        <f t="shared" si="0"/>
        <v>25</v>
      </c>
      <c r="AA3" s="69">
        <f t="shared" si="0"/>
        <v>26</v>
      </c>
      <c r="AB3" s="69">
        <f t="shared" si="0"/>
        <v>27</v>
      </c>
      <c r="AC3" s="69">
        <f t="shared" si="0"/>
        <v>28</v>
      </c>
      <c r="AD3" s="69">
        <f t="shared" si="0"/>
        <v>29</v>
      </c>
      <c r="AE3" s="69">
        <f t="shared" si="0"/>
        <v>30</v>
      </c>
      <c r="AF3" s="69">
        <f t="shared" si="0"/>
        <v>31</v>
      </c>
      <c r="AG3" s="69">
        <f t="shared" si="0"/>
        <v>32</v>
      </c>
      <c r="AH3" s="69">
        <f t="shared" si="0"/>
        <v>33</v>
      </c>
      <c r="AI3" s="69">
        <f t="shared" si="0"/>
        <v>34</v>
      </c>
      <c r="AJ3" s="69">
        <f t="shared" si="0"/>
        <v>35</v>
      </c>
      <c r="AK3" s="69">
        <f t="shared" si="0"/>
        <v>36</v>
      </c>
      <c r="AL3" s="69">
        <f t="shared" si="0"/>
        <v>37</v>
      </c>
      <c r="AM3" s="69">
        <f t="shared" si="0"/>
        <v>38</v>
      </c>
    </row>
    <row r="4" spans="1:39" hidden="1"/>
    <row r="5" spans="1:39" ht="21" hidden="1">
      <c r="A5" s="95" t="s">
        <v>2</v>
      </c>
      <c r="C5" s="532" t="s">
        <v>106</v>
      </c>
      <c r="D5" s="532"/>
      <c r="E5" s="532"/>
      <c r="F5" s="532"/>
      <c r="G5" s="532" t="s">
        <v>107</v>
      </c>
      <c r="H5" s="532"/>
      <c r="I5" s="532"/>
      <c r="J5" s="532"/>
      <c r="K5" s="532" t="s">
        <v>108</v>
      </c>
      <c r="L5" s="532"/>
      <c r="M5" s="532"/>
      <c r="N5" s="532"/>
    </row>
    <row r="6" spans="1:39" ht="39.6" hidden="1">
      <c r="B6" s="100" t="s">
        <v>2</v>
      </c>
      <c r="C6" s="100" t="s">
        <v>56</v>
      </c>
      <c r="D6" s="100" t="s">
        <v>109</v>
      </c>
      <c r="E6" s="100" t="s">
        <v>110</v>
      </c>
      <c r="F6" s="100" t="s">
        <v>111</v>
      </c>
      <c r="G6" s="100" t="s">
        <v>56</v>
      </c>
      <c r="H6" s="100" t="s">
        <v>109</v>
      </c>
      <c r="I6" s="100" t="s">
        <v>110</v>
      </c>
      <c r="J6" s="100" t="s">
        <v>111</v>
      </c>
      <c r="K6" s="100" t="s">
        <v>112</v>
      </c>
      <c r="L6" s="100" t="s">
        <v>113</v>
      </c>
      <c r="M6" s="100" t="s">
        <v>114</v>
      </c>
      <c r="N6" s="100" t="s">
        <v>115</v>
      </c>
      <c r="O6" s="100" t="s">
        <v>116</v>
      </c>
      <c r="P6" s="100" t="s">
        <v>117</v>
      </c>
      <c r="Q6" s="100"/>
      <c r="R6" s="100" t="s">
        <v>118</v>
      </c>
      <c r="S6" s="100" t="s">
        <v>119</v>
      </c>
      <c r="T6" s="100" t="s">
        <v>120</v>
      </c>
    </row>
    <row r="7" spans="1:39" hidden="1">
      <c r="B7" s="81" t="s">
        <v>121</v>
      </c>
      <c r="C7" s="43">
        <v>0.77850468244440152</v>
      </c>
      <c r="D7" s="43">
        <v>1.0296418008644459</v>
      </c>
      <c r="E7" s="43">
        <v>1.4649582483651085</v>
      </c>
      <c r="F7" s="43">
        <v>1.7759626178582062</v>
      </c>
      <c r="G7" s="43">
        <v>1</v>
      </c>
      <c r="H7" s="43">
        <v>0.43291120119458276</v>
      </c>
      <c r="I7" s="105">
        <v>0.13893710858470171</v>
      </c>
      <c r="J7" s="105">
        <v>3.6207694955463159E-2</v>
      </c>
      <c r="K7" s="105">
        <v>1.4760179583629461E-2</v>
      </c>
      <c r="L7" s="105">
        <v>4.349554136341912E-2</v>
      </c>
      <c r="M7" s="105">
        <v>1.9119762866404339E-2</v>
      </c>
      <c r="N7" s="105">
        <v>5.0077633022388525E-2</v>
      </c>
      <c r="O7" s="105">
        <v>5.5E-2</v>
      </c>
      <c r="P7" s="105">
        <v>9.0163934426229511E-2</v>
      </c>
      <c r="Q7" s="106">
        <f t="shared" ref="Q7:Q28" si="1">M7/H7</f>
        <v>4.4165553613870305E-2</v>
      </c>
      <c r="R7" s="102">
        <f>(240)/1*1000</f>
        <v>240000</v>
      </c>
      <c r="S7" s="70" t="s">
        <v>121</v>
      </c>
      <c r="T7" s="105">
        <f>M7/H7</f>
        <v>4.4165553613870305E-2</v>
      </c>
    </row>
    <row r="8" spans="1:39" hidden="1">
      <c r="B8" s="81" t="s">
        <v>122</v>
      </c>
      <c r="C8" s="43">
        <v>0.58834358607615056</v>
      </c>
      <c r="D8" s="43">
        <v>1.011562862744156</v>
      </c>
      <c r="E8" s="43">
        <v>1.3700577071561348</v>
      </c>
      <c r="F8" s="43">
        <v>1.6918802820816328</v>
      </c>
      <c r="G8" s="43">
        <v>1</v>
      </c>
      <c r="H8" s="43">
        <v>0.12938278363213357</v>
      </c>
      <c r="I8" s="105">
        <v>4.5846448610921034E-2</v>
      </c>
      <c r="J8" s="105">
        <v>0.01</v>
      </c>
      <c r="K8" s="105">
        <v>4.9267825372930067E-4</v>
      </c>
      <c r="L8" s="105">
        <v>1.770904612015875E-2</v>
      </c>
      <c r="M8" s="105">
        <v>9.3061447926645678E-4</v>
      </c>
      <c r="N8" s="105">
        <v>5.9121390447516081E-3</v>
      </c>
      <c r="O8" s="105">
        <v>4.5666666666666668E-2</v>
      </c>
      <c r="P8" s="105">
        <v>7.4863387978142085E-2</v>
      </c>
      <c r="Q8" s="106">
        <f t="shared" si="1"/>
        <v>7.1927226570763694E-3</v>
      </c>
      <c r="R8" s="102">
        <v>180000</v>
      </c>
      <c r="S8" s="70" t="s">
        <v>122</v>
      </c>
      <c r="T8" s="105">
        <v>0.02</v>
      </c>
    </row>
    <row r="9" spans="1:39" hidden="1">
      <c r="B9" s="81" t="s">
        <v>123</v>
      </c>
      <c r="C9" s="43">
        <v>1.1200000000000001</v>
      </c>
      <c r="D9" s="43">
        <v>1.38</v>
      </c>
      <c r="E9" s="43">
        <v>1.82</v>
      </c>
      <c r="F9" s="43">
        <v>1.9</v>
      </c>
      <c r="G9" s="43">
        <v>1</v>
      </c>
      <c r="H9" s="43">
        <v>0.56999999999999995</v>
      </c>
      <c r="I9" s="105">
        <v>0.26</v>
      </c>
      <c r="J9" s="105">
        <v>7.9000000000000001E-2</v>
      </c>
      <c r="K9" s="105">
        <v>7.0000000000000001E-3</v>
      </c>
      <c r="L9" s="105">
        <v>4.2999999999999997E-2</v>
      </c>
      <c r="M9" s="105">
        <v>2.5000000000000001E-2</v>
      </c>
      <c r="N9" s="105">
        <v>4.3999999999999997E-2</v>
      </c>
      <c r="O9" s="105">
        <v>0.10100000000000001</v>
      </c>
      <c r="P9" s="105">
        <v>0.16600000000000001</v>
      </c>
      <c r="Q9" s="106">
        <f t="shared" si="1"/>
        <v>4.3859649122807022E-2</v>
      </c>
      <c r="R9" s="102">
        <f>(377+413+376)/3*1000</f>
        <v>388666.66666666669</v>
      </c>
      <c r="S9" s="71" t="s">
        <v>124</v>
      </c>
      <c r="T9" s="105">
        <v>6.0999999999999999E-2</v>
      </c>
    </row>
    <row r="10" spans="1:39" hidden="1">
      <c r="B10" s="81" t="s">
        <v>125</v>
      </c>
      <c r="C10" s="43">
        <v>1.0823903260291441</v>
      </c>
      <c r="D10" s="43">
        <v>1.3381317168105598</v>
      </c>
      <c r="E10" s="43">
        <v>1.6130552573604138</v>
      </c>
      <c r="F10" s="43">
        <v>1.8229024549604516</v>
      </c>
      <c r="G10" s="43">
        <v>1</v>
      </c>
      <c r="H10" s="43">
        <v>0.36973527459741357</v>
      </c>
      <c r="I10" s="105">
        <v>0.10352143378810305</v>
      </c>
      <c r="J10" s="105">
        <v>1.1327125953530736E-2</v>
      </c>
      <c r="K10" s="105">
        <v>9.5665479063283625E-4</v>
      </c>
      <c r="L10" s="105">
        <v>5.0118158668625332E-2</v>
      </c>
      <c r="M10" s="105">
        <v>1.2246292094893489E-3</v>
      </c>
      <c r="N10" s="105">
        <v>1.8808194185649343E-2</v>
      </c>
      <c r="O10" s="105">
        <v>5.2833333333333336E-2</v>
      </c>
      <c r="P10" s="105">
        <v>8.6612021857923507E-2</v>
      </c>
      <c r="Q10" s="106">
        <f t="shared" si="1"/>
        <v>3.3121784520635392E-3</v>
      </c>
      <c r="R10" s="102">
        <f>(988)/1*1000</f>
        <v>988000</v>
      </c>
      <c r="S10" s="70" t="s">
        <v>125</v>
      </c>
      <c r="T10" s="105">
        <v>0.03</v>
      </c>
    </row>
    <row r="11" spans="1:39" hidden="1">
      <c r="B11" s="81" t="s">
        <v>126</v>
      </c>
      <c r="C11" s="43">
        <v>1.1075061010993019</v>
      </c>
      <c r="D11" s="43">
        <v>1.1881022217429924</v>
      </c>
      <c r="E11" s="43">
        <v>1.2023863635912251</v>
      </c>
      <c r="F11" s="43">
        <v>1.4734744047999786</v>
      </c>
      <c r="G11" s="43">
        <v>1</v>
      </c>
      <c r="H11" s="43">
        <v>0.8382890793139417</v>
      </c>
      <c r="I11" s="105">
        <v>0.4798216195518703</v>
      </c>
      <c r="J11" s="105">
        <v>4.5820569866775816E-2</v>
      </c>
      <c r="K11" s="105">
        <v>4.8374638551830678E-3</v>
      </c>
      <c r="L11" s="105">
        <v>1.5321936437936542E-2</v>
      </c>
      <c r="M11" s="105">
        <v>1.5067767405627368E-2</v>
      </c>
      <c r="N11" s="105">
        <v>1.8831614666543434E-3</v>
      </c>
      <c r="O11" s="105">
        <v>5.2999999999999999E-2</v>
      </c>
      <c r="P11" s="105">
        <v>8.6999999999999994E-2</v>
      </c>
      <c r="Q11" s="106">
        <f t="shared" si="1"/>
        <v>1.7974428842564519E-2</v>
      </c>
      <c r="R11" s="102">
        <v>108663</v>
      </c>
      <c r="S11" s="70" t="s">
        <v>126</v>
      </c>
      <c r="T11" s="105">
        <v>2.1000000000000001E-2</v>
      </c>
    </row>
    <row r="12" spans="1:39" hidden="1">
      <c r="B12" s="81" t="s">
        <v>127</v>
      </c>
      <c r="C12" s="43">
        <v>1.1709094800254698</v>
      </c>
      <c r="D12" s="43">
        <v>1.2982995874950012</v>
      </c>
      <c r="E12" s="43">
        <v>1.5065873244209751</v>
      </c>
      <c r="F12" s="43">
        <v>1.7053521105550506</v>
      </c>
      <c r="G12" s="43">
        <v>1</v>
      </c>
      <c r="H12" s="43">
        <v>0.71738891291926332</v>
      </c>
      <c r="I12" s="105">
        <v>0.27660028943250936</v>
      </c>
      <c r="J12" s="105">
        <v>9.3227172479347226E-2</v>
      </c>
      <c r="K12" s="105">
        <v>1.3024462921132312E-2</v>
      </c>
      <c r="L12" s="105">
        <v>4.5368278837784291E-2</v>
      </c>
      <c r="M12" s="105">
        <v>2.3654432536058912E-2</v>
      </c>
      <c r="N12" s="105">
        <v>2.265263292802102E-3</v>
      </c>
      <c r="O12" s="105">
        <v>0</v>
      </c>
      <c r="P12" s="105">
        <v>0</v>
      </c>
      <c r="Q12" s="106">
        <f t="shared" si="1"/>
        <v>3.297295526885434E-2</v>
      </c>
      <c r="R12" s="102">
        <v>709000</v>
      </c>
      <c r="S12" s="70" t="s">
        <v>127</v>
      </c>
      <c r="T12" s="105">
        <v>4.8000000000000001E-2</v>
      </c>
    </row>
    <row r="13" spans="1:39" hidden="1">
      <c r="B13" s="107" t="s">
        <v>128</v>
      </c>
      <c r="C13" s="43">
        <v>1.3012839444536703</v>
      </c>
      <c r="D13" s="43">
        <v>1.3114228410937188</v>
      </c>
      <c r="E13" s="43">
        <v>1.8211420671678382</v>
      </c>
      <c r="F13" s="43">
        <v>1.9871165596887674</v>
      </c>
      <c r="G13" s="43">
        <v>1</v>
      </c>
      <c r="H13" s="43">
        <v>0.98475379743695457</v>
      </c>
      <c r="I13" s="105">
        <v>0.43913750836128984</v>
      </c>
      <c r="J13" s="105">
        <v>0.13835347171018531</v>
      </c>
      <c r="K13" s="105">
        <v>1.4271075154951168E-2</v>
      </c>
      <c r="L13" s="105">
        <v>0.13598066168382264</v>
      </c>
      <c r="M13" s="105">
        <v>5.3669643941636057E-2</v>
      </c>
      <c r="N13" s="105">
        <v>0.12627386709868804</v>
      </c>
      <c r="O13" s="105">
        <v>0.14055555555555557</v>
      </c>
      <c r="P13" s="105">
        <v>0.23041894353369766</v>
      </c>
      <c r="Q13" s="106">
        <f t="shared" si="1"/>
        <v>5.4500570682056264E-2</v>
      </c>
      <c r="R13" s="102">
        <f>(793+623+333+718+404)/5*1000</f>
        <v>574200</v>
      </c>
      <c r="S13" s="70" t="s">
        <v>129</v>
      </c>
      <c r="T13" s="105">
        <v>9.0999999999999998E-2</v>
      </c>
    </row>
    <row r="14" spans="1:39" hidden="1">
      <c r="B14" s="107" t="s">
        <v>130</v>
      </c>
      <c r="C14" s="43">
        <v>0.50151879874094407</v>
      </c>
      <c r="D14" s="43">
        <v>0.84571548327821899</v>
      </c>
      <c r="E14" s="43">
        <v>0.89742525816321472</v>
      </c>
      <c r="F14" s="43">
        <v>1.6324121647175585</v>
      </c>
      <c r="G14" s="43">
        <v>1</v>
      </c>
      <c r="H14" s="43">
        <v>0.13586877296187153</v>
      </c>
      <c r="I14" s="105">
        <v>7.2403128811601478E-2</v>
      </c>
      <c r="J14" s="105">
        <v>1.0999999999999999E-2</v>
      </c>
      <c r="K14" s="105">
        <v>1.1625096183831521E-3</v>
      </c>
      <c r="L14" s="105">
        <v>7.228780047644442E-3</v>
      </c>
      <c r="M14" s="105">
        <v>2.3526980372039983E-4</v>
      </c>
      <c r="N14" s="105">
        <v>4.2367017203297098E-3</v>
      </c>
      <c r="O14" s="105">
        <v>4.7500000000000001E-2</v>
      </c>
      <c r="P14" s="105">
        <v>7.7868852459016397E-2</v>
      </c>
      <c r="Q14" s="106">
        <f t="shared" si="1"/>
        <v>1.7315958523186408E-3</v>
      </c>
      <c r="R14" s="102">
        <f>(47+71)/2*1000</f>
        <v>59000</v>
      </c>
      <c r="S14" s="70" t="s">
        <v>329</v>
      </c>
      <c r="T14" s="105">
        <v>3.2000000000000001E-2</v>
      </c>
    </row>
    <row r="15" spans="1:39" hidden="1">
      <c r="B15" s="107" t="s">
        <v>131</v>
      </c>
      <c r="C15" s="43">
        <v>1.0423239049018456</v>
      </c>
      <c r="D15" s="43">
        <v>1.2320295495849645</v>
      </c>
      <c r="E15" s="43">
        <v>1.7464930592633232</v>
      </c>
      <c r="F15" s="43">
        <v>1.5385920517689851</v>
      </c>
      <c r="G15" s="43">
        <v>1</v>
      </c>
      <c r="H15" s="43">
        <v>0.71113486694144923</v>
      </c>
      <c r="I15" s="105">
        <v>0.17526680985829018</v>
      </c>
      <c r="J15" s="105">
        <v>1.9E-2</v>
      </c>
      <c r="K15" s="105">
        <v>6.1415679679769075E-3</v>
      </c>
      <c r="L15" s="105">
        <v>3.4096109990078144E-2</v>
      </c>
      <c r="M15" s="105">
        <v>5.6438337094794734E-3</v>
      </c>
      <c r="N15" s="105">
        <v>2.4722552549377797E-3</v>
      </c>
      <c r="O15" s="105">
        <v>4.2000000000000003E-2</v>
      </c>
      <c r="P15" s="105">
        <v>6.8852459016393447E-2</v>
      </c>
      <c r="Q15" s="106">
        <f t="shared" si="1"/>
        <v>7.9363760263271611E-3</v>
      </c>
      <c r="R15" s="102">
        <f>(821+115+735)/3*1000</f>
        <v>557000</v>
      </c>
      <c r="S15" s="70" t="s">
        <v>132</v>
      </c>
      <c r="T15" s="105">
        <v>3.1E-2</v>
      </c>
    </row>
    <row r="16" spans="1:39" hidden="1">
      <c r="B16" s="81" t="s">
        <v>133</v>
      </c>
      <c r="C16" s="43">
        <v>1.305953714572567</v>
      </c>
      <c r="D16" s="43">
        <v>1.4345052164687229</v>
      </c>
      <c r="E16" s="43">
        <v>1.8717035743475812</v>
      </c>
      <c r="F16" s="43">
        <v>1.9220760784515993</v>
      </c>
      <c r="G16" s="43">
        <v>1</v>
      </c>
      <c r="H16" s="43">
        <v>0.8256188318244152</v>
      </c>
      <c r="I16" s="105">
        <v>0.35106106596597619</v>
      </c>
      <c r="J16" s="105">
        <v>0.20606022737362742</v>
      </c>
      <c r="K16" s="105">
        <v>9.6158589323239521E-3</v>
      </c>
      <c r="L16" s="105">
        <v>5.3679776112285874E-2</v>
      </c>
      <c r="M16" s="105">
        <v>0.14868735632939908</v>
      </c>
      <c r="N16" s="105">
        <v>9.4389323897251062E-2</v>
      </c>
      <c r="O16" s="105">
        <v>8.1599999999999992E-2</v>
      </c>
      <c r="P16" s="105">
        <v>0.13377049180327868</v>
      </c>
      <c r="Q16" s="106">
        <f t="shared" si="1"/>
        <v>0.18009201171058137</v>
      </c>
      <c r="R16" s="102">
        <f>(194+305+415+390)/4*1000</f>
        <v>326000</v>
      </c>
      <c r="S16" s="70" t="s">
        <v>133</v>
      </c>
      <c r="T16" s="105">
        <v>0.1</v>
      </c>
    </row>
    <row r="17" spans="1:20" hidden="1">
      <c r="B17" s="81" t="s">
        <v>134</v>
      </c>
      <c r="C17" s="43">
        <v>1.4987050779466815</v>
      </c>
      <c r="D17" s="43">
        <v>1.5989460721941318</v>
      </c>
      <c r="E17" s="43">
        <v>1.9618144067397689</v>
      </c>
      <c r="F17" s="43">
        <v>2.0106331125428158</v>
      </c>
      <c r="G17" s="43">
        <v>1</v>
      </c>
      <c r="H17" s="43">
        <v>0.88518775995946697</v>
      </c>
      <c r="I17" s="105">
        <v>0.537752300604461</v>
      </c>
      <c r="J17" s="105">
        <v>0.23211066467143479</v>
      </c>
      <c r="K17" s="105">
        <v>4.0044067916435916E-2</v>
      </c>
      <c r="L17" s="105">
        <v>0.1513980369746315</v>
      </c>
      <c r="M17" s="105">
        <v>0.10472021586209335</v>
      </c>
      <c r="N17" s="105">
        <v>7.1186181055509085E-2</v>
      </c>
      <c r="O17" s="105">
        <v>9.6999999999999989E-2</v>
      </c>
      <c r="P17" s="105">
        <v>0.15901639344262294</v>
      </c>
      <c r="Q17" s="106">
        <f t="shared" si="1"/>
        <v>0.11830282861896839</v>
      </c>
      <c r="R17" s="102">
        <v>420000</v>
      </c>
      <c r="S17" s="70" t="s">
        <v>134</v>
      </c>
      <c r="T17" s="105">
        <v>0.08</v>
      </c>
    </row>
    <row r="18" spans="1:20" hidden="1">
      <c r="B18" s="107" t="s">
        <v>135</v>
      </c>
      <c r="C18" s="43">
        <v>1.0370823271484118</v>
      </c>
      <c r="D18" s="43">
        <v>1.4756404645050363</v>
      </c>
      <c r="E18" s="43">
        <v>1.8921640784745655</v>
      </c>
      <c r="F18" s="43">
        <v>1.9909645306499819</v>
      </c>
      <c r="G18" s="43">
        <v>1</v>
      </c>
      <c r="H18" s="43">
        <v>0.38468419131069731</v>
      </c>
      <c r="I18" s="105">
        <v>0.19155432920493162</v>
      </c>
      <c r="J18" s="105">
        <v>7.4953660797034291E-2</v>
      </c>
      <c r="K18" s="105">
        <v>6.1336254107338438E-3</v>
      </c>
      <c r="L18" s="105">
        <v>3.2360210071053441E-2</v>
      </c>
      <c r="M18" s="105">
        <v>2.0156149071811721E-2</v>
      </c>
      <c r="N18" s="105">
        <v>3.1062712388013593E-2</v>
      </c>
      <c r="O18" s="105">
        <v>5.8301587301587306E-2</v>
      </c>
      <c r="P18" s="105">
        <v>9.5576372625552963E-2</v>
      </c>
      <c r="Q18" s="106">
        <f t="shared" si="1"/>
        <v>5.2396613968293371E-2</v>
      </c>
      <c r="R18" s="102">
        <f>(310)/1*1000</f>
        <v>310000</v>
      </c>
      <c r="S18" s="70" t="s">
        <v>135</v>
      </c>
      <c r="T18" s="105">
        <f>M18/H18</f>
        <v>5.2396613968293371E-2</v>
      </c>
    </row>
    <row r="19" spans="1:20" hidden="1">
      <c r="B19" s="107" t="s">
        <v>136</v>
      </c>
      <c r="C19" s="43">
        <v>0.6968060257180273</v>
      </c>
      <c r="D19" s="43">
        <v>1.039068795945381</v>
      </c>
      <c r="E19" s="43">
        <v>1.3581392458921726</v>
      </c>
      <c r="F19" s="43">
        <v>1.5745585189657196</v>
      </c>
      <c r="G19" s="43">
        <v>1</v>
      </c>
      <c r="H19" s="43">
        <v>0.28844346492698503</v>
      </c>
      <c r="I19" s="105">
        <v>9.5746610313879169E-2</v>
      </c>
      <c r="J19" s="105">
        <v>1.2596936504185238E-2</v>
      </c>
      <c r="K19" s="105">
        <v>2.7260386152163519E-3</v>
      </c>
      <c r="L19" s="105">
        <v>2.3479106782669873E-2</v>
      </c>
      <c r="M19" s="105">
        <v>2.7700069799779059E-3</v>
      </c>
      <c r="N19" s="105">
        <v>2.0406817294956279E-2</v>
      </c>
      <c r="O19" s="105">
        <v>8.2500000000000004E-2</v>
      </c>
      <c r="P19" s="105">
        <v>0.13524590163934427</v>
      </c>
      <c r="Q19" s="106">
        <f t="shared" si="1"/>
        <v>9.6032925574482675E-3</v>
      </c>
      <c r="R19" s="102">
        <f>(318+203)/2*1000</f>
        <v>260500</v>
      </c>
      <c r="S19" s="70" t="s">
        <v>137</v>
      </c>
      <c r="T19" s="105">
        <v>2.4E-2</v>
      </c>
    </row>
    <row r="20" spans="1:20" hidden="1">
      <c r="B20" s="81" t="s">
        <v>138</v>
      </c>
      <c r="C20" s="43">
        <v>1.192653265029965</v>
      </c>
      <c r="D20" s="43">
        <v>1.5895289647631112</v>
      </c>
      <c r="E20" s="43">
        <v>1.9468425775581359</v>
      </c>
      <c r="F20" s="43">
        <v>2.1211419910453304</v>
      </c>
      <c r="G20" s="43">
        <v>1</v>
      </c>
      <c r="H20" s="43">
        <v>0.42490456759247069</v>
      </c>
      <c r="I20" s="105">
        <v>0.21365576637394459</v>
      </c>
      <c r="J20" s="105">
        <v>6.3070008838075176E-2</v>
      </c>
      <c r="K20" s="105">
        <v>5.1336053705410035E-3</v>
      </c>
      <c r="L20" s="105">
        <v>4.9041915041651785E-2</v>
      </c>
      <c r="M20" s="105">
        <v>1.0906560860490043E-2</v>
      </c>
      <c r="N20" s="105">
        <v>1.5043532221365577E-2</v>
      </c>
      <c r="O20" s="105">
        <v>6.3999999999999987E-2</v>
      </c>
      <c r="P20" s="105">
        <v>0.10491803278688523</v>
      </c>
      <c r="Q20" s="106">
        <f t="shared" si="1"/>
        <v>2.5668259869003365E-2</v>
      </c>
      <c r="R20" s="102">
        <v>961000</v>
      </c>
      <c r="S20" s="70" t="s">
        <v>138</v>
      </c>
      <c r="T20" s="105">
        <v>3.5000000000000003E-2</v>
      </c>
    </row>
    <row r="21" spans="1:20" hidden="1">
      <c r="B21" s="81" t="s">
        <v>139</v>
      </c>
      <c r="C21" s="43">
        <v>0.8079640770499541</v>
      </c>
      <c r="D21" s="43">
        <v>1.0688726298797697</v>
      </c>
      <c r="E21" s="43">
        <v>1.3230114934520323</v>
      </c>
      <c r="F21" s="43">
        <v>1.4448693911394785</v>
      </c>
      <c r="G21" s="43">
        <v>1</v>
      </c>
      <c r="H21" s="43">
        <v>0.40275208353618264</v>
      </c>
      <c r="I21" s="105">
        <v>0.1628197672123641</v>
      </c>
      <c r="J21" s="105">
        <v>3.0786599053165369E-2</v>
      </c>
      <c r="K21" s="105">
        <v>1.9131427909779661E-2</v>
      </c>
      <c r="L21" s="105">
        <v>3.5931295279247794E-2</v>
      </c>
      <c r="M21" s="105">
        <v>7.8867798412117791E-3</v>
      </c>
      <c r="N21" s="105">
        <v>2.3231395541614144E-2</v>
      </c>
      <c r="O21" s="105">
        <v>4.3999999999999997E-2</v>
      </c>
      <c r="P21" s="105">
        <v>7.2131147540983598E-2</v>
      </c>
      <c r="Q21" s="106">
        <f t="shared" si="1"/>
        <v>1.9582219840963883E-2</v>
      </c>
      <c r="R21" s="102">
        <v>188000</v>
      </c>
      <c r="S21" s="70" t="s">
        <v>139</v>
      </c>
      <c r="T21" s="105">
        <v>3.5999999999999997E-2</v>
      </c>
    </row>
    <row r="22" spans="1:20" hidden="1">
      <c r="B22" s="81" t="s">
        <v>140</v>
      </c>
      <c r="C22" s="43">
        <v>1.5518304252583999</v>
      </c>
      <c r="D22" s="43">
        <v>1.6026896130099491</v>
      </c>
      <c r="E22" s="43">
        <v>1.8760534820611334</v>
      </c>
      <c r="F22" s="43">
        <v>1.9167112840464655</v>
      </c>
      <c r="G22" s="43">
        <v>1</v>
      </c>
      <c r="H22" s="43">
        <v>0.93691198879543702</v>
      </c>
      <c r="I22" s="105">
        <v>0.63597059092181019</v>
      </c>
      <c r="J22" s="105">
        <v>0.28931637376960762</v>
      </c>
      <c r="K22" s="105">
        <v>1.3664985305609967E-2</v>
      </c>
      <c r="L22" s="105">
        <v>0.10232427988789637</v>
      </c>
      <c r="M22" s="105">
        <v>0.14221878765120288</v>
      </c>
      <c r="N22" s="105">
        <v>4.3355337463517753E-2</v>
      </c>
      <c r="O22" s="105">
        <v>8.9687500000000003E-2</v>
      </c>
      <c r="P22" s="105">
        <v>0.14702868852459017</v>
      </c>
      <c r="Q22" s="106">
        <f t="shared" si="1"/>
        <v>0.15179524795498647</v>
      </c>
      <c r="R22" s="102">
        <f>(190)/1*1000</f>
        <v>190000</v>
      </c>
      <c r="S22" s="70" t="s">
        <v>140</v>
      </c>
      <c r="T22" s="105">
        <v>9.5000000000000001E-2</v>
      </c>
    </row>
    <row r="23" spans="1:20" hidden="1">
      <c r="B23" s="81" t="s">
        <v>141</v>
      </c>
      <c r="C23" s="43">
        <v>0.92040317584418885</v>
      </c>
      <c r="D23" s="43">
        <v>1.164635899924322</v>
      </c>
      <c r="E23" s="43">
        <v>1.4612891335679323</v>
      </c>
      <c r="F23" s="43">
        <v>1.7677604241968359</v>
      </c>
      <c r="G23" s="43">
        <v>1</v>
      </c>
      <c r="H23" s="43">
        <v>0.53414035054314191</v>
      </c>
      <c r="I23" s="105">
        <v>0.16378990260574844</v>
      </c>
      <c r="J23" s="105">
        <v>2.935156183059303E-2</v>
      </c>
      <c r="K23" s="105">
        <v>4.055713700886354E-3</v>
      </c>
      <c r="L23" s="105">
        <v>6.0692898692841571E-2</v>
      </c>
      <c r="M23" s="105">
        <v>6.635756923750678E-3</v>
      </c>
      <c r="N23" s="105">
        <v>0.11818216438017079</v>
      </c>
      <c r="O23" s="105">
        <v>0.14199999999999999</v>
      </c>
      <c r="P23" s="105">
        <v>0.23278688524590163</v>
      </c>
      <c r="Q23" s="106">
        <f t="shared" si="1"/>
        <v>1.2423245907191046E-2</v>
      </c>
      <c r="R23" s="102">
        <f>(657)/1*1000</f>
        <v>657000</v>
      </c>
      <c r="S23" s="70" t="s">
        <v>141</v>
      </c>
      <c r="T23" s="105">
        <v>3.3000000000000002E-2</v>
      </c>
    </row>
    <row r="24" spans="1:20" hidden="1">
      <c r="B24" s="107" t="s">
        <v>142</v>
      </c>
      <c r="C24" s="43">
        <v>0.69621678023567413</v>
      </c>
      <c r="D24" s="43">
        <v>0.94379129010607787</v>
      </c>
      <c r="E24" s="43">
        <v>1.6397331350232369</v>
      </c>
      <c r="F24" s="43">
        <v>1.5574599528077457</v>
      </c>
      <c r="G24" s="43">
        <v>1</v>
      </c>
      <c r="H24" s="43">
        <v>0.32848829964044302</v>
      </c>
      <c r="I24" s="105">
        <v>7.2691902556252103E-2</v>
      </c>
      <c r="J24" s="105">
        <v>1.6E-2</v>
      </c>
      <c r="K24" s="105">
        <v>2.458262661561246E-3</v>
      </c>
      <c r="L24" s="105">
        <v>2.757346912807758E-2</v>
      </c>
      <c r="M24" s="105">
        <v>4.9139017770589259E-3</v>
      </c>
      <c r="N24" s="105">
        <v>8.1567358889295533E-2</v>
      </c>
      <c r="O24" s="105">
        <v>2.9882352941176478E-2</v>
      </c>
      <c r="P24" s="105">
        <v>4.8987463837994225E-2</v>
      </c>
      <c r="Q24" s="106">
        <f t="shared" si="1"/>
        <v>1.4959137912788944E-2</v>
      </c>
      <c r="R24" s="102">
        <f>(175+205)/2*1000</f>
        <v>190000</v>
      </c>
      <c r="S24" s="70" t="s">
        <v>143</v>
      </c>
      <c r="T24" s="105">
        <v>5.8999999999999997E-2</v>
      </c>
    </row>
    <row r="25" spans="1:20" hidden="1">
      <c r="B25" s="107" t="s">
        <v>144</v>
      </c>
      <c r="C25" s="43">
        <v>1.0463223175656908</v>
      </c>
      <c r="D25" s="43">
        <v>1.2822291038473201</v>
      </c>
      <c r="E25" s="43">
        <v>1.6283142720040176</v>
      </c>
      <c r="F25" s="43">
        <v>1.7173563238320766</v>
      </c>
      <c r="G25" s="43">
        <v>1</v>
      </c>
      <c r="H25" s="43">
        <v>0.33157885489044597</v>
      </c>
      <c r="I25" s="105">
        <v>7.6009394529229057E-2</v>
      </c>
      <c r="J25" s="105">
        <v>1.8572351736484628E-2</v>
      </c>
      <c r="K25" s="105">
        <v>5.1755812523305734E-3</v>
      </c>
      <c r="L25" s="105">
        <v>2.3931450392707724E-2</v>
      </c>
      <c r="M25" s="105">
        <v>5.9565063752774726E-3</v>
      </c>
      <c r="N25" s="105">
        <v>1.6424807648380654E-2</v>
      </c>
      <c r="O25" s="105">
        <v>4.9124999999999995E-2</v>
      </c>
      <c r="P25" s="105">
        <v>8.0532786885245899E-2</v>
      </c>
      <c r="Q25" s="106">
        <f t="shared" si="1"/>
        <v>1.7964071856287425E-2</v>
      </c>
      <c r="R25" s="102">
        <f>(218)/1*1000</f>
        <v>218000</v>
      </c>
      <c r="S25" s="70" t="s">
        <v>145</v>
      </c>
      <c r="T25" s="105">
        <v>6.7000000000000004E-2</v>
      </c>
    </row>
    <row r="26" spans="1:20" hidden="1">
      <c r="B26" s="107" t="s">
        <v>146</v>
      </c>
      <c r="C26" s="43">
        <v>1.4215987704206476</v>
      </c>
      <c r="D26" s="43">
        <v>1.5257485977410694</v>
      </c>
      <c r="E26" s="43">
        <v>1.8436922573776058</v>
      </c>
      <c r="F26" s="43">
        <v>1.9324043231771899</v>
      </c>
      <c r="G26" s="43">
        <v>1</v>
      </c>
      <c r="H26" s="43">
        <v>0.66896324256972184</v>
      </c>
      <c r="I26" s="105">
        <v>0.27302378421959173</v>
      </c>
      <c r="J26" s="105">
        <v>0.12689192655843443</v>
      </c>
      <c r="K26" s="105">
        <v>1.2221937186205886E-2</v>
      </c>
      <c r="L26" s="105">
        <v>5.6363836259024448E-2</v>
      </c>
      <c r="M26" s="105">
        <v>3.3642393813904055E-2</v>
      </c>
      <c r="N26" s="105">
        <v>1.7004434346025582E-2</v>
      </c>
      <c r="O26" s="105">
        <v>7.9250000000000015E-2</v>
      </c>
      <c r="P26" s="105">
        <v>0.12991803278688527</v>
      </c>
      <c r="Q26" s="106">
        <f t="shared" si="1"/>
        <v>5.029034732113509E-2</v>
      </c>
      <c r="R26" s="102">
        <f>(698)/1*1000</f>
        <v>698000</v>
      </c>
      <c r="S26" s="70" t="s">
        <v>146</v>
      </c>
      <c r="T26" s="105">
        <v>6.7000000000000004E-2</v>
      </c>
    </row>
    <row r="27" spans="1:20" hidden="1">
      <c r="B27" s="81" t="s">
        <v>147</v>
      </c>
      <c r="C27" s="43">
        <v>1.146606205472203</v>
      </c>
      <c r="D27" s="43">
        <v>1.3662964770014956</v>
      </c>
      <c r="E27" s="43">
        <v>1.7376821751081182</v>
      </c>
      <c r="F27" s="43">
        <v>1.9559573544497588</v>
      </c>
      <c r="G27" s="43">
        <v>1</v>
      </c>
      <c r="H27" s="43">
        <v>0.65807186243656068</v>
      </c>
      <c r="I27" s="105">
        <v>0.37336053119662449</v>
      </c>
      <c r="J27" s="105">
        <v>5.3406078303300422E-2</v>
      </c>
      <c r="K27" s="105">
        <v>3.9766396434471893E-3</v>
      </c>
      <c r="L27" s="105">
        <v>6.8435924931103009E-2</v>
      </c>
      <c r="M27" s="105">
        <v>3.051900648627125E-2</v>
      </c>
      <c r="N27" s="105">
        <v>0.24283349109491192</v>
      </c>
      <c r="O27" s="105">
        <v>2.6411764705882357E-2</v>
      </c>
      <c r="P27" s="105">
        <v>4.3297974927675995E-2</v>
      </c>
      <c r="Q27" s="106">
        <f t="shared" si="1"/>
        <v>4.6376403898006409E-2</v>
      </c>
      <c r="R27" s="102">
        <f>(429+942+531+1500)/4*1000</f>
        <v>850500</v>
      </c>
      <c r="S27" s="70" t="s">
        <v>147</v>
      </c>
      <c r="T27" s="105">
        <f>M27/H27</f>
        <v>4.6376403898006409E-2</v>
      </c>
    </row>
    <row r="28" spans="1:20" ht="13.8" hidden="1" thickBot="1">
      <c r="B28" s="81" t="s">
        <v>148</v>
      </c>
      <c r="C28" s="43">
        <v>1</v>
      </c>
      <c r="D28" s="43">
        <f t="shared" ref="D28:J28" si="2">AVERAGE(D7:D27)</f>
        <v>1.2727075804285928</v>
      </c>
      <c r="E28" s="43">
        <f t="shared" si="2"/>
        <v>1.6182164341473591</v>
      </c>
      <c r="F28" s="43">
        <f t="shared" si="2"/>
        <v>1.7828374253207442</v>
      </c>
      <c r="G28" s="43">
        <f t="shared" si="2"/>
        <v>1</v>
      </c>
      <c r="H28" s="105">
        <f t="shared" si="2"/>
        <v>0.55043858033445614</v>
      </c>
      <c r="I28" s="105">
        <f t="shared" si="2"/>
        <v>0.24471287108114761</v>
      </c>
      <c r="J28" s="105">
        <f t="shared" si="2"/>
        <v>7.6050115447678326E-2</v>
      </c>
      <c r="K28" s="105">
        <v>7.3766904562545758E-3</v>
      </c>
      <c r="L28" s="105">
        <v>4.3193805909595255E-2</v>
      </c>
      <c r="M28" s="105">
        <v>2.4813631793631392E-2</v>
      </c>
      <c r="N28" s="105">
        <v>4.3650708360575302E-2</v>
      </c>
      <c r="O28" s="105">
        <v>6.3E-2</v>
      </c>
      <c r="P28" s="105">
        <v>0.10327868852459017</v>
      </c>
      <c r="Q28" s="106">
        <f t="shared" si="1"/>
        <v>4.5079746733149038E-2</v>
      </c>
      <c r="R28" s="102">
        <f>AVERAGE(R7:R27)</f>
        <v>432072.8412698413</v>
      </c>
      <c r="T28" s="105">
        <f>M28/H28</f>
        <v>4.5079746733149038E-2</v>
      </c>
    </row>
    <row r="29" spans="1:20" ht="13.8" hidden="1" thickTop="1">
      <c r="B29" s="52" t="str">
        <f>Industry</f>
        <v>Average / Mixed</v>
      </c>
      <c r="C29" s="55">
        <f t="shared" ref="C29:P29" si="3">VLOOKUP(Industry,$B$7:$AN$28,C$3,FALSE)</f>
        <v>1</v>
      </c>
      <c r="D29" s="55">
        <f t="shared" si="3"/>
        <v>1.2727075804285928</v>
      </c>
      <c r="E29" s="55">
        <f t="shared" si="3"/>
        <v>1.6182164341473591</v>
      </c>
      <c r="F29" s="55">
        <f t="shared" si="3"/>
        <v>1.7828374253207442</v>
      </c>
      <c r="G29" s="55">
        <f t="shared" si="3"/>
        <v>1</v>
      </c>
      <c r="H29" s="104">
        <f t="shared" si="3"/>
        <v>0.55043858033445614</v>
      </c>
      <c r="I29" s="104">
        <f t="shared" si="3"/>
        <v>0.24471287108114761</v>
      </c>
      <c r="J29" s="104">
        <f t="shared" si="3"/>
        <v>7.6050115447678326E-2</v>
      </c>
      <c r="K29" s="104">
        <f t="shared" si="3"/>
        <v>7.3766904562545758E-3</v>
      </c>
      <c r="L29" s="104">
        <f t="shared" si="3"/>
        <v>4.3193805909595255E-2</v>
      </c>
      <c r="M29" s="104">
        <f>VLOOKUP(Industry,$B$7:$AN$28,M$3,FALSE)</f>
        <v>2.4813631793631392E-2</v>
      </c>
      <c r="N29" s="104">
        <f t="shared" si="3"/>
        <v>4.3650708360575302E-2</v>
      </c>
      <c r="O29" s="104">
        <f t="shared" si="3"/>
        <v>6.3E-2</v>
      </c>
      <c r="P29" s="104">
        <f t="shared" si="3"/>
        <v>0.10327868852459017</v>
      </c>
      <c r="R29" s="50">
        <f>VLOOKUP(Industry,$B$7:$AN$28,R$3,FALSE)</f>
        <v>432072.8412698413</v>
      </c>
      <c r="T29" s="105">
        <f>VLOOKUP(Industry,$B$7:$AN$28,T$3,FALSE)</f>
        <v>4.5079746733149038E-2</v>
      </c>
    </row>
    <row r="30" spans="1:20" hidden="1">
      <c r="B30" s="81" t="s">
        <v>149</v>
      </c>
      <c r="C30" s="72"/>
      <c r="D30" s="72"/>
      <c r="E30" s="72"/>
      <c r="F30" s="72"/>
      <c r="G30" s="72"/>
      <c r="H30" s="105">
        <v>1</v>
      </c>
      <c r="I30" s="105">
        <f>I29/$H$29</f>
        <v>0.44457797804153876</v>
      </c>
      <c r="J30" s="105">
        <f>J29/H29</f>
        <v>0.13816276359383992</v>
      </c>
      <c r="K30" s="105">
        <f>K29/$H$29</f>
        <v>1.340147787564667E-2</v>
      </c>
      <c r="L30" s="105">
        <f>L29/$H$29</f>
        <v>7.8471617820375053E-2</v>
      </c>
      <c r="N30" s="105">
        <f>N29/$H$29</f>
        <v>7.9301687636161633E-2</v>
      </c>
      <c r="O30" s="110"/>
      <c r="P30" s="111"/>
      <c r="T30" s="105">
        <f>T29*0.7</f>
        <v>3.1555822713204326E-2</v>
      </c>
    </row>
    <row r="31" spans="1:20" hidden="1">
      <c r="C31" s="588" t="s">
        <v>150</v>
      </c>
      <c r="D31" s="589"/>
      <c r="E31" s="589"/>
      <c r="F31" s="589"/>
      <c r="G31" s="589"/>
      <c r="H31" s="589"/>
      <c r="I31" s="589"/>
      <c r="J31" s="589"/>
      <c r="K31" s="589"/>
      <c r="L31" s="589"/>
      <c r="M31" s="589"/>
      <c r="N31" s="589"/>
      <c r="R31" s="4" t="s">
        <v>151</v>
      </c>
    </row>
    <row r="32" spans="1:20" ht="21" hidden="1">
      <c r="A32" s="1" t="s">
        <v>152</v>
      </c>
    </row>
    <row r="33" spans="2:6" ht="26.4" hidden="1">
      <c r="B33" s="100" t="s">
        <v>153</v>
      </c>
      <c r="C33" s="100" t="s">
        <v>154</v>
      </c>
      <c r="D33" s="100" t="s">
        <v>155</v>
      </c>
      <c r="E33" s="100" t="s">
        <v>156</v>
      </c>
      <c r="F33" s="100" t="s">
        <v>78</v>
      </c>
    </row>
    <row r="34" spans="2:6" hidden="1">
      <c r="B34" s="109" t="s">
        <v>157</v>
      </c>
      <c r="C34" s="43">
        <v>0.87684908646237947</v>
      </c>
      <c r="D34" s="101">
        <v>1816</v>
      </c>
      <c r="E34" s="43">
        <v>1</v>
      </c>
      <c r="F34" s="43">
        <v>0.25</v>
      </c>
    </row>
    <row r="35" spans="2:6" hidden="1">
      <c r="B35" s="109" t="s">
        <v>158</v>
      </c>
      <c r="C35" s="43">
        <v>0.98948769961156657</v>
      </c>
      <c r="D35" s="101">
        <v>1550</v>
      </c>
      <c r="E35" s="43">
        <v>1</v>
      </c>
      <c r="F35" s="43">
        <v>0.25</v>
      </c>
    </row>
    <row r="36" spans="2:6" hidden="1">
      <c r="B36" s="109" t="s">
        <v>159</v>
      </c>
      <c r="C36" s="43">
        <v>0.93299999999999994</v>
      </c>
      <c r="D36" s="101">
        <v>1750.001042535446</v>
      </c>
      <c r="E36" s="43">
        <v>1</v>
      </c>
      <c r="F36" s="43">
        <v>0.25</v>
      </c>
    </row>
    <row r="37" spans="2:6" hidden="1">
      <c r="B37" s="109" t="s">
        <v>160</v>
      </c>
      <c r="C37" s="43">
        <v>0.42250405186385737</v>
      </c>
      <c r="D37" s="101">
        <v>1750.001042535446</v>
      </c>
      <c r="E37" s="43">
        <v>1</v>
      </c>
      <c r="F37" s="43">
        <v>0.25</v>
      </c>
    </row>
    <row r="38" spans="2:6" hidden="1">
      <c r="B38" s="109" t="s">
        <v>161</v>
      </c>
      <c r="C38" s="43">
        <v>0.83350000000000002</v>
      </c>
      <c r="D38" s="101">
        <v>1751</v>
      </c>
      <c r="E38" s="43">
        <v>1</v>
      </c>
      <c r="F38" s="43">
        <v>0.25</v>
      </c>
    </row>
    <row r="39" spans="2:6" hidden="1">
      <c r="B39" s="109" t="s">
        <v>162</v>
      </c>
      <c r="C39" s="43">
        <v>0.13614262560777957</v>
      </c>
      <c r="D39" s="101">
        <v>1750.001042535446</v>
      </c>
      <c r="E39" s="43">
        <v>1</v>
      </c>
      <c r="F39" s="43">
        <v>0.25</v>
      </c>
    </row>
    <row r="40" spans="2:6" hidden="1">
      <c r="B40" s="109" t="s">
        <v>163</v>
      </c>
      <c r="C40" s="43">
        <v>1.1178124730254639</v>
      </c>
      <c r="D40" s="101">
        <v>1454</v>
      </c>
      <c r="E40" s="43">
        <v>1</v>
      </c>
      <c r="F40" s="43">
        <v>0.25</v>
      </c>
    </row>
    <row r="41" spans="2:6" hidden="1">
      <c r="B41" s="109" t="s">
        <v>164</v>
      </c>
      <c r="C41" s="43">
        <v>0.96302488850525092</v>
      </c>
      <c r="D41" s="101">
        <v>1441</v>
      </c>
      <c r="E41" s="43">
        <v>1</v>
      </c>
      <c r="F41" s="43">
        <v>0.25</v>
      </c>
    </row>
    <row r="42" spans="2:6" hidden="1">
      <c r="B42" s="109" t="s">
        <v>165</v>
      </c>
      <c r="C42" s="43">
        <v>1.1265002157962882</v>
      </c>
      <c r="D42" s="101">
        <v>1443</v>
      </c>
      <c r="E42" s="43">
        <v>1</v>
      </c>
      <c r="F42" s="43">
        <v>0.25</v>
      </c>
    </row>
    <row r="43" spans="2:6" hidden="1">
      <c r="B43" s="109" t="s">
        <v>166</v>
      </c>
      <c r="C43" s="43">
        <v>0.23780750971083295</v>
      </c>
      <c r="D43" s="101">
        <v>1750.001042535446</v>
      </c>
      <c r="E43" s="43">
        <v>1</v>
      </c>
      <c r="F43" s="43">
        <v>0.25</v>
      </c>
    </row>
    <row r="44" spans="2:6" hidden="1">
      <c r="B44" s="109" t="s">
        <v>167</v>
      </c>
      <c r="C44" s="43">
        <v>0.14700162074554296</v>
      </c>
      <c r="D44" s="101">
        <v>1750.001042535446</v>
      </c>
      <c r="E44" s="43">
        <v>1</v>
      </c>
      <c r="F44" s="43">
        <v>0.25</v>
      </c>
    </row>
    <row r="45" spans="2:6" hidden="1">
      <c r="B45" s="109" t="s">
        <v>168</v>
      </c>
      <c r="C45" s="43">
        <v>0.13614262560777957</v>
      </c>
      <c r="D45" s="101">
        <v>1750.001042535446</v>
      </c>
      <c r="E45" s="43">
        <v>1</v>
      </c>
      <c r="F45" s="43">
        <v>0.25</v>
      </c>
    </row>
    <row r="46" spans="2:6" hidden="1">
      <c r="B46" s="109" t="s">
        <v>169</v>
      </c>
      <c r="C46" s="43">
        <v>0.94691411307725504</v>
      </c>
      <c r="D46" s="101">
        <v>1642</v>
      </c>
      <c r="E46" s="43">
        <v>1</v>
      </c>
      <c r="F46" s="43">
        <v>0.25</v>
      </c>
    </row>
    <row r="47" spans="2:6" hidden="1">
      <c r="B47" s="109" t="s">
        <v>170</v>
      </c>
      <c r="C47" s="43">
        <v>0.80495079844626671</v>
      </c>
      <c r="D47" s="101">
        <v>1585</v>
      </c>
      <c r="E47" s="43">
        <v>1</v>
      </c>
      <c r="F47" s="43">
        <v>0.25</v>
      </c>
    </row>
    <row r="48" spans="2:6" hidden="1">
      <c r="B48" s="109" t="s">
        <v>171</v>
      </c>
      <c r="C48" s="43">
        <v>0.82009387138541201</v>
      </c>
      <c r="D48" s="101">
        <v>1789</v>
      </c>
      <c r="E48" s="43">
        <v>1</v>
      </c>
      <c r="F48" s="43">
        <v>0.25</v>
      </c>
    </row>
    <row r="49" spans="1:7" hidden="1">
      <c r="B49" s="109" t="s">
        <v>172</v>
      </c>
      <c r="C49" s="43">
        <v>0.51509732412602494</v>
      </c>
      <c r="D49" s="101">
        <v>2380</v>
      </c>
      <c r="E49" s="43">
        <v>1</v>
      </c>
      <c r="F49" s="43">
        <v>0.25</v>
      </c>
    </row>
    <row r="50" spans="1:7" hidden="1">
      <c r="B50" s="109" t="s">
        <v>173</v>
      </c>
      <c r="C50" s="43">
        <v>0.10789814415192057</v>
      </c>
      <c r="D50" s="101">
        <v>1847.9999999999998</v>
      </c>
      <c r="E50" s="43">
        <v>1</v>
      </c>
      <c r="F50" s="43">
        <v>0.25</v>
      </c>
    </row>
    <row r="51" spans="1:7" hidden="1">
      <c r="B51" s="109" t="s">
        <v>174</v>
      </c>
      <c r="C51" s="43">
        <v>0.84149999999999991</v>
      </c>
      <c r="D51" s="101">
        <v>1357</v>
      </c>
      <c r="E51" s="43">
        <v>1</v>
      </c>
      <c r="F51" s="43">
        <v>0.25</v>
      </c>
    </row>
    <row r="52" spans="1:7" hidden="1">
      <c r="B52" s="109" t="s">
        <v>175</v>
      </c>
      <c r="C52" s="43">
        <v>0.55632283124730253</v>
      </c>
      <c r="D52" s="101">
        <v>1826</v>
      </c>
      <c r="E52" s="43">
        <v>1</v>
      </c>
      <c r="F52" s="43">
        <v>0.25</v>
      </c>
    </row>
    <row r="53" spans="1:7" hidden="1">
      <c r="B53" s="109" t="s">
        <v>176</v>
      </c>
      <c r="C53" s="43">
        <v>0.94599999999999995</v>
      </c>
      <c r="D53" s="101">
        <v>1363</v>
      </c>
      <c r="E53" s="43">
        <v>1</v>
      </c>
      <c r="F53" s="43">
        <v>0.25</v>
      </c>
    </row>
    <row r="54" spans="1:7" hidden="1">
      <c r="B54" s="109" t="s">
        <v>177</v>
      </c>
      <c r="C54" s="43">
        <v>0.30297798877859294</v>
      </c>
      <c r="D54" s="101">
        <v>1694</v>
      </c>
      <c r="E54" s="43">
        <v>1</v>
      </c>
      <c r="F54" s="43">
        <v>0.25</v>
      </c>
    </row>
    <row r="55" spans="1:7" hidden="1">
      <c r="B55" s="109" t="s">
        <v>178</v>
      </c>
      <c r="C55" s="43">
        <v>0.22690437601296595</v>
      </c>
      <c r="D55" s="101">
        <v>1750.001042535446</v>
      </c>
      <c r="E55" s="43">
        <v>1</v>
      </c>
      <c r="F55" s="43">
        <v>0.25</v>
      </c>
    </row>
    <row r="56" spans="1:7" hidden="1">
      <c r="B56" s="109" t="s">
        <v>179</v>
      </c>
      <c r="C56" s="43">
        <v>0.32153646957272336</v>
      </c>
      <c r="D56" s="101">
        <v>1750.001042535446</v>
      </c>
      <c r="E56" s="43">
        <v>1</v>
      </c>
      <c r="F56" s="43">
        <v>0.25</v>
      </c>
    </row>
    <row r="57" spans="1:7" hidden="1">
      <c r="B57" s="109" t="s">
        <v>180</v>
      </c>
      <c r="C57" s="43">
        <v>0.73802330599913679</v>
      </c>
      <c r="D57" s="101">
        <v>1799</v>
      </c>
      <c r="E57" s="43">
        <v>1</v>
      </c>
      <c r="F57" s="43">
        <v>0.25</v>
      </c>
    </row>
    <row r="58" spans="1:7" hidden="1">
      <c r="B58" s="109" t="s">
        <v>181</v>
      </c>
      <c r="C58" s="43">
        <v>0.78200000000000003</v>
      </c>
      <c r="D58" s="101">
        <v>1585</v>
      </c>
      <c r="E58" s="43">
        <v>1</v>
      </c>
      <c r="F58" s="43">
        <v>0.25</v>
      </c>
    </row>
    <row r="59" spans="1:7" hidden="1">
      <c r="B59" s="109" t="s">
        <v>182</v>
      </c>
      <c r="C59" s="43">
        <v>0.25766076823478634</v>
      </c>
      <c r="D59" s="101">
        <v>1750.001042535446</v>
      </c>
      <c r="E59" s="43">
        <v>1</v>
      </c>
      <c r="F59" s="43">
        <v>0.25</v>
      </c>
    </row>
    <row r="60" spans="1:7" hidden="1">
      <c r="B60" s="109" t="s">
        <v>183</v>
      </c>
      <c r="C60" s="43">
        <v>0.94100000000000006</v>
      </c>
      <c r="D60" s="101">
        <v>1669</v>
      </c>
      <c r="E60" s="43">
        <v>1</v>
      </c>
      <c r="F60" s="43">
        <v>0.25</v>
      </c>
    </row>
    <row r="61" spans="1:7" ht="13.8" hidden="1" thickBot="1">
      <c r="B61" s="109" t="s">
        <v>184</v>
      </c>
      <c r="C61" s="43">
        <v>1</v>
      </c>
      <c r="D61" s="101">
        <v>1824</v>
      </c>
      <c r="E61" s="43">
        <v>1</v>
      </c>
      <c r="F61" s="43">
        <v>0.25</v>
      </c>
    </row>
    <row r="62" spans="1:7" ht="13.8" hidden="1" thickTop="1">
      <c r="B62" s="52" t="str">
        <f>Country</f>
        <v>U.S.</v>
      </c>
      <c r="C62" s="55">
        <f>VLOOKUP($B$62,$B$34:$J$61,C$3,FALSE)</f>
        <v>1</v>
      </c>
      <c r="D62" s="52">
        <f>VLOOKUP($B$62,$B$34:$J$61,D$3,FALSE)</f>
        <v>1824</v>
      </c>
      <c r="E62" s="55">
        <f>VLOOKUP($B$62,$B$34:$J$61,E$3,FALSE)</f>
        <v>1</v>
      </c>
      <c r="F62" s="55">
        <f>VLOOKUP($B$62,$B$34:$J$61,F$3,FALSE)</f>
        <v>0.25</v>
      </c>
      <c r="G62" s="74" t="s">
        <v>185</v>
      </c>
    </row>
    <row r="63" spans="1:7" hidden="1">
      <c r="B63" s="75" t="s">
        <v>186</v>
      </c>
    </row>
    <row r="64" spans="1:7" ht="13.8" hidden="1">
      <c r="A64" s="9"/>
    </row>
    <row r="65" spans="1:10" ht="52.8" hidden="1">
      <c r="B65" s="108" t="s">
        <v>187</v>
      </c>
      <c r="C65" s="108" t="s">
        <v>216</v>
      </c>
      <c r="D65" s="108" t="s">
        <v>154</v>
      </c>
      <c r="E65" s="108" t="s">
        <v>78</v>
      </c>
      <c r="F65" s="108" t="s">
        <v>188</v>
      </c>
    </row>
    <row r="66" spans="1:10" hidden="1">
      <c r="B66" s="109" t="s">
        <v>189</v>
      </c>
      <c r="C66" s="63">
        <f>37872*1.15</f>
        <v>43552.799999999996</v>
      </c>
      <c r="D66" s="43">
        <f>C29</f>
        <v>1</v>
      </c>
      <c r="E66" s="43">
        <f t="shared" ref="E66:E71" si="4">BurdenRate</f>
        <v>0.25</v>
      </c>
      <c r="F66" s="40">
        <f t="shared" ref="F66:F71" si="5">C66*(1+E66)</f>
        <v>54440.999999999993</v>
      </c>
    </row>
    <row r="67" spans="1:10" hidden="1">
      <c r="B67" s="109" t="s">
        <v>76</v>
      </c>
      <c r="C67" s="63">
        <f>$C$66*D67</f>
        <v>55429.978708890412</v>
      </c>
      <c r="D67" s="43">
        <f>D28</f>
        <v>1.2727075804285928</v>
      </c>
      <c r="E67" s="43">
        <f t="shared" si="4"/>
        <v>0.25</v>
      </c>
      <c r="F67" s="40">
        <f t="shared" si="5"/>
        <v>69287.473386113008</v>
      </c>
    </row>
    <row r="68" spans="1:10" hidden="1">
      <c r="B68" s="109" t="s">
        <v>8</v>
      </c>
      <c r="C68" s="63">
        <f>$C$66*D68</f>
        <v>55429.978708890412</v>
      </c>
      <c r="D68" s="43">
        <f>D29</f>
        <v>1.2727075804285928</v>
      </c>
      <c r="E68" s="43">
        <f t="shared" si="4"/>
        <v>0.25</v>
      </c>
      <c r="F68" s="40">
        <f t="shared" si="5"/>
        <v>69287.473386113008</v>
      </c>
      <c r="H68" s="74"/>
      <c r="I68" s="76"/>
      <c r="J68" s="76"/>
    </row>
    <row r="69" spans="1:10" hidden="1">
      <c r="B69" s="109" t="s">
        <v>213</v>
      </c>
      <c r="C69" s="63">
        <f>$C$66*D69</f>
        <v>70477.856713133093</v>
      </c>
      <c r="D69" s="43">
        <f>E29</f>
        <v>1.6182164341473591</v>
      </c>
      <c r="E69" s="43">
        <f t="shared" si="4"/>
        <v>0.25</v>
      </c>
      <c r="F69" s="40">
        <f t="shared" si="5"/>
        <v>88097.32089141637</v>
      </c>
      <c r="H69" s="74"/>
      <c r="I69" s="76"/>
    </row>
    <row r="70" spans="1:10" hidden="1">
      <c r="B70" s="109" t="s">
        <v>214</v>
      </c>
      <c r="C70" s="63">
        <f>$C$66*D70</f>
        <v>77647.561817509297</v>
      </c>
      <c r="D70" s="43">
        <f>F29</f>
        <v>1.7828374253207442</v>
      </c>
      <c r="E70" s="43">
        <f t="shared" si="4"/>
        <v>0.25</v>
      </c>
      <c r="F70" s="40">
        <f t="shared" si="5"/>
        <v>97059.452271886621</v>
      </c>
      <c r="H70" s="74"/>
      <c r="I70" s="76"/>
    </row>
    <row r="71" spans="1:10" hidden="1">
      <c r="B71" s="109" t="s">
        <v>190</v>
      </c>
      <c r="C71" s="63">
        <f>$C$66*D71</f>
        <v>97035.638399999996</v>
      </c>
      <c r="D71" s="43">
        <v>2.2280000000000002</v>
      </c>
      <c r="E71" s="43">
        <f t="shared" si="4"/>
        <v>0.25</v>
      </c>
      <c r="F71" s="40">
        <f t="shared" si="5"/>
        <v>121294.548</v>
      </c>
      <c r="H71" s="74"/>
      <c r="I71" s="76"/>
    </row>
    <row r="72" spans="1:10" hidden="1">
      <c r="B72" s="75" t="s">
        <v>150</v>
      </c>
    </row>
    <row r="73" spans="1:10" hidden="1">
      <c r="B73" s="75"/>
    </row>
    <row r="74" spans="1:10" ht="15" hidden="1">
      <c r="A74" s="6" t="s">
        <v>232</v>
      </c>
      <c r="B74" s="75"/>
    </row>
    <row r="75" spans="1:10" ht="26.4" hidden="1">
      <c r="B75" s="100" t="s">
        <v>187</v>
      </c>
      <c r="C75" s="100" t="s">
        <v>216</v>
      </c>
      <c r="D75" s="100" t="s">
        <v>231</v>
      </c>
    </row>
    <row r="76" spans="1:10" hidden="1">
      <c r="B76" s="81" t="s">
        <v>227</v>
      </c>
      <c r="C76" s="63">
        <v>87644.46868402668</v>
      </c>
      <c r="D76" s="41">
        <v>0.28999999999999998</v>
      </c>
    </row>
    <row r="77" spans="1:10" hidden="1">
      <c r="B77" s="81" t="s">
        <v>226</v>
      </c>
      <c r="C77" s="63">
        <v>90922.121878603008</v>
      </c>
      <c r="D77" s="41">
        <v>0.38</v>
      </c>
    </row>
    <row r="78" spans="1:10" hidden="1">
      <c r="B78" s="81" t="s">
        <v>228</v>
      </c>
      <c r="C78" s="63">
        <v>59045.367437370274</v>
      </c>
      <c r="D78" s="41">
        <v>0.18</v>
      </c>
      <c r="E78" s="102">
        <f>AVERAGE(C75:C77)</f>
        <v>89283.295281314844</v>
      </c>
      <c r="H78" s="74"/>
      <c r="I78" s="76"/>
      <c r="J78" s="76"/>
    </row>
    <row r="79" spans="1:10" hidden="1">
      <c r="B79" s="81" t="s">
        <v>218</v>
      </c>
      <c r="C79" s="63">
        <f>SUMPRODUCT(C76:C78,D76:D78)/SUM(D76:D78)</f>
        <v>83053.492201133573</v>
      </c>
      <c r="D79" s="41">
        <v>0.15</v>
      </c>
      <c r="E79" s="40">
        <f>AVERAGE(C76:C78)/C79</f>
        <v>0.95365027888519005</v>
      </c>
      <c r="H79" s="74"/>
      <c r="I79" s="76"/>
    </row>
    <row r="80" spans="1:10" hidden="1">
      <c r="B80" s="81" t="s">
        <v>7</v>
      </c>
      <c r="C80" s="63">
        <f>C79</f>
        <v>83053.492201133573</v>
      </c>
      <c r="D80" s="41">
        <v>0</v>
      </c>
      <c r="H80" s="74"/>
      <c r="I80" s="76"/>
    </row>
    <row r="81" spans="1:9" hidden="1">
      <c r="C81" s="70"/>
      <c r="D81" s="41">
        <f>SUM(D76:D80)</f>
        <v>0.99999999999999989</v>
      </c>
      <c r="H81" s="74"/>
      <c r="I81" s="76"/>
    </row>
    <row r="82" spans="1:9" hidden="1">
      <c r="B82" s="75" t="s">
        <v>225</v>
      </c>
    </row>
    <row r="83" spans="1:9" ht="15" hidden="1">
      <c r="A83" s="6" t="s">
        <v>152</v>
      </c>
      <c r="B83" s="75"/>
    </row>
    <row r="84" spans="1:9" ht="26.4" hidden="1">
      <c r="B84" s="100" t="s">
        <v>191</v>
      </c>
      <c r="C84" s="100" t="s">
        <v>154</v>
      </c>
    </row>
    <row r="85" spans="1:9" hidden="1">
      <c r="B85" s="81" t="s">
        <v>192</v>
      </c>
      <c r="C85" s="43">
        <v>1.2</v>
      </c>
    </row>
    <row r="86" spans="1:9" hidden="1">
      <c r="B86" s="81" t="s">
        <v>193</v>
      </c>
      <c r="C86" s="43">
        <v>1.0900000000000001</v>
      </c>
    </row>
    <row r="87" spans="1:9" hidden="1">
      <c r="B87" s="81" t="s">
        <v>194</v>
      </c>
      <c r="C87" s="43">
        <v>1</v>
      </c>
    </row>
    <row r="88" spans="1:9" hidden="1">
      <c r="B88" s="81" t="s">
        <v>195</v>
      </c>
      <c r="C88" s="43">
        <v>0.95</v>
      </c>
    </row>
    <row r="89" spans="1:9" hidden="1">
      <c r="B89" s="81" t="s">
        <v>196</v>
      </c>
      <c r="C89" s="43">
        <f>VLOOKUP(SiteLocation,B85:F89,C$3,FALSE)</f>
        <v>1</v>
      </c>
    </row>
    <row r="90" spans="1:9" hidden="1">
      <c r="B90" s="75" t="s">
        <v>150</v>
      </c>
    </row>
    <row r="91" spans="1:9" ht="15" hidden="1">
      <c r="A91" s="6" t="s">
        <v>197</v>
      </c>
      <c r="B91" s="75"/>
    </row>
    <row r="92" spans="1:9" ht="26.4" hidden="1">
      <c r="B92" s="100" t="s">
        <v>197</v>
      </c>
      <c r="C92" s="100" t="s">
        <v>198</v>
      </c>
      <c r="D92" s="100" t="s">
        <v>154</v>
      </c>
    </row>
    <row r="93" spans="1:9" hidden="1">
      <c r="B93" s="81" t="s">
        <v>199</v>
      </c>
      <c r="C93" s="40">
        <v>50</v>
      </c>
      <c r="D93" s="43">
        <v>0.88779807335370431</v>
      </c>
      <c r="E93" s="74" t="s">
        <v>200</v>
      </c>
    </row>
    <row r="94" spans="1:9" hidden="1">
      <c r="B94" s="81" t="s">
        <v>32</v>
      </c>
      <c r="C94" s="40">
        <v>400</v>
      </c>
      <c r="D94" s="43">
        <v>0.98589176511866494</v>
      </c>
      <c r="E94" s="74" t="s">
        <v>200</v>
      </c>
    </row>
    <row r="95" spans="1:9" hidden="1">
      <c r="B95" s="81" t="s">
        <v>201</v>
      </c>
      <c r="C95" s="40">
        <v>40000</v>
      </c>
      <c r="D95" s="40">
        <v>1.0894451812011592</v>
      </c>
      <c r="E95" s="74" t="s">
        <v>200</v>
      </c>
    </row>
    <row r="96" spans="1:9" hidden="1">
      <c r="B96" s="81" t="s">
        <v>202</v>
      </c>
      <c r="C96" s="40">
        <v>400000</v>
      </c>
      <c r="D96" s="43">
        <v>1.1512827936340195</v>
      </c>
      <c r="E96" s="74" t="s">
        <v>200</v>
      </c>
    </row>
    <row r="97" spans="1:21" hidden="1">
      <c r="B97" s="81" t="s">
        <v>196</v>
      </c>
      <c r="C97" s="40">
        <f>PCUsers</f>
        <v>5000</v>
      </c>
      <c r="D97" s="43">
        <f>0.045*LN(C97)+0.68</f>
        <v>1.0632736936137308</v>
      </c>
    </row>
    <row r="98" spans="1:21" hidden="1">
      <c r="B98" s="75" t="s">
        <v>203</v>
      </c>
    </row>
    <row r="99" spans="1:21" hidden="1">
      <c r="U99" s="67" t="s">
        <v>204</v>
      </c>
    </row>
    <row r="100" spans="1:21" ht="15" hidden="1">
      <c r="A100" s="6" t="s">
        <v>291</v>
      </c>
    </row>
    <row r="101" spans="1:21" hidden="1">
      <c r="B101" s="100" t="s">
        <v>2</v>
      </c>
      <c r="C101" s="100" t="s">
        <v>293</v>
      </c>
    </row>
    <row r="102" spans="1:21" hidden="1">
      <c r="B102" s="81" t="s">
        <v>294</v>
      </c>
      <c r="C102" s="40">
        <v>48</v>
      </c>
    </row>
    <row r="103" spans="1:21" hidden="1">
      <c r="B103" s="81" t="s">
        <v>295</v>
      </c>
      <c r="C103" s="40">
        <v>47</v>
      </c>
    </row>
    <row r="104" spans="1:21" s="103" customFormat="1" hidden="1">
      <c r="B104" s="81" t="s">
        <v>296</v>
      </c>
      <c r="C104" s="40">
        <v>41</v>
      </c>
    </row>
    <row r="105" spans="1:21" hidden="1">
      <c r="B105" s="81" t="s">
        <v>298</v>
      </c>
      <c r="C105" s="40">
        <v>38</v>
      </c>
    </row>
    <row r="106" spans="1:21" hidden="1">
      <c r="B106" s="81" t="s">
        <v>297</v>
      </c>
      <c r="C106" s="40">
        <v>25</v>
      </c>
    </row>
    <row r="107" spans="1:21" hidden="1">
      <c r="B107" s="81" t="s">
        <v>233</v>
      </c>
      <c r="C107" s="40">
        <v>16</v>
      </c>
    </row>
    <row r="108" spans="1:21" hidden="1">
      <c r="B108" s="75" t="s">
        <v>292</v>
      </c>
    </row>
    <row r="109" spans="1:21" s="103" customFormat="1" ht="13.8" hidden="1" thickBot="1">
      <c r="B109" s="75"/>
    </row>
    <row r="110" spans="1:21" s="103" customFormat="1" ht="15" hidden="1" thickTop="1" thickBot="1">
      <c r="B110" s="81" t="s">
        <v>332</v>
      </c>
      <c r="C110" s="201" t="s">
        <v>333</v>
      </c>
    </row>
    <row r="111" spans="1:21" ht="13.8" hidden="1" thickTop="1"/>
    <row r="112" spans="1:21" s="441" customFormat="1" ht="15" hidden="1">
      <c r="A112" s="6" t="s">
        <v>1106</v>
      </c>
      <c r="B112" s="75"/>
    </row>
    <row r="113" spans="2:10" s="441" customFormat="1" ht="52.8" hidden="1">
      <c r="B113" s="436" t="s">
        <v>1113</v>
      </c>
      <c r="C113" s="436" t="s">
        <v>1125</v>
      </c>
      <c r="D113" s="436" t="s">
        <v>1126</v>
      </c>
      <c r="E113" s="436" t="s">
        <v>1127</v>
      </c>
      <c r="F113" s="436" t="s">
        <v>1128</v>
      </c>
      <c r="G113" s="436" t="s">
        <v>1129</v>
      </c>
      <c r="H113" s="436" t="s">
        <v>1130</v>
      </c>
      <c r="I113" s="467" t="s">
        <v>1131</v>
      </c>
      <c r="J113" s="467" t="s">
        <v>1133</v>
      </c>
    </row>
    <row r="114" spans="2:10" s="441" customFormat="1" hidden="1">
      <c r="B114" s="40" t="s">
        <v>1116</v>
      </c>
      <c r="C114" s="466">
        <v>107591</v>
      </c>
      <c r="D114" s="466">
        <v>104939</v>
      </c>
      <c r="E114" s="40">
        <v>2.5</v>
      </c>
      <c r="F114" s="40">
        <v>72</v>
      </c>
      <c r="G114" s="466">
        <v>12791</v>
      </c>
      <c r="H114" s="466">
        <f t="shared" ref="H114:H125" si="6">C114+G114*F114/100</f>
        <v>116800.52</v>
      </c>
      <c r="I114" s="105">
        <v>8.8999999999999996E-2</v>
      </c>
      <c r="J114" s="40"/>
    </row>
    <row r="115" spans="2:10" s="441" customFormat="1" hidden="1">
      <c r="B115" s="40" t="s">
        <v>865</v>
      </c>
      <c r="C115" s="466">
        <v>87059</v>
      </c>
      <c r="D115" s="466">
        <v>89282</v>
      </c>
      <c r="E115" s="40">
        <v>-2.5</v>
      </c>
      <c r="F115" s="40">
        <v>46</v>
      </c>
      <c r="G115" s="466">
        <v>7831</v>
      </c>
      <c r="H115" s="466">
        <f t="shared" si="6"/>
        <v>90661.26</v>
      </c>
      <c r="I115" s="105">
        <v>2.5999999999999999E-2</v>
      </c>
      <c r="J115" s="40">
        <v>1</v>
      </c>
    </row>
    <row r="116" spans="2:10" s="441" customFormat="1" hidden="1">
      <c r="B116" s="40" t="s">
        <v>1123</v>
      </c>
      <c r="C116" s="466">
        <v>86574</v>
      </c>
      <c r="D116" s="466">
        <v>84968</v>
      </c>
      <c r="E116" s="40">
        <v>1.8</v>
      </c>
      <c r="F116" s="40">
        <v>72</v>
      </c>
      <c r="G116" s="466">
        <v>6799</v>
      </c>
      <c r="H116" s="466">
        <f t="shared" si="6"/>
        <v>91469.28</v>
      </c>
      <c r="I116" s="105">
        <v>2.7E-2</v>
      </c>
      <c r="J116" s="40">
        <v>1</v>
      </c>
    </row>
    <row r="117" spans="2:10" s="441" customFormat="1" hidden="1">
      <c r="B117" s="40" t="s">
        <v>1122</v>
      </c>
      <c r="C117" s="466">
        <v>88747</v>
      </c>
      <c r="D117" s="466">
        <v>84340</v>
      </c>
      <c r="E117" s="40">
        <v>5.2</v>
      </c>
      <c r="F117" s="40">
        <v>62</v>
      </c>
      <c r="G117" s="466">
        <v>6680</v>
      </c>
      <c r="H117" s="466">
        <f t="shared" si="6"/>
        <v>92888.6</v>
      </c>
      <c r="I117" s="105">
        <v>9.6000000000000002E-2</v>
      </c>
      <c r="J117" s="40">
        <v>2</v>
      </c>
    </row>
    <row r="118" spans="2:10" s="441" customFormat="1" hidden="1">
      <c r="B118" s="40" t="s">
        <v>1124</v>
      </c>
      <c r="C118" s="466">
        <v>85768</v>
      </c>
      <c r="D118" s="466">
        <v>90477</v>
      </c>
      <c r="E118" s="40">
        <v>-5.2</v>
      </c>
      <c r="F118" s="40">
        <v>65</v>
      </c>
      <c r="G118" s="466">
        <v>8322</v>
      </c>
      <c r="H118" s="466">
        <f t="shared" si="6"/>
        <v>91177.3</v>
      </c>
      <c r="I118" s="105">
        <v>0.1</v>
      </c>
      <c r="J118" s="40">
        <v>2</v>
      </c>
    </row>
    <row r="119" spans="2:10" s="441" customFormat="1" hidden="1">
      <c r="B119" s="40" t="s">
        <v>1118</v>
      </c>
      <c r="C119" s="466">
        <v>101618</v>
      </c>
      <c r="D119" s="466">
        <v>91756</v>
      </c>
      <c r="E119" s="40">
        <v>10.7</v>
      </c>
      <c r="F119" s="40">
        <v>54</v>
      </c>
      <c r="G119" s="466">
        <v>9893</v>
      </c>
      <c r="H119" s="466">
        <f t="shared" si="6"/>
        <v>106960.22</v>
      </c>
      <c r="I119" s="105">
        <v>7.2999999999999995E-2</v>
      </c>
      <c r="J119" s="40">
        <v>2</v>
      </c>
    </row>
    <row r="120" spans="2:10" s="441" customFormat="1" hidden="1">
      <c r="B120" s="40" t="s">
        <v>1120</v>
      </c>
      <c r="C120" s="466">
        <v>82614</v>
      </c>
      <c r="D120" s="466">
        <v>80730</v>
      </c>
      <c r="E120" s="40">
        <v>2.2999999999999998</v>
      </c>
      <c r="F120" s="40">
        <v>63</v>
      </c>
      <c r="G120" s="466">
        <v>8325</v>
      </c>
      <c r="H120" s="466">
        <f t="shared" si="6"/>
        <v>87858.75</v>
      </c>
      <c r="I120" s="105">
        <v>9.0999999999999998E-2</v>
      </c>
      <c r="J120" s="40">
        <v>3</v>
      </c>
    </row>
    <row r="121" spans="2:10" hidden="1">
      <c r="B121" s="40" t="s">
        <v>1121</v>
      </c>
      <c r="C121" s="466">
        <v>81112</v>
      </c>
      <c r="D121" s="466">
        <v>82138</v>
      </c>
      <c r="E121" s="40">
        <v>-1.2</v>
      </c>
      <c r="F121" s="40">
        <v>65</v>
      </c>
      <c r="G121" s="466">
        <v>8622</v>
      </c>
      <c r="H121" s="466">
        <f t="shared" si="6"/>
        <v>86716.3</v>
      </c>
      <c r="I121" s="105">
        <v>4.3999999999999997E-2</v>
      </c>
      <c r="J121" s="40">
        <v>3</v>
      </c>
    </row>
    <row r="122" spans="2:10" hidden="1">
      <c r="B122" s="40" t="s">
        <v>1119</v>
      </c>
      <c r="C122" s="466">
        <v>98566</v>
      </c>
      <c r="D122" s="466">
        <v>93145</v>
      </c>
      <c r="E122" s="40">
        <v>5.8</v>
      </c>
      <c r="F122" s="40">
        <v>63</v>
      </c>
      <c r="G122" s="466">
        <v>9432</v>
      </c>
      <c r="H122" s="466">
        <f t="shared" si="6"/>
        <v>104508.16</v>
      </c>
      <c r="I122" s="105">
        <v>0.1</v>
      </c>
      <c r="J122" s="40">
        <v>4</v>
      </c>
    </row>
    <row r="123" spans="2:10" hidden="1">
      <c r="B123" s="40" t="s">
        <v>1117</v>
      </c>
      <c r="C123" s="466">
        <v>103890</v>
      </c>
      <c r="D123" s="466">
        <v>100084</v>
      </c>
      <c r="E123" s="40">
        <v>3.8</v>
      </c>
      <c r="F123" s="40">
        <v>76</v>
      </c>
      <c r="G123" s="466">
        <v>10226</v>
      </c>
      <c r="H123" s="466">
        <f t="shared" si="6"/>
        <v>111661.75999999999</v>
      </c>
      <c r="I123" s="105">
        <v>0.112</v>
      </c>
      <c r="J123" s="40">
        <v>4</v>
      </c>
    </row>
    <row r="124" spans="2:10" hidden="1">
      <c r="B124" s="40" t="s">
        <v>1114</v>
      </c>
      <c r="C124" s="466">
        <v>125907</v>
      </c>
      <c r="D124" s="466">
        <v>118794</v>
      </c>
      <c r="E124" s="40">
        <v>6</v>
      </c>
      <c r="F124" s="40">
        <v>78</v>
      </c>
      <c r="G124" s="466">
        <v>19805</v>
      </c>
      <c r="H124" s="466">
        <f t="shared" si="6"/>
        <v>141354.9</v>
      </c>
      <c r="I124" s="105">
        <v>0.11899999999999999</v>
      </c>
      <c r="J124" s="40">
        <v>5</v>
      </c>
    </row>
    <row r="125" spans="2:10" hidden="1">
      <c r="B125" s="40" t="s">
        <v>1115</v>
      </c>
      <c r="C125" s="466">
        <v>119315</v>
      </c>
      <c r="D125" s="466">
        <v>122087</v>
      </c>
      <c r="E125" s="40">
        <v>-2.2000000000000002</v>
      </c>
      <c r="F125" s="40">
        <v>76</v>
      </c>
      <c r="G125" s="466">
        <v>24405</v>
      </c>
      <c r="H125" s="466">
        <f t="shared" si="6"/>
        <v>137862.79999999999</v>
      </c>
      <c r="I125" s="105">
        <v>3.7999999999999999E-2</v>
      </c>
      <c r="J125" s="40">
        <v>5</v>
      </c>
    </row>
    <row r="126" spans="2:10" hidden="1">
      <c r="B126" s="75" t="s">
        <v>1108</v>
      </c>
    </row>
    <row r="127" spans="2:10" ht="6" hidden="1" customHeight="1">
      <c r="B127"/>
      <c r="C127"/>
      <c r="D127"/>
      <c r="E127"/>
      <c r="F127"/>
      <c r="G127"/>
      <c r="H127"/>
      <c r="I127"/>
      <c r="J127"/>
    </row>
    <row r="128" spans="2:10" hidden="1">
      <c r="B128" s="468" t="s">
        <v>33</v>
      </c>
      <c r="C128"/>
      <c r="D128"/>
      <c r="E128"/>
      <c r="F128"/>
      <c r="G128"/>
      <c r="H128"/>
      <c r="I128"/>
      <c r="J128" s="441"/>
    </row>
    <row r="129" spans="2:10" hidden="1">
      <c r="B129" s="81" t="s">
        <v>1134</v>
      </c>
      <c r="C129" s="346">
        <f>SUMPRODUCT(C120:C121,$I$120:$I$121)/SUM($I$120:$I$121)</f>
        <v>82124.459259259253</v>
      </c>
      <c r="D129" s="346">
        <f>SUMPRODUCT(D120:D121,$I$120:$I$121)/SUM($I$120:$I$121)</f>
        <v>81188.903703703691</v>
      </c>
      <c r="E129" s="346"/>
      <c r="F129" s="346"/>
      <c r="G129" s="346">
        <f>SUMPRODUCT(G120:G121,$I$120:$I$121)/SUM($I$120:$I$121)</f>
        <v>8421.7999999999993</v>
      </c>
      <c r="H129" s="346">
        <f>SUMPRODUCT(H120:H121,$I$120:$I$121)/SUM($I$120:$I$121)</f>
        <v>87486.395925925914</v>
      </c>
      <c r="I129" s="40"/>
      <c r="J129" s="40">
        <v>3</v>
      </c>
    </row>
    <row r="130" spans="2:10" hidden="1">
      <c r="B130" s="81" t="s">
        <v>1135</v>
      </c>
      <c r="C130" s="346">
        <f>SUMPRODUCT(C115:C116,$I$115:$I$116)/SUM($I$115:$I$116)</f>
        <v>86811.924528301897</v>
      </c>
      <c r="D130" s="346">
        <f>SUMPRODUCT(D115:D116,$I$115:$I$116)/SUM($I$115:$I$116)</f>
        <v>87084.301886792455</v>
      </c>
      <c r="E130" s="346"/>
      <c r="F130" s="346"/>
      <c r="G130" s="346">
        <f>SUMPRODUCT(G115:G116,$I$115:$I$116)/SUM($I$115:$I$116)</f>
        <v>7305.2641509433961</v>
      </c>
      <c r="H130" s="346">
        <f>SUMPRODUCT(H115:H116,$I$115:$I$116)/SUM($I$115:$I$116)</f>
        <v>91072.892830188692</v>
      </c>
      <c r="I130" s="40"/>
      <c r="J130" s="40">
        <v>1</v>
      </c>
    </row>
    <row r="131" spans="2:10" hidden="1">
      <c r="B131" s="81" t="s">
        <v>1136</v>
      </c>
      <c r="C131" s="346">
        <f>SUMPRODUCT(C117:C119,$I$117:$I$119)/SUM($I$117:$I$119)</f>
        <v>91132.438661710039</v>
      </c>
      <c r="D131" s="346">
        <f>SUMPRODUCT(D117:D119,$I$117:$I$119)/SUM($I$117:$I$119)</f>
        <v>88633.933085501849</v>
      </c>
      <c r="E131" s="346"/>
      <c r="F131" s="346"/>
      <c r="G131" s="346">
        <f>SUMPRODUCT(G117:G119,$I$117:$I$119)/SUM($I$117:$I$119)</f>
        <v>8162.3382899628241</v>
      </c>
      <c r="H131" s="346">
        <f>SUMPRODUCT(H117:H119,$I$117:$I$119)/SUM($I$117:$I$119)</f>
        <v>96071.121412639404</v>
      </c>
      <c r="I131" s="40"/>
      <c r="J131" s="40">
        <v>2</v>
      </c>
    </row>
    <row r="132" spans="2:10" hidden="1">
      <c r="B132" s="81" t="s">
        <v>1132</v>
      </c>
      <c r="C132" s="346">
        <f>SUMPRODUCT(C122:C123,$I$122:$I$123)/SUM($I$122:$I$123)</f>
        <v>101378.679245283</v>
      </c>
      <c r="D132" s="346">
        <f>SUMPRODUCT(D122:D123,$I$122:$I$123)/SUM($I$122:$I$123)</f>
        <v>96810.886792452817</v>
      </c>
      <c r="E132" s="346"/>
      <c r="F132" s="346"/>
      <c r="G132" s="346">
        <f>SUMPRODUCT(G122:G123,$I$122:$I$123)/SUM($I$122:$I$123)</f>
        <v>9851.4716981132078</v>
      </c>
      <c r="H132" s="346">
        <f>SUMPRODUCT(H122:H123,$I$122:$I$123)/SUM($I$122:$I$123)</f>
        <v>108287.42037735849</v>
      </c>
      <c r="I132" s="40"/>
      <c r="J132" s="40">
        <v>4</v>
      </c>
    </row>
    <row r="133" spans="2:10" hidden="1">
      <c r="B133" s="81" t="s">
        <v>1137</v>
      </c>
      <c r="C133" s="346">
        <f>SUMPRODUCT(C124:C125,$I$124:$I$125)/SUM($I$124:$I$125)</f>
        <v>124311.48407643312</v>
      </c>
      <c r="D133" s="346">
        <f>SUMPRODUCT(D124:D125,$I$124:$I$125)/SUM($I$124:$I$125)</f>
        <v>119591.03184713374</v>
      </c>
      <c r="E133" s="346"/>
      <c r="F133" s="346"/>
      <c r="G133" s="346">
        <f>SUMPRODUCT(G124:G125,$I$124:$I$125)/SUM($I$124:$I$125)</f>
        <v>20918.375796178345</v>
      </c>
      <c r="H133" s="346">
        <f>SUMPRODUCT(H124:H125,$I$124:$I$125)/SUM($I$124:$I$125)</f>
        <v>140509.67834394902</v>
      </c>
      <c r="I133" s="40"/>
      <c r="J133" s="40">
        <v>5</v>
      </c>
    </row>
    <row r="134" spans="2:10" hidden="1"/>
    <row r="135" spans="2:10" hidden="1"/>
    <row r="136" spans="2:10">
      <c r="B136" s="403" t="s">
        <v>1023</v>
      </c>
    </row>
    <row r="139" spans="2:10">
      <c r="D139" s="441"/>
    </row>
    <row r="140" spans="2:10">
      <c r="D140" s="441"/>
    </row>
    <row r="141" spans="2:10">
      <c r="D141" s="441"/>
    </row>
    <row r="142" spans="2:10">
      <c r="D142" s="441"/>
    </row>
    <row r="143" spans="2:10">
      <c r="D143" s="441"/>
    </row>
  </sheetData>
  <sheetProtection selectLockedCells="1" selectUnlockedCells="1"/>
  <mergeCells count="4">
    <mergeCell ref="C5:F5"/>
    <mergeCell ref="G5:J5"/>
    <mergeCell ref="K5:N5"/>
    <mergeCell ref="C31:N31"/>
  </mergeCells>
  <hyperlinks>
    <hyperlink ref="B136" r:id="rId1" display="© Copyright, 2007, Hall Consulting &amp; Research LLC, All Rights Reserved.  www.hallcr.com"/>
  </hyperlinks>
  <pageMargins left="0.25" right="0.25" top="0.75" bottom="0.75" header="0.3" footer="0.3"/>
  <pageSetup fitToHeight="10" orientation="portrait" horizontalDpi="300" verticalDpi="300" r:id="rId2"/>
  <headerFooter>
    <oddFooter>&amp;L&amp;F&amp;C&amp;A&amp;R&amp;P of &amp;N</oddFooter>
  </headerFooter>
</worksheet>
</file>

<file path=xl/worksheets/sheet2.xml><?xml version="1.0" encoding="utf-8"?>
<worksheet xmlns="http://schemas.openxmlformats.org/spreadsheetml/2006/main" xmlns:r="http://schemas.openxmlformats.org/officeDocument/2006/relationships">
  <sheetPr codeName="Sheet2" enableFormatConditionsCalculation="0">
    <tabColor indexed="44"/>
    <outlinePr summaryBelow="0" summaryRight="0"/>
    <pageSetUpPr fitToPage="1"/>
  </sheetPr>
  <dimension ref="A1:U110"/>
  <sheetViews>
    <sheetView showGridLines="0" workbookViewId="0">
      <selection activeCell="D62" sqref="D62"/>
    </sheetView>
  </sheetViews>
  <sheetFormatPr defaultRowHeight="13.2"/>
  <cols>
    <col min="1" max="2" width="2.109375" style="103" customWidth="1"/>
    <col min="3" max="3" width="39.5546875" style="103" customWidth="1"/>
    <col min="4" max="4" width="11.6640625" style="103" bestFit="1" customWidth="1"/>
    <col min="5" max="6" width="10.44140625" style="103" customWidth="1"/>
    <col min="7" max="7" width="10.5546875" style="103" customWidth="1"/>
    <col min="8" max="8" width="9.88671875" style="103" bestFit="1" customWidth="1"/>
    <col min="9" max="10" width="1.6640625" customWidth="1"/>
    <col min="11" max="11" width="1.33203125" customWidth="1"/>
    <col min="12" max="12" width="31" customWidth="1"/>
    <col min="13" max="13" width="10.109375" customWidth="1"/>
    <col min="14" max="14" width="9.109375" style="103"/>
    <col min="15" max="15" width="7.88671875" customWidth="1"/>
    <col min="16" max="16" width="1.109375" customWidth="1"/>
  </cols>
  <sheetData>
    <row r="1" spans="1:18" ht="27.6">
      <c r="A1" s="2" t="s">
        <v>18</v>
      </c>
      <c r="L1" s="103"/>
      <c r="M1" s="138"/>
    </row>
    <row r="2" spans="1:18" ht="56.25" customHeight="1">
      <c r="B2" s="521" t="s">
        <v>334</v>
      </c>
      <c r="C2" s="521"/>
      <c r="D2" s="521"/>
      <c r="E2" s="521"/>
      <c r="F2" s="521"/>
      <c r="G2" s="521"/>
      <c r="H2" s="521"/>
      <c r="I2" s="521"/>
      <c r="J2" s="521"/>
      <c r="K2" s="521"/>
      <c r="L2" s="521"/>
      <c r="M2" s="440"/>
      <c r="N2" s="440"/>
      <c r="O2" s="440"/>
    </row>
    <row r="3" spans="1:18" s="62" customFormat="1" ht="21.6" thickBot="1">
      <c r="A3" s="1" t="s">
        <v>302</v>
      </c>
      <c r="B3" s="103"/>
      <c r="C3" s="3"/>
      <c r="D3" s="190"/>
      <c r="E3" s="190"/>
      <c r="F3" s="190"/>
      <c r="G3" s="190"/>
      <c r="H3" s="103"/>
      <c r="J3" s="103"/>
      <c r="K3" s="1" t="s">
        <v>42</v>
      </c>
      <c r="N3" s="103"/>
    </row>
    <row r="4" spans="1:18" s="62" customFormat="1" ht="42.75" customHeight="1" thickBot="1">
      <c r="A4" s="103"/>
      <c r="B4" s="147"/>
      <c r="C4" s="528" t="s">
        <v>330</v>
      </c>
      <c r="D4" s="529"/>
      <c r="E4" s="529"/>
      <c r="F4" s="529"/>
      <c r="G4" s="529"/>
      <c r="H4" s="529"/>
      <c r="I4" s="148"/>
      <c r="J4" s="103"/>
      <c r="K4" s="149"/>
      <c r="L4" s="150"/>
      <c r="M4" s="150"/>
      <c r="N4" s="150"/>
      <c r="O4" s="150"/>
      <c r="P4" s="148"/>
    </row>
    <row r="5" spans="1:18" s="62" customFormat="1" ht="28.2" thickTop="1" thickBot="1">
      <c r="A5" s="103"/>
      <c r="B5" s="151"/>
      <c r="C5" s="81" t="s">
        <v>265</v>
      </c>
      <c r="D5" s="535" t="s">
        <v>148</v>
      </c>
      <c r="E5" s="535"/>
      <c r="F5" s="535"/>
      <c r="G5" s="75"/>
      <c r="H5" s="75"/>
      <c r="I5" s="152"/>
      <c r="J5" s="103"/>
      <c r="K5" s="151"/>
      <c r="L5" s="153"/>
      <c r="M5" s="114" t="str">
        <f>ROI!E6</f>
        <v>Per BI User</v>
      </c>
      <c r="N5" s="544" t="str">
        <f>ROI!F6</f>
        <v>Organization Total ($000)</v>
      </c>
      <c r="O5" s="545"/>
      <c r="P5" s="152"/>
    </row>
    <row r="6" spans="1:18" s="62" customFormat="1" ht="14.25" customHeight="1" thickTop="1" thickBot="1">
      <c r="A6" s="103"/>
      <c r="B6" s="151"/>
      <c r="C6" s="530" t="s">
        <v>207</v>
      </c>
      <c r="D6" s="531"/>
      <c r="E6" s="531"/>
      <c r="F6" s="531"/>
      <c r="G6" s="531"/>
      <c r="H6" s="531"/>
      <c r="I6" s="152"/>
      <c r="J6" s="103"/>
      <c r="K6" s="151"/>
      <c r="L6" s="115" t="str">
        <f>ROI!D7</f>
        <v>Costs (5-Yr)</v>
      </c>
      <c r="M6" s="116">
        <f ca="1">ROI!E7</f>
        <v>1936.5755577319103</v>
      </c>
      <c r="N6" s="546">
        <f ca="1">ROI!F7</f>
        <v>7746.3022309276412</v>
      </c>
      <c r="O6" s="547"/>
      <c r="P6" s="152"/>
    </row>
    <row r="7" spans="1:18" s="62" customFormat="1" ht="27.6" thickTop="1" thickBot="1">
      <c r="A7" s="103"/>
      <c r="B7" s="151"/>
      <c r="C7" s="81" t="s">
        <v>266</v>
      </c>
      <c r="D7" s="535" t="s">
        <v>184</v>
      </c>
      <c r="E7" s="535"/>
      <c r="F7" s="535"/>
      <c r="G7" s="75"/>
      <c r="H7" s="75"/>
      <c r="I7" s="152"/>
      <c r="J7" s="103"/>
      <c r="K7" s="151"/>
      <c r="L7" s="115" t="str">
        <f>ROI!D8</f>
        <v>Benefits (5-Yr)</v>
      </c>
      <c r="M7" s="116">
        <f ca="1">ROI!E8</f>
        <v>6863.1351718720234</v>
      </c>
      <c r="N7" s="548">
        <f ca="1">ROI!F8</f>
        <v>27452.540687488094</v>
      </c>
      <c r="O7" s="549"/>
      <c r="P7" s="152"/>
    </row>
    <row r="8" spans="1:18" s="62" customFormat="1" ht="14.25" customHeight="1" thickTop="1" thickBot="1">
      <c r="A8" s="103"/>
      <c r="B8" s="151"/>
      <c r="C8" s="530" t="s">
        <v>309</v>
      </c>
      <c r="D8" s="531"/>
      <c r="E8" s="531"/>
      <c r="F8" s="531"/>
      <c r="G8" s="531"/>
      <c r="H8" s="531"/>
      <c r="I8" s="152"/>
      <c r="J8" s="103"/>
      <c r="K8" s="151"/>
      <c r="L8" s="115" t="str">
        <f>ROI!D9</f>
        <v>Net Benefits</v>
      </c>
      <c r="M8" s="116">
        <f ca="1">ROI!E9</f>
        <v>4926.5596141401129</v>
      </c>
      <c r="N8" s="548">
        <f ca="1">ROI!F9</f>
        <v>19706.238456560452</v>
      </c>
      <c r="O8" s="549"/>
      <c r="P8" s="152"/>
    </row>
    <row r="9" spans="1:18" s="62" customFormat="1" ht="27.6" thickTop="1" thickBot="1">
      <c r="A9" s="103"/>
      <c r="B9" s="151"/>
      <c r="C9" s="81" t="s">
        <v>310</v>
      </c>
      <c r="D9" s="535" t="s">
        <v>194</v>
      </c>
      <c r="E9" s="535"/>
      <c r="F9" s="535"/>
      <c r="G9" s="75"/>
      <c r="H9" s="75"/>
      <c r="I9" s="152"/>
      <c r="J9" s="103"/>
      <c r="K9" s="151"/>
      <c r="L9" s="115" t="str">
        <f>ROI!D10</f>
        <v>NPV (Net Present Value)</v>
      </c>
      <c r="M9" s="116">
        <f ca="1">ROI!E10</f>
        <v>3455.697502154886</v>
      </c>
      <c r="N9" s="548">
        <f ca="1">ROI!F10</f>
        <v>13822.790008619542</v>
      </c>
      <c r="O9" s="549"/>
      <c r="P9" s="152"/>
    </row>
    <row r="10" spans="1:18" s="62" customFormat="1" ht="24" customHeight="1" thickTop="1" thickBot="1">
      <c r="A10" s="103"/>
      <c r="B10" s="151"/>
      <c r="C10" s="530" t="s">
        <v>208</v>
      </c>
      <c r="D10" s="531"/>
      <c r="E10" s="531"/>
      <c r="F10" s="531"/>
      <c r="G10" s="531"/>
      <c r="H10" s="531"/>
      <c r="I10" s="152"/>
      <c r="J10" s="103"/>
      <c r="K10" s="151"/>
      <c r="L10" s="115" t="str">
        <f>ROI!D11</f>
        <v>ROI (Return on Investment) - [Total Net Benefits / Total Costs]</v>
      </c>
      <c r="M10" s="541">
        <f ca="1">ROI!E11</f>
        <v>2.543954246696178</v>
      </c>
      <c r="N10" s="542"/>
      <c r="O10" s="543"/>
      <c r="P10" s="152"/>
    </row>
    <row r="11" spans="1:18" ht="15" customHeight="1" thickTop="1" thickBot="1">
      <c r="B11" s="151"/>
      <c r="C11" s="81" t="s">
        <v>873</v>
      </c>
      <c r="D11" s="195">
        <v>5000</v>
      </c>
      <c r="E11" s="191"/>
      <c r="F11" s="75"/>
      <c r="G11" s="75"/>
      <c r="H11" s="75"/>
      <c r="I11" s="152"/>
      <c r="J11" s="103"/>
      <c r="K11" s="151"/>
      <c r="L11" s="115" t="str">
        <f>ROI!D12</f>
        <v>IRR (Internal Rate of Return)</v>
      </c>
      <c r="M11" s="541">
        <f ca="1">ROI!E12</f>
        <v>1.0216585989163551</v>
      </c>
      <c r="N11" s="542"/>
      <c r="O11" s="543"/>
      <c r="P11" s="152"/>
    </row>
    <row r="12" spans="1:18" s="62" customFormat="1" ht="35.25" customHeight="1" thickTop="1">
      <c r="A12" s="103"/>
      <c r="B12" s="151"/>
      <c r="C12" s="530" t="s">
        <v>1112</v>
      </c>
      <c r="D12" s="531"/>
      <c r="E12" s="531"/>
      <c r="F12" s="531"/>
      <c r="G12" s="531"/>
      <c r="H12" s="531"/>
      <c r="I12" s="152"/>
      <c r="J12" s="103"/>
      <c r="K12" s="151"/>
      <c r="L12" s="115" t="str">
        <f>ROI!D13</f>
        <v>Payback Period</v>
      </c>
      <c r="M12" s="538" t="str">
        <f ca="1">ROI!E13</f>
        <v>11 Months</v>
      </c>
      <c r="N12" s="539"/>
      <c r="O12" s="540"/>
      <c r="P12" s="152"/>
    </row>
    <row r="13" spans="1:18" s="62" customFormat="1">
      <c r="A13" s="103"/>
      <c r="B13" s="151"/>
      <c r="C13" s="192"/>
      <c r="D13" s="192"/>
      <c r="E13" s="192"/>
      <c r="F13" s="192"/>
      <c r="G13" s="75"/>
      <c r="H13" s="75"/>
      <c r="I13" s="152"/>
      <c r="J13" s="103"/>
      <c r="K13" s="151"/>
      <c r="L13" s="115" t="str">
        <f>ROI!D14</f>
        <v>Number of BI Users</v>
      </c>
      <c r="M13" s="538">
        <f>ROI!E14</f>
        <v>4000</v>
      </c>
      <c r="N13" s="539"/>
      <c r="O13" s="540"/>
      <c r="P13" s="152"/>
    </row>
    <row r="14" spans="1:18" s="62" customFormat="1" ht="27" thickBot="1">
      <c r="A14" s="103"/>
      <c r="B14" s="151"/>
      <c r="C14" s="193"/>
      <c r="D14" s="194" t="s">
        <v>307</v>
      </c>
      <c r="E14" s="194" t="s">
        <v>306</v>
      </c>
      <c r="F14" s="194" t="s">
        <v>1018</v>
      </c>
      <c r="G14" s="75"/>
      <c r="H14" s="75"/>
      <c r="I14" s="152"/>
      <c r="J14" s="103"/>
      <c r="K14" s="151"/>
      <c r="L14" s="91"/>
      <c r="M14" s="91"/>
      <c r="N14" s="91"/>
      <c r="O14" s="91"/>
      <c r="P14" s="152"/>
    </row>
    <row r="15" spans="1:18" s="103" customFormat="1" ht="15" thickTop="1" thickBot="1">
      <c r="B15" s="151"/>
      <c r="C15" s="81" t="s">
        <v>1025</v>
      </c>
      <c r="D15" s="214">
        <v>0.15</v>
      </c>
      <c r="E15" s="198">
        <f>D15*PCUsers</f>
        <v>750</v>
      </c>
      <c r="F15" s="289">
        <f>PowerUsers/BIs</f>
        <v>0.1875</v>
      </c>
      <c r="G15" s="75"/>
      <c r="H15" s="75"/>
      <c r="I15" s="152"/>
      <c r="K15" s="151"/>
      <c r="L15" s="91"/>
      <c r="M15" s="91"/>
      <c r="N15" s="91"/>
      <c r="O15" s="91"/>
      <c r="P15" s="152"/>
      <c r="R15" s="400"/>
    </row>
    <row r="16" spans="1:18" s="62" customFormat="1" ht="27.75" customHeight="1" thickTop="1" thickBot="1">
      <c r="A16" s="103"/>
      <c r="B16" s="151"/>
      <c r="C16" s="81" t="s">
        <v>1034</v>
      </c>
      <c r="D16" s="186">
        <v>0.65</v>
      </c>
      <c r="E16" s="198">
        <f>D16*PCUsers</f>
        <v>3250</v>
      </c>
      <c r="F16" s="289">
        <f>IWs/BIs</f>
        <v>0.8125</v>
      </c>
      <c r="G16" s="75"/>
      <c r="H16" s="75"/>
      <c r="I16" s="152"/>
      <c r="J16" s="103"/>
      <c r="K16" s="151"/>
      <c r="L16" s="91"/>
      <c r="M16" s="91"/>
      <c r="N16" s="91"/>
      <c r="O16" s="91"/>
      <c r="P16" s="152"/>
      <c r="R16" s="400"/>
    </row>
    <row r="17" spans="1:18" s="103" customFormat="1" ht="27" thickTop="1">
      <c r="B17" s="151"/>
      <c r="C17" s="81" t="s">
        <v>874</v>
      </c>
      <c r="D17" s="55">
        <f>SUM(D15:D16)</f>
        <v>0.8</v>
      </c>
      <c r="E17" s="51">
        <f>SUM(E15:E16)</f>
        <v>4000</v>
      </c>
      <c r="F17" s="290">
        <f>SUM(F15:F16)</f>
        <v>1</v>
      </c>
      <c r="G17" s="75"/>
      <c r="H17" s="75"/>
      <c r="I17" s="152"/>
      <c r="K17" s="151"/>
      <c r="L17" s="91"/>
      <c r="M17" s="91"/>
      <c r="N17" s="91"/>
      <c r="O17" s="91"/>
      <c r="P17" s="152"/>
      <c r="R17" s="400"/>
    </row>
    <row r="18" spans="1:18" s="62" customFormat="1" ht="40.200000000000003" thickBot="1">
      <c r="A18" s="103"/>
      <c r="B18" s="151"/>
      <c r="C18" s="81" t="s">
        <v>1024</v>
      </c>
      <c r="D18" s="41">
        <f>1-D16-D15</f>
        <v>0.19999999999999998</v>
      </c>
      <c r="E18" s="198">
        <f>D18*PCUsers</f>
        <v>999.99999999999989</v>
      </c>
      <c r="F18" s="75"/>
      <c r="G18" s="75"/>
      <c r="H18" s="75"/>
      <c r="I18" s="152"/>
      <c r="J18" s="103"/>
      <c r="K18" s="151"/>
      <c r="L18" s="91"/>
      <c r="M18" s="91"/>
      <c r="N18" s="91"/>
      <c r="O18" s="91"/>
      <c r="P18" s="152"/>
    </row>
    <row r="19" spans="1:18" s="62" customFormat="1" ht="27" thickTop="1">
      <c r="A19" s="103"/>
      <c r="B19" s="151"/>
      <c r="C19" s="81" t="s">
        <v>212</v>
      </c>
      <c r="D19" s="55">
        <f>SUM(D17:D18)</f>
        <v>1</v>
      </c>
      <c r="E19" s="51">
        <f>SUM(E17:E18)</f>
        <v>5000</v>
      </c>
      <c r="F19" s="75"/>
      <c r="G19" s="75"/>
      <c r="H19" s="75"/>
      <c r="I19" s="152"/>
      <c r="J19" s="103"/>
      <c r="K19" s="151"/>
      <c r="L19" s="91"/>
      <c r="M19" s="91"/>
      <c r="N19" s="91"/>
      <c r="O19" s="91"/>
      <c r="P19" s="152"/>
    </row>
    <row r="20" spans="1:18" s="62" customFormat="1" ht="52.5" customHeight="1">
      <c r="A20" s="103"/>
      <c r="B20" s="151"/>
      <c r="C20" s="536" t="s">
        <v>1035</v>
      </c>
      <c r="D20" s="537"/>
      <c r="E20" s="537"/>
      <c r="F20" s="537"/>
      <c r="G20" s="537"/>
      <c r="H20" s="537"/>
      <c r="I20" s="152"/>
      <c r="J20" s="103"/>
      <c r="K20" s="151"/>
      <c r="L20" s="91"/>
      <c r="M20" s="91"/>
      <c r="N20" s="91"/>
      <c r="O20" s="91"/>
      <c r="P20" s="152"/>
    </row>
    <row r="21" spans="1:18" s="62" customFormat="1" ht="13.8" thickBot="1">
      <c r="A21" s="103"/>
      <c r="B21" s="154"/>
      <c r="C21" s="526"/>
      <c r="D21" s="527"/>
      <c r="E21" s="527"/>
      <c r="F21" s="527"/>
      <c r="G21" s="527"/>
      <c r="H21" s="527"/>
      <c r="I21" s="155"/>
      <c r="J21" s="103"/>
      <c r="K21" s="151"/>
      <c r="L21" s="91"/>
      <c r="M21" s="91"/>
      <c r="N21" s="91"/>
      <c r="O21" s="91"/>
      <c r="P21" s="152"/>
    </row>
    <row r="22" spans="1:18" s="62" customFormat="1">
      <c r="A22" s="103"/>
      <c r="B22" s="103"/>
      <c r="C22" s="80"/>
      <c r="D22" s="80"/>
      <c r="E22" s="80"/>
      <c r="F22" s="80"/>
      <c r="G22" s="103"/>
      <c r="H22" s="103"/>
      <c r="J22" s="103"/>
      <c r="K22" s="151"/>
      <c r="L22" s="91"/>
      <c r="M22" s="91"/>
      <c r="N22" s="91"/>
      <c r="O22" s="91"/>
      <c r="P22" s="152"/>
    </row>
    <row r="23" spans="1:18" ht="21.6" thickBot="1">
      <c r="A23" s="1" t="s">
        <v>3</v>
      </c>
      <c r="C23" s="3"/>
      <c r="J23" s="103"/>
      <c r="K23" s="151"/>
      <c r="L23" s="91"/>
      <c r="M23" s="91"/>
      <c r="N23" s="91"/>
      <c r="O23" s="91"/>
      <c r="P23" s="152"/>
    </row>
    <row r="24" spans="1:18" s="62" customFormat="1" ht="27" customHeight="1" thickBot="1">
      <c r="A24" s="103"/>
      <c r="B24" s="149"/>
      <c r="C24" s="528" t="s">
        <v>305</v>
      </c>
      <c r="D24" s="529"/>
      <c r="E24" s="529"/>
      <c r="F24" s="529"/>
      <c r="G24" s="529"/>
      <c r="H24" s="529"/>
      <c r="I24" s="148"/>
      <c r="J24" s="103"/>
      <c r="K24" s="151"/>
      <c r="L24" s="91"/>
      <c r="M24" s="91"/>
      <c r="N24" s="91"/>
      <c r="O24" s="91"/>
      <c r="P24" s="152"/>
    </row>
    <row r="25" spans="1:18" s="62" customFormat="1" ht="15" thickTop="1" thickBot="1">
      <c r="A25" s="103"/>
      <c r="B25" s="151"/>
      <c r="C25" s="81" t="s">
        <v>215</v>
      </c>
      <c r="D25" s="533">
        <f>PCUsers/PCUserMix*RevPerEmployee/1000000</f>
        <v>3924.8052072159098</v>
      </c>
      <c r="E25" s="533"/>
      <c r="F25" s="156"/>
      <c r="G25" s="91"/>
      <c r="H25" s="91"/>
      <c r="I25" s="152"/>
      <c r="J25" s="103"/>
      <c r="K25" s="151"/>
      <c r="L25" s="91"/>
      <c r="M25" s="91"/>
      <c r="N25" s="91"/>
      <c r="O25" s="91"/>
      <c r="P25" s="152"/>
    </row>
    <row r="26" spans="1:18" s="62" customFormat="1" ht="24.75" customHeight="1" thickTop="1" thickBot="1">
      <c r="A26" s="103"/>
      <c r="B26" s="151"/>
      <c r="C26" s="530" t="s">
        <v>211</v>
      </c>
      <c r="D26" s="531"/>
      <c r="E26" s="531"/>
      <c r="F26" s="531"/>
      <c r="G26" s="531"/>
      <c r="H26" s="531"/>
      <c r="I26" s="152"/>
      <c r="J26" s="103"/>
      <c r="K26" s="151"/>
      <c r="L26" s="91"/>
      <c r="M26" s="91"/>
      <c r="N26" s="91"/>
      <c r="O26" s="91"/>
      <c r="P26" s="152"/>
    </row>
    <row r="27" spans="1:18" s="62" customFormat="1" ht="27.6" thickTop="1" thickBot="1">
      <c r="A27" s="103"/>
      <c r="B27" s="151"/>
      <c r="C27" s="81" t="s">
        <v>335</v>
      </c>
      <c r="D27" s="525">
        <f>PreTaxMarginDefault</f>
        <v>0.10327868852459017</v>
      </c>
      <c r="E27" s="525"/>
      <c r="F27" s="91"/>
      <c r="G27" s="91"/>
      <c r="H27" s="91"/>
      <c r="I27" s="152"/>
      <c r="J27" s="103"/>
      <c r="K27" s="151"/>
      <c r="L27" s="91"/>
      <c r="M27" s="91"/>
      <c r="N27" s="91"/>
      <c r="O27" s="91"/>
      <c r="P27" s="152"/>
    </row>
    <row r="28" spans="1:18" s="62" customFormat="1" ht="27.75" customHeight="1" thickTop="1" thickBot="1">
      <c r="A28" s="103"/>
      <c r="B28" s="151"/>
      <c r="C28" s="530" t="s">
        <v>1038</v>
      </c>
      <c r="D28" s="531"/>
      <c r="E28" s="531"/>
      <c r="F28" s="531"/>
      <c r="G28" s="531"/>
      <c r="H28" s="531"/>
      <c r="I28" s="152"/>
      <c r="J28" s="103"/>
      <c r="K28" s="151"/>
      <c r="L28" s="91"/>
      <c r="M28" s="91"/>
      <c r="N28" s="91"/>
      <c r="O28" s="91"/>
      <c r="P28" s="152"/>
    </row>
    <row r="29" spans="1:18" ht="15" thickTop="1" thickBot="1">
      <c r="B29" s="151"/>
      <c r="C29" s="20" t="s">
        <v>12</v>
      </c>
      <c r="D29" s="534">
        <v>0.1</v>
      </c>
      <c r="E29" s="534"/>
      <c r="F29" s="91"/>
      <c r="G29" s="91"/>
      <c r="H29" s="91"/>
      <c r="I29" s="152"/>
      <c r="J29" s="103"/>
      <c r="K29" s="151"/>
      <c r="L29" s="91"/>
      <c r="M29" s="91"/>
      <c r="N29" s="91"/>
      <c r="O29" s="91"/>
      <c r="P29" s="152"/>
    </row>
    <row r="30" spans="1:18" s="62" customFormat="1" ht="14.4" thickTop="1" thickBot="1">
      <c r="A30" s="103"/>
      <c r="B30" s="151"/>
      <c r="C30" s="530" t="s">
        <v>224</v>
      </c>
      <c r="D30" s="531"/>
      <c r="E30" s="531"/>
      <c r="F30" s="531"/>
      <c r="G30" s="91"/>
      <c r="H30" s="91"/>
      <c r="I30" s="152"/>
      <c r="J30" s="103"/>
      <c r="K30" s="151"/>
      <c r="L30" s="91"/>
      <c r="M30" s="91"/>
      <c r="N30" s="91"/>
      <c r="O30" s="91"/>
      <c r="P30" s="152"/>
    </row>
    <row r="31" spans="1:18" ht="27.6" thickTop="1" thickBot="1">
      <c r="B31" s="151"/>
      <c r="C31" s="47" t="s">
        <v>331</v>
      </c>
      <c r="D31" s="535">
        <v>5</v>
      </c>
      <c r="E31" s="535"/>
      <c r="F31" s="91"/>
      <c r="G31" s="91"/>
      <c r="H31" s="91"/>
      <c r="I31" s="152"/>
      <c r="J31" s="103"/>
      <c r="K31" s="151"/>
      <c r="L31" s="91"/>
      <c r="M31" s="91"/>
      <c r="N31" s="91"/>
      <c r="O31" s="91"/>
      <c r="P31" s="152"/>
    </row>
    <row r="32" spans="1:18" s="62" customFormat="1" ht="14.25" customHeight="1" thickTop="1" thickBot="1">
      <c r="A32" s="103"/>
      <c r="B32" s="154"/>
      <c r="C32" s="550" t="s">
        <v>1037</v>
      </c>
      <c r="D32" s="551"/>
      <c r="E32" s="551"/>
      <c r="F32" s="551"/>
      <c r="G32" s="551"/>
      <c r="H32" s="551"/>
      <c r="I32" s="155"/>
      <c r="J32" s="103"/>
      <c r="K32" s="151"/>
      <c r="L32" s="91"/>
      <c r="M32" s="91"/>
      <c r="N32" s="91"/>
      <c r="O32" s="91"/>
      <c r="P32" s="152"/>
    </row>
    <row r="33" spans="1:16">
      <c r="J33" s="103"/>
      <c r="K33" s="151"/>
      <c r="L33" s="91"/>
      <c r="M33" s="91"/>
      <c r="N33" s="91"/>
      <c r="O33" s="91"/>
      <c r="P33" s="152"/>
    </row>
    <row r="34" spans="1:16" ht="21.6" thickBot="1">
      <c r="A34" s="7" t="s">
        <v>4</v>
      </c>
      <c r="J34" s="103"/>
      <c r="K34" s="151"/>
      <c r="L34" s="91"/>
      <c r="M34" s="91"/>
      <c r="N34" s="91"/>
      <c r="O34" s="91"/>
      <c r="P34" s="152"/>
    </row>
    <row r="35" spans="1:16" s="62" customFormat="1" ht="25.5" customHeight="1" thickBot="1">
      <c r="A35" s="103"/>
      <c r="B35" s="149"/>
      <c r="C35" s="528" t="s">
        <v>305</v>
      </c>
      <c r="D35" s="529"/>
      <c r="E35" s="529"/>
      <c r="F35" s="529"/>
      <c r="G35" s="529"/>
      <c r="H35" s="529"/>
      <c r="I35" s="148"/>
      <c r="J35" s="103"/>
      <c r="K35" s="151"/>
      <c r="L35" s="91"/>
      <c r="M35" s="91"/>
      <c r="N35" s="91"/>
      <c r="O35" s="91"/>
      <c r="P35" s="152"/>
    </row>
    <row r="36" spans="1:16" ht="27.6" thickTop="1" thickBot="1">
      <c r="B36" s="157"/>
      <c r="C36" s="81" t="s">
        <v>229</v>
      </c>
      <c r="D36" s="186">
        <f>Reference!F62</f>
        <v>0.25</v>
      </c>
      <c r="E36" s="91"/>
      <c r="F36" s="91"/>
      <c r="G36" s="91"/>
      <c r="H36" s="91"/>
      <c r="I36" s="152"/>
      <c r="J36" s="103"/>
      <c r="K36" s="151"/>
      <c r="L36" s="91"/>
      <c r="M36" s="91"/>
      <c r="N36" s="91"/>
      <c r="O36" s="91"/>
      <c r="P36" s="152"/>
    </row>
    <row r="37" spans="1:16" ht="16.8" thickTop="1" thickBot="1">
      <c r="B37" s="157"/>
      <c r="C37" s="10" t="s">
        <v>5</v>
      </c>
      <c r="D37" s="187">
        <f>Reference!D62</f>
        <v>1824</v>
      </c>
      <c r="E37" s="158"/>
      <c r="F37" s="158"/>
      <c r="G37" s="158"/>
      <c r="H37" s="158"/>
      <c r="I37" s="152"/>
      <c r="J37" s="103"/>
      <c r="K37" s="151"/>
      <c r="L37" s="91"/>
      <c r="M37" s="91"/>
      <c r="N37" s="91"/>
      <c r="O37" s="91"/>
      <c r="P37" s="152"/>
    </row>
    <row r="38" spans="1:16" ht="16.5" customHeight="1" thickTop="1">
      <c r="B38" s="157"/>
      <c r="C38" s="536" t="s">
        <v>9</v>
      </c>
      <c r="D38" s="537"/>
      <c r="E38" s="537"/>
      <c r="F38" s="537"/>
      <c r="G38" s="537"/>
      <c r="H38" s="537"/>
      <c r="I38" s="152"/>
      <c r="J38" s="103"/>
      <c r="K38" s="151"/>
      <c r="L38" s="91"/>
      <c r="M38" s="91"/>
      <c r="N38" s="91"/>
      <c r="O38" s="91"/>
      <c r="P38" s="152"/>
    </row>
    <row r="39" spans="1:16" s="441" customFormat="1" ht="33.75" customHeight="1">
      <c r="B39" s="157"/>
      <c r="C39" s="189"/>
      <c r="D39" s="532" t="s">
        <v>308</v>
      </c>
      <c r="E39" s="532" t="s">
        <v>78</v>
      </c>
      <c r="F39" s="532" t="s">
        <v>10</v>
      </c>
      <c r="G39" s="532" t="s">
        <v>45</v>
      </c>
      <c r="H39" s="532" t="s">
        <v>1138</v>
      </c>
      <c r="I39" s="152"/>
      <c r="K39" s="151"/>
      <c r="L39" s="91"/>
      <c r="M39" s="91"/>
      <c r="N39" s="91"/>
      <c r="O39" s="91"/>
      <c r="P39" s="152"/>
    </row>
    <row r="40" spans="1:16" s="441" customFormat="1" ht="16.5" customHeight="1">
      <c r="B40" s="151"/>
      <c r="C40" s="91"/>
      <c r="D40" s="532"/>
      <c r="E40" s="532"/>
      <c r="F40" s="532"/>
      <c r="G40" s="532"/>
      <c r="H40" s="532"/>
      <c r="I40" s="152"/>
      <c r="K40" s="151"/>
      <c r="L40" s="91"/>
      <c r="M40" s="91"/>
      <c r="N40" s="91"/>
      <c r="O40" s="91"/>
      <c r="P40" s="152"/>
    </row>
    <row r="41" spans="1:16" s="103" customFormat="1" ht="15.75" customHeight="1" thickBot="1">
      <c r="B41" s="159" t="s">
        <v>1109</v>
      </c>
      <c r="C41" s="91"/>
      <c r="D41" s="91"/>
      <c r="E41" s="91"/>
      <c r="F41" s="160"/>
      <c r="G41" s="160"/>
      <c r="H41" s="160"/>
      <c r="I41" s="152"/>
      <c r="K41" s="151"/>
      <c r="L41" s="91"/>
      <c r="M41" s="522" t="s">
        <v>285</v>
      </c>
      <c r="N41" s="523"/>
      <c r="O41" s="524"/>
      <c r="P41" s="152"/>
    </row>
    <row r="42" spans="1:16" ht="22.2" thickTop="1" thickBot="1">
      <c r="B42" s="151"/>
      <c r="C42" s="81" t="str">
        <f>Reference!B129</f>
        <v>Business/Data Analyst</v>
      </c>
      <c r="D42" s="184">
        <f>Reference!H129*CountryLaborCostScalar*SiteScalar*OrgSizeLaborCostScalar</f>
        <v>93021.983337112499</v>
      </c>
      <c r="E42" s="43">
        <f>BurdenRate</f>
        <v>0.25</v>
      </c>
      <c r="F42" s="346">
        <f>D42*(1+BurdenRate)</f>
        <v>116277.47917139062</v>
      </c>
      <c r="G42" s="346">
        <f t="shared" ref="G42:G46" si="0">F42/52</f>
        <v>2236.105368680589</v>
      </c>
      <c r="H42" s="83">
        <f>F42/WorkHrs</f>
        <v>63.748617966771171</v>
      </c>
      <c r="I42" s="152"/>
      <c r="J42" s="103"/>
      <c r="K42" s="151"/>
      <c r="L42" s="91"/>
      <c r="M42" s="113" t="str">
        <f>ROI!E122</f>
        <v>One-Time</v>
      </c>
      <c r="N42" s="113" t="str">
        <f>ROI!F122</f>
        <v>Annual On-Going</v>
      </c>
      <c r="O42" s="113" t="str">
        <f>ROI!G122</f>
        <v>5-Year Total</v>
      </c>
      <c r="P42" s="152"/>
    </row>
    <row r="43" spans="1:16" ht="15.75" customHeight="1" thickTop="1" thickBot="1">
      <c r="B43" s="151"/>
      <c r="C43" s="81" t="str">
        <f>Reference!B130</f>
        <v>Database/DW Administrator (DBA)</v>
      </c>
      <c r="D43" s="437">
        <f>Reference!H130*CountryLaborCostScalar*SiteScalar*OrgSizeLaborCostScalar</f>
        <v>96835.411147642197</v>
      </c>
      <c r="E43" s="43">
        <f>BurdenRate</f>
        <v>0.25</v>
      </c>
      <c r="F43" s="346">
        <f>D43*(1+BurdenRate)</f>
        <v>121044.26393455274</v>
      </c>
      <c r="G43" s="346">
        <f t="shared" si="0"/>
        <v>2327.7743064337064</v>
      </c>
      <c r="H43" s="83">
        <f>F43/WorkHrs</f>
        <v>66.361986806224095</v>
      </c>
      <c r="I43" s="152"/>
      <c r="J43" s="103"/>
      <c r="K43" s="151"/>
      <c r="L43" s="161" t="s">
        <v>281</v>
      </c>
      <c r="M43" s="91"/>
      <c r="N43" s="91"/>
      <c r="O43" s="91"/>
      <c r="P43" s="152"/>
    </row>
    <row r="44" spans="1:16" ht="15" thickTop="1" thickBot="1">
      <c r="B44" s="151"/>
      <c r="C44" s="81" t="str">
        <f>Reference!B131</f>
        <v>Architect/Engineer/Developer</v>
      </c>
      <c r="D44" s="437">
        <f>Reference!H131*CountryLaborCostScalar*SiteScalar*OrgSizeLaborCostScalar</f>
        <v>102149.89611403029</v>
      </c>
      <c r="E44" s="43">
        <f>BurdenRate</f>
        <v>0.25</v>
      </c>
      <c r="F44" s="197">
        <f>D44*(1+BurdenRate)</f>
        <v>127687.37014253785</v>
      </c>
      <c r="G44" s="197">
        <f>F44/52</f>
        <v>2455.5263488949586</v>
      </c>
      <c r="H44" s="83">
        <f>F44/WorkHrs</f>
        <v>70.004040648321194</v>
      </c>
      <c r="I44" s="162"/>
      <c r="J44" s="103"/>
      <c r="K44" s="151"/>
      <c r="L44" s="115" t="str">
        <f>ROI!D123</f>
        <v>Hardware</v>
      </c>
      <c r="M44" s="112">
        <f ca="1">ROI!E123</f>
        <v>83.513423757130681</v>
      </c>
      <c r="N44" s="112">
        <f ca="1">ROI!F123</f>
        <v>6.6810739005704542</v>
      </c>
      <c r="O44" s="112">
        <f ca="1">ROI!G123</f>
        <v>116.91879325998295</v>
      </c>
      <c r="P44" s="152"/>
    </row>
    <row r="45" spans="1:16" s="54" customFormat="1" ht="16.8" thickTop="1" thickBot="1">
      <c r="A45" s="103"/>
      <c r="B45" s="157"/>
      <c r="C45" s="81" t="str">
        <f>Reference!B132</f>
        <v>Program/Project Manager</v>
      </c>
      <c r="D45" s="437">
        <f>Reference!H132*CountryLaborCostScalar*SiteScalar*OrgSizeLaborCostScalar</f>
        <v>115139.16543653674</v>
      </c>
      <c r="E45" s="43">
        <f>BurdenRate</f>
        <v>0.25</v>
      </c>
      <c r="F45" s="346">
        <f>D45*(1+BurdenRate)</f>
        <v>143923.95679567094</v>
      </c>
      <c r="G45" s="346">
        <f t="shared" si="0"/>
        <v>2767.7683999167489</v>
      </c>
      <c r="H45" s="83">
        <f>F45/WorkHrs</f>
        <v>78.905678067802043</v>
      </c>
      <c r="I45" s="162"/>
      <c r="J45" s="103"/>
      <c r="K45" s="151"/>
      <c r="L45" s="115" t="str">
        <f>ROI!D124</f>
        <v>Software</v>
      </c>
      <c r="M45" s="112">
        <f ca="1">ROI!E124</f>
        <v>410.00845440975127</v>
      </c>
      <c r="N45" s="112">
        <f ca="1">ROI!F124</f>
        <v>82.001690881950253</v>
      </c>
      <c r="O45" s="112">
        <f ca="1">ROI!G124</f>
        <v>820.01690881950253</v>
      </c>
      <c r="P45" s="152"/>
    </row>
    <row r="46" spans="1:16" ht="16.8" thickTop="1" thickBot="1">
      <c r="B46" s="157"/>
      <c r="C46" s="81" t="str">
        <f>Reference!B133</f>
        <v>BI Management / Sponsor</v>
      </c>
      <c r="D46" s="437">
        <f>Reference!H133*CountryLaborCostScalar*SiteScalar*OrgSizeLaborCostScalar</f>
        <v>149400.24468124792</v>
      </c>
      <c r="E46" s="43">
        <f>BurdenRate</f>
        <v>0.25</v>
      </c>
      <c r="F46" s="346">
        <f>D46*(1+BurdenRate)</f>
        <v>186750.30585155991</v>
      </c>
      <c r="G46" s="346">
        <f t="shared" si="0"/>
        <v>3591.3520356069212</v>
      </c>
      <c r="H46" s="83">
        <f>F46/WorkHrs</f>
        <v>102.38503610282891</v>
      </c>
      <c r="I46" s="162"/>
      <c r="J46" s="103"/>
      <c r="K46" s="151"/>
      <c r="L46" s="115" t="str">
        <f>ROI!D125</f>
        <v>IT Labor/Services</v>
      </c>
      <c r="M46" s="112">
        <f>ROI!E125</f>
        <v>348.10263372119965</v>
      </c>
      <c r="N46" s="112">
        <f>ROI!F125</f>
        <v>42.309267307055329</v>
      </c>
      <c r="O46" s="112">
        <f>ROI!G125</f>
        <v>559.64897025647633</v>
      </c>
      <c r="P46" s="152"/>
    </row>
    <row r="47" spans="1:16" ht="14.25" customHeight="1" thickTop="1" thickBot="1">
      <c r="B47" s="151"/>
      <c r="C47" s="536" t="s">
        <v>1111</v>
      </c>
      <c r="D47" s="536"/>
      <c r="E47" s="536"/>
      <c r="F47" s="536"/>
      <c r="G47" s="536"/>
      <c r="H47" s="536"/>
      <c r="I47" s="152"/>
      <c r="J47" s="103"/>
      <c r="K47" s="151"/>
      <c r="L47" s="115" t="str">
        <f>ROI!D126</f>
        <v>Training &amp; User Labor</v>
      </c>
      <c r="M47" s="112">
        <f>ROI!E126</f>
        <v>353.92455627917241</v>
      </c>
      <c r="N47" s="112">
        <f>ROI!F126</f>
        <v>17.213265823355215</v>
      </c>
      <c r="O47" s="112">
        <f>ROI!G126</f>
        <v>439.99088539594845</v>
      </c>
      <c r="P47" s="152"/>
    </row>
    <row r="48" spans="1:16" s="103" customFormat="1" ht="13.8" thickTop="1">
      <c r="B48" s="151"/>
      <c r="C48" s="536"/>
      <c r="D48" s="536"/>
      <c r="E48" s="536"/>
      <c r="F48" s="536"/>
      <c r="G48" s="536"/>
      <c r="H48" s="536"/>
      <c r="I48" s="152"/>
      <c r="K48" s="151"/>
      <c r="L48" s="117" t="str">
        <f>ROI!D127</f>
        <v>Total</v>
      </c>
      <c r="M48" s="118">
        <f ca="1">ROI!E127</f>
        <v>1195.5490681672541</v>
      </c>
      <c r="N48" s="118">
        <f ca="1">ROI!F127</f>
        <v>148.20529791293126</v>
      </c>
      <c r="O48" s="118">
        <f ca="1">ROI!G127</f>
        <v>1936.5755577319103</v>
      </c>
      <c r="P48" s="152"/>
    </row>
    <row r="49" spans="1:21" ht="15.6" thickBot="1">
      <c r="B49" s="159" t="s">
        <v>1028</v>
      </c>
      <c r="C49" s="91"/>
      <c r="D49" s="91"/>
      <c r="E49" s="91"/>
      <c r="F49" s="91"/>
      <c r="G49" s="91"/>
      <c r="H49" s="91"/>
      <c r="I49" s="152"/>
      <c r="J49" s="103"/>
      <c r="K49" s="151"/>
      <c r="M49" s="91"/>
      <c r="N49" s="91"/>
      <c r="O49" s="91"/>
      <c r="P49" s="152"/>
    </row>
    <row r="50" spans="1:21" s="103" customFormat="1" ht="16.2" thickTop="1" thickBot="1">
      <c r="B50" s="159"/>
      <c r="C50" s="81" t="s">
        <v>111</v>
      </c>
      <c r="D50" s="278">
        <f>BaseLaborComp*PowerUserLaborCostScalar*CountryLaborCostScalar*SiteScalar*OrgSizeLaborCostScalar</f>
        <v>82560.609853803602</v>
      </c>
      <c r="E50" s="43">
        <f>BurdenRate</f>
        <v>0.25</v>
      </c>
      <c r="F50" s="216">
        <f>D50*(1+BurdenRate)</f>
        <v>103200.7623172545</v>
      </c>
      <c r="G50" s="216">
        <f>F50/52</f>
        <v>1984.6300445625866</v>
      </c>
      <c r="H50" s="83">
        <f>F50/WorkHrs</f>
        <v>56.579365305512333</v>
      </c>
      <c r="I50" s="152"/>
      <c r="K50" s="151"/>
      <c r="L50" s="161" t="s">
        <v>280</v>
      </c>
      <c r="M50" s="91"/>
      <c r="N50" s="91"/>
      <c r="O50" s="91"/>
      <c r="P50" s="152"/>
    </row>
    <row r="51" spans="1:21" ht="15" thickTop="1" thickBot="1">
      <c r="B51" s="151"/>
      <c r="C51" s="10" t="s">
        <v>1036</v>
      </c>
      <c r="D51" s="184">
        <f>BaseLaborComp*IWLaborCostScalar*CountryLaborCostScalar*SiteScalar*OrgSizeLaborCostScalar</f>
        <v>74937.251025352292</v>
      </c>
      <c r="E51" s="43">
        <f>BurdenRate</f>
        <v>0.25</v>
      </c>
      <c r="F51" s="197">
        <f>D51*(1+BurdenRate)</f>
        <v>93671.563781690362</v>
      </c>
      <c r="G51" s="197">
        <f>F51/52</f>
        <v>1801.3762265709686</v>
      </c>
      <c r="H51" s="83">
        <f>F51/WorkHrs</f>
        <v>51.355024003119716</v>
      </c>
      <c r="I51" s="152"/>
      <c r="J51" s="103"/>
      <c r="K51" s="151"/>
      <c r="L51" s="115" t="str">
        <f>ROI!D134</f>
        <v>IT Labor/Services TCO Savings</v>
      </c>
      <c r="M51" s="112">
        <f>ROI!E134</f>
        <v>0</v>
      </c>
      <c r="N51" s="112">
        <f ca="1">ROI!F134</f>
        <v>27.871511053955913</v>
      </c>
      <c r="O51" s="112">
        <f ca="1">ROI!G134</f>
        <v>139.35755526977957</v>
      </c>
      <c r="P51" s="152"/>
    </row>
    <row r="52" spans="1:21" ht="13.8" thickTop="1">
      <c r="B52" s="151"/>
      <c r="C52" s="10" t="s">
        <v>46</v>
      </c>
      <c r="D52" s="196">
        <f>D50*PwrUserMix+D51*IWMix</f>
        <v>76366.630805686917</v>
      </c>
      <c r="E52" s="160"/>
      <c r="F52" s="347">
        <f>F50*PwrUserMix+F51*IWMix</f>
        <v>95458.288507108635</v>
      </c>
      <c r="G52" s="347">
        <f>G50*PwrUserMix+G51*IWMix</f>
        <v>1835.7363174443969</v>
      </c>
      <c r="H52" s="415">
        <f>H50*PwrUserMix+H51*IWMix</f>
        <v>52.33458799731833</v>
      </c>
      <c r="I52" s="152"/>
      <c r="J52" s="103"/>
      <c r="K52" s="151"/>
      <c r="L52" s="115" t="str">
        <f>ROI!D135</f>
        <v>Other Direct Cost Savings</v>
      </c>
      <c r="M52" s="112">
        <f ca="1">ROI!E135</f>
        <v>40.211483474725</v>
      </c>
      <c r="N52" s="112">
        <f ca="1">ROI!F135</f>
        <v>104.53759042353386</v>
      </c>
      <c r="O52" s="112">
        <f ca="1">ROI!G135</f>
        <v>562.89943559239418</v>
      </c>
      <c r="P52" s="152"/>
    </row>
    <row r="53" spans="1:21" s="62" customFormat="1">
      <c r="A53" s="103"/>
      <c r="B53" s="151"/>
      <c r="C53" s="536" t="s">
        <v>223</v>
      </c>
      <c r="D53" s="536"/>
      <c r="E53" s="536"/>
      <c r="F53" s="536"/>
      <c r="G53" s="536"/>
      <c r="H53" s="536"/>
      <c r="I53" s="152"/>
      <c r="J53" s="103"/>
      <c r="K53" s="151"/>
      <c r="L53" s="115" t="str">
        <f>ROI!D136</f>
        <v>User Productivity Benefits</v>
      </c>
      <c r="M53" s="112">
        <f>ROI!E136</f>
        <v>0</v>
      </c>
      <c r="N53" s="112">
        <f ca="1">ROI!F136</f>
        <v>712.02839382474065</v>
      </c>
      <c r="O53" s="112">
        <f ca="1">ROI!G136</f>
        <v>3560.1419691237033</v>
      </c>
      <c r="P53" s="152"/>
    </row>
    <row r="54" spans="1:21" s="103" customFormat="1" ht="13.5" customHeight="1" thickBot="1">
      <c r="B54" s="151"/>
      <c r="C54" s="536" t="s">
        <v>1110</v>
      </c>
      <c r="D54" s="536"/>
      <c r="E54" s="536"/>
      <c r="F54" s="536"/>
      <c r="G54" s="536"/>
      <c r="H54" s="536"/>
      <c r="I54" s="152"/>
      <c r="K54" s="151"/>
      <c r="L54" s="115" t="str">
        <f>ROI!D137</f>
        <v>Revenue Growth (Profit on)</v>
      </c>
      <c r="M54" s="112">
        <f>ROI!E137</f>
        <v>0</v>
      </c>
      <c r="N54" s="112">
        <f ca="1">ROI!F137</f>
        <v>520.1472423772293</v>
      </c>
      <c r="O54" s="112">
        <f ca="1">ROI!G137</f>
        <v>2600.7362118861461</v>
      </c>
      <c r="P54" s="152"/>
    </row>
    <row r="55" spans="1:21" s="103" customFormat="1" ht="21.75" customHeight="1" thickTop="1">
      <c r="B55" s="151"/>
      <c r="C55" s="536"/>
      <c r="D55" s="536"/>
      <c r="E55" s="536"/>
      <c r="F55" s="536"/>
      <c r="G55" s="536"/>
      <c r="H55" s="536"/>
      <c r="I55" s="152"/>
      <c r="K55" s="151"/>
      <c r="L55" s="117" t="str">
        <f>ROI!D138</f>
        <v>Total</v>
      </c>
      <c r="M55" s="118">
        <f ca="1">ROI!E138</f>
        <v>40.211483474725</v>
      </c>
      <c r="N55" s="118">
        <f ca="1">ROI!F138</f>
        <v>1364.5847376794597</v>
      </c>
      <c r="O55" s="118">
        <f ca="1">ROI!G138</f>
        <v>6863.1351718720234</v>
      </c>
      <c r="P55" s="152"/>
    </row>
    <row r="56" spans="1:21" s="62" customFormat="1" ht="13.8" thickBot="1">
      <c r="A56" s="103"/>
      <c r="B56" s="154"/>
      <c r="C56" s="163"/>
      <c r="D56" s="163"/>
      <c r="E56" s="163"/>
      <c r="F56" s="163"/>
      <c r="G56" s="163"/>
      <c r="H56" s="163"/>
      <c r="I56" s="155"/>
      <c r="J56" s="103"/>
      <c r="K56" s="154"/>
      <c r="L56" s="163"/>
      <c r="M56" s="163"/>
      <c r="N56" s="163"/>
      <c r="O56" s="163"/>
      <c r="P56" s="155"/>
    </row>
    <row r="57" spans="1:21" ht="6" customHeight="1">
      <c r="J57" s="103"/>
    </row>
    <row r="58" spans="1:21" s="103" customFormat="1" ht="21.6" thickBot="1">
      <c r="A58" s="7" t="s">
        <v>932</v>
      </c>
    </row>
    <row r="59" spans="1:21" s="103" customFormat="1" ht="35.25" customHeight="1">
      <c r="B59" s="149"/>
      <c r="C59" s="520" t="s">
        <v>708</v>
      </c>
      <c r="D59" s="520"/>
      <c r="E59" s="520"/>
      <c r="F59" s="520"/>
      <c r="G59" s="520"/>
      <c r="H59" s="520"/>
      <c r="I59" s="150"/>
      <c r="J59" s="426"/>
      <c r="K59" s="426"/>
      <c r="L59" s="426"/>
      <c r="M59" s="426"/>
      <c r="N59" s="426"/>
      <c r="O59" s="426"/>
      <c r="P59" s="427"/>
    </row>
    <row r="60" spans="1:21" s="103" customFormat="1" ht="73.5" customHeight="1">
      <c r="B60" s="157"/>
      <c r="C60" s="189"/>
      <c r="D60" s="402" t="s">
        <v>933</v>
      </c>
      <c r="E60" s="402" t="s">
        <v>935</v>
      </c>
      <c r="F60" s="442" t="s">
        <v>1140</v>
      </c>
      <c r="G60" s="402" t="s">
        <v>934</v>
      </c>
      <c r="H60" s="160"/>
      <c r="I60" s="91"/>
      <c r="J60" s="73"/>
      <c r="K60" s="73"/>
      <c r="L60" s="73"/>
      <c r="M60" s="73"/>
      <c r="N60" s="73"/>
      <c r="O60" s="73"/>
      <c r="P60" s="119"/>
    </row>
    <row r="61" spans="1:21" s="103" customFormat="1" ht="14.4" thickBot="1">
      <c r="B61" s="251" t="str">
        <f>Initiatives!E165</f>
        <v>BI Applications</v>
      </c>
      <c r="C61" s="73"/>
      <c r="D61" s="73"/>
      <c r="E61" s="73"/>
      <c r="F61" s="73"/>
      <c r="G61" s="420"/>
      <c r="H61" s="160"/>
      <c r="I61" s="75"/>
      <c r="J61" s="73"/>
      <c r="K61" s="73"/>
      <c r="L61" s="73"/>
      <c r="M61" s="73"/>
      <c r="N61" s="73"/>
      <c r="O61" s="73"/>
      <c r="P61" s="119"/>
    </row>
    <row r="62" spans="1:21" s="103" customFormat="1" ht="15" thickTop="1" thickBot="1">
      <c r="B62" s="151"/>
      <c r="C62" s="421" t="str">
        <f>Initiatives!F166</f>
        <v>Marketing / Sales Apps</v>
      </c>
      <c r="D62" s="253">
        <v>0.65</v>
      </c>
      <c r="E62" s="422">
        <v>3</v>
      </c>
      <c r="F62" s="423">
        <v>5</v>
      </c>
      <c r="G62" s="424">
        <f>Initiatives!I166</f>
        <v>0.92999999999999994</v>
      </c>
      <c r="H62" s="160"/>
      <c r="I62" s="75"/>
      <c r="J62" s="73"/>
      <c r="K62" s="73"/>
      <c r="L62" s="73"/>
      <c r="M62" s="73"/>
      <c r="N62" s="73"/>
      <c r="O62" s="73"/>
      <c r="P62" s="119"/>
      <c r="R62" s="253">
        <v>0.15</v>
      </c>
      <c r="S62" s="422">
        <v>3</v>
      </c>
      <c r="T62" s="423">
        <v>5</v>
      </c>
      <c r="U62" s="424">
        <f>Initiatives!W166</f>
        <v>0</v>
      </c>
    </row>
    <row r="63" spans="1:21" s="103" customFormat="1" ht="15" thickTop="1" thickBot="1">
      <c r="B63" s="151"/>
      <c r="C63" s="421" t="str">
        <f>Initiatives!F167</f>
        <v>Supply / Operations Apps</v>
      </c>
      <c r="D63" s="253">
        <v>0.2</v>
      </c>
      <c r="E63" s="422">
        <v>2</v>
      </c>
      <c r="F63" s="423">
        <v>4</v>
      </c>
      <c r="G63" s="424">
        <f>Initiatives!I167</f>
        <v>0.52</v>
      </c>
      <c r="H63" s="160"/>
      <c r="I63" s="75"/>
      <c r="J63" s="73"/>
      <c r="K63" s="73"/>
      <c r="L63" s="73"/>
      <c r="M63" s="73"/>
      <c r="N63" s="73"/>
      <c r="O63" s="73"/>
      <c r="P63" s="119"/>
      <c r="R63" s="253">
        <f>R62</f>
        <v>0.15</v>
      </c>
      <c r="S63" s="422">
        <f>S62</f>
        <v>3</v>
      </c>
      <c r="T63" s="423">
        <v>4</v>
      </c>
      <c r="U63" s="424">
        <f>Initiatives!W167</f>
        <v>0</v>
      </c>
    </row>
    <row r="64" spans="1:21" s="103" customFormat="1" ht="15" thickTop="1" thickBot="1">
      <c r="B64" s="151"/>
      <c r="C64" s="421" t="str">
        <f>Initiatives!F168</f>
        <v>Financial Apps</v>
      </c>
      <c r="D64" s="253">
        <v>0.3</v>
      </c>
      <c r="E64" s="422">
        <v>3</v>
      </c>
      <c r="F64" s="423">
        <v>5</v>
      </c>
      <c r="G64" s="424">
        <f>Initiatives!I168</f>
        <v>0.85999999999999965</v>
      </c>
      <c r="H64" s="160"/>
      <c r="I64" s="75"/>
      <c r="J64" s="73"/>
      <c r="K64" s="73"/>
      <c r="L64" s="73"/>
      <c r="M64" s="73"/>
      <c r="N64" s="73"/>
      <c r="O64" s="73"/>
      <c r="P64" s="119"/>
      <c r="R64" s="253">
        <f t="shared" ref="R64:S64" si="1">R63</f>
        <v>0.15</v>
      </c>
      <c r="S64" s="422">
        <f t="shared" si="1"/>
        <v>3</v>
      </c>
      <c r="T64" s="423">
        <v>5</v>
      </c>
      <c r="U64" s="424">
        <f>Initiatives!W168</f>
        <v>0</v>
      </c>
    </row>
    <row r="65" spans="2:21" s="103" customFormat="1" ht="15" thickTop="1" thickBot="1">
      <c r="B65" s="151"/>
      <c r="C65" s="421" t="str">
        <f>Initiatives!F169</f>
        <v>Other / General Mgmt Apps</v>
      </c>
      <c r="D65" s="253">
        <v>0.15</v>
      </c>
      <c r="E65" s="422">
        <v>3</v>
      </c>
      <c r="F65" s="423">
        <v>4</v>
      </c>
      <c r="G65" s="424">
        <f>Initiatives!I169</f>
        <v>0.83000000000000007</v>
      </c>
      <c r="H65" s="160"/>
      <c r="I65" s="75"/>
      <c r="J65" s="73"/>
      <c r="K65" s="73"/>
      <c r="L65" s="73"/>
      <c r="M65" s="73"/>
      <c r="N65" s="73"/>
      <c r="O65" s="73"/>
      <c r="P65" s="119"/>
      <c r="R65" s="253">
        <f t="shared" ref="R65:S65" si="2">R64</f>
        <v>0.15</v>
      </c>
      <c r="S65" s="422">
        <f t="shared" si="2"/>
        <v>3</v>
      </c>
      <c r="T65" s="423">
        <v>4</v>
      </c>
      <c r="U65" s="424">
        <f>Initiatives!W169</f>
        <v>0</v>
      </c>
    </row>
    <row r="66" spans="2:21" s="103" customFormat="1" ht="15" thickTop="1" thickBot="1">
      <c r="B66" s="251" t="str">
        <f>Initiatives!E171</f>
        <v>Source System Inclusion / Integration</v>
      </c>
      <c r="C66" s="73"/>
      <c r="D66" s="73"/>
      <c r="E66" s="73"/>
      <c r="F66" s="425"/>
      <c r="G66" s="420"/>
      <c r="H66" s="160"/>
      <c r="I66" s="75"/>
      <c r="J66" s="73"/>
      <c r="K66" s="73"/>
      <c r="L66" s="73"/>
      <c r="M66" s="73"/>
      <c r="N66" s="73"/>
      <c r="O66" s="73"/>
      <c r="P66" s="119"/>
      <c r="R66" s="73"/>
      <c r="S66" s="73"/>
      <c r="T66" s="425"/>
      <c r="U66" s="420"/>
    </row>
    <row r="67" spans="2:21" s="103" customFormat="1" ht="15" thickTop="1" thickBot="1">
      <c r="B67" s="151"/>
      <c r="C67" s="421" t="str">
        <f>Initiatives!F172</f>
        <v>Marketing / Sales Data Integration</v>
      </c>
      <c r="D67" s="253">
        <v>0.55000000000000004</v>
      </c>
      <c r="E67" s="422">
        <f>E62</f>
        <v>3</v>
      </c>
      <c r="F67" s="423">
        <v>5</v>
      </c>
      <c r="G67" s="424">
        <f>Initiatives!I172</f>
        <v>0.91000000000000014</v>
      </c>
      <c r="H67" s="160"/>
      <c r="I67" s="75"/>
      <c r="J67" s="73"/>
      <c r="K67" s="73"/>
      <c r="L67" s="73"/>
      <c r="M67" s="73"/>
      <c r="N67" s="73"/>
      <c r="O67" s="73"/>
      <c r="P67" s="119"/>
      <c r="R67" s="253">
        <f>R62</f>
        <v>0.15</v>
      </c>
      <c r="S67" s="422">
        <f>S62</f>
        <v>3</v>
      </c>
      <c r="T67" s="423">
        <f>T62</f>
        <v>5</v>
      </c>
      <c r="U67" s="424">
        <f>Initiatives!W172</f>
        <v>0</v>
      </c>
    </row>
    <row r="68" spans="2:21" s="103" customFormat="1" ht="15" thickTop="1" thickBot="1">
      <c r="B68" s="151"/>
      <c r="C68" s="421" t="str">
        <f>Initiatives!F173</f>
        <v>Supply Chain / Ops Data Integration</v>
      </c>
      <c r="D68" s="253">
        <v>0.15</v>
      </c>
      <c r="E68" s="422">
        <v>3</v>
      </c>
      <c r="F68" s="423">
        <f t="shared" ref="F68:F70" si="3">F63</f>
        <v>4</v>
      </c>
      <c r="G68" s="424">
        <f>Initiatives!I173</f>
        <v>0.83000000000000018</v>
      </c>
      <c r="H68" s="160"/>
      <c r="I68" s="75"/>
      <c r="J68" s="73"/>
      <c r="K68" s="73"/>
      <c r="L68" s="73"/>
      <c r="M68" s="73"/>
      <c r="N68" s="73"/>
      <c r="O68" s="73"/>
      <c r="P68" s="119"/>
      <c r="R68" s="253">
        <f t="shared" ref="R68:S68" si="4">R67</f>
        <v>0.15</v>
      </c>
      <c r="S68" s="422">
        <f t="shared" si="4"/>
        <v>3</v>
      </c>
      <c r="T68" s="423">
        <f t="shared" ref="T68:T70" si="5">T63</f>
        <v>4</v>
      </c>
      <c r="U68" s="424">
        <f>Initiatives!W173</f>
        <v>0</v>
      </c>
    </row>
    <row r="69" spans="2:21" s="305" customFormat="1" ht="15" thickTop="1" thickBot="1">
      <c r="B69" s="151"/>
      <c r="C69" s="421" t="str">
        <f>Initiatives!F174</f>
        <v>Financial Data Integration</v>
      </c>
      <c r="D69" s="253">
        <v>0.2</v>
      </c>
      <c r="E69" s="422">
        <f t="shared" ref="D69:E70" si="6">E68</f>
        <v>3</v>
      </c>
      <c r="F69" s="423">
        <f t="shared" si="3"/>
        <v>5</v>
      </c>
      <c r="G69" s="424">
        <f>Initiatives!I174</f>
        <v>0.92999999999999949</v>
      </c>
      <c r="H69" s="160"/>
      <c r="I69" s="75"/>
      <c r="J69" s="73"/>
      <c r="K69" s="73"/>
      <c r="L69" s="73"/>
      <c r="M69" s="73"/>
      <c r="N69" s="73"/>
      <c r="O69" s="73"/>
      <c r="P69" s="119"/>
      <c r="R69" s="253">
        <f t="shared" ref="R69:S69" si="7">R68</f>
        <v>0.15</v>
      </c>
      <c r="S69" s="422">
        <f t="shared" si="7"/>
        <v>3</v>
      </c>
      <c r="T69" s="423">
        <f t="shared" si="5"/>
        <v>5</v>
      </c>
      <c r="U69" s="424">
        <f>Initiatives!W174</f>
        <v>0</v>
      </c>
    </row>
    <row r="70" spans="2:21" s="103" customFormat="1" ht="15" thickTop="1" thickBot="1">
      <c r="B70" s="151"/>
      <c r="C70" s="421" t="str">
        <f>Initiatives!F175</f>
        <v>Other Data Integration</v>
      </c>
      <c r="D70" s="253">
        <f t="shared" si="6"/>
        <v>0.2</v>
      </c>
      <c r="E70" s="422">
        <f t="shared" si="6"/>
        <v>3</v>
      </c>
      <c r="F70" s="423">
        <f t="shared" si="3"/>
        <v>4</v>
      </c>
      <c r="G70" s="424">
        <f>Initiatives!I175</f>
        <v>0.84000000000000008</v>
      </c>
      <c r="H70" s="160"/>
      <c r="I70" s="75"/>
      <c r="J70" s="73"/>
      <c r="K70" s="73"/>
      <c r="L70" s="73"/>
      <c r="M70" s="73"/>
      <c r="N70" s="73"/>
      <c r="O70" s="73"/>
      <c r="P70" s="119"/>
      <c r="R70" s="253">
        <f t="shared" ref="R70:S70" si="8">R69</f>
        <v>0.15</v>
      </c>
      <c r="S70" s="422">
        <f t="shared" si="8"/>
        <v>3</v>
      </c>
      <c r="T70" s="423">
        <f t="shared" si="5"/>
        <v>4</v>
      </c>
      <c r="U70" s="424">
        <f>Initiatives!W175</f>
        <v>0</v>
      </c>
    </row>
    <row r="71" spans="2:21" s="294" customFormat="1" ht="15" thickTop="1" thickBot="1">
      <c r="B71" s="251" t="str">
        <f>Initiatives!E177</f>
        <v>Enhance DW Platform</v>
      </c>
      <c r="C71" s="73"/>
      <c r="D71" s="73"/>
      <c r="E71" s="73"/>
      <c r="F71" s="425"/>
      <c r="G71" s="420"/>
      <c r="H71" s="160"/>
      <c r="I71" s="75"/>
      <c r="J71" s="73"/>
      <c r="K71" s="73"/>
      <c r="L71" s="73"/>
      <c r="M71" s="73"/>
      <c r="N71" s="73"/>
      <c r="O71" s="73"/>
      <c r="P71" s="119"/>
      <c r="R71" s="73"/>
      <c r="S71" s="73"/>
      <c r="T71" s="425"/>
      <c r="U71" s="420"/>
    </row>
    <row r="72" spans="2:21" s="103" customFormat="1" ht="15" thickTop="1" thickBot="1">
      <c r="B72" s="151"/>
      <c r="C72" s="421" t="str">
        <f>Initiatives!F178</f>
        <v>Architecture Standards &amp; Adherence</v>
      </c>
      <c r="D72" s="253">
        <v>0.65</v>
      </c>
      <c r="E72" s="422">
        <v>2</v>
      </c>
      <c r="F72" s="198">
        <f t="shared" ref="F72" si="9">$F$62</f>
        <v>5</v>
      </c>
      <c r="G72" s="424">
        <f>Initiatives!I178</f>
        <v>0.79000000000000015</v>
      </c>
      <c r="H72" s="160"/>
      <c r="I72" s="75"/>
      <c r="J72" s="73"/>
      <c r="K72" s="73"/>
      <c r="L72" s="73"/>
      <c r="M72" s="73"/>
      <c r="N72" s="73"/>
      <c r="O72" s="73"/>
      <c r="P72" s="119"/>
      <c r="R72" s="253">
        <f>R67</f>
        <v>0.15</v>
      </c>
      <c r="S72" s="422">
        <f>S67</f>
        <v>3</v>
      </c>
      <c r="T72" s="198">
        <f t="shared" ref="T72" si="10">$F$62</f>
        <v>5</v>
      </c>
      <c r="U72" s="424">
        <f>Initiatives!W178</f>
        <v>0</v>
      </c>
    </row>
    <row r="73" spans="2:21" s="103" customFormat="1" ht="15" thickTop="1" thickBot="1">
      <c r="B73" s="151"/>
      <c r="C73" s="421" t="str">
        <f>Initiatives!F179</f>
        <v>Data Management</v>
      </c>
      <c r="D73" s="253">
        <v>0.75</v>
      </c>
      <c r="E73" s="422">
        <f t="shared" ref="D73:F76" si="11">E72</f>
        <v>2</v>
      </c>
      <c r="F73" s="198">
        <f t="shared" si="11"/>
        <v>5</v>
      </c>
      <c r="G73" s="424">
        <f>Initiatives!I179</f>
        <v>0.85</v>
      </c>
      <c r="H73" s="160"/>
      <c r="I73" s="75"/>
      <c r="J73" s="73"/>
      <c r="K73" s="73"/>
      <c r="L73" s="73"/>
      <c r="M73" s="73"/>
      <c r="N73" s="73"/>
      <c r="O73" s="73"/>
      <c r="P73" s="119"/>
      <c r="R73" s="253">
        <f t="shared" ref="R73:T73" si="12">R72</f>
        <v>0.15</v>
      </c>
      <c r="S73" s="422">
        <f t="shared" si="12"/>
        <v>3</v>
      </c>
      <c r="T73" s="198">
        <f t="shared" si="12"/>
        <v>5</v>
      </c>
      <c r="U73" s="424">
        <f>Initiatives!W179</f>
        <v>0</v>
      </c>
    </row>
    <row r="74" spans="2:21" s="103" customFormat="1" ht="15" thickTop="1" thickBot="1">
      <c r="B74" s="151"/>
      <c r="C74" s="421" t="str">
        <f>Initiatives!F180</f>
        <v>Data Integration/ETL</v>
      </c>
      <c r="D74" s="253">
        <f t="shared" si="11"/>
        <v>0.75</v>
      </c>
      <c r="E74" s="422">
        <f t="shared" si="11"/>
        <v>2</v>
      </c>
      <c r="F74" s="198">
        <f t="shared" si="11"/>
        <v>5</v>
      </c>
      <c r="G74" s="424">
        <f>Initiatives!I180</f>
        <v>0.85</v>
      </c>
      <c r="H74" s="160"/>
      <c r="I74" s="75"/>
      <c r="J74" s="73"/>
      <c r="K74" s="73"/>
      <c r="L74" s="73"/>
      <c r="M74" s="73"/>
      <c r="N74" s="73"/>
      <c r="O74" s="73"/>
      <c r="P74" s="119"/>
      <c r="R74" s="253">
        <f t="shared" ref="R74:T74" si="13">R73</f>
        <v>0.15</v>
      </c>
      <c r="S74" s="422">
        <f t="shared" si="13"/>
        <v>3</v>
      </c>
      <c r="T74" s="198">
        <f t="shared" si="13"/>
        <v>5</v>
      </c>
      <c r="U74" s="424">
        <f>Initiatives!W180</f>
        <v>0</v>
      </c>
    </row>
    <row r="75" spans="2:21" s="103" customFormat="1" ht="15" thickTop="1" thickBot="1">
      <c r="B75" s="151"/>
      <c r="C75" s="421" t="str">
        <f>Initiatives!F181</f>
        <v>Data Warehouse / Data Marts</v>
      </c>
      <c r="D75" s="253">
        <v>0.8</v>
      </c>
      <c r="E75" s="422">
        <v>1</v>
      </c>
      <c r="F75" s="198">
        <f t="shared" si="11"/>
        <v>5</v>
      </c>
      <c r="G75" s="424">
        <f>Initiatives!I181</f>
        <v>0.83000000000000007</v>
      </c>
      <c r="H75" s="160"/>
      <c r="I75" s="75"/>
      <c r="J75" s="73"/>
      <c r="K75" s="73"/>
      <c r="L75" s="73"/>
      <c r="M75" s="73"/>
      <c r="N75" s="73"/>
      <c r="O75" s="73"/>
      <c r="P75" s="119"/>
      <c r="R75" s="253">
        <f t="shared" ref="R75:T75" si="14">R74</f>
        <v>0.15</v>
      </c>
      <c r="S75" s="422">
        <f t="shared" si="14"/>
        <v>3</v>
      </c>
      <c r="T75" s="198">
        <f t="shared" si="14"/>
        <v>5</v>
      </c>
      <c r="U75" s="424">
        <f>Initiatives!W181</f>
        <v>0</v>
      </c>
    </row>
    <row r="76" spans="2:21" s="103" customFormat="1" ht="15" thickTop="1" thickBot="1">
      <c r="B76" s="151"/>
      <c r="C76" s="421" t="str">
        <f>Initiatives!F182</f>
        <v>Development</v>
      </c>
      <c r="D76" s="253">
        <v>0.9</v>
      </c>
      <c r="E76" s="422">
        <v>1</v>
      </c>
      <c r="F76" s="198">
        <f t="shared" si="11"/>
        <v>5</v>
      </c>
      <c r="G76" s="424">
        <f>Initiatives!I182</f>
        <v>0.91500000000000015</v>
      </c>
      <c r="H76" s="160"/>
      <c r="I76" s="75"/>
      <c r="J76" s="73"/>
      <c r="K76" s="73"/>
      <c r="L76" s="73"/>
      <c r="M76" s="73"/>
      <c r="N76" s="73"/>
      <c r="O76" s="73"/>
      <c r="P76" s="119"/>
      <c r="R76" s="253">
        <f t="shared" ref="R76:T76" si="15">R75</f>
        <v>0.15</v>
      </c>
      <c r="S76" s="422">
        <f t="shared" si="15"/>
        <v>3</v>
      </c>
      <c r="T76" s="198">
        <f t="shared" si="15"/>
        <v>5</v>
      </c>
      <c r="U76" s="424">
        <f>Initiatives!W182</f>
        <v>0</v>
      </c>
    </row>
    <row r="77" spans="2:21" s="103" customFormat="1" ht="15" thickTop="1" thickBot="1">
      <c r="B77" s="251" t="str">
        <f>Initiatives!E184</f>
        <v>Enhance BI Platform</v>
      </c>
      <c r="C77" s="73"/>
      <c r="D77" s="73"/>
      <c r="E77" s="73"/>
      <c r="F77" s="420"/>
      <c r="G77" s="420"/>
      <c r="H77" s="160"/>
      <c r="I77" s="75"/>
      <c r="J77" s="73"/>
      <c r="K77" s="73"/>
      <c r="L77" s="73"/>
      <c r="M77" s="73"/>
      <c r="N77" s="73"/>
      <c r="O77" s="73"/>
      <c r="P77" s="119"/>
      <c r="R77" s="73"/>
      <c r="S77" s="73"/>
      <c r="T77" s="420"/>
      <c r="U77" s="420"/>
    </row>
    <row r="78" spans="2:21" s="103" customFormat="1" ht="15" thickTop="1" thickBot="1">
      <c r="B78" s="151"/>
      <c r="C78" s="421" t="str">
        <f>Initiatives!F185</f>
        <v>Reporting</v>
      </c>
      <c r="D78" s="253">
        <v>0.4</v>
      </c>
      <c r="E78" s="422">
        <v>3</v>
      </c>
      <c r="F78" s="198">
        <f t="shared" ref="F78" si="16">$F$62</f>
        <v>5</v>
      </c>
      <c r="G78" s="424">
        <f>Initiatives!I185</f>
        <v>0.88</v>
      </c>
      <c r="H78" s="160"/>
      <c r="I78" s="75"/>
      <c r="J78" s="73"/>
      <c r="K78" s="73"/>
      <c r="L78" s="73"/>
      <c r="M78" s="73"/>
      <c r="N78" s="73"/>
      <c r="O78" s="73"/>
      <c r="P78" s="119"/>
      <c r="R78" s="253">
        <f>R72</f>
        <v>0.15</v>
      </c>
      <c r="S78" s="422">
        <f>S72</f>
        <v>3</v>
      </c>
      <c r="T78" s="198">
        <f t="shared" ref="T78" si="17">$F$62</f>
        <v>5</v>
      </c>
      <c r="U78" s="424">
        <f>Initiatives!W185</f>
        <v>0</v>
      </c>
    </row>
    <row r="79" spans="2:21" s="103" customFormat="1" ht="15" thickTop="1" thickBot="1">
      <c r="B79" s="151"/>
      <c r="C79" s="421" t="str">
        <f>Initiatives!F186</f>
        <v>Scorecards / Dashboards</v>
      </c>
      <c r="D79" s="253">
        <v>0.25</v>
      </c>
      <c r="E79" s="422">
        <f t="shared" ref="E79:F81" si="18">E78</f>
        <v>3</v>
      </c>
      <c r="F79" s="198">
        <f t="shared" si="18"/>
        <v>5</v>
      </c>
      <c r="G79" s="424">
        <f>Initiatives!I186</f>
        <v>0.85</v>
      </c>
      <c r="H79" s="160"/>
      <c r="I79" s="75"/>
      <c r="J79" s="73"/>
      <c r="K79" s="73"/>
      <c r="L79" s="73"/>
      <c r="M79" s="73"/>
      <c r="N79" s="73"/>
      <c r="O79" s="73"/>
      <c r="P79" s="119"/>
      <c r="R79" s="253">
        <f t="shared" ref="R79:T79" si="19">R78</f>
        <v>0.15</v>
      </c>
      <c r="S79" s="422">
        <f t="shared" si="19"/>
        <v>3</v>
      </c>
      <c r="T79" s="198">
        <f t="shared" si="19"/>
        <v>5</v>
      </c>
      <c r="U79" s="424">
        <f>Initiatives!W186</f>
        <v>0</v>
      </c>
    </row>
    <row r="80" spans="2:21" s="103" customFormat="1" ht="15" thickTop="1" thickBot="1">
      <c r="B80" s="151"/>
      <c r="C80" s="421" t="str">
        <f>Initiatives!F187</f>
        <v>Analytical Tools</v>
      </c>
      <c r="D80" s="253">
        <v>0.25</v>
      </c>
      <c r="E80" s="422">
        <f t="shared" si="18"/>
        <v>3</v>
      </c>
      <c r="F80" s="198">
        <f t="shared" si="18"/>
        <v>5</v>
      </c>
      <c r="G80" s="424">
        <f>Initiatives!I187</f>
        <v>0.85</v>
      </c>
      <c r="H80" s="160"/>
      <c r="I80" s="75"/>
      <c r="J80" s="73"/>
      <c r="K80" s="73"/>
      <c r="L80" s="73"/>
      <c r="M80" s="73"/>
      <c r="N80" s="73"/>
      <c r="O80" s="73"/>
      <c r="P80" s="119"/>
      <c r="R80" s="253">
        <f t="shared" ref="R80:T80" si="20">R79</f>
        <v>0.15</v>
      </c>
      <c r="S80" s="422">
        <f t="shared" si="20"/>
        <v>3</v>
      </c>
      <c r="T80" s="198">
        <f t="shared" si="20"/>
        <v>5</v>
      </c>
      <c r="U80" s="424">
        <f>Initiatives!W187</f>
        <v>0</v>
      </c>
    </row>
    <row r="81" spans="1:21" s="103" customFormat="1" ht="15" thickTop="1" thickBot="1">
      <c r="B81" s="151"/>
      <c r="C81" s="421" t="str">
        <f>Initiatives!F188</f>
        <v>Workflow and Collaboration</v>
      </c>
      <c r="D81" s="253">
        <v>0.1</v>
      </c>
      <c r="E81" s="422">
        <v>3</v>
      </c>
      <c r="F81" s="198">
        <f t="shared" si="18"/>
        <v>5</v>
      </c>
      <c r="G81" s="424">
        <f>Initiatives!I188</f>
        <v>0.82000000000000006</v>
      </c>
      <c r="H81" s="160"/>
      <c r="I81" s="75"/>
      <c r="J81" s="73"/>
      <c r="K81" s="73"/>
      <c r="L81" s="73"/>
      <c r="M81" s="73"/>
      <c r="N81" s="73"/>
      <c r="O81" s="73"/>
      <c r="P81" s="119"/>
      <c r="R81" s="253">
        <f t="shared" ref="R81:T81" si="21">R80</f>
        <v>0.15</v>
      </c>
      <c r="S81" s="422">
        <f t="shared" si="21"/>
        <v>3</v>
      </c>
      <c r="T81" s="198">
        <f t="shared" si="21"/>
        <v>5</v>
      </c>
      <c r="U81" s="424">
        <f>Initiatives!W188</f>
        <v>0</v>
      </c>
    </row>
    <row r="82" spans="1:21" s="103" customFormat="1" ht="14.4" thickTop="1" thickBot="1">
      <c r="B82" s="154"/>
      <c r="C82" s="163"/>
      <c r="D82" s="163"/>
      <c r="E82" s="163"/>
      <c r="F82" s="163"/>
      <c r="G82" s="163"/>
      <c r="H82" s="163"/>
      <c r="I82" s="163"/>
      <c r="J82" s="428"/>
      <c r="K82" s="428"/>
      <c r="L82" s="428"/>
      <c r="M82" s="428"/>
      <c r="N82" s="428"/>
      <c r="O82" s="428"/>
      <c r="P82" s="429"/>
    </row>
    <row r="83" spans="1:21" ht="6.75" customHeight="1"/>
    <row r="84" spans="1:21" ht="21.6" thickBot="1">
      <c r="A84" s="7" t="s">
        <v>549</v>
      </c>
      <c r="J84" s="103"/>
    </row>
    <row r="85" spans="1:21" ht="24" customHeight="1">
      <c r="B85" s="149"/>
      <c r="C85" s="520" t="s">
        <v>1155</v>
      </c>
      <c r="D85" s="520"/>
      <c r="E85" s="520"/>
      <c r="F85" s="520"/>
      <c r="G85" s="520"/>
      <c r="H85" s="520"/>
      <c r="I85" s="520"/>
      <c r="J85" s="520"/>
      <c r="K85" s="520"/>
      <c r="L85" s="520"/>
      <c r="M85" s="520"/>
      <c r="N85" s="520"/>
      <c r="O85" s="435"/>
      <c r="P85" s="427"/>
    </row>
    <row r="86" spans="1:21" ht="58.5" customHeight="1">
      <c r="B86" s="157"/>
      <c r="C86" s="189"/>
      <c r="D86" s="189"/>
      <c r="E86" s="189"/>
      <c r="F86" s="189"/>
      <c r="G86" s="160"/>
      <c r="H86" s="160"/>
      <c r="I86" s="91"/>
      <c r="J86" s="73"/>
      <c r="K86" s="73"/>
      <c r="L86" s="73"/>
      <c r="M86" s="73"/>
      <c r="N86" s="73"/>
      <c r="O86" s="73"/>
      <c r="P86" s="119"/>
    </row>
    <row r="87" spans="1:21" s="103" customFormat="1" ht="27">
      <c r="B87" s="157"/>
      <c r="C87" s="189"/>
      <c r="D87" s="474" t="s">
        <v>1148</v>
      </c>
      <c r="E87" s="456" t="s">
        <v>1015</v>
      </c>
      <c r="G87" s="160"/>
      <c r="H87" s="160"/>
      <c r="I87" s="91"/>
      <c r="J87" s="73"/>
      <c r="K87" s="73"/>
      <c r="L87" s="73"/>
      <c r="M87" s="73"/>
      <c r="N87" s="73"/>
      <c r="O87" s="73"/>
      <c r="P87" s="119"/>
    </row>
    <row r="88" spans="1:21" ht="34.799999999999997">
      <c r="B88" s="151"/>
      <c r="C88" s="421" t="s">
        <v>541</v>
      </c>
      <c r="D88" s="430">
        <f ca="1">Maturity!C63</f>
        <v>2.7154264440788891</v>
      </c>
      <c r="E88" s="430">
        <f ca="1">Maturity!D63</f>
        <v>4.0656499402863853</v>
      </c>
      <c r="G88" s="160"/>
      <c r="H88" s="160"/>
      <c r="I88" s="75"/>
      <c r="J88" s="73"/>
      <c r="K88" s="73"/>
      <c r="L88" s="73"/>
      <c r="M88" s="73"/>
      <c r="N88" s="73"/>
      <c r="O88" s="73"/>
      <c r="P88" s="119"/>
    </row>
    <row r="89" spans="1:21" s="103" customFormat="1" ht="23.4">
      <c r="B89" s="151"/>
      <c r="C89" s="421" t="s">
        <v>542</v>
      </c>
      <c r="D89" s="430">
        <f ca="1">Maturity!C64</f>
        <v>3.2216124353592335</v>
      </c>
      <c r="E89" s="430">
        <f ca="1">Maturity!D64</f>
        <v>4.0746435649518764</v>
      </c>
      <c r="G89" s="160"/>
      <c r="H89" s="160"/>
      <c r="I89" s="75"/>
      <c r="J89" s="73"/>
      <c r="K89" s="73"/>
      <c r="L89" s="73"/>
      <c r="M89" s="73"/>
      <c r="N89" s="73"/>
      <c r="O89" s="73"/>
      <c r="P89" s="119"/>
    </row>
    <row r="90" spans="1:21" s="103" customFormat="1" ht="23.4">
      <c r="B90" s="151"/>
      <c r="C90" s="421" t="s">
        <v>543</v>
      </c>
      <c r="D90" s="430">
        <f ca="1">Maturity!C65</f>
        <v>2.867923974972272</v>
      </c>
      <c r="E90" s="430">
        <f ca="1">Maturity!D65</f>
        <v>4.109364645433609</v>
      </c>
      <c r="G90" s="160"/>
      <c r="H90" s="160"/>
      <c r="I90" s="75"/>
      <c r="J90" s="73"/>
      <c r="K90" s="73"/>
      <c r="L90" s="73"/>
      <c r="M90" s="73"/>
      <c r="N90" s="73"/>
      <c r="O90" s="73"/>
      <c r="P90" s="119"/>
    </row>
    <row r="91" spans="1:21" s="103" customFormat="1" ht="23.4">
      <c r="B91" s="151"/>
      <c r="C91" s="421" t="s">
        <v>544</v>
      </c>
      <c r="D91" s="430">
        <f ca="1">Maturity!C66</f>
        <v>2.6608431151952354</v>
      </c>
      <c r="E91" s="430">
        <f ca="1">Maturity!D66</f>
        <v>4.199388379081431</v>
      </c>
      <c r="G91" s="160"/>
      <c r="H91" s="160"/>
      <c r="I91" s="75"/>
      <c r="J91" s="73"/>
      <c r="K91" s="73"/>
      <c r="L91" s="73"/>
      <c r="M91" s="73"/>
      <c r="N91" s="73"/>
      <c r="O91" s="73"/>
      <c r="P91" s="119"/>
    </row>
    <row r="92" spans="1:21" s="103" customFormat="1" ht="34.799999999999997">
      <c r="B92" s="151"/>
      <c r="C92" s="421" t="s">
        <v>545</v>
      </c>
      <c r="D92" s="430">
        <f ca="1">Maturity!C67</f>
        <v>3.5925930255310377</v>
      </c>
      <c r="E92" s="430">
        <f ca="1">Maturity!D67</f>
        <v>4.2806235862395807</v>
      </c>
      <c r="G92" s="160"/>
      <c r="H92" s="160"/>
      <c r="I92" s="75"/>
      <c r="J92" s="73"/>
      <c r="K92" s="73"/>
      <c r="L92" s="73"/>
      <c r="M92" s="73"/>
      <c r="N92" s="73"/>
      <c r="O92" s="73"/>
      <c r="P92" s="119"/>
    </row>
    <row r="93" spans="1:21" s="103" customFormat="1" ht="23.4">
      <c r="B93" s="151"/>
      <c r="C93" s="421" t="s">
        <v>546</v>
      </c>
      <c r="D93" s="430">
        <f ca="1">Maturity!C68</f>
        <v>3.7480699958844981</v>
      </c>
      <c r="E93" s="430">
        <f ca="1">Maturity!D68</f>
        <v>4.4402677945183626</v>
      </c>
      <c r="G93" s="160"/>
      <c r="H93" s="160"/>
      <c r="I93" s="75"/>
      <c r="J93" s="73"/>
      <c r="K93" s="73"/>
      <c r="L93" s="73"/>
      <c r="M93" s="73"/>
      <c r="N93" s="73"/>
      <c r="O93" s="73"/>
      <c r="P93" s="119"/>
    </row>
    <row r="94" spans="1:21" ht="34.799999999999997">
      <c r="B94" s="151"/>
      <c r="C94" s="421" t="s">
        <v>547</v>
      </c>
      <c r="D94" s="430">
        <f ca="1">Maturity!C69</f>
        <v>3.6060772837472554</v>
      </c>
      <c r="E94" s="430">
        <f ca="1">Maturity!D69</f>
        <v>4.1241944209317838</v>
      </c>
      <c r="G94" s="160"/>
      <c r="H94" s="160"/>
      <c r="I94" s="75"/>
      <c r="J94" s="73"/>
      <c r="K94" s="73"/>
      <c r="L94" s="73"/>
      <c r="M94" s="73"/>
      <c r="N94" s="73"/>
      <c r="O94" s="73"/>
      <c r="P94" s="119"/>
    </row>
    <row r="95" spans="1:21" ht="35.4" thickBot="1">
      <c r="B95" s="151"/>
      <c r="C95" s="421" t="s">
        <v>548</v>
      </c>
      <c r="D95" s="430">
        <f ca="1">Maturity!C70</f>
        <v>2.9288407722759757</v>
      </c>
      <c r="E95" s="430">
        <f ca="1">Maturity!D70</f>
        <v>4.1309986233955192</v>
      </c>
      <c r="G95" s="160"/>
      <c r="H95" s="160"/>
      <c r="I95" s="75"/>
      <c r="J95" s="73"/>
      <c r="K95" s="73"/>
      <c r="L95" s="73"/>
      <c r="M95" s="73"/>
      <c r="N95" s="73"/>
      <c r="O95" s="73"/>
      <c r="P95" s="119"/>
    </row>
    <row r="96" spans="1:21" s="103" customFormat="1" ht="13.8" thickTop="1">
      <c r="B96" s="151"/>
      <c r="C96" s="431" t="s">
        <v>0</v>
      </c>
      <c r="D96" s="432">
        <f ca="1">Maturity!C71</f>
        <v>25.341387047044396</v>
      </c>
      <c r="E96" s="432">
        <f ca="1">Maturity!D71</f>
        <v>33.425130954838544</v>
      </c>
      <c r="G96" s="160"/>
      <c r="H96" s="160"/>
      <c r="I96" s="75"/>
      <c r="J96" s="73"/>
      <c r="K96" s="73"/>
      <c r="L96" s="73"/>
      <c r="M96" s="73"/>
      <c r="N96" s="73"/>
      <c r="O96" s="73"/>
      <c r="P96" s="119"/>
    </row>
    <row r="97" spans="2:16">
      <c r="B97" s="151"/>
      <c r="C97" s="91"/>
      <c r="D97" s="91"/>
      <c r="E97" s="91"/>
      <c r="F97" s="91"/>
      <c r="G97" s="91"/>
      <c r="H97" s="91"/>
      <c r="I97" s="91"/>
      <c r="J97" s="73"/>
      <c r="K97" s="73"/>
      <c r="L97" s="73"/>
      <c r="M97" s="73"/>
      <c r="N97" s="73"/>
      <c r="O97" s="73"/>
      <c r="P97" s="119"/>
    </row>
    <row r="98" spans="2:16">
      <c r="B98" s="433"/>
      <c r="C98" s="73"/>
      <c r="D98" s="73"/>
      <c r="E98" s="73"/>
      <c r="F98" s="73"/>
      <c r="G98" s="73"/>
      <c r="H98" s="73"/>
      <c r="I98" s="73"/>
      <c r="J98" s="73"/>
      <c r="K98" s="73"/>
      <c r="L98" s="73"/>
      <c r="M98" s="73"/>
      <c r="N98" s="73"/>
      <c r="O98" s="73"/>
      <c r="P98" s="119"/>
    </row>
    <row r="99" spans="2:16" s="343" customFormat="1">
      <c r="B99" s="433"/>
      <c r="C99" s="73"/>
      <c r="D99" s="73"/>
      <c r="E99" s="73"/>
      <c r="F99" s="73"/>
      <c r="G99" s="73"/>
      <c r="H99" s="73"/>
      <c r="I99" s="73"/>
      <c r="J99" s="73"/>
      <c r="K99" s="73"/>
      <c r="L99" s="73"/>
      <c r="M99" s="73"/>
      <c r="N99" s="73"/>
      <c r="O99" s="73"/>
      <c r="P99" s="119"/>
    </row>
    <row r="100" spans="2:16" s="343" customFormat="1">
      <c r="B100" s="433"/>
      <c r="C100" s="73"/>
      <c r="D100" s="73"/>
      <c r="E100" s="73"/>
      <c r="F100" s="73"/>
      <c r="G100" s="73"/>
      <c r="H100" s="73"/>
      <c r="I100" s="73"/>
      <c r="J100" s="73"/>
      <c r="K100" s="73"/>
      <c r="L100" s="73"/>
      <c r="M100" s="73"/>
      <c r="N100" s="73"/>
      <c r="O100" s="73"/>
      <c r="P100" s="119"/>
    </row>
    <row r="101" spans="2:16" s="343" customFormat="1">
      <c r="B101" s="433"/>
      <c r="C101" s="73"/>
      <c r="D101" s="73"/>
      <c r="E101" s="73"/>
      <c r="F101" s="73"/>
      <c r="G101" s="73"/>
      <c r="H101" s="73"/>
      <c r="I101" s="73"/>
      <c r="J101" s="73"/>
      <c r="K101" s="73"/>
      <c r="L101" s="73"/>
      <c r="M101" s="73"/>
      <c r="N101" s="73"/>
      <c r="O101" s="73"/>
      <c r="P101" s="119"/>
    </row>
    <row r="102" spans="2:16" s="343" customFormat="1">
      <c r="B102" s="433"/>
      <c r="C102" s="73"/>
      <c r="D102" s="73"/>
      <c r="E102" s="73"/>
      <c r="F102" s="73"/>
      <c r="G102" s="73"/>
      <c r="H102" s="73"/>
      <c r="I102" s="73"/>
      <c r="J102" s="73"/>
      <c r="K102" s="73"/>
      <c r="L102" s="73"/>
      <c r="M102" s="73"/>
      <c r="N102" s="73"/>
      <c r="O102" s="73"/>
      <c r="P102" s="119"/>
    </row>
    <row r="103" spans="2:16" s="343" customFormat="1">
      <c r="B103" s="433"/>
      <c r="C103" s="73"/>
      <c r="D103" s="73"/>
      <c r="E103" s="73"/>
      <c r="F103" s="73"/>
      <c r="G103" s="73"/>
      <c r="H103" s="73"/>
      <c r="I103" s="73"/>
      <c r="J103" s="73"/>
      <c r="K103" s="73"/>
      <c r="L103" s="73"/>
      <c r="M103" s="73"/>
      <c r="N103" s="73"/>
      <c r="O103" s="73"/>
      <c r="P103" s="119"/>
    </row>
    <row r="104" spans="2:16" s="343" customFormat="1">
      <c r="B104" s="433"/>
      <c r="C104" s="73"/>
      <c r="D104" s="73"/>
      <c r="E104" s="73"/>
      <c r="F104" s="73"/>
      <c r="G104" s="73"/>
      <c r="H104" s="73"/>
      <c r="I104" s="73"/>
      <c r="J104" s="73"/>
      <c r="K104" s="73"/>
      <c r="L104" s="73"/>
      <c r="M104" s="73"/>
      <c r="N104" s="73"/>
      <c r="O104" s="73"/>
      <c r="P104" s="119"/>
    </row>
    <row r="105" spans="2:16" s="343" customFormat="1">
      <c r="B105" s="433"/>
      <c r="C105" s="73"/>
      <c r="D105" s="73"/>
      <c r="E105" s="73"/>
      <c r="F105" s="73"/>
      <c r="G105" s="73"/>
      <c r="H105" s="73"/>
      <c r="I105" s="73"/>
      <c r="J105" s="73"/>
      <c r="K105" s="73"/>
      <c r="L105" s="73"/>
      <c r="M105" s="73"/>
      <c r="N105" s="73"/>
      <c r="O105" s="73"/>
      <c r="P105" s="119"/>
    </row>
    <row r="106" spans="2:16" s="343" customFormat="1">
      <c r="B106" s="433"/>
      <c r="C106" s="73"/>
      <c r="D106" s="73"/>
      <c r="E106" s="73"/>
      <c r="F106" s="73"/>
      <c r="G106" s="73"/>
      <c r="H106" s="73"/>
      <c r="I106" s="73"/>
      <c r="J106" s="73"/>
      <c r="K106" s="73"/>
      <c r="L106" s="73"/>
      <c r="M106" s="73"/>
      <c r="N106" s="73"/>
      <c r="O106" s="73"/>
      <c r="P106" s="119"/>
    </row>
    <row r="107" spans="2:16" s="343" customFormat="1">
      <c r="B107" s="433"/>
      <c r="C107" s="73"/>
      <c r="D107" s="73"/>
      <c r="E107" s="73"/>
      <c r="F107" s="73"/>
      <c r="G107" s="73"/>
      <c r="H107" s="73"/>
      <c r="I107" s="73"/>
      <c r="J107" s="73"/>
      <c r="K107" s="73"/>
      <c r="L107" s="73"/>
      <c r="M107" s="73"/>
      <c r="N107" s="73"/>
      <c r="O107" s="73"/>
      <c r="P107" s="119"/>
    </row>
    <row r="108" spans="2:16" s="343" customFormat="1" ht="13.8" thickBot="1">
      <c r="B108" s="434"/>
      <c r="C108" s="428"/>
      <c r="D108" s="428"/>
      <c r="E108" s="428"/>
      <c r="F108" s="428"/>
      <c r="G108" s="428"/>
      <c r="H108" s="428"/>
      <c r="I108" s="428"/>
      <c r="J108" s="428"/>
      <c r="K108" s="428"/>
      <c r="L108" s="428"/>
      <c r="M108" s="428"/>
      <c r="N108" s="428"/>
      <c r="O108" s="428"/>
      <c r="P108" s="429"/>
    </row>
    <row r="109" spans="2:16" s="343" customFormat="1"/>
    <row r="110" spans="2:16">
      <c r="C110" s="397" t="s">
        <v>1023</v>
      </c>
      <c r="D110" s="397"/>
      <c r="E110" s="397"/>
      <c r="F110" s="397"/>
      <c r="G110" s="400"/>
    </row>
  </sheetData>
  <mergeCells count="42">
    <mergeCell ref="C4:H4"/>
    <mergeCell ref="C20:H20"/>
    <mergeCell ref="D9:F9"/>
    <mergeCell ref="D5:F5"/>
    <mergeCell ref="C59:H59"/>
    <mergeCell ref="C6:H6"/>
    <mergeCell ref="C53:H53"/>
    <mergeCell ref="C47:H48"/>
    <mergeCell ref="C54:H55"/>
    <mergeCell ref="C35:H35"/>
    <mergeCell ref="C32:H32"/>
    <mergeCell ref="D39:D40"/>
    <mergeCell ref="E39:E40"/>
    <mergeCell ref="N5:O5"/>
    <mergeCell ref="M10:O10"/>
    <mergeCell ref="N6:O6"/>
    <mergeCell ref="N7:O7"/>
    <mergeCell ref="N8:O8"/>
    <mergeCell ref="N9:O9"/>
    <mergeCell ref="M13:O13"/>
    <mergeCell ref="M12:O12"/>
    <mergeCell ref="M11:O11"/>
    <mergeCell ref="D7:F7"/>
    <mergeCell ref="C8:H8"/>
    <mergeCell ref="C12:H12"/>
    <mergeCell ref="C10:H10"/>
    <mergeCell ref="C85:N85"/>
    <mergeCell ref="B2:L2"/>
    <mergeCell ref="M41:O41"/>
    <mergeCell ref="D27:E27"/>
    <mergeCell ref="C21:H21"/>
    <mergeCell ref="C24:H24"/>
    <mergeCell ref="C26:H26"/>
    <mergeCell ref="F39:F40"/>
    <mergeCell ref="G39:G40"/>
    <mergeCell ref="H39:H40"/>
    <mergeCell ref="D25:E25"/>
    <mergeCell ref="C28:H28"/>
    <mergeCell ref="C30:F30"/>
    <mergeCell ref="D29:E29"/>
    <mergeCell ref="D31:E31"/>
    <mergeCell ref="C38:H38"/>
  </mergeCells>
  <phoneticPr fontId="15" type="noConversion"/>
  <dataValidations count="10">
    <dataValidation type="list" allowBlank="1" showInputMessage="1" showErrorMessage="1" sqref="D31">
      <formula1>"2,3,4,5"</formula1>
    </dataValidation>
    <dataValidation type="decimal" errorStyle="warning" allowBlank="1" showInputMessage="1" showErrorMessage="1" errorTitle="Out of Range" error="This model is designed for organizations with more than 30 employees.  Results are unlikely to be accurate for smaller organizations." promptTitle="Num. of PC-Using Employees" sqref="D11">
      <formula1>30</formula1>
      <formula2>1000000</formula2>
    </dataValidation>
    <dataValidation type="list" allowBlank="1" showErrorMessage="1" errorTitle="Select from the drop-down box" sqref="D5:F5">
      <formula1>IndustryList</formula1>
    </dataValidation>
    <dataValidation type="list" allowBlank="1" showErrorMessage="1" errorTitle="Select from the drop-down box" sqref="D7:F7">
      <formula1>CountryList</formula1>
    </dataValidation>
    <dataValidation type="list" allowBlank="1" showErrorMessage="1" errorTitle="Select from the drop-down box" sqref="D9:F9">
      <formula1>SiteLocationList</formula1>
    </dataValidation>
    <dataValidation type="decimal" errorStyle="warning" operator="lessThan" allowBlank="1" showInputMessage="1" showErrorMessage="1" errorTitle="Must be less than 100%" sqref="D15:D17">
      <formula1>1</formula1>
    </dataValidation>
    <dataValidation type="decimal" allowBlank="1" showInputMessage="1" showErrorMessage="1" errorTitle="Invalid Entry" error="Must be 0-100%" sqref="D62:D81 R62:R81">
      <formula1>0</formula1>
      <formula2>1</formula2>
    </dataValidation>
    <dataValidation type="decimal" allowBlank="1" showInputMessage="1" showErrorMessage="1" errorTitle="Invalid Entry" error="Must be 0 to 3" sqref="E62:E81 S62:S81">
      <formula1>0</formula1>
      <formula2>3</formula2>
    </dataValidation>
    <dataValidation type="decimal" allowBlank="1" showInputMessage="1" showErrorMessage="1" errorTitle="Invalid Entry" error="Must be 0 to 10" sqref="F78:F81 F62:F76 T78:T81 T62:T76">
      <formula1>0</formula1>
      <formula2>10</formula2>
    </dataValidation>
    <dataValidation type="decimal" allowBlank="1" showInputMessage="1" showErrorMessage="1" errorTitle="Invalid Entry" error="Must be $1000 to $900,000" sqref="D42:D46 D50:D51">
      <formula1>1000</formula1>
      <formula2>900000</formula2>
    </dataValidation>
  </dataValidations>
  <hyperlinks>
    <hyperlink ref="C110" r:id="rId1" display="© Copyright, 2007, Hall Consulting &amp; Research LLC, All Rights Reserved.  www.hallcr.com"/>
  </hyperlinks>
  <pageMargins left="0.25" right="0.25" top="0.75" bottom="0.75" header="0.3" footer="0.3"/>
  <pageSetup scale="64" fitToHeight="10" orientation="portrait" horizontalDpi="300" verticalDpi="300" r:id="rId2"/>
  <headerFooter>
    <oddFooter>&amp;LTDWI Business Intelligence ROI Calculator&amp;C&amp;A Worksheet&amp;R&amp;P of &amp;N</oddFooter>
  </headerFooter>
  <drawing r:id="rId3"/>
</worksheet>
</file>

<file path=xl/worksheets/sheet3.xml><?xml version="1.0" encoding="utf-8"?>
<worksheet xmlns="http://schemas.openxmlformats.org/spreadsheetml/2006/main" xmlns:r="http://schemas.openxmlformats.org/officeDocument/2006/relationships">
  <sheetPr codeName="Sheet4">
    <outlinePr summaryBelow="0" summaryRight="0"/>
    <pageSetUpPr fitToPage="1"/>
  </sheetPr>
  <dimension ref="A1:U297"/>
  <sheetViews>
    <sheetView showGridLines="0" topLeftCell="D1" workbookViewId="0">
      <selection activeCell="G272" sqref="G272"/>
    </sheetView>
  </sheetViews>
  <sheetFormatPr defaultRowHeight="13.2" outlineLevelRow="1"/>
  <cols>
    <col min="1" max="1" width="5.6640625" style="352" hidden="1" customWidth="1"/>
    <col min="2" max="2" width="3.5546875" style="352" hidden="1" customWidth="1"/>
    <col min="3" max="3" width="4.109375" style="352" hidden="1" customWidth="1"/>
    <col min="4" max="4" width="2.6640625" customWidth="1"/>
    <col min="5" max="5" width="3.109375" customWidth="1"/>
    <col min="6" max="6" width="26.5546875" customWidth="1"/>
    <col min="7" max="7" width="29.44140625" style="305" customWidth="1"/>
    <col min="8" max="8" width="10" customWidth="1"/>
    <col min="9" max="9" width="10.33203125" customWidth="1"/>
    <col min="10" max="10" width="11.5546875" customWidth="1"/>
    <col min="11" max="11" width="12.44140625" customWidth="1"/>
    <col min="12" max="12" width="10.33203125" style="266" customWidth="1"/>
    <col min="14" max="14" width="21" customWidth="1"/>
    <col min="15" max="15" width="11.5546875" bestFit="1" customWidth="1"/>
    <col min="16" max="16" width="0" hidden="1" customWidth="1"/>
    <col min="17" max="17" width="11.6640625" hidden="1" customWidth="1"/>
    <col min="18" max="24" width="0" hidden="1" customWidth="1"/>
  </cols>
  <sheetData>
    <row r="1" spans="1:21" ht="27.6">
      <c r="D1" s="2" t="s">
        <v>918</v>
      </c>
    </row>
    <row r="2" spans="1:21" ht="106.5" customHeight="1"/>
    <row r="3" spans="1:21" ht="21">
      <c r="D3" s="1" t="s">
        <v>615</v>
      </c>
    </row>
    <row r="4" spans="1:21" ht="12.75" customHeight="1" outlineLevel="1">
      <c r="F4" s="333" t="s">
        <v>622</v>
      </c>
      <c r="G4" s="332"/>
      <c r="H4" s="332"/>
      <c r="I4" s="332"/>
      <c r="J4" s="332"/>
      <c r="K4" s="332"/>
      <c r="L4" s="258"/>
    </row>
    <row r="5" spans="1:21" s="103" customFormat="1" ht="80.25" customHeight="1" outlineLevel="1" thickBot="1">
      <c r="A5" s="388" t="s">
        <v>971</v>
      </c>
      <c r="B5" s="388" t="s">
        <v>968</v>
      </c>
      <c r="C5" s="388"/>
      <c r="F5" s="257" t="s">
        <v>677</v>
      </c>
      <c r="G5" s="301" t="s">
        <v>77</v>
      </c>
      <c r="H5" s="213" t="s">
        <v>650</v>
      </c>
      <c r="I5" s="213" t="s">
        <v>651</v>
      </c>
      <c r="J5" s="257" t="s">
        <v>691</v>
      </c>
      <c r="K5" s="257" t="s">
        <v>685</v>
      </c>
      <c r="L5" s="301" t="s">
        <v>826</v>
      </c>
      <c r="M5" s="277" t="s">
        <v>705</v>
      </c>
      <c r="N5" s="341" t="s">
        <v>6</v>
      </c>
      <c r="P5" s="293" t="s">
        <v>686</v>
      </c>
      <c r="Q5" s="291"/>
      <c r="R5" s="292"/>
    </row>
    <row r="6" spans="1:21" s="103" customFormat="1" ht="16.2" outlineLevel="1" thickTop="1" thickBot="1">
      <c r="A6" s="387">
        <v>31</v>
      </c>
      <c r="B6" s="352">
        <f>COUNTIF(B7:B296,"&gt;0")</f>
        <v>0</v>
      </c>
      <c r="C6" s="352"/>
      <c r="D6"/>
      <c r="E6" s="6" t="s">
        <v>919</v>
      </c>
      <c r="F6"/>
      <c r="G6" s="35"/>
      <c r="J6" s="22"/>
      <c r="K6" s="22"/>
      <c r="L6" s="266"/>
      <c r="M6" s="266"/>
      <c r="N6"/>
      <c r="P6" s="268" t="s">
        <v>688</v>
      </c>
      <c r="Q6" s="268" t="s">
        <v>687</v>
      </c>
      <c r="R6" s="268" t="s">
        <v>689</v>
      </c>
    </row>
    <row r="7" spans="1:21" ht="27.6" outlineLevel="1" thickTop="1" thickBot="1">
      <c r="A7" s="389" t="str">
        <f ca="1">IFERROR(MATCH(ROW(),OFFSET(ImpCalc!$E$1,Initiatives!$A$6-1,0,1,20),0),"")</f>
        <v/>
      </c>
      <c r="B7" s="40" t="str">
        <f>IF(C7="","",ROW(C7))</f>
        <v/>
      </c>
      <c r="C7" s="330"/>
      <c r="D7" s="103"/>
      <c r="E7" s="103"/>
      <c r="F7" s="47" t="s">
        <v>981</v>
      </c>
      <c r="G7" s="79" t="s">
        <v>982</v>
      </c>
      <c r="H7" s="279">
        <f>Profile!D62</f>
        <v>0.65</v>
      </c>
      <c r="I7" s="279">
        <f>(1-H7)*CHOOSE(Profile!$E$62+1,$R$7,$R$8,$R$9,$R$10)+H7</f>
        <v>0.92999999999999994</v>
      </c>
      <c r="J7" s="330">
        <f>Profile!F62</f>
        <v>5</v>
      </c>
      <c r="K7" s="330">
        <v>5</v>
      </c>
      <c r="L7" s="41">
        <f t="shared" ref="L7:L16" si="0">I7-H7</f>
        <v>0.27999999999999992</v>
      </c>
      <c r="M7" s="41">
        <f t="shared" ref="M7:M16" si="1">L7/(1-H7)</f>
        <v>0.79999999999999982</v>
      </c>
      <c r="N7" s="137"/>
      <c r="P7" s="269" t="s">
        <v>681</v>
      </c>
      <c r="Q7" s="270">
        <v>0</v>
      </c>
      <c r="R7" s="271">
        <v>0</v>
      </c>
      <c r="S7" s="271">
        <f>0.0625*Q7^2+0.0803*Q7</f>
        <v>0</v>
      </c>
    </row>
    <row r="8" spans="1:21" s="305" customFormat="1" ht="15.6" outlineLevel="1" thickTop="1" thickBot="1">
      <c r="A8" s="389" t="str">
        <f ca="1">IFERROR(MATCH(ROW(),OFFSET(ImpCalc!$E$1,$A$6-1,0,1,20),0),"")</f>
        <v/>
      </c>
      <c r="B8" s="40" t="str">
        <f t="shared" ref="B8:B73" si="2">IF(C8="","",ROW(C8))</f>
        <v/>
      </c>
      <c r="C8" s="330"/>
      <c r="D8" s="103"/>
      <c r="E8" s="103"/>
      <c r="F8" s="47" t="s">
        <v>980</v>
      </c>
      <c r="G8" s="79" t="s">
        <v>979</v>
      </c>
      <c r="H8" s="279">
        <f>H7</f>
        <v>0.65</v>
      </c>
      <c r="I8" s="303">
        <f>(1-H8)*CHOOSE(Profile!$E$62+1,$R$7,$R$8,$R$9,$R$10)+H8</f>
        <v>0.92999999999999994</v>
      </c>
      <c r="J8" s="330">
        <f>J7</f>
        <v>5</v>
      </c>
      <c r="K8" s="330">
        <v>5</v>
      </c>
      <c r="L8" s="41">
        <f t="shared" si="0"/>
        <v>0.27999999999999992</v>
      </c>
      <c r="M8" s="41">
        <f t="shared" si="1"/>
        <v>0.79999999999999982</v>
      </c>
      <c r="N8" s="137"/>
      <c r="P8" s="269" t="s">
        <v>682</v>
      </c>
      <c r="Q8" s="270">
        <v>1</v>
      </c>
      <c r="R8" s="271">
        <v>0.15</v>
      </c>
      <c r="S8" s="271">
        <f>0.0625*Q8^2+0.0803*Q8</f>
        <v>0.14279999999999998</v>
      </c>
    </row>
    <row r="9" spans="1:21" ht="27.6" outlineLevel="1" thickTop="1" thickBot="1">
      <c r="A9" s="389" t="str">
        <f ca="1">IFERROR(MATCH(ROW(),OFFSET(ImpCalc!$E$1,$A$6-1,0,1,20),0),"")</f>
        <v/>
      </c>
      <c r="B9" s="40" t="str">
        <f t="shared" si="2"/>
        <v/>
      </c>
      <c r="C9" s="330"/>
      <c r="F9" s="47" t="s">
        <v>626</v>
      </c>
      <c r="G9" s="79"/>
      <c r="H9" s="342">
        <f t="shared" ref="H9:J14" si="3">H8</f>
        <v>0.65</v>
      </c>
      <c r="I9" s="303">
        <f>(1-H9)*CHOOSE(Profile!$E$62+1,$R$7,$R$8,$R$9,$R$10)+H9</f>
        <v>0.92999999999999994</v>
      </c>
      <c r="J9" s="330">
        <f t="shared" si="3"/>
        <v>5</v>
      </c>
      <c r="K9" s="330">
        <v>5</v>
      </c>
      <c r="L9" s="41">
        <f t="shared" si="0"/>
        <v>0.27999999999999992</v>
      </c>
      <c r="M9" s="41">
        <f t="shared" si="1"/>
        <v>0.79999999999999982</v>
      </c>
      <c r="N9" s="137"/>
      <c r="P9" s="269" t="s">
        <v>683</v>
      </c>
      <c r="Q9" s="270">
        <v>2</v>
      </c>
      <c r="R9" s="271">
        <v>0.4</v>
      </c>
      <c r="S9" s="271">
        <f>0.0625*Q9^2+0.0803*Q9</f>
        <v>0.41059999999999997</v>
      </c>
    </row>
    <row r="10" spans="1:21" ht="15.6" outlineLevel="1" thickTop="1" thickBot="1">
      <c r="A10" s="389" t="str">
        <f ca="1">IFERROR(MATCH(ROW(),OFFSET(ImpCalc!$E$1,$A$6-1,0,1,20),0),"")</f>
        <v/>
      </c>
      <c r="B10" s="40" t="str">
        <f t="shared" si="2"/>
        <v/>
      </c>
      <c r="C10" s="330"/>
      <c r="F10" s="47" t="s">
        <v>618</v>
      </c>
      <c r="G10" s="79"/>
      <c r="H10" s="342">
        <f t="shared" si="3"/>
        <v>0.65</v>
      </c>
      <c r="I10" s="303">
        <f>(1-H10)*CHOOSE(Profile!$E$62+1,$R$7,$R$8,$R$9,$R$10)+H10</f>
        <v>0.92999999999999994</v>
      </c>
      <c r="J10" s="330">
        <f t="shared" si="3"/>
        <v>5</v>
      </c>
      <c r="K10" s="330">
        <v>5</v>
      </c>
      <c r="L10" s="41">
        <f t="shared" si="0"/>
        <v>0.27999999999999992</v>
      </c>
      <c r="M10" s="41">
        <f t="shared" si="1"/>
        <v>0.79999999999999982</v>
      </c>
      <c r="N10" s="137"/>
      <c r="P10" s="269" t="s">
        <v>684</v>
      </c>
      <c r="Q10" s="270">
        <v>3</v>
      </c>
      <c r="R10" s="271">
        <v>0.8</v>
      </c>
      <c r="S10" s="271">
        <f>0.0625*Q10^2+0.0803*Q10</f>
        <v>0.8034</v>
      </c>
    </row>
    <row r="11" spans="1:21" s="103" customFormat="1" ht="15" outlineLevel="1" thickTop="1" thickBot="1">
      <c r="A11" s="389" t="str">
        <f ca="1">IFERROR(MATCH(ROW(),OFFSET(ImpCalc!$E$1,$A$6-1,0,1,20),0),"")</f>
        <v/>
      </c>
      <c r="B11" s="40" t="str">
        <f t="shared" si="2"/>
        <v/>
      </c>
      <c r="C11" s="330"/>
      <c r="D11"/>
      <c r="E11"/>
      <c r="F11" s="47" t="s">
        <v>620</v>
      </c>
      <c r="G11" s="79"/>
      <c r="H11" s="342">
        <f t="shared" si="3"/>
        <v>0.65</v>
      </c>
      <c r="I11" s="303">
        <f>(1-H11)*CHOOSE(Profile!$E$62+1,$R$7,$R$8,$R$9,$R$10)+H11</f>
        <v>0.92999999999999994</v>
      </c>
      <c r="J11" s="330">
        <f t="shared" si="3"/>
        <v>5</v>
      </c>
      <c r="K11" s="330">
        <v>5</v>
      </c>
      <c r="L11" s="41">
        <f t="shared" si="0"/>
        <v>0.27999999999999992</v>
      </c>
      <c r="M11" s="41">
        <f t="shared" si="1"/>
        <v>0.79999999999999982</v>
      </c>
      <c r="N11" s="137"/>
    </row>
    <row r="12" spans="1:21" s="103" customFormat="1" ht="15" outlineLevel="1" thickTop="1" thickBot="1">
      <c r="A12" s="389" t="str">
        <f ca="1">IFERROR(MATCH(ROW(),OFFSET(ImpCalc!$E$1,$A$6-1,0,1,20),0),"")</f>
        <v/>
      </c>
      <c r="B12" s="40" t="str">
        <f t="shared" si="2"/>
        <v/>
      </c>
      <c r="C12" s="330"/>
      <c r="D12"/>
      <c r="E12"/>
      <c r="F12" s="47" t="s">
        <v>621</v>
      </c>
      <c r="G12" s="79"/>
      <c r="H12" s="342">
        <f t="shared" si="3"/>
        <v>0.65</v>
      </c>
      <c r="I12" s="303">
        <f>(1-H12)*CHOOSE(Profile!$E$62+1,$R$7,$R$8,$R$9,$R$10)+H12</f>
        <v>0.92999999999999994</v>
      </c>
      <c r="J12" s="330">
        <f t="shared" si="3"/>
        <v>5</v>
      </c>
      <c r="K12" s="330">
        <v>5</v>
      </c>
      <c r="L12" s="41">
        <f t="shared" si="0"/>
        <v>0.27999999999999992</v>
      </c>
      <c r="M12" s="41">
        <f t="shared" si="1"/>
        <v>0.79999999999999982</v>
      </c>
      <c r="N12" s="137"/>
      <c r="T12" s="265" t="s">
        <v>713</v>
      </c>
    </row>
    <row r="13" spans="1:21" s="103" customFormat="1" ht="15" outlineLevel="1" thickTop="1" thickBot="1">
      <c r="A13" s="389" t="str">
        <f ca="1">IFERROR(MATCH(ROW(),OFFSET(ImpCalc!$E$1,$A$6-1,0,1,20),0),"")</f>
        <v/>
      </c>
      <c r="B13" s="40" t="str">
        <f t="shared" si="2"/>
        <v/>
      </c>
      <c r="C13" s="330"/>
      <c r="D13"/>
      <c r="E13"/>
      <c r="F13" s="47" t="s">
        <v>619</v>
      </c>
      <c r="G13" s="79"/>
      <c r="H13" s="342">
        <f t="shared" si="3"/>
        <v>0.65</v>
      </c>
      <c r="I13" s="303">
        <f>(1-H13)*CHOOSE(Profile!$E$62+1,$R$7,$R$8,$R$9,$R$10)+H13</f>
        <v>0.92999999999999994</v>
      </c>
      <c r="J13" s="330">
        <f t="shared" si="3"/>
        <v>5</v>
      </c>
      <c r="K13" s="330">
        <v>5</v>
      </c>
      <c r="L13" s="41">
        <f t="shared" si="0"/>
        <v>0.27999999999999992</v>
      </c>
      <c r="M13" s="41">
        <f t="shared" si="1"/>
        <v>0.79999999999999982</v>
      </c>
      <c r="N13" s="137"/>
      <c r="T13" s="270" t="s">
        <v>539</v>
      </c>
      <c r="U13" s="270">
        <v>6.25E-2</v>
      </c>
    </row>
    <row r="14" spans="1:21" s="266" customFormat="1" ht="15" outlineLevel="1" thickTop="1" thickBot="1">
      <c r="A14" s="389" t="str">
        <f ca="1">IFERROR(MATCH(ROW(),OFFSET(ImpCalc!$E$1,$A$6-1,0,1,20),0),"")</f>
        <v/>
      </c>
      <c r="B14" s="40" t="str">
        <f t="shared" si="2"/>
        <v/>
      </c>
      <c r="C14" s="330"/>
      <c r="D14" s="103"/>
      <c r="E14" s="103"/>
      <c r="F14" s="37" t="s">
        <v>1</v>
      </c>
      <c r="G14" s="324"/>
      <c r="H14" s="342">
        <f t="shared" si="3"/>
        <v>0.65</v>
      </c>
      <c r="I14" s="303">
        <f>(1-H14)*CHOOSE(Profile!$E$62+1,$R$7,$R$8,$R$9,$R$10)+H14</f>
        <v>0.92999999999999994</v>
      </c>
      <c r="J14" s="330">
        <f t="shared" si="3"/>
        <v>5</v>
      </c>
      <c r="K14" s="330">
        <v>5</v>
      </c>
      <c r="L14" s="41">
        <f t="shared" si="0"/>
        <v>0.27999999999999992</v>
      </c>
      <c r="M14" s="41">
        <f t="shared" si="1"/>
        <v>0.79999999999999982</v>
      </c>
      <c r="N14" s="137"/>
      <c r="T14" s="270" t="s">
        <v>540</v>
      </c>
      <c r="U14" s="270">
        <v>8.0299999999999996E-2</v>
      </c>
    </row>
    <row r="15" spans="1:21" s="305" customFormat="1" ht="15" outlineLevel="1" thickTop="1" thickBot="1">
      <c r="A15" s="389" t="str">
        <f ca="1">IFERROR(MATCH(ROW(),OFFSET(ImpCalc!$E$1,$A$6-1,0,1,20),0),"")</f>
        <v/>
      </c>
      <c r="B15" s="40" t="str">
        <f t="shared" si="2"/>
        <v/>
      </c>
      <c r="C15" s="330"/>
      <c r="D15" s="266"/>
      <c r="E15" s="266"/>
      <c r="F15" s="47" t="str">
        <f>E6</f>
        <v>Marketing / Sales Apps</v>
      </c>
      <c r="G15" s="79" t="s">
        <v>823</v>
      </c>
      <c r="H15" s="57">
        <f>SUMPRODUCT($J7:$J14,H7:H14)/SUM($J7:$J14)</f>
        <v>0.65</v>
      </c>
      <c r="I15" s="57">
        <f>SUMPRODUCT($J7:$J14,I7:I14)/SUM($J7:$J14)</f>
        <v>0.92999999999999994</v>
      </c>
      <c r="J15" s="331">
        <f>AVERAGE(J7:J14)</f>
        <v>5</v>
      </c>
      <c r="K15" s="331">
        <f>AVERAGE(K7:K14)</f>
        <v>5</v>
      </c>
      <c r="L15" s="57">
        <f t="shared" si="0"/>
        <v>0.27999999999999992</v>
      </c>
      <c r="M15" s="57">
        <f t="shared" si="1"/>
        <v>0.79999999999999982</v>
      </c>
      <c r="N15" s="137"/>
      <c r="T15" s="73"/>
      <c r="U15" s="73"/>
    </row>
    <row r="16" spans="1:21" ht="15" outlineLevel="1" thickTop="1" thickBot="1">
      <c r="A16" s="389" t="str">
        <f ca="1">IFERROR(MATCH(ROW(),OFFSET(ImpCalc!$E$1,$A$6-1,0,1,20),0),"")</f>
        <v/>
      </c>
      <c r="B16" s="40" t="str">
        <f t="shared" si="2"/>
        <v/>
      </c>
      <c r="C16" s="330"/>
      <c r="D16" s="305"/>
      <c r="E16" s="305"/>
      <c r="F16" s="47" t="str">
        <f>F15</f>
        <v>Marketing / Sales Apps</v>
      </c>
      <c r="G16" s="79" t="s">
        <v>824</v>
      </c>
      <c r="H16" s="57">
        <f>SUMPRODUCT($K7:$K14,H7:H14)/SUM($K7:$K14)</f>
        <v>0.65</v>
      </c>
      <c r="I16" s="57">
        <f>SUMPRODUCT($K7:$K14,I7:I14)/SUM($K7:$K14)</f>
        <v>0.92999999999999994</v>
      </c>
      <c r="J16" s="331">
        <f>J15</f>
        <v>5</v>
      </c>
      <c r="K16" s="331">
        <f>K15</f>
        <v>5</v>
      </c>
      <c r="L16" s="57">
        <f t="shared" si="0"/>
        <v>0.27999999999999992</v>
      </c>
      <c r="M16" s="57">
        <f t="shared" si="1"/>
        <v>0.79999999999999982</v>
      </c>
      <c r="N16" s="137"/>
    </row>
    <row r="17" spans="1:14" s="103" customFormat="1" ht="16.2" outlineLevel="1" thickTop="1" thickBot="1">
      <c r="A17" s="389" t="str">
        <f ca="1">IFERROR(MATCH(ROW(),OFFSET(ImpCalc!$E$1,$A$6-1,0,1,20),0),"")</f>
        <v/>
      </c>
      <c r="B17" s="40" t="str">
        <f t="shared" si="2"/>
        <v/>
      </c>
      <c r="C17" s="330"/>
      <c r="E17" s="6" t="s">
        <v>967</v>
      </c>
      <c r="G17" s="35"/>
      <c r="J17" s="22"/>
      <c r="K17" s="22"/>
      <c r="L17" s="266"/>
      <c r="M17" s="266"/>
    </row>
    <row r="18" spans="1:14" s="103" customFormat="1" ht="27.6" outlineLevel="1" thickTop="1" thickBot="1">
      <c r="A18" s="389" t="str">
        <f ca="1">IFERROR(MATCH(ROW(),OFFSET(ImpCalc!$E$1,$A$6-1,0,1,20),0),"")</f>
        <v/>
      </c>
      <c r="B18" s="40" t="str">
        <f t="shared" si="2"/>
        <v/>
      </c>
      <c r="C18" s="330"/>
      <c r="D18"/>
      <c r="E18"/>
      <c r="F18" s="47" t="s">
        <v>773</v>
      </c>
      <c r="G18" s="79" t="s">
        <v>774</v>
      </c>
      <c r="H18" s="279">
        <f>Profile!D63</f>
        <v>0.2</v>
      </c>
      <c r="I18" s="279">
        <f>(1-H18)*CHOOSE(Profile!$E$63+1,$R$7,$R$8,$R$9,$R$10)+H18</f>
        <v>0.52</v>
      </c>
      <c r="J18" s="330">
        <f>Profile!F63</f>
        <v>4</v>
      </c>
      <c r="K18" s="330">
        <v>5</v>
      </c>
      <c r="L18" s="41">
        <f t="shared" ref="L18:L28" si="4">I18-H18</f>
        <v>0.32</v>
      </c>
      <c r="M18" s="41">
        <f t="shared" ref="M18:M28" si="5">L18/(1-H18)</f>
        <v>0.39999999999999997</v>
      </c>
      <c r="N18" s="137"/>
    </row>
    <row r="19" spans="1:14" ht="27.6" outlineLevel="1" thickTop="1" thickBot="1">
      <c r="A19" s="389" t="str">
        <f ca="1">IFERROR(MATCH(ROW(),OFFSET(ImpCalc!$E$1,$A$6-1,0,1,20),0),"")</f>
        <v/>
      </c>
      <c r="B19" s="40" t="str">
        <f t="shared" si="2"/>
        <v/>
      </c>
      <c r="C19" s="330"/>
      <c r="D19" s="103"/>
      <c r="E19" s="103"/>
      <c r="F19" s="47" t="s">
        <v>629</v>
      </c>
      <c r="G19" s="79"/>
      <c r="H19" s="342">
        <f t="shared" ref="H19:J26" si="6">H18</f>
        <v>0.2</v>
      </c>
      <c r="I19" s="303">
        <f>(1-H19)*CHOOSE(Profile!$E$63+1,$R$7,$R$8,$R$9,$R$10)+H19</f>
        <v>0.52</v>
      </c>
      <c r="J19" s="330">
        <f t="shared" si="6"/>
        <v>4</v>
      </c>
      <c r="K19" s="330">
        <v>5</v>
      </c>
      <c r="L19" s="41">
        <f t="shared" si="4"/>
        <v>0.32</v>
      </c>
      <c r="M19" s="41">
        <f t="shared" si="5"/>
        <v>0.39999999999999997</v>
      </c>
      <c r="N19" s="137"/>
    </row>
    <row r="20" spans="1:14" ht="15" outlineLevel="1" thickTop="1" thickBot="1">
      <c r="A20" s="389" t="str">
        <f ca="1">IFERROR(MATCH(ROW(),OFFSET(ImpCalc!$E$1,$A$6-1,0,1,20),0),"")</f>
        <v/>
      </c>
      <c r="B20" s="40" t="str">
        <f t="shared" si="2"/>
        <v/>
      </c>
      <c r="C20" s="330"/>
      <c r="F20" s="47" t="s">
        <v>630</v>
      </c>
      <c r="G20" s="79"/>
      <c r="H20" s="342">
        <f t="shared" si="6"/>
        <v>0.2</v>
      </c>
      <c r="I20" s="303">
        <f>(1-H20)*CHOOSE(Profile!$E$63+1,$R$7,$R$8,$R$9,$R$10)+H20</f>
        <v>0.52</v>
      </c>
      <c r="J20" s="330">
        <f t="shared" si="6"/>
        <v>4</v>
      </c>
      <c r="K20" s="330">
        <v>5</v>
      </c>
      <c r="L20" s="41">
        <f t="shared" si="4"/>
        <v>0.32</v>
      </c>
      <c r="M20" s="41">
        <f t="shared" si="5"/>
        <v>0.39999999999999997</v>
      </c>
      <c r="N20" s="137"/>
    </row>
    <row r="21" spans="1:14" ht="27.6" outlineLevel="1" thickTop="1" thickBot="1">
      <c r="A21" s="389" t="str">
        <f ca="1">IFERROR(MATCH(ROW(),OFFSET(ImpCalc!$E$1,$A$6-1,0,1,20),0),"")</f>
        <v/>
      </c>
      <c r="B21" s="40" t="str">
        <f t="shared" si="2"/>
        <v/>
      </c>
      <c r="C21" s="330"/>
      <c r="D21" s="103"/>
      <c r="E21" s="103"/>
      <c r="F21" s="47" t="s">
        <v>627</v>
      </c>
      <c r="G21" s="79"/>
      <c r="H21" s="342">
        <f t="shared" si="6"/>
        <v>0.2</v>
      </c>
      <c r="I21" s="303">
        <f>(1-H21)*CHOOSE(Profile!$E$63+1,$R$7,$R$8,$R$9,$R$10)+H21</f>
        <v>0.52</v>
      </c>
      <c r="J21" s="330">
        <f t="shared" si="6"/>
        <v>4</v>
      </c>
      <c r="K21" s="330">
        <v>5</v>
      </c>
      <c r="L21" s="41">
        <f t="shared" si="4"/>
        <v>0.32</v>
      </c>
      <c r="M21" s="41">
        <f t="shared" si="5"/>
        <v>0.39999999999999997</v>
      </c>
      <c r="N21" s="137"/>
    </row>
    <row r="22" spans="1:14" ht="15" outlineLevel="1" thickTop="1" thickBot="1">
      <c r="A22" s="389" t="str">
        <f ca="1">IFERROR(MATCH(ROW(),OFFSET(ImpCalc!$E$1,$A$6-1,0,1,20),0),"")</f>
        <v/>
      </c>
      <c r="B22" s="40" t="str">
        <f t="shared" si="2"/>
        <v/>
      </c>
      <c r="C22" s="330"/>
      <c r="D22" s="103"/>
      <c r="E22" s="103"/>
      <c r="F22" s="47" t="s">
        <v>628</v>
      </c>
      <c r="G22" s="79"/>
      <c r="H22" s="342">
        <f t="shared" si="6"/>
        <v>0.2</v>
      </c>
      <c r="I22" s="303">
        <f>(1-H22)*CHOOSE(Profile!$E$63+1,$R$7,$R$8,$R$9,$R$10)+H22</f>
        <v>0.52</v>
      </c>
      <c r="J22" s="330">
        <f t="shared" si="6"/>
        <v>4</v>
      </c>
      <c r="K22" s="330">
        <v>5</v>
      </c>
      <c r="L22" s="41">
        <f t="shared" si="4"/>
        <v>0.32</v>
      </c>
      <c r="M22" s="41">
        <f t="shared" si="5"/>
        <v>0.39999999999999997</v>
      </c>
      <c r="N22" s="137"/>
    </row>
    <row r="23" spans="1:14" s="400" customFormat="1" ht="15" outlineLevel="1" thickTop="1" thickBot="1">
      <c r="A23" s="389" t="str">
        <f ca="1">IFERROR(MATCH(ROW(),OFFSET(ImpCalc!$E$1,$A$6-1,0,1,20),0),"")</f>
        <v/>
      </c>
      <c r="B23" s="40" t="str">
        <f t="shared" ref="B23" si="7">IF(C23="","",ROW(C23))</f>
        <v/>
      </c>
      <c r="C23" s="330"/>
      <c r="F23" s="47" t="s">
        <v>995</v>
      </c>
      <c r="G23" s="79"/>
      <c r="H23" s="399">
        <f t="shared" si="6"/>
        <v>0.2</v>
      </c>
      <c r="I23" s="399">
        <f>(1-H23)*CHOOSE(Profile!$E$63+1,$R$7,$R$8,$R$9,$R$10)+H23</f>
        <v>0.52</v>
      </c>
      <c r="J23" s="330">
        <f t="shared" si="6"/>
        <v>4</v>
      </c>
      <c r="K23" s="330">
        <v>5</v>
      </c>
      <c r="L23" s="41">
        <f t="shared" ref="L23" si="8">I23-H23</f>
        <v>0.32</v>
      </c>
      <c r="M23" s="41">
        <f t="shared" ref="M23" si="9">L23/(1-H23)</f>
        <v>0.39999999999999997</v>
      </c>
      <c r="N23" s="137"/>
    </row>
    <row r="24" spans="1:14" ht="27.6" outlineLevel="1" thickTop="1" thickBot="1">
      <c r="A24" s="389" t="str">
        <f ca="1">IFERROR(MATCH(ROW(),OFFSET(ImpCalc!$E$1,$A$6-1,0,1,20),0),"")</f>
        <v/>
      </c>
      <c r="B24" s="40" t="str">
        <f t="shared" si="2"/>
        <v/>
      </c>
      <c r="C24" s="330"/>
      <c r="F24" s="47" t="s">
        <v>624</v>
      </c>
      <c r="G24" s="79"/>
      <c r="H24" s="342">
        <f>H22</f>
        <v>0.2</v>
      </c>
      <c r="I24" s="303">
        <f>(1-H24)*CHOOSE(Profile!$E$63+1,$R$7,$R$8,$R$9,$R$10)+H24</f>
        <v>0.52</v>
      </c>
      <c r="J24" s="330">
        <f>J22</f>
        <v>4</v>
      </c>
      <c r="K24" s="330">
        <v>5</v>
      </c>
      <c r="L24" s="41">
        <f t="shared" si="4"/>
        <v>0.32</v>
      </c>
      <c r="M24" s="41">
        <f t="shared" si="5"/>
        <v>0.39999999999999997</v>
      </c>
      <c r="N24" s="137"/>
    </row>
    <row r="25" spans="1:14" s="103" customFormat="1" ht="15" outlineLevel="1" thickTop="1" thickBot="1">
      <c r="A25" s="389" t="str">
        <f ca="1">IFERROR(MATCH(ROW(),OFFSET(ImpCalc!$E$1,$A$6-1,0,1,20),0),"")</f>
        <v/>
      </c>
      <c r="B25" s="40" t="str">
        <f t="shared" si="2"/>
        <v/>
      </c>
      <c r="C25" s="330"/>
      <c r="D25"/>
      <c r="E25"/>
      <c r="F25" s="47" t="s">
        <v>616</v>
      </c>
      <c r="G25" s="79"/>
      <c r="H25" s="342">
        <f t="shared" si="6"/>
        <v>0.2</v>
      </c>
      <c r="I25" s="303">
        <f>(1-H25)*CHOOSE(Profile!$E$63+1,$R$7,$R$8,$R$9,$R$10)+H25</f>
        <v>0.52</v>
      </c>
      <c r="J25" s="330">
        <f t="shared" si="6"/>
        <v>4</v>
      </c>
      <c r="K25" s="330">
        <v>5</v>
      </c>
      <c r="L25" s="41">
        <f t="shared" si="4"/>
        <v>0.32</v>
      </c>
      <c r="M25" s="41">
        <f t="shared" si="5"/>
        <v>0.39999999999999997</v>
      </c>
      <c r="N25" s="137"/>
    </row>
    <row r="26" spans="1:14" s="266" customFormat="1" ht="15" outlineLevel="1" thickTop="1" thickBot="1">
      <c r="A26" s="389" t="str">
        <f ca="1">IFERROR(MATCH(ROW(),OFFSET(ImpCalc!$E$1,$A$6-1,0,1,20),0),"")</f>
        <v/>
      </c>
      <c r="B26" s="40" t="str">
        <f t="shared" si="2"/>
        <v/>
      </c>
      <c r="C26" s="330"/>
      <c r="D26" s="103"/>
      <c r="E26" s="103"/>
      <c r="F26" s="37" t="s">
        <v>1</v>
      </c>
      <c r="G26" s="324"/>
      <c r="H26" s="342">
        <f t="shared" si="6"/>
        <v>0.2</v>
      </c>
      <c r="I26" s="303">
        <f>(1-H26)*CHOOSE(Profile!$E$63+1,$R$7,$R$8,$R$9,$R$10)+H26</f>
        <v>0.52</v>
      </c>
      <c r="J26" s="330">
        <f t="shared" si="6"/>
        <v>4</v>
      </c>
      <c r="K26" s="330">
        <v>5</v>
      </c>
      <c r="L26" s="41">
        <f t="shared" si="4"/>
        <v>0.32</v>
      </c>
      <c r="M26" s="41">
        <f t="shared" si="5"/>
        <v>0.39999999999999997</v>
      </c>
      <c r="N26" s="137"/>
    </row>
    <row r="27" spans="1:14" s="305" customFormat="1" ht="15" outlineLevel="1" thickTop="1" thickBot="1">
      <c r="A27" s="389" t="str">
        <f ca="1">IFERROR(MATCH(ROW(),OFFSET(ImpCalc!$E$1,$A$6-1,0,1,20),0),"")</f>
        <v/>
      </c>
      <c r="B27" s="40" t="str">
        <f t="shared" si="2"/>
        <v/>
      </c>
      <c r="C27" s="330"/>
      <c r="D27" s="266"/>
      <c r="E27" s="266"/>
      <c r="F27" s="47" t="str">
        <f>E17</f>
        <v>Supply / Operations Apps</v>
      </c>
      <c r="G27" s="79" t="s">
        <v>823</v>
      </c>
      <c r="H27" s="57">
        <f>SUMPRODUCT($J18:$J26,H18:H26)/SUM($J18:$J26)</f>
        <v>0.19999999999999998</v>
      </c>
      <c r="I27" s="57">
        <f>SUMPRODUCT($J18:$J26,I18:I26)/SUM($J18:$J26)</f>
        <v>0.52</v>
      </c>
      <c r="J27" s="331">
        <f>AVERAGE(J18:J26)</f>
        <v>4</v>
      </c>
      <c r="K27" s="331">
        <f>AVERAGE(K18:K26)</f>
        <v>5</v>
      </c>
      <c r="L27" s="57">
        <f t="shared" si="4"/>
        <v>0.32000000000000006</v>
      </c>
      <c r="M27" s="57">
        <f t="shared" si="5"/>
        <v>0.40000000000000008</v>
      </c>
      <c r="N27" s="137"/>
    </row>
    <row r="28" spans="1:14" s="103" customFormat="1" ht="15" outlineLevel="1" thickTop="1" thickBot="1">
      <c r="A28" s="389" t="str">
        <f ca="1">IFERROR(MATCH(ROW(),OFFSET(ImpCalc!$E$1,$A$6-1,0,1,20),0),"")</f>
        <v/>
      </c>
      <c r="B28" s="40" t="str">
        <f t="shared" si="2"/>
        <v/>
      </c>
      <c r="C28" s="330"/>
      <c r="D28" s="305"/>
      <c r="E28" s="305"/>
      <c r="F28" s="47" t="str">
        <f>F27</f>
        <v>Supply / Operations Apps</v>
      </c>
      <c r="G28" s="79" t="s">
        <v>824</v>
      </c>
      <c r="H28" s="57">
        <f>SUMPRODUCT($K18:$K26,H18:H26)/SUM($K18:$K26)</f>
        <v>0.2</v>
      </c>
      <c r="I28" s="57">
        <f>SUMPRODUCT($K18:$K26,I18:I26)/SUM($K18:$K26)</f>
        <v>0.52</v>
      </c>
      <c r="J28" s="331">
        <f>J27</f>
        <v>4</v>
      </c>
      <c r="K28" s="331">
        <f>K27</f>
        <v>5</v>
      </c>
      <c r="L28" s="57">
        <f t="shared" si="4"/>
        <v>0.32</v>
      </c>
      <c r="M28" s="57">
        <f t="shared" si="5"/>
        <v>0.39999999999999997</v>
      </c>
      <c r="N28" s="137"/>
    </row>
    <row r="29" spans="1:14" ht="16.2" outlineLevel="1" thickTop="1" thickBot="1">
      <c r="A29" s="389" t="str">
        <f ca="1">IFERROR(MATCH(ROW(),OFFSET(ImpCalc!$E$1,$A$6-1,0,1,20),0),"")</f>
        <v/>
      </c>
      <c r="B29" s="40" t="str">
        <f t="shared" si="2"/>
        <v/>
      </c>
      <c r="C29" s="330"/>
      <c r="D29" s="103"/>
      <c r="E29" s="6" t="s">
        <v>920</v>
      </c>
      <c r="F29" s="103"/>
      <c r="H29" s="103"/>
      <c r="I29" s="103"/>
      <c r="J29" s="22"/>
      <c r="K29" s="22"/>
      <c r="M29" s="266"/>
      <c r="N29" s="103"/>
    </row>
    <row r="30" spans="1:14" s="103" customFormat="1" ht="15" outlineLevel="1" thickTop="1" thickBot="1">
      <c r="A30" s="389" t="str">
        <f ca="1">IFERROR(MATCH(ROW(),OFFSET(ImpCalc!$E$1,$A$6-1,0,1,20),0),"")</f>
        <v/>
      </c>
      <c r="B30" s="40" t="str">
        <f t="shared" si="2"/>
        <v/>
      </c>
      <c r="C30" s="330"/>
      <c r="D30"/>
      <c r="E30"/>
      <c r="F30" s="47" t="s">
        <v>770</v>
      </c>
      <c r="G30" s="79"/>
      <c r="H30" s="279">
        <f>Profile!D64</f>
        <v>0.3</v>
      </c>
      <c r="I30" s="279">
        <f>(1-H30)*CHOOSE(Profile!$E$64+1,$R$7,$R$8,$R$9,$R$10)+H30</f>
        <v>0.85999999999999988</v>
      </c>
      <c r="J30" s="330">
        <f>Profile!F64</f>
        <v>5</v>
      </c>
      <c r="K30" s="330">
        <v>5</v>
      </c>
      <c r="L30" s="41">
        <f t="shared" ref="L30:L38" si="10">I30-H30</f>
        <v>0.55999999999999983</v>
      </c>
      <c r="M30" s="41">
        <f t="shared" ref="M30:M38" si="11">L30/(1-H30)</f>
        <v>0.79999999999999982</v>
      </c>
      <c r="N30" s="137"/>
    </row>
    <row r="31" spans="1:14" ht="31.8" outlineLevel="1" thickTop="1" thickBot="1">
      <c r="A31" s="389" t="str">
        <f ca="1">IFERROR(MATCH(ROW(),OFFSET(ImpCalc!$E$1,$A$6-1,0,1,20),0),"")</f>
        <v/>
      </c>
      <c r="B31" s="40" t="str">
        <f t="shared" si="2"/>
        <v/>
      </c>
      <c r="C31" s="330"/>
      <c r="D31" s="305"/>
      <c r="E31" s="305"/>
      <c r="F31" s="47" t="s">
        <v>772</v>
      </c>
      <c r="G31" s="79" t="s">
        <v>564</v>
      </c>
      <c r="H31" s="342">
        <f t="shared" ref="H31:J36" si="12">H30</f>
        <v>0.3</v>
      </c>
      <c r="I31" s="303">
        <f>(1-H31)*CHOOSE(Profile!$E$64+1,$R$7,$R$8,$R$9,$R$10)+H31</f>
        <v>0.85999999999999988</v>
      </c>
      <c r="J31" s="330">
        <f t="shared" si="12"/>
        <v>5</v>
      </c>
      <c r="K31" s="330">
        <v>5</v>
      </c>
      <c r="L31" s="41">
        <f t="shared" si="10"/>
        <v>0.55999999999999983</v>
      </c>
      <c r="M31" s="41">
        <f t="shared" si="11"/>
        <v>0.79999999999999982</v>
      </c>
      <c r="N31" s="137"/>
    </row>
    <row r="32" spans="1:14" s="103" customFormat="1" ht="31.8" outlineLevel="1" thickTop="1" thickBot="1">
      <c r="A32" s="389" t="str">
        <f ca="1">IFERROR(MATCH(ROW(),OFFSET(ImpCalc!$E$1,$A$6-1,0,1,20),0),"")</f>
        <v/>
      </c>
      <c r="B32" s="40" t="str">
        <f t="shared" si="2"/>
        <v/>
      </c>
      <c r="C32" s="330"/>
      <c r="D32"/>
      <c r="E32"/>
      <c r="F32" s="47" t="s">
        <v>569</v>
      </c>
      <c r="G32" s="79" t="s">
        <v>780</v>
      </c>
      <c r="H32" s="342">
        <f t="shared" si="12"/>
        <v>0.3</v>
      </c>
      <c r="I32" s="303">
        <f>(1-H32)*CHOOSE(Profile!$E$64+1,$R$7,$R$8,$R$9,$R$10)+H32</f>
        <v>0.85999999999999988</v>
      </c>
      <c r="J32" s="330">
        <f t="shared" si="12"/>
        <v>5</v>
      </c>
      <c r="K32" s="330">
        <v>5</v>
      </c>
      <c r="L32" s="41">
        <f t="shared" si="10"/>
        <v>0.55999999999999983</v>
      </c>
      <c r="M32" s="41">
        <f t="shared" si="11"/>
        <v>0.79999999999999982</v>
      </c>
      <c r="N32" s="137"/>
    </row>
    <row r="33" spans="1:16" s="103" customFormat="1" ht="15" outlineLevel="1" thickTop="1" thickBot="1">
      <c r="A33" s="389" t="str">
        <f ca="1">IFERROR(MATCH(ROW(),OFFSET(ImpCalc!$E$1,$A$6-1,0,1,20),0),"")</f>
        <v/>
      </c>
      <c r="B33" s="40" t="str">
        <f t="shared" si="2"/>
        <v/>
      </c>
      <c r="C33" s="330"/>
      <c r="D33"/>
      <c r="E33"/>
      <c r="F33" s="47" t="s">
        <v>617</v>
      </c>
      <c r="G33" s="79"/>
      <c r="H33" s="342">
        <f t="shared" si="12"/>
        <v>0.3</v>
      </c>
      <c r="I33" s="303">
        <f>(1-H33)*CHOOSE(Profile!$E$64+1,$R$7,$R$8,$R$9,$R$10)+H33</f>
        <v>0.85999999999999988</v>
      </c>
      <c r="J33" s="330">
        <f t="shared" si="12"/>
        <v>5</v>
      </c>
      <c r="K33" s="330">
        <v>5</v>
      </c>
      <c r="L33" s="41">
        <f t="shared" si="10"/>
        <v>0.55999999999999983</v>
      </c>
      <c r="M33" s="41">
        <f t="shared" si="11"/>
        <v>0.79999999999999982</v>
      </c>
      <c r="N33" s="137"/>
    </row>
    <row r="34" spans="1:16" ht="15" outlineLevel="1" thickTop="1" thickBot="1">
      <c r="A34" s="389" t="str">
        <f ca="1">IFERROR(MATCH(ROW(),OFFSET(ImpCalc!$E$1,$A$6-1,0,1,20),0),"")</f>
        <v/>
      </c>
      <c r="B34" s="40" t="str">
        <f t="shared" si="2"/>
        <v/>
      </c>
      <c r="C34" s="330"/>
      <c r="D34" s="103"/>
      <c r="E34" s="103"/>
      <c r="F34" s="47" t="s">
        <v>771</v>
      </c>
      <c r="G34" s="79"/>
      <c r="H34" s="342">
        <f t="shared" si="12"/>
        <v>0.3</v>
      </c>
      <c r="I34" s="303">
        <f>(1-H34)*CHOOSE(Profile!$E$64+1,$R$7,$R$8,$R$9,$R$10)+H34</f>
        <v>0.85999999999999988</v>
      </c>
      <c r="J34" s="330">
        <f t="shared" si="12"/>
        <v>5</v>
      </c>
      <c r="K34" s="330">
        <v>5</v>
      </c>
      <c r="L34" s="41">
        <f t="shared" si="10"/>
        <v>0.55999999999999983</v>
      </c>
      <c r="M34" s="41">
        <f t="shared" si="11"/>
        <v>0.79999999999999982</v>
      </c>
      <c r="N34" s="137"/>
      <c r="O34" s="266"/>
      <c r="P34" s="286"/>
    </row>
    <row r="35" spans="1:16" ht="21.6" outlineLevel="1" thickTop="1" thickBot="1">
      <c r="A35" s="389" t="str">
        <f ca="1">IFERROR(MATCH(ROW(),OFFSET(ImpCalc!$E$1,$A$6-1,0,1,20),0),"")</f>
        <v/>
      </c>
      <c r="B35" s="40" t="str">
        <f t="shared" si="2"/>
        <v/>
      </c>
      <c r="C35" s="330"/>
      <c r="D35" s="103"/>
      <c r="E35" s="103"/>
      <c r="F35" s="221" t="s">
        <v>565</v>
      </c>
      <c r="G35" s="79" t="s">
        <v>566</v>
      </c>
      <c r="H35" s="342">
        <f t="shared" si="12"/>
        <v>0.3</v>
      </c>
      <c r="I35" s="303">
        <f>(1-H35)*CHOOSE(Profile!$E$64+1,$R$7,$R$8,$R$9,$R$10)+H35</f>
        <v>0.85999999999999988</v>
      </c>
      <c r="J35" s="330">
        <f t="shared" si="12"/>
        <v>5</v>
      </c>
      <c r="K35" s="330">
        <v>5</v>
      </c>
      <c r="L35" s="41">
        <f t="shared" si="10"/>
        <v>0.55999999999999983</v>
      </c>
      <c r="M35" s="41">
        <f t="shared" si="11"/>
        <v>0.79999999999999982</v>
      </c>
      <c r="N35" s="137"/>
    </row>
    <row r="36" spans="1:16" s="103" customFormat="1" ht="15" outlineLevel="1" thickTop="1" thickBot="1">
      <c r="A36" s="389" t="str">
        <f ca="1">IFERROR(MATCH(ROW(),OFFSET(ImpCalc!$E$1,$A$6-1,0,1,20),0),"")</f>
        <v/>
      </c>
      <c r="B36" s="40" t="str">
        <f t="shared" si="2"/>
        <v/>
      </c>
      <c r="C36" s="330"/>
      <c r="F36" s="37" t="s">
        <v>1</v>
      </c>
      <c r="G36" s="324"/>
      <c r="H36" s="342">
        <f t="shared" si="12"/>
        <v>0.3</v>
      </c>
      <c r="I36" s="303">
        <f>(1-H36)*CHOOSE(Profile!$E$64+1,$R$7,$R$8,$R$9,$R$10)+H36</f>
        <v>0.85999999999999988</v>
      </c>
      <c r="J36" s="330">
        <f t="shared" si="12"/>
        <v>5</v>
      </c>
      <c r="K36" s="330">
        <v>5</v>
      </c>
      <c r="L36" s="41">
        <f t="shared" si="10"/>
        <v>0.55999999999999983</v>
      </c>
      <c r="M36" s="41">
        <f t="shared" si="11"/>
        <v>0.79999999999999982</v>
      </c>
      <c r="N36" s="137"/>
    </row>
    <row r="37" spans="1:16" s="266" customFormat="1" ht="15" outlineLevel="1" thickTop="1" thickBot="1">
      <c r="A37" s="389" t="str">
        <f ca="1">IFERROR(MATCH(ROW(),OFFSET(ImpCalc!$E$1,$A$6-1,0,1,20),0),"")</f>
        <v/>
      </c>
      <c r="B37" s="40" t="str">
        <f t="shared" si="2"/>
        <v/>
      </c>
      <c r="C37" s="330"/>
      <c r="F37" s="47" t="str">
        <f>E29</f>
        <v>Financial Apps</v>
      </c>
      <c r="G37" s="79" t="s">
        <v>823</v>
      </c>
      <c r="H37" s="57">
        <f>SUMPRODUCT($J30:$J36,H30:H36)/SUM($J30:$J36)</f>
        <v>0.3</v>
      </c>
      <c r="I37" s="57">
        <f>SUMPRODUCT($J30:$J36,I30:I36)/SUM($J30:$J36)</f>
        <v>0.85999999999999965</v>
      </c>
      <c r="J37" s="331">
        <f>AVERAGE(J30:J36)</f>
        <v>5</v>
      </c>
      <c r="K37" s="331">
        <f>AVERAGE(K30:K36)</f>
        <v>5</v>
      </c>
      <c r="L37" s="57">
        <f t="shared" si="10"/>
        <v>0.55999999999999961</v>
      </c>
      <c r="M37" s="57">
        <f t="shared" si="11"/>
        <v>0.79999999999999949</v>
      </c>
      <c r="N37" s="137"/>
      <c r="O37" s="552"/>
    </row>
    <row r="38" spans="1:16" s="305" customFormat="1" ht="15" outlineLevel="1" thickTop="1" thickBot="1">
      <c r="A38" s="389" t="str">
        <f ca="1">IFERROR(MATCH(ROW(),OFFSET(ImpCalc!$E$1,$A$6-1,0,1,20),0),"")</f>
        <v/>
      </c>
      <c r="B38" s="40" t="str">
        <f t="shared" si="2"/>
        <v/>
      </c>
      <c r="C38" s="330"/>
      <c r="F38" s="47" t="str">
        <f>F37</f>
        <v>Financial Apps</v>
      </c>
      <c r="G38" s="79" t="s">
        <v>824</v>
      </c>
      <c r="H38" s="57">
        <f>SUMPRODUCT($K30:$K36,H30:H36)/SUM($K30:$K36)</f>
        <v>0.3</v>
      </c>
      <c r="I38" s="57">
        <f>SUMPRODUCT($K30:$K36,I30:I36)/SUM($K30:$K36)</f>
        <v>0.85999999999999965</v>
      </c>
      <c r="J38" s="331">
        <f>J37</f>
        <v>5</v>
      </c>
      <c r="K38" s="331">
        <f>K37</f>
        <v>5</v>
      </c>
      <c r="L38" s="57">
        <f t="shared" si="10"/>
        <v>0.55999999999999961</v>
      </c>
      <c r="M38" s="57">
        <f t="shared" si="11"/>
        <v>0.79999999999999949</v>
      </c>
      <c r="N38" s="137"/>
      <c r="O38" s="552"/>
    </row>
    <row r="39" spans="1:16" ht="16.2" outlineLevel="1" thickTop="1" thickBot="1">
      <c r="A39" s="389" t="str">
        <f ca="1">IFERROR(MATCH(ROW(),OFFSET(ImpCalc!$E$1,$A$6-1,0,1,20),0),"")</f>
        <v/>
      </c>
      <c r="B39" s="40" t="str">
        <f t="shared" si="2"/>
        <v/>
      </c>
      <c r="C39" s="330"/>
      <c r="E39" s="6" t="s">
        <v>921</v>
      </c>
      <c r="G39" s="35"/>
      <c r="H39" s="103"/>
      <c r="I39" s="103"/>
      <c r="J39" s="22"/>
      <c r="K39" s="22"/>
      <c r="M39" s="266"/>
      <c r="O39" s="552"/>
    </row>
    <row r="40" spans="1:16" ht="21.6" outlineLevel="1" thickTop="1" thickBot="1">
      <c r="A40" s="389" t="str">
        <f ca="1">IFERROR(MATCH(ROW(),OFFSET(ImpCalc!$E$1,$A$6-1,0,1,20),0),"")</f>
        <v/>
      </c>
      <c r="B40" s="40" t="str">
        <f t="shared" si="2"/>
        <v/>
      </c>
      <c r="C40" s="330"/>
      <c r="F40" s="47" t="s">
        <v>984</v>
      </c>
      <c r="G40" s="79" t="s">
        <v>983</v>
      </c>
      <c r="H40" s="279">
        <f>Profile!D65</f>
        <v>0.15</v>
      </c>
      <c r="I40" s="279">
        <f>(1-H40)*CHOOSE(Profile!$E$65+1,$R$7,$R$8,$R$9,$R$10)+H40</f>
        <v>0.83000000000000007</v>
      </c>
      <c r="J40" s="330">
        <f>Profile!F65</f>
        <v>4</v>
      </c>
      <c r="K40" s="330">
        <v>5</v>
      </c>
      <c r="L40" s="41">
        <f t="shared" ref="L40:L50" si="13">I40-H40</f>
        <v>0.68</v>
      </c>
      <c r="M40" s="41">
        <f t="shared" ref="M40:M50" si="14">L40/(1-H40)</f>
        <v>0.8</v>
      </c>
      <c r="N40" s="137"/>
    </row>
    <row r="41" spans="1:16" ht="27.6" outlineLevel="1" thickTop="1" thickBot="1">
      <c r="A41" s="389" t="str">
        <f ca="1">IFERROR(MATCH(ROW(),OFFSET(ImpCalc!$E$1,$A$6-1,0,1,20),0),"")</f>
        <v/>
      </c>
      <c r="B41" s="40" t="str">
        <f t="shared" si="2"/>
        <v/>
      </c>
      <c r="C41" s="330"/>
      <c r="F41" s="47" t="s">
        <v>985</v>
      </c>
      <c r="G41" s="79" t="s">
        <v>986</v>
      </c>
      <c r="H41" s="342">
        <f t="shared" ref="H41:J48" si="15">H40</f>
        <v>0.15</v>
      </c>
      <c r="I41" s="303">
        <f>(1-H41)*CHOOSE(Profile!$E$65+1,$R$7,$R$8,$R$9,$R$10)+H41</f>
        <v>0.83000000000000007</v>
      </c>
      <c r="J41" s="330">
        <f t="shared" si="15"/>
        <v>4</v>
      </c>
      <c r="K41" s="330">
        <v>5</v>
      </c>
      <c r="L41" s="41">
        <f t="shared" si="13"/>
        <v>0.68</v>
      </c>
      <c r="M41" s="41">
        <f t="shared" si="14"/>
        <v>0.8</v>
      </c>
      <c r="N41" s="137"/>
    </row>
    <row r="42" spans="1:16" s="400" customFormat="1" ht="15" outlineLevel="1" thickTop="1" thickBot="1">
      <c r="A42" s="389" t="str">
        <f ca="1">IFERROR(MATCH(ROW(),OFFSET(ImpCalc!$E$1,$A$6-1,0,1,20),0),"")</f>
        <v/>
      </c>
      <c r="B42" s="40" t="str">
        <f t="shared" ref="B42" si="16">IF(C42="","",ROW(C42))</f>
        <v/>
      </c>
      <c r="C42" s="330"/>
      <c r="F42" s="47" t="s">
        <v>994</v>
      </c>
      <c r="G42" s="79"/>
      <c r="H42" s="399">
        <f t="shared" si="15"/>
        <v>0.15</v>
      </c>
      <c r="I42" s="399">
        <f>(1-H42)*CHOOSE(Profile!$E$65+1,$R$7,$R$8,$R$9,$R$10)+H42</f>
        <v>0.83000000000000007</v>
      </c>
      <c r="J42" s="330">
        <f t="shared" si="15"/>
        <v>4</v>
      </c>
      <c r="K42" s="330">
        <v>5</v>
      </c>
      <c r="L42" s="41">
        <f t="shared" ref="L42" si="17">I42-H42</f>
        <v>0.68</v>
      </c>
      <c r="M42" s="41">
        <f t="shared" ref="M42" si="18">L42/(1-H42)</f>
        <v>0.8</v>
      </c>
      <c r="N42" s="137"/>
    </row>
    <row r="43" spans="1:16" ht="27.6" outlineLevel="1" thickTop="1" thickBot="1">
      <c r="A43" s="389" t="str">
        <f ca="1">IFERROR(MATCH(ROW(),OFFSET(ImpCalc!$E$1,$A$6-1,0,1,20),0),"")</f>
        <v/>
      </c>
      <c r="B43" s="40" t="str">
        <f t="shared" si="2"/>
        <v/>
      </c>
      <c r="C43" s="330"/>
      <c r="F43" s="47" t="s">
        <v>625</v>
      </c>
      <c r="G43" s="79"/>
      <c r="H43" s="342">
        <f>H41</f>
        <v>0.15</v>
      </c>
      <c r="I43" s="303">
        <f>(1-H43)*CHOOSE(Profile!$E$65+1,$R$7,$R$8,$R$9,$R$10)+H43</f>
        <v>0.83000000000000007</v>
      </c>
      <c r="J43" s="330">
        <f>J41</f>
        <v>4</v>
      </c>
      <c r="K43" s="330">
        <v>5</v>
      </c>
      <c r="L43" s="41">
        <f t="shared" si="13"/>
        <v>0.68</v>
      </c>
      <c r="M43" s="41">
        <f t="shared" si="14"/>
        <v>0.8</v>
      </c>
      <c r="N43" s="137"/>
    </row>
    <row r="44" spans="1:16" ht="15" outlineLevel="1" thickTop="1" thickBot="1">
      <c r="A44" s="389" t="str">
        <f ca="1">IFERROR(MATCH(ROW(),OFFSET(ImpCalc!$E$1,$A$6-1,0,1,20),0),"")</f>
        <v/>
      </c>
      <c r="B44" s="40" t="str">
        <f t="shared" si="2"/>
        <v/>
      </c>
      <c r="C44" s="330"/>
      <c r="F44" s="47" t="s">
        <v>775</v>
      </c>
      <c r="G44" s="79"/>
      <c r="H44" s="342">
        <f t="shared" si="15"/>
        <v>0.15</v>
      </c>
      <c r="I44" s="303">
        <f>(1-H44)*CHOOSE(Profile!$E$65+1,$R$7,$R$8,$R$9,$R$10)+H44</f>
        <v>0.83000000000000007</v>
      </c>
      <c r="J44" s="330">
        <f t="shared" si="15"/>
        <v>4</v>
      </c>
      <c r="K44" s="330">
        <v>5</v>
      </c>
      <c r="L44" s="41">
        <f t="shared" si="13"/>
        <v>0.68</v>
      </c>
      <c r="M44" s="41">
        <f t="shared" si="14"/>
        <v>0.8</v>
      </c>
      <c r="N44" s="137"/>
    </row>
    <row r="45" spans="1:16" ht="27.6" outlineLevel="1" thickTop="1" thickBot="1">
      <c r="A45" s="389" t="str">
        <f ca="1">IFERROR(MATCH(ROW(),OFFSET(ImpCalc!$E$1,$A$6-1,0,1,20),0),"")</f>
        <v/>
      </c>
      <c r="B45" s="40" t="str">
        <f t="shared" si="2"/>
        <v/>
      </c>
      <c r="C45" s="330"/>
      <c r="F45" s="47" t="s">
        <v>996</v>
      </c>
      <c r="G45" s="79"/>
      <c r="H45" s="342">
        <f t="shared" si="15"/>
        <v>0.15</v>
      </c>
      <c r="I45" s="303">
        <f>(1-H45)*CHOOSE(Profile!$E$65+1,$R$7,$R$8,$R$9,$R$10)+H45</f>
        <v>0.83000000000000007</v>
      </c>
      <c r="J45" s="330">
        <f t="shared" si="15"/>
        <v>4</v>
      </c>
      <c r="K45" s="330">
        <v>5</v>
      </c>
      <c r="L45" s="41">
        <f t="shared" si="13"/>
        <v>0.68</v>
      </c>
      <c r="M45" s="41">
        <f t="shared" si="14"/>
        <v>0.8</v>
      </c>
      <c r="N45" s="137"/>
    </row>
    <row r="46" spans="1:16" ht="15" outlineLevel="1" thickTop="1" thickBot="1">
      <c r="A46" s="389" t="str">
        <f ca="1">IFERROR(MATCH(ROW(),OFFSET(ImpCalc!$E$1,$A$6-1,0,1,20),0),"")</f>
        <v/>
      </c>
      <c r="B46" s="40" t="str">
        <f t="shared" si="2"/>
        <v/>
      </c>
      <c r="C46" s="330"/>
      <c r="F46" s="47" t="s">
        <v>997</v>
      </c>
      <c r="G46" s="79"/>
      <c r="H46" s="342">
        <f t="shared" si="15"/>
        <v>0.15</v>
      </c>
      <c r="I46" s="303">
        <f>(1-H46)*CHOOSE(Profile!$E$65+1,$R$7,$R$8,$R$9,$R$10)+H46</f>
        <v>0.83000000000000007</v>
      </c>
      <c r="J46" s="330">
        <f t="shared" si="15"/>
        <v>4</v>
      </c>
      <c r="K46" s="330">
        <v>5</v>
      </c>
      <c r="L46" s="41">
        <f t="shared" si="13"/>
        <v>0.68</v>
      </c>
      <c r="M46" s="41">
        <f t="shared" si="14"/>
        <v>0.8</v>
      </c>
      <c r="N46" s="137"/>
    </row>
    <row r="47" spans="1:16" ht="15" outlineLevel="1" thickTop="1" thickBot="1">
      <c r="A47" s="389" t="str">
        <f ca="1">IFERROR(MATCH(ROW(),OFFSET(ImpCalc!$E$1,$A$6-1,0,1,20),0),"")</f>
        <v/>
      </c>
      <c r="B47" s="40" t="str">
        <f t="shared" si="2"/>
        <v/>
      </c>
      <c r="C47" s="330"/>
      <c r="F47" s="47" t="s">
        <v>998</v>
      </c>
      <c r="G47" s="79" t="s">
        <v>776</v>
      </c>
      <c r="H47" s="342">
        <f t="shared" si="15"/>
        <v>0.15</v>
      </c>
      <c r="I47" s="303">
        <f>(1-H47)*CHOOSE(Profile!$E$65+1,$R$7,$R$8,$R$9,$R$10)+H47</f>
        <v>0.83000000000000007</v>
      </c>
      <c r="J47" s="330">
        <f t="shared" si="15"/>
        <v>4</v>
      </c>
      <c r="K47" s="330">
        <v>5</v>
      </c>
      <c r="L47" s="41">
        <f t="shared" si="13"/>
        <v>0.68</v>
      </c>
      <c r="M47" s="41">
        <f t="shared" si="14"/>
        <v>0.8</v>
      </c>
      <c r="N47" s="137"/>
    </row>
    <row r="48" spans="1:16" s="103" customFormat="1" ht="15" outlineLevel="1" thickTop="1" thickBot="1">
      <c r="A48" s="389" t="str">
        <f ca="1">IFERROR(MATCH(ROW(),OFFSET(ImpCalc!$E$1,$A$6-1,0,1,20),0),"")</f>
        <v/>
      </c>
      <c r="B48" s="40" t="str">
        <f t="shared" si="2"/>
        <v/>
      </c>
      <c r="C48" s="330"/>
      <c r="F48" s="37" t="s">
        <v>1</v>
      </c>
      <c r="G48" s="324"/>
      <c r="H48" s="342">
        <f t="shared" si="15"/>
        <v>0.15</v>
      </c>
      <c r="I48" s="303">
        <f>(1-H48)*CHOOSE(Profile!$E$65+1,$R$7,$R$8,$R$9,$R$10)+H48</f>
        <v>0.83000000000000007</v>
      </c>
      <c r="J48" s="330">
        <f t="shared" si="15"/>
        <v>4</v>
      </c>
      <c r="K48" s="330">
        <v>5</v>
      </c>
      <c r="L48" s="41">
        <f t="shared" si="13"/>
        <v>0.68</v>
      </c>
      <c r="M48" s="41">
        <f t="shared" si="14"/>
        <v>0.8</v>
      </c>
      <c r="N48" s="137"/>
    </row>
    <row r="49" spans="1:18" s="266" customFormat="1" ht="15" outlineLevel="1" thickTop="1" thickBot="1">
      <c r="A49" s="389" t="str">
        <f ca="1">IFERROR(MATCH(ROW(),OFFSET(ImpCalc!$E$1,$A$6-1,0,1,20),0),"")</f>
        <v/>
      </c>
      <c r="B49" s="40" t="str">
        <f t="shared" si="2"/>
        <v/>
      </c>
      <c r="C49" s="330"/>
      <c r="F49" s="47" t="str">
        <f>E39</f>
        <v>Other / General Mgmt Apps</v>
      </c>
      <c r="G49" s="79" t="s">
        <v>823</v>
      </c>
      <c r="H49" s="57">
        <f>SUMPRODUCT($J40:$J48,H40:H48)/SUM($J40:$J48)</f>
        <v>0.15</v>
      </c>
      <c r="I49" s="57">
        <f>SUMPRODUCT($J40:$J48,I40:I48)/SUM($J40:$J48)</f>
        <v>0.83000000000000007</v>
      </c>
      <c r="J49" s="331">
        <f>AVERAGE(J40:J48)</f>
        <v>4</v>
      </c>
      <c r="K49" s="331">
        <f>AVERAGE(K40:K48)</f>
        <v>5</v>
      </c>
      <c r="L49" s="57">
        <f t="shared" si="13"/>
        <v>0.68</v>
      </c>
      <c r="M49" s="57">
        <f t="shared" si="14"/>
        <v>0.8</v>
      </c>
      <c r="N49" s="137"/>
    </row>
    <row r="50" spans="1:18" s="305" customFormat="1" ht="15" outlineLevel="1" thickTop="1" thickBot="1">
      <c r="A50" s="389" t="str">
        <f ca="1">IFERROR(MATCH(ROW(),OFFSET(ImpCalc!$E$1,$A$6-1,0,1,20),0),"")</f>
        <v/>
      </c>
      <c r="B50" s="40" t="str">
        <f t="shared" si="2"/>
        <v/>
      </c>
      <c r="C50" s="330"/>
      <c r="F50" s="47" t="str">
        <f>F49</f>
        <v>Other / General Mgmt Apps</v>
      </c>
      <c r="G50" s="79" t="s">
        <v>824</v>
      </c>
      <c r="H50" s="57">
        <f>SUMPRODUCT($K40:$K48,H40:H48)/SUM($K40:$K48)</f>
        <v>0.15</v>
      </c>
      <c r="I50" s="57">
        <f>SUMPRODUCT($K40:$K48,I40:I48)/SUM($K40:$K48)</f>
        <v>0.82999999999999985</v>
      </c>
      <c r="J50" s="331">
        <f>J49</f>
        <v>4</v>
      </c>
      <c r="K50" s="331">
        <f>K49</f>
        <v>5</v>
      </c>
      <c r="L50" s="57">
        <f t="shared" si="13"/>
        <v>0.67999999999999983</v>
      </c>
      <c r="M50" s="57">
        <f t="shared" si="14"/>
        <v>0.79999999999999982</v>
      </c>
      <c r="N50" s="137"/>
    </row>
    <row r="51" spans="1:18" ht="15" outlineLevel="1" thickTop="1" thickBot="1">
      <c r="A51" s="389" t="str">
        <f ca="1">IFERROR(MATCH(ROW(),OFFSET(ImpCalc!$E$1,$A$6-1,0,1,20),0),"")</f>
        <v/>
      </c>
      <c r="B51" s="40" t="str">
        <f t="shared" si="2"/>
        <v/>
      </c>
      <c r="C51" s="330"/>
    </row>
    <row r="52" spans="1:18" ht="22.2" thickTop="1" thickBot="1">
      <c r="A52" s="389" t="str">
        <f ca="1">IFERROR(MATCH(ROW(),OFFSET(ImpCalc!$E$1,$A$6-1,0,1,20),0),"")</f>
        <v/>
      </c>
      <c r="B52" s="40" t="str">
        <f t="shared" si="2"/>
        <v/>
      </c>
      <c r="C52" s="330"/>
      <c r="D52" s="1" t="s">
        <v>871</v>
      </c>
      <c r="E52" s="103"/>
      <c r="F52" s="103"/>
      <c r="H52" s="103"/>
      <c r="I52" s="103"/>
      <c r="J52" s="103"/>
      <c r="K52" s="103"/>
    </row>
    <row r="53" spans="1:18" ht="12.75" customHeight="1" outlineLevel="1" thickTop="1" thickBot="1">
      <c r="A53" s="389" t="str">
        <f ca="1">IFERROR(MATCH(ROW(),OFFSET(ImpCalc!$E$1,$A$6-1,0,1,20),0),"")</f>
        <v/>
      </c>
      <c r="B53" s="40" t="str">
        <f t="shared" si="2"/>
        <v/>
      </c>
      <c r="C53" s="330"/>
      <c r="D53" s="103"/>
      <c r="E53" s="103"/>
      <c r="F53" s="333" t="s">
        <v>623</v>
      </c>
      <c r="G53" s="332"/>
      <c r="H53" s="332"/>
      <c r="I53" s="332"/>
      <c r="J53" s="332"/>
      <c r="K53" s="332"/>
      <c r="L53" s="258"/>
    </row>
    <row r="54" spans="1:18" s="103" customFormat="1" ht="67.2" outlineLevel="1" thickTop="1" thickBot="1">
      <c r="A54" s="389" t="str">
        <f ca="1">IFERROR(MATCH(ROW(),OFFSET(ImpCalc!$E$1,$A$6-1,0,1,20),0),"")</f>
        <v/>
      </c>
      <c r="B54" s="40" t="str">
        <f t="shared" si="2"/>
        <v/>
      </c>
      <c r="C54" s="330"/>
      <c r="F54" s="213" t="s">
        <v>652</v>
      </c>
      <c r="G54" s="301" t="s">
        <v>77</v>
      </c>
      <c r="H54" s="213" t="s">
        <v>650</v>
      </c>
      <c r="I54" s="213" t="s">
        <v>651</v>
      </c>
      <c r="J54" s="301" t="s">
        <v>825</v>
      </c>
      <c r="K54" s="257" t="s">
        <v>690</v>
      </c>
      <c r="L54" s="257" t="s">
        <v>324</v>
      </c>
      <c r="M54" s="277" t="str">
        <f>M5</f>
        <v>% of Remaining Gap</v>
      </c>
      <c r="N54" s="341" t="s">
        <v>6</v>
      </c>
    </row>
    <row r="55" spans="1:18" s="266" customFormat="1" ht="16.2" outlineLevel="1" thickTop="1" thickBot="1">
      <c r="A55" s="389" t="str">
        <f ca="1">IFERROR(MATCH(ROW(),OFFSET(ImpCalc!$E$1,$A$6-1,0,1,20),0),"")</f>
        <v/>
      </c>
      <c r="B55" s="40" t="str">
        <f t="shared" si="2"/>
        <v/>
      </c>
      <c r="C55" s="330"/>
      <c r="E55" s="6" t="s">
        <v>922</v>
      </c>
      <c r="F55" s="188"/>
      <c r="G55" s="325"/>
    </row>
    <row r="56" spans="1:18" s="103" customFormat="1" ht="15" outlineLevel="1" thickTop="1" thickBot="1">
      <c r="A56" s="389" t="str">
        <f ca="1">IFERROR(MATCH(ROW(),OFFSET(ImpCalc!$E$1,$A$6-1,0,1,20),0),"")</f>
        <v/>
      </c>
      <c r="B56" s="40" t="str">
        <f t="shared" si="2"/>
        <v/>
      </c>
      <c r="C56" s="330"/>
      <c r="F56" s="288" t="s">
        <v>999</v>
      </c>
      <c r="G56" s="79"/>
      <c r="H56" s="253">
        <f>Profile!D67</f>
        <v>0.55000000000000004</v>
      </c>
      <c r="I56" s="253">
        <f>(1-H56)*CHOOSE(Profile!$E$67+1,$R$7,$R$8,$R$9,$R$10)+H56</f>
        <v>0.91</v>
      </c>
      <c r="J56" s="263">
        <f>BIs/70</f>
        <v>57.142857142857146</v>
      </c>
      <c r="K56" s="272">
        <v>5</v>
      </c>
      <c r="L56" s="41">
        <f t="shared" ref="L56:L63" si="19">I56-H56</f>
        <v>0.36</v>
      </c>
      <c r="M56" s="289">
        <f>L56/(1-H56)</f>
        <v>0.8</v>
      </c>
      <c r="N56" s="137"/>
    </row>
    <row r="57" spans="1:18" s="266" customFormat="1" ht="15" outlineLevel="1" thickTop="1" thickBot="1">
      <c r="A57" s="389" t="str">
        <f ca="1">IFERROR(MATCH(ROW(),OFFSET(ImpCalc!$E$1,$A$6-1,0,1,20),0),"")</f>
        <v/>
      </c>
      <c r="B57" s="40" t="str">
        <f t="shared" si="2"/>
        <v/>
      </c>
      <c r="C57" s="330"/>
      <c r="F57" s="288" t="s">
        <v>710</v>
      </c>
      <c r="G57" s="79"/>
      <c r="H57" s="342">
        <f t="shared" ref="H57:H60" si="20">H56</f>
        <v>0.55000000000000004</v>
      </c>
      <c r="I57" s="253">
        <f>(1-H57)*CHOOSE(Profile!$E$67+1,$R$7,$R$8,$R$9,$R$10)+H57</f>
        <v>0.91</v>
      </c>
      <c r="J57" s="263">
        <f>$J$56</f>
        <v>57.142857142857146</v>
      </c>
      <c r="K57" s="272">
        <v>5</v>
      </c>
      <c r="L57" s="41">
        <f t="shared" si="19"/>
        <v>0.36</v>
      </c>
      <c r="M57" s="289">
        <f>L57/(1-H57)</f>
        <v>0.8</v>
      </c>
      <c r="N57" s="137"/>
    </row>
    <row r="58" spans="1:18" ht="15" outlineLevel="1" thickTop="1" thickBot="1">
      <c r="A58" s="389" t="str">
        <f ca="1">IFERROR(MATCH(ROW(),OFFSET(ImpCalc!$E$1,$A$6-1,0,1,20),0),"")</f>
        <v/>
      </c>
      <c r="B58" s="40" t="str">
        <f t="shared" si="2"/>
        <v/>
      </c>
      <c r="C58" s="330"/>
      <c r="D58" s="103"/>
      <c r="E58" s="103"/>
      <c r="F58" s="288" t="s">
        <v>709</v>
      </c>
      <c r="G58" s="79"/>
      <c r="H58" s="342">
        <f t="shared" si="20"/>
        <v>0.55000000000000004</v>
      </c>
      <c r="I58" s="253">
        <f>(1-H58)*CHOOSE(Profile!$E$67+1,$R$7,$R$8,$R$9,$R$10)+H58</f>
        <v>0.91</v>
      </c>
      <c r="J58" s="263">
        <f t="shared" ref="J58:J60" si="21">$J$56</f>
        <v>57.142857142857146</v>
      </c>
      <c r="K58" s="272">
        <v>5</v>
      </c>
      <c r="L58" s="41">
        <f t="shared" si="19"/>
        <v>0.36</v>
      </c>
      <c r="M58" s="289">
        <f>L58/(1-H58)</f>
        <v>0.8</v>
      </c>
      <c r="N58" s="137"/>
      <c r="O58" s="266"/>
      <c r="P58" s="266"/>
      <c r="Q58" s="266"/>
      <c r="R58" s="266"/>
    </row>
    <row r="59" spans="1:18" s="103" customFormat="1" ht="15" outlineLevel="1" thickTop="1" thickBot="1">
      <c r="A59" s="389" t="str">
        <f ca="1">IFERROR(MATCH(ROW(),OFFSET(ImpCalc!$E$1,$A$6-1,0,1,20),0),"")</f>
        <v/>
      </c>
      <c r="B59" s="40" t="str">
        <f t="shared" si="2"/>
        <v/>
      </c>
      <c r="C59" s="330"/>
      <c r="F59" s="288" t="s">
        <v>711</v>
      </c>
      <c r="G59" s="79"/>
      <c r="H59" s="342">
        <f t="shared" si="20"/>
        <v>0.55000000000000004</v>
      </c>
      <c r="I59" s="253">
        <f>(1-H59)*CHOOSE(Profile!$E$67+1,$R$7,$R$8,$R$9,$R$10)+H59</f>
        <v>0.91</v>
      </c>
      <c r="J59" s="263">
        <f t="shared" si="21"/>
        <v>57.142857142857146</v>
      </c>
      <c r="K59" s="272">
        <v>5</v>
      </c>
      <c r="L59" s="41">
        <f t="shared" si="19"/>
        <v>0.36</v>
      </c>
      <c r="M59" s="289">
        <f>L59/(1-H59)</f>
        <v>0.8</v>
      </c>
      <c r="N59" s="137"/>
    </row>
    <row r="60" spans="1:18" s="266" customFormat="1" ht="15" outlineLevel="1" thickTop="1" thickBot="1">
      <c r="A60" s="389" t="str">
        <f ca="1">IFERROR(MATCH(ROW(),OFFSET(ImpCalc!$E$1,$A$6-1,0,1,20),0),"")</f>
        <v/>
      </c>
      <c r="B60" s="40" t="str">
        <f t="shared" si="2"/>
        <v/>
      </c>
      <c r="C60" s="330"/>
      <c r="F60" s="37" t="s">
        <v>1</v>
      </c>
      <c r="G60" s="324"/>
      <c r="H60" s="342">
        <f t="shared" si="20"/>
        <v>0.55000000000000004</v>
      </c>
      <c r="I60" s="253">
        <f>(1-H60)*CHOOSE(Profile!$E$67+1,$R$7,$R$8,$R$9,$R$10)+H60</f>
        <v>0.91</v>
      </c>
      <c r="J60" s="263">
        <f t="shared" si="21"/>
        <v>57.142857142857146</v>
      </c>
      <c r="K60" s="272">
        <v>5</v>
      </c>
      <c r="L60" s="41">
        <f t="shared" si="19"/>
        <v>0.36</v>
      </c>
      <c r="M60" s="289">
        <f>L60/(1-H60)</f>
        <v>0.8</v>
      </c>
      <c r="N60" s="137"/>
    </row>
    <row r="61" spans="1:18" s="266" customFormat="1" ht="15" outlineLevel="1" thickTop="1" thickBot="1">
      <c r="A61" s="389" t="str">
        <f ca="1">IFERROR(MATCH(ROW(),OFFSET(ImpCalc!$E$1,$A$6-1,0,1,20),0),"")</f>
        <v/>
      </c>
      <c r="B61" s="40" t="str">
        <f t="shared" si="2"/>
        <v/>
      </c>
      <c r="C61" s="330"/>
      <c r="F61" s="97" t="s">
        <v>653</v>
      </c>
      <c r="H61" s="264">
        <f>SUMPRODUCT(H56:H60,$J56:$J60)</f>
        <v>157.14285714285717</v>
      </c>
      <c r="I61" s="264">
        <f>SUMPRODUCT(I56:I60,$J56:$J60)</f>
        <v>260.00000000000006</v>
      </c>
      <c r="J61" s="264">
        <f>SUM(J56:J60)</f>
        <v>285.71428571428572</v>
      </c>
      <c r="K61" s="273">
        <f>SUMPRODUCT($J56:$J60,K56:K60)/SUM($J56:$J60)</f>
        <v>5</v>
      </c>
      <c r="L61" s="264">
        <f t="shared" si="19"/>
        <v>102.85714285714289</v>
      </c>
      <c r="M61" s="290">
        <f>L61/(J61-H61)</f>
        <v>0.80000000000000038</v>
      </c>
      <c r="N61" s="137"/>
    </row>
    <row r="62" spans="1:18" s="305" customFormat="1" ht="27.6" outlineLevel="1" thickTop="1" thickBot="1">
      <c r="A62" s="389" t="str">
        <f ca="1">IFERROR(MATCH(ROW(),OFFSET(ImpCalc!$E$1,$A$6-1,0,1,20),0),"")</f>
        <v/>
      </c>
      <c r="B62" s="40" t="str">
        <f t="shared" si="2"/>
        <v/>
      </c>
      <c r="C62" s="330"/>
      <c r="F62" s="97" t="str">
        <f>E55</f>
        <v>Marketing / Sales Data Integration</v>
      </c>
      <c r="G62" s="79" t="s">
        <v>823</v>
      </c>
      <c r="H62" s="290">
        <f>SUMPRODUCT(H56:H60,$J56:$J60)/SUM($J56:$J60)</f>
        <v>0.55000000000000004</v>
      </c>
      <c r="I62" s="290">
        <f>SUMPRODUCT(I56:I60,$J56:$J60)/SUM($J56:$J60)</f>
        <v>0.91000000000000014</v>
      </c>
      <c r="J62" s="264">
        <f>J61</f>
        <v>285.71428571428572</v>
      </c>
      <c r="K62" s="331">
        <f>K61</f>
        <v>5</v>
      </c>
      <c r="L62" s="290">
        <f t="shared" si="19"/>
        <v>0.3600000000000001</v>
      </c>
      <c r="M62" s="290">
        <f>L62/(1-H62)</f>
        <v>0.80000000000000027</v>
      </c>
      <c r="N62" s="137"/>
    </row>
    <row r="63" spans="1:18" s="305" customFormat="1" ht="27.6" outlineLevel="1" thickTop="1" thickBot="1">
      <c r="A63" s="389" t="str">
        <f ca="1">IFERROR(MATCH(ROW(),OFFSET(ImpCalc!$E$1,$A$6-1,0,1,20),0),"")</f>
        <v/>
      </c>
      <c r="B63" s="40" t="str">
        <f t="shared" si="2"/>
        <v/>
      </c>
      <c r="C63" s="330"/>
      <c r="F63" s="47" t="str">
        <f>F62</f>
        <v>Marketing / Sales Data Integration</v>
      </c>
      <c r="G63" s="79" t="s">
        <v>824</v>
      </c>
      <c r="H63" s="290">
        <f>SUMPRODUCT(H56:H60,$K56:$K60)/SUM($K56:$K60)</f>
        <v>0.55000000000000004</v>
      </c>
      <c r="I63" s="290">
        <f>SUMPRODUCT(I56:I60,$K56:$K60)/SUM($K56:$K60)</f>
        <v>0.91</v>
      </c>
      <c r="J63" s="264">
        <f>J62</f>
        <v>285.71428571428572</v>
      </c>
      <c r="K63" s="331">
        <f>K62</f>
        <v>5</v>
      </c>
      <c r="L63" s="290">
        <f t="shared" si="19"/>
        <v>0.36</v>
      </c>
      <c r="M63" s="290">
        <f>L63/(1-H63)</f>
        <v>0.8</v>
      </c>
      <c r="N63" s="137"/>
    </row>
    <row r="64" spans="1:18" s="266" customFormat="1" ht="16.2" outlineLevel="1" thickTop="1" thickBot="1">
      <c r="A64" s="389" t="str">
        <f ca="1">IFERROR(MATCH(ROW(),OFFSET(ImpCalc!$E$1,$A$6-1,0,1,20),0),"")</f>
        <v/>
      </c>
      <c r="B64" s="40" t="str">
        <f t="shared" si="2"/>
        <v/>
      </c>
      <c r="C64" s="330"/>
      <c r="E64" s="6" t="s">
        <v>925</v>
      </c>
      <c r="F64" s="188"/>
      <c r="G64" s="325"/>
      <c r="J64" s="22"/>
      <c r="K64" s="22"/>
    </row>
    <row r="65" spans="1:16" s="103" customFormat="1" ht="15" outlineLevel="1" thickTop="1" thickBot="1">
      <c r="A65" s="389" t="str">
        <f ca="1">IFERROR(MATCH(ROW(),OFFSET(ImpCalc!$E$1,$A$6-1,0,1,20),0),"")</f>
        <v/>
      </c>
      <c r="B65" s="40" t="str">
        <f t="shared" si="2"/>
        <v/>
      </c>
      <c r="C65" s="330"/>
      <c r="F65" s="288" t="s">
        <v>1000</v>
      </c>
      <c r="G65" s="79"/>
      <c r="H65" s="253">
        <f>Profile!D68</f>
        <v>0.15</v>
      </c>
      <c r="I65" s="253">
        <f>(1-H65)*CHOOSE(Profile!$E$68+1,$R$7,$R$8,$R$9,$R$10)+H65</f>
        <v>0.83000000000000007</v>
      </c>
      <c r="J65" s="263">
        <f t="shared" ref="J65:J69" si="22">$J$56</f>
        <v>57.142857142857146</v>
      </c>
      <c r="K65" s="272">
        <v>5</v>
      </c>
      <c r="L65" s="41">
        <f t="shared" ref="L65:L72" si="23">I65-H65</f>
        <v>0.68</v>
      </c>
      <c r="M65" s="289">
        <f>L65/(1-H65)</f>
        <v>0.8</v>
      </c>
      <c r="N65" s="137"/>
    </row>
    <row r="66" spans="1:16" s="103" customFormat="1" ht="27.6" outlineLevel="1" thickTop="1" thickBot="1">
      <c r="A66" s="389" t="str">
        <f ca="1">IFERROR(MATCH(ROW(),OFFSET(ImpCalc!$E$1,$A$6-1,0,1,20),0),"")</f>
        <v/>
      </c>
      <c r="B66" s="40" t="str">
        <f t="shared" si="2"/>
        <v/>
      </c>
      <c r="C66" s="330"/>
      <c r="F66" s="288" t="s">
        <v>1001</v>
      </c>
      <c r="G66" s="79"/>
      <c r="H66" s="342">
        <f t="shared" ref="H66:H69" si="24">H65</f>
        <v>0.15</v>
      </c>
      <c r="I66" s="253">
        <f>(1-H66)*CHOOSE(Profile!$E$68+1,$R$7,$R$8,$R$9,$R$10)+H66</f>
        <v>0.83000000000000007</v>
      </c>
      <c r="J66" s="263">
        <f t="shared" si="22"/>
        <v>57.142857142857146</v>
      </c>
      <c r="K66" s="272">
        <v>5</v>
      </c>
      <c r="L66" s="41">
        <f t="shared" si="23"/>
        <v>0.68</v>
      </c>
      <c r="M66" s="289">
        <f>L66/(1-H66)</f>
        <v>0.8</v>
      </c>
      <c r="N66" s="137"/>
    </row>
    <row r="67" spans="1:16" s="103" customFormat="1" ht="15" outlineLevel="1" thickTop="1" thickBot="1">
      <c r="A67" s="389" t="str">
        <f ca="1">IFERROR(MATCH(ROW(),OFFSET(ImpCalc!$E$1,$A$6-1,0,1,20),0),"")</f>
        <v/>
      </c>
      <c r="B67" s="40" t="str">
        <f t="shared" si="2"/>
        <v/>
      </c>
      <c r="C67" s="330"/>
      <c r="F67" s="288" t="s">
        <v>1002</v>
      </c>
      <c r="G67" s="79"/>
      <c r="H67" s="342">
        <f t="shared" si="24"/>
        <v>0.15</v>
      </c>
      <c r="I67" s="253">
        <f>(1-H67)*CHOOSE(Profile!$E$68+1,$R$7,$R$8,$R$9,$R$10)+H67</f>
        <v>0.83000000000000007</v>
      </c>
      <c r="J67" s="263">
        <f t="shared" si="22"/>
        <v>57.142857142857146</v>
      </c>
      <c r="K67" s="272">
        <v>5</v>
      </c>
      <c r="L67" s="41">
        <f t="shared" si="23"/>
        <v>0.68</v>
      </c>
      <c r="M67" s="289">
        <f>L67/(1-H67)</f>
        <v>0.8</v>
      </c>
      <c r="N67" s="137"/>
    </row>
    <row r="68" spans="1:16" s="103" customFormat="1" ht="15" outlineLevel="1" thickTop="1" thickBot="1">
      <c r="A68" s="389" t="str">
        <f ca="1">IFERROR(MATCH(ROW(),OFFSET(ImpCalc!$E$1,$A$6-1,0,1,20),0),"")</f>
        <v/>
      </c>
      <c r="B68" s="40" t="str">
        <f t="shared" si="2"/>
        <v/>
      </c>
      <c r="C68" s="330"/>
      <c r="F68" s="288" t="s">
        <v>1003</v>
      </c>
      <c r="G68" s="79"/>
      <c r="H68" s="342">
        <f t="shared" si="24"/>
        <v>0.15</v>
      </c>
      <c r="I68" s="253">
        <f>(1-H68)*CHOOSE(Profile!$E$68+1,$R$7,$R$8,$R$9,$R$10)+H68</f>
        <v>0.83000000000000007</v>
      </c>
      <c r="J68" s="263">
        <f t="shared" si="22"/>
        <v>57.142857142857146</v>
      </c>
      <c r="K68" s="272">
        <v>5</v>
      </c>
      <c r="L68" s="41">
        <f t="shared" si="23"/>
        <v>0.68</v>
      </c>
      <c r="M68" s="289">
        <f>L68/(1-H68)</f>
        <v>0.8</v>
      </c>
      <c r="N68" s="137"/>
    </row>
    <row r="69" spans="1:16" s="266" customFormat="1" ht="15" outlineLevel="1" thickTop="1" thickBot="1">
      <c r="A69" s="389" t="str">
        <f ca="1">IFERROR(MATCH(ROW(),OFFSET(ImpCalc!$E$1,$A$6-1,0,1,20),0),"")</f>
        <v/>
      </c>
      <c r="B69" s="40" t="str">
        <f t="shared" si="2"/>
        <v/>
      </c>
      <c r="C69" s="330"/>
      <c r="F69" s="37" t="s">
        <v>1</v>
      </c>
      <c r="G69" s="324"/>
      <c r="H69" s="342">
        <f t="shared" si="24"/>
        <v>0.15</v>
      </c>
      <c r="I69" s="253">
        <f>(1-H69)*CHOOSE(Profile!$E$68+1,$R$7,$R$8,$R$9,$R$10)+H69</f>
        <v>0.83000000000000007</v>
      </c>
      <c r="J69" s="263">
        <f t="shared" si="22"/>
        <v>57.142857142857146</v>
      </c>
      <c r="K69" s="272">
        <v>5</v>
      </c>
      <c r="L69" s="41">
        <f t="shared" si="23"/>
        <v>0.68</v>
      </c>
      <c r="M69" s="289">
        <f>L69/(1-H69)</f>
        <v>0.8</v>
      </c>
      <c r="N69" s="137"/>
    </row>
    <row r="70" spans="1:16" s="266" customFormat="1" ht="15" outlineLevel="1" thickTop="1" thickBot="1">
      <c r="A70" s="389" t="str">
        <f ca="1">IFERROR(MATCH(ROW(),OFFSET(ImpCalc!$E$1,$A$6-1,0,1,20),0),"")</f>
        <v/>
      </c>
      <c r="B70" s="40" t="str">
        <f t="shared" si="2"/>
        <v/>
      </c>
      <c r="C70" s="330"/>
      <c r="F70" s="97" t="s">
        <v>653</v>
      </c>
      <c r="H70" s="264">
        <f>SUMPRODUCT(H65:H69,$J65:$J69)</f>
        <v>42.857142857142854</v>
      </c>
      <c r="I70" s="264">
        <f>SUMPRODUCT(I65:I69,$J65:$J69)</f>
        <v>237.1428571428572</v>
      </c>
      <c r="J70" s="264">
        <f>SUM(J65:J69)</f>
        <v>285.71428571428572</v>
      </c>
      <c r="K70" s="273">
        <f>SUMPRODUCT($J65:$J69,K65:K69)/SUM($J65:$J69)</f>
        <v>5</v>
      </c>
      <c r="L70" s="264">
        <f t="shared" si="23"/>
        <v>194.28571428571433</v>
      </c>
      <c r="M70" s="290">
        <f>L70/(J70-H70)</f>
        <v>0.80000000000000016</v>
      </c>
      <c r="N70" s="137"/>
    </row>
    <row r="71" spans="1:16" s="305" customFormat="1" ht="27.6" outlineLevel="1" thickTop="1" thickBot="1">
      <c r="A71" s="389" t="str">
        <f ca="1">IFERROR(MATCH(ROW(),OFFSET(ImpCalc!$E$1,$A$6-1,0,1,20),0),"")</f>
        <v/>
      </c>
      <c r="B71" s="40" t="str">
        <f t="shared" si="2"/>
        <v/>
      </c>
      <c r="C71" s="330"/>
      <c r="F71" s="97" t="str">
        <f>E64</f>
        <v>Supply Chain / Ops Data Integration</v>
      </c>
      <c r="G71" s="79" t="s">
        <v>823</v>
      </c>
      <c r="H71" s="290">
        <f>SUMPRODUCT(H65:H69,$J65:$J69)/SUM($J65:$J69)</f>
        <v>0.15</v>
      </c>
      <c r="I71" s="290">
        <f>SUMPRODUCT(I65:I69,$J65:$J69)/SUM($J65:$J69)</f>
        <v>0.83000000000000018</v>
      </c>
      <c r="J71" s="264">
        <f>J70</f>
        <v>285.71428571428572</v>
      </c>
      <c r="K71" s="331">
        <f>K70</f>
        <v>5</v>
      </c>
      <c r="L71" s="290">
        <f t="shared" si="23"/>
        <v>0.68000000000000016</v>
      </c>
      <c r="M71" s="290">
        <f>L71/(1-H71)</f>
        <v>0.80000000000000016</v>
      </c>
      <c r="N71" s="137"/>
    </row>
    <row r="72" spans="1:16" s="305" customFormat="1" ht="27.6" outlineLevel="1" thickTop="1" thickBot="1">
      <c r="A72" s="389" t="str">
        <f ca="1">IFERROR(MATCH(ROW(),OFFSET(ImpCalc!$E$1,$A$6-1,0,1,20),0),"")</f>
        <v/>
      </c>
      <c r="B72" s="40" t="str">
        <f t="shared" si="2"/>
        <v/>
      </c>
      <c r="C72" s="330"/>
      <c r="F72" s="47" t="str">
        <f>F71</f>
        <v>Supply Chain / Ops Data Integration</v>
      </c>
      <c r="G72" s="79" t="s">
        <v>824</v>
      </c>
      <c r="H72" s="290">
        <f>SUMPRODUCT(H65:H69,$K65:$K69)/SUM($K65:$K69)</f>
        <v>0.15</v>
      </c>
      <c r="I72" s="290">
        <f>SUMPRODUCT(I65:I69,$K65:$K69)/SUM($K65:$K69)</f>
        <v>0.83</v>
      </c>
      <c r="J72" s="264">
        <f>J71</f>
        <v>285.71428571428572</v>
      </c>
      <c r="K72" s="331">
        <f>K71</f>
        <v>5</v>
      </c>
      <c r="L72" s="290">
        <f t="shared" si="23"/>
        <v>0.67999999999999994</v>
      </c>
      <c r="M72" s="290">
        <f>L72/(1-H72)</f>
        <v>0.79999999999999993</v>
      </c>
      <c r="N72" s="137"/>
    </row>
    <row r="73" spans="1:16" s="266" customFormat="1" ht="16.2" outlineLevel="1" thickTop="1" thickBot="1">
      <c r="A73" s="389" t="str">
        <f ca="1">IFERROR(MATCH(ROW(),OFFSET(ImpCalc!$E$1,$A$6-1,0,1,20),0),"")</f>
        <v/>
      </c>
      <c r="B73" s="40" t="str">
        <f t="shared" si="2"/>
        <v/>
      </c>
      <c r="C73" s="330"/>
      <c r="E73" s="6" t="s">
        <v>923</v>
      </c>
      <c r="G73" s="305"/>
      <c r="J73" s="22"/>
      <c r="K73" s="22"/>
    </row>
    <row r="74" spans="1:16" s="103" customFormat="1" ht="15" outlineLevel="1" thickTop="1" thickBot="1">
      <c r="A74" s="389" t="str">
        <f ca="1">IFERROR(MATCH(ROW(),OFFSET(ImpCalc!$E$1,$A$6-1,0,1,20),0),"")</f>
        <v/>
      </c>
      <c r="B74" s="40" t="str">
        <f t="shared" ref="B74:B137" si="25">IF(C74="","",ROW(C74))</f>
        <v/>
      </c>
      <c r="C74" s="330"/>
      <c r="F74" s="288" t="s">
        <v>1004</v>
      </c>
      <c r="G74" s="79"/>
      <c r="H74" s="253">
        <f>Profile!D72</f>
        <v>0.65</v>
      </c>
      <c r="I74" s="253">
        <f>(1-H74)*CHOOSE(Profile!$E$69+1,$R$7,$R$8,$R$9,$R$10)+H74</f>
        <v>0.92999999999999994</v>
      </c>
      <c r="J74" s="263">
        <f t="shared" ref="J74:J81" si="26">$J$56</f>
        <v>57.142857142857146</v>
      </c>
      <c r="K74" s="272">
        <v>5</v>
      </c>
      <c r="L74" s="41">
        <f t="shared" ref="L74:L84" si="27">I74-H74</f>
        <v>0.27999999999999992</v>
      </c>
      <c r="M74" s="289">
        <f t="shared" ref="M74:M81" si="28">L74/(1-H74)</f>
        <v>0.79999999999999982</v>
      </c>
      <c r="N74" s="137"/>
    </row>
    <row r="75" spans="1:16" s="103" customFormat="1" ht="15" outlineLevel="1" thickTop="1" thickBot="1">
      <c r="A75" s="389" t="str">
        <f ca="1">IFERROR(MATCH(ROW(),OFFSET(ImpCalc!$E$1,$A$6-1,0,1,20),0),"")</f>
        <v/>
      </c>
      <c r="B75" s="40" t="str">
        <f t="shared" si="25"/>
        <v/>
      </c>
      <c r="C75" s="330"/>
      <c r="F75" s="288" t="s">
        <v>1005</v>
      </c>
      <c r="G75" s="79"/>
      <c r="H75" s="342">
        <f t="shared" ref="H75:H81" si="29">H74</f>
        <v>0.65</v>
      </c>
      <c r="I75" s="253">
        <f>(1-H75)*CHOOSE(Profile!$E$69+1,$R$7,$R$8,$R$9,$R$10)+H75</f>
        <v>0.92999999999999994</v>
      </c>
      <c r="J75" s="263">
        <f t="shared" si="26"/>
        <v>57.142857142857146</v>
      </c>
      <c r="K75" s="272">
        <v>5</v>
      </c>
      <c r="L75" s="41">
        <f t="shared" si="27"/>
        <v>0.27999999999999992</v>
      </c>
      <c r="M75" s="289">
        <f t="shared" si="28"/>
        <v>0.79999999999999982</v>
      </c>
      <c r="N75" s="137"/>
    </row>
    <row r="76" spans="1:16" ht="15" outlineLevel="1" thickTop="1" thickBot="1">
      <c r="A76" s="389" t="str">
        <f ca="1">IFERROR(MATCH(ROW(),OFFSET(ImpCalc!$E$1,$A$6-1,0,1,20),0),"")</f>
        <v/>
      </c>
      <c r="B76" s="40" t="str">
        <f t="shared" si="25"/>
        <v/>
      </c>
      <c r="C76" s="330"/>
      <c r="D76" s="103"/>
      <c r="E76" s="103"/>
      <c r="F76" s="288" t="s">
        <v>1006</v>
      </c>
      <c r="G76" s="79"/>
      <c r="H76" s="342">
        <f t="shared" si="29"/>
        <v>0.65</v>
      </c>
      <c r="I76" s="253">
        <f>(1-H76)*CHOOSE(Profile!$E$69+1,$R$7,$R$8,$R$9,$R$10)+H76</f>
        <v>0.92999999999999994</v>
      </c>
      <c r="J76" s="263">
        <f t="shared" si="26"/>
        <v>57.142857142857146</v>
      </c>
      <c r="K76" s="272">
        <v>5</v>
      </c>
      <c r="L76" s="41">
        <f t="shared" si="27"/>
        <v>0.27999999999999992</v>
      </c>
      <c r="M76" s="289">
        <f t="shared" si="28"/>
        <v>0.79999999999999982</v>
      </c>
      <c r="N76" s="137"/>
      <c r="P76" s="103"/>
    </row>
    <row r="77" spans="1:16" s="103" customFormat="1" ht="15" outlineLevel="1" thickTop="1" thickBot="1">
      <c r="A77" s="389" t="str">
        <f ca="1">IFERROR(MATCH(ROW(),OFFSET(ImpCalc!$E$1,$A$6-1,0,1,20),0),"")</f>
        <v/>
      </c>
      <c r="B77" s="40" t="str">
        <f t="shared" si="25"/>
        <v/>
      </c>
      <c r="C77" s="330"/>
      <c r="F77" s="288" t="s">
        <v>1007</v>
      </c>
      <c r="G77" s="79"/>
      <c r="H77" s="342">
        <f t="shared" si="29"/>
        <v>0.65</v>
      </c>
      <c r="I77" s="253">
        <f>(1-H77)*CHOOSE(Profile!$E$69+1,$R$7,$R$8,$R$9,$R$10)+H77</f>
        <v>0.92999999999999994</v>
      </c>
      <c r="J77" s="263">
        <f t="shared" si="26"/>
        <v>57.142857142857146</v>
      </c>
      <c r="K77" s="272">
        <v>5</v>
      </c>
      <c r="L77" s="41">
        <f t="shared" si="27"/>
        <v>0.27999999999999992</v>
      </c>
      <c r="M77" s="289">
        <f t="shared" si="28"/>
        <v>0.79999999999999982</v>
      </c>
      <c r="N77" s="137"/>
    </row>
    <row r="78" spans="1:16" s="103" customFormat="1" ht="15" outlineLevel="1" thickTop="1" thickBot="1">
      <c r="A78" s="389" t="str">
        <f ca="1">IFERROR(MATCH(ROW(),OFFSET(ImpCalc!$E$1,$A$6-1,0,1,20),0),"")</f>
        <v/>
      </c>
      <c r="B78" s="40" t="str">
        <f t="shared" si="25"/>
        <v/>
      </c>
      <c r="C78" s="330"/>
      <c r="F78" s="288" t="s">
        <v>1008</v>
      </c>
      <c r="G78" s="79"/>
      <c r="H78" s="342">
        <f t="shared" si="29"/>
        <v>0.65</v>
      </c>
      <c r="I78" s="253">
        <f>(1-H78)*CHOOSE(Profile!$E$69+1,$R$7,$R$8,$R$9,$R$10)+H78</f>
        <v>0.92999999999999994</v>
      </c>
      <c r="J78" s="263">
        <f t="shared" si="26"/>
        <v>57.142857142857146</v>
      </c>
      <c r="K78" s="272">
        <v>5</v>
      </c>
      <c r="L78" s="41">
        <f t="shared" si="27"/>
        <v>0.27999999999999992</v>
      </c>
      <c r="M78" s="289">
        <f t="shared" si="28"/>
        <v>0.79999999999999982</v>
      </c>
      <c r="N78" s="137"/>
    </row>
    <row r="79" spans="1:16" s="103" customFormat="1" ht="15" outlineLevel="1" thickTop="1" thickBot="1">
      <c r="A79" s="389" t="str">
        <f ca="1">IFERROR(MATCH(ROW(),OFFSET(ImpCalc!$E$1,$A$6-1,0,1,20),0),"")</f>
        <v/>
      </c>
      <c r="B79" s="40" t="str">
        <f t="shared" si="25"/>
        <v/>
      </c>
      <c r="C79" s="330"/>
      <c r="F79" s="288" t="s">
        <v>1009</v>
      </c>
      <c r="G79" s="79"/>
      <c r="H79" s="342">
        <f t="shared" si="29"/>
        <v>0.65</v>
      </c>
      <c r="I79" s="253">
        <f>(1-H79)*CHOOSE(Profile!$E$69+1,$R$7,$R$8,$R$9,$R$10)+H79</f>
        <v>0.92999999999999994</v>
      </c>
      <c r="J79" s="263">
        <f t="shared" si="26"/>
        <v>57.142857142857146</v>
      </c>
      <c r="K79" s="272">
        <v>5</v>
      </c>
      <c r="L79" s="41">
        <f t="shared" si="27"/>
        <v>0.27999999999999992</v>
      </c>
      <c r="M79" s="289">
        <f t="shared" si="28"/>
        <v>0.79999999999999982</v>
      </c>
      <c r="N79" s="137"/>
    </row>
    <row r="80" spans="1:16" s="103" customFormat="1" ht="15" outlineLevel="1" thickTop="1" thickBot="1">
      <c r="A80" s="389" t="str">
        <f ca="1">IFERROR(MATCH(ROW(),OFFSET(ImpCalc!$E$1,$A$6-1,0,1,20),0),"")</f>
        <v/>
      </c>
      <c r="B80" s="40" t="str">
        <f t="shared" si="25"/>
        <v/>
      </c>
      <c r="C80" s="330"/>
      <c r="F80" s="288" t="s">
        <v>656</v>
      </c>
      <c r="G80" s="79"/>
      <c r="H80" s="342">
        <f t="shared" si="29"/>
        <v>0.65</v>
      </c>
      <c r="I80" s="253">
        <f>(1-H80)*CHOOSE(Profile!$E$69+1,$R$7,$R$8,$R$9,$R$10)+H80</f>
        <v>0.92999999999999994</v>
      </c>
      <c r="J80" s="263">
        <f t="shared" si="26"/>
        <v>57.142857142857146</v>
      </c>
      <c r="K80" s="272">
        <v>5</v>
      </c>
      <c r="L80" s="41">
        <f t="shared" si="27"/>
        <v>0.27999999999999992</v>
      </c>
      <c r="M80" s="289">
        <f t="shared" si="28"/>
        <v>0.79999999999999982</v>
      </c>
      <c r="N80" s="137"/>
    </row>
    <row r="81" spans="1:16" s="266" customFormat="1" ht="15" outlineLevel="1" thickTop="1" thickBot="1">
      <c r="A81" s="389" t="str">
        <f ca="1">IFERROR(MATCH(ROW(),OFFSET(ImpCalc!$E$1,$A$6-1,0,1,20),0),"")</f>
        <v/>
      </c>
      <c r="B81" s="40" t="str">
        <f t="shared" si="25"/>
        <v/>
      </c>
      <c r="C81" s="330"/>
      <c r="F81" s="37" t="s">
        <v>1</v>
      </c>
      <c r="G81" s="324"/>
      <c r="H81" s="342">
        <f t="shared" si="29"/>
        <v>0.65</v>
      </c>
      <c r="I81" s="253">
        <f>(1-H81)*CHOOSE(Profile!$E$69+1,$R$7,$R$8,$R$9,$R$10)+H81</f>
        <v>0.92999999999999994</v>
      </c>
      <c r="J81" s="263">
        <f t="shared" si="26"/>
        <v>57.142857142857146</v>
      </c>
      <c r="K81" s="272">
        <v>5</v>
      </c>
      <c r="L81" s="41">
        <f t="shared" si="27"/>
        <v>0.27999999999999992</v>
      </c>
      <c r="M81" s="289">
        <f t="shared" si="28"/>
        <v>0.79999999999999982</v>
      </c>
      <c r="N81" s="137"/>
    </row>
    <row r="82" spans="1:16" s="266" customFormat="1" ht="15" outlineLevel="1" thickTop="1" thickBot="1">
      <c r="A82" s="389" t="str">
        <f ca="1">IFERROR(MATCH(ROW(),OFFSET(ImpCalc!$E$1,$A$6-1,0,1,20),0),"")</f>
        <v/>
      </c>
      <c r="B82" s="40" t="str">
        <f t="shared" si="25"/>
        <v/>
      </c>
      <c r="C82" s="330"/>
      <c r="F82" s="97" t="s">
        <v>653</v>
      </c>
      <c r="H82" s="264">
        <f>SUMPRODUCT(H74:H81,$J74:$J81)</f>
        <v>297.14285714285717</v>
      </c>
      <c r="I82" s="264">
        <f>SUMPRODUCT(I74:I81,$J74:$J81)</f>
        <v>425.142857142857</v>
      </c>
      <c r="J82" s="264">
        <f>SUM(J74:J81)</f>
        <v>457.14285714285722</v>
      </c>
      <c r="K82" s="273">
        <f>SUMPRODUCT($J74:$J81,K74:K81)/SUM($J74:$J81)</f>
        <v>4.9999999999999991</v>
      </c>
      <c r="L82" s="264">
        <f t="shared" si="27"/>
        <v>127.99999999999983</v>
      </c>
      <c r="M82" s="290">
        <f>L82/(J82-H82)</f>
        <v>0.7999999999999986</v>
      </c>
      <c r="N82" s="137"/>
    </row>
    <row r="83" spans="1:16" s="305" customFormat="1" ht="15" outlineLevel="1" thickTop="1" thickBot="1">
      <c r="A83" s="389" t="str">
        <f ca="1">IFERROR(MATCH(ROW(),OFFSET(ImpCalc!$E$1,$A$6-1,0,1,20),0),"")</f>
        <v/>
      </c>
      <c r="B83" s="40" t="str">
        <f t="shared" si="25"/>
        <v/>
      </c>
      <c r="C83" s="330"/>
      <c r="F83" s="97" t="str">
        <f>E73</f>
        <v>Financial Data Integration</v>
      </c>
      <c r="G83" s="79" t="s">
        <v>823</v>
      </c>
      <c r="H83" s="290">
        <f>SUMPRODUCT(H74:H81,$J74:$J81)/SUM($J74:$J81)</f>
        <v>0.64999999999999991</v>
      </c>
      <c r="I83" s="290">
        <f>SUMPRODUCT(I74:I81,$J74:$J81)/SUM($J74:$J81)</f>
        <v>0.92999999999999949</v>
      </c>
      <c r="J83" s="264">
        <f>J82</f>
        <v>457.14285714285722</v>
      </c>
      <c r="K83" s="331">
        <f>K82</f>
        <v>4.9999999999999991</v>
      </c>
      <c r="L83" s="290">
        <f t="shared" si="27"/>
        <v>0.27999999999999958</v>
      </c>
      <c r="M83" s="290">
        <f>L83/(1-H83)</f>
        <v>0.7999999999999986</v>
      </c>
      <c r="N83" s="137"/>
    </row>
    <row r="84" spans="1:16" s="305" customFormat="1" ht="15" outlineLevel="1" thickTop="1" thickBot="1">
      <c r="A84" s="389" t="str">
        <f ca="1">IFERROR(MATCH(ROW(),OFFSET(ImpCalc!$E$1,$A$6-1,0,1,20),0),"")</f>
        <v/>
      </c>
      <c r="B84" s="40" t="str">
        <f t="shared" si="25"/>
        <v/>
      </c>
      <c r="C84" s="330"/>
      <c r="F84" s="47" t="str">
        <f>F83</f>
        <v>Financial Data Integration</v>
      </c>
      <c r="G84" s="79" t="s">
        <v>824</v>
      </c>
      <c r="H84" s="290">
        <f>SUMPRODUCT(H74:H81,$K74:$K81)/SUM($K74:$K81)</f>
        <v>0.65</v>
      </c>
      <c r="I84" s="290">
        <f>SUMPRODUCT(I74:I81,$K74:$K81)/SUM($K74:$K81)</f>
        <v>0.92999999999999994</v>
      </c>
      <c r="J84" s="264">
        <f>J83</f>
        <v>457.14285714285722</v>
      </c>
      <c r="K84" s="331">
        <f>K83</f>
        <v>4.9999999999999991</v>
      </c>
      <c r="L84" s="290">
        <f t="shared" si="27"/>
        <v>0.27999999999999992</v>
      </c>
      <c r="M84" s="290">
        <f>L84/(1-H84)</f>
        <v>0.79999999999999982</v>
      </c>
      <c r="N84" s="137"/>
    </row>
    <row r="85" spans="1:16" s="266" customFormat="1" ht="16.2" outlineLevel="1" thickTop="1" thickBot="1">
      <c r="A85" s="389" t="str">
        <f ca="1">IFERROR(MATCH(ROW(),OFFSET(ImpCalc!$E$1,$A$6-1,0,1,20),0),"")</f>
        <v/>
      </c>
      <c r="B85" s="40" t="str">
        <f t="shared" si="25"/>
        <v/>
      </c>
      <c r="C85" s="330"/>
      <c r="E85" s="6" t="s">
        <v>924</v>
      </c>
      <c r="F85" s="188"/>
      <c r="G85" s="325"/>
      <c r="J85" s="22"/>
      <c r="K85" s="22"/>
      <c r="O85"/>
    </row>
    <row r="86" spans="1:16" ht="15" outlineLevel="1" thickTop="1" thickBot="1">
      <c r="A86" s="389" t="str">
        <f ca="1">IFERROR(MATCH(ROW(),OFFSET(ImpCalc!$E$1,$A$6-1,0,1,20),0),"")</f>
        <v/>
      </c>
      <c r="B86" s="40" t="str">
        <f t="shared" si="25"/>
        <v/>
      </c>
      <c r="C86" s="330"/>
      <c r="D86" s="103"/>
      <c r="E86" s="103"/>
      <c r="F86" s="288" t="s">
        <v>1010</v>
      </c>
      <c r="G86" s="79"/>
      <c r="H86" s="253">
        <f>Profile!D70</f>
        <v>0.2</v>
      </c>
      <c r="I86" s="253">
        <f>(1-H86)*CHOOSE(Profile!$E$70+1,$R$7,$R$8,$R$9,$R$10)+H86</f>
        <v>0.84000000000000008</v>
      </c>
      <c r="J86" s="263">
        <f t="shared" ref="J86:J89" si="30">$J$56</f>
        <v>57.142857142857146</v>
      </c>
      <c r="K86" s="272">
        <v>5</v>
      </c>
      <c r="L86" s="41">
        <f t="shared" ref="L86:L92" si="31">I86-H86</f>
        <v>0.64000000000000012</v>
      </c>
      <c r="M86" s="289">
        <f>L86/(1-H86)</f>
        <v>0.80000000000000016</v>
      </c>
      <c r="N86" s="137"/>
      <c r="P86" s="103"/>
    </row>
    <row r="87" spans="1:16" s="103" customFormat="1" ht="15" outlineLevel="1" thickTop="1" thickBot="1">
      <c r="A87" s="389" t="str">
        <f ca="1">IFERROR(MATCH(ROW(),OFFSET(ImpCalc!$E$1,$A$6-1,0,1,20),0),"")</f>
        <v/>
      </c>
      <c r="B87" s="40" t="str">
        <f t="shared" si="25"/>
        <v/>
      </c>
      <c r="C87" s="330"/>
      <c r="F87" s="288" t="s">
        <v>1011</v>
      </c>
      <c r="G87" s="79"/>
      <c r="H87" s="342">
        <f t="shared" ref="H87:H89" si="32">H86</f>
        <v>0.2</v>
      </c>
      <c r="I87" s="253">
        <f>(1-H87)*CHOOSE(Profile!$E$70+1,$R$7,$R$8,$R$9,$R$10)+H87</f>
        <v>0.84000000000000008</v>
      </c>
      <c r="J87" s="263">
        <f t="shared" si="30"/>
        <v>57.142857142857146</v>
      </c>
      <c r="K87" s="272">
        <v>5</v>
      </c>
      <c r="L87" s="41">
        <f t="shared" si="31"/>
        <v>0.64000000000000012</v>
      </c>
      <c r="M87" s="289">
        <f>L87/(1-H87)</f>
        <v>0.80000000000000016</v>
      </c>
      <c r="N87" s="137"/>
    </row>
    <row r="88" spans="1:16" s="266" customFormat="1" ht="15" outlineLevel="1" thickTop="1" thickBot="1">
      <c r="A88" s="389" t="str">
        <f ca="1">IFERROR(MATCH(ROW(),OFFSET(ImpCalc!$E$1,$A$6-1,0,1,20),0),"")</f>
        <v/>
      </c>
      <c r="B88" s="40" t="str">
        <f t="shared" si="25"/>
        <v/>
      </c>
      <c r="C88" s="330"/>
      <c r="F88" s="288" t="s">
        <v>1012</v>
      </c>
      <c r="G88" s="79"/>
      <c r="H88" s="342">
        <f t="shared" si="32"/>
        <v>0.2</v>
      </c>
      <c r="I88" s="253">
        <f>(1-H88)*CHOOSE(Profile!$E$70+1,$R$7,$R$8,$R$9,$R$10)+H88</f>
        <v>0.84000000000000008</v>
      </c>
      <c r="J88" s="263">
        <f t="shared" si="30"/>
        <v>57.142857142857146</v>
      </c>
      <c r="K88" s="272">
        <v>5</v>
      </c>
      <c r="L88" s="41">
        <f t="shared" si="31"/>
        <v>0.64000000000000012</v>
      </c>
      <c r="M88" s="289">
        <f>L88/(1-H88)</f>
        <v>0.80000000000000016</v>
      </c>
      <c r="N88" s="137"/>
    </row>
    <row r="89" spans="1:16" s="103" customFormat="1" ht="15" outlineLevel="1" thickTop="1" thickBot="1">
      <c r="A89" s="389" t="str">
        <f ca="1">IFERROR(MATCH(ROW(),OFFSET(ImpCalc!$E$1,$A$6-1,0,1,20),0),"")</f>
        <v/>
      </c>
      <c r="B89" s="40" t="str">
        <f t="shared" si="25"/>
        <v/>
      </c>
      <c r="C89" s="330"/>
      <c r="F89" s="37" t="s">
        <v>1</v>
      </c>
      <c r="G89" s="324"/>
      <c r="H89" s="342">
        <f t="shared" si="32"/>
        <v>0.2</v>
      </c>
      <c r="I89" s="253">
        <f>(1-H89)*CHOOSE(Profile!$E$70+1,$R$7,$R$8,$R$9,$R$10)+H89</f>
        <v>0.84000000000000008</v>
      </c>
      <c r="J89" s="263">
        <f t="shared" si="30"/>
        <v>57.142857142857146</v>
      </c>
      <c r="K89" s="272">
        <v>5</v>
      </c>
      <c r="L89" s="41">
        <f t="shared" si="31"/>
        <v>0.64000000000000012</v>
      </c>
      <c r="M89" s="289">
        <f>L89/(1-H89)</f>
        <v>0.80000000000000016</v>
      </c>
      <c r="N89" s="137"/>
    </row>
    <row r="90" spans="1:16" s="266" customFormat="1" ht="15" outlineLevel="1" thickTop="1" thickBot="1">
      <c r="A90" s="389" t="str">
        <f ca="1">IFERROR(MATCH(ROW(),OFFSET(ImpCalc!$E$1,$A$6-1,0,1,20),0),"")</f>
        <v/>
      </c>
      <c r="B90" s="40" t="str">
        <f t="shared" si="25"/>
        <v/>
      </c>
      <c r="C90" s="330"/>
      <c r="F90" s="97" t="s">
        <v>653</v>
      </c>
      <c r="H90" s="264">
        <f>SUMPRODUCT(H86:H89,$J86:$J89)</f>
        <v>45.714285714285722</v>
      </c>
      <c r="I90" s="264">
        <f>SUMPRODUCT(I86:I89,$J86:$J89)</f>
        <v>192.00000000000003</v>
      </c>
      <c r="J90" s="264">
        <f>SUM(J86:J89)</f>
        <v>228.57142857142858</v>
      </c>
      <c r="K90" s="273">
        <f>SUMPRODUCT($J86:$J89,K86:K89)/SUM($J86:$J89)</f>
        <v>5</v>
      </c>
      <c r="L90" s="264">
        <f t="shared" si="31"/>
        <v>146.28571428571431</v>
      </c>
      <c r="M90" s="290">
        <f>L90/(J90-H90)</f>
        <v>0.8</v>
      </c>
      <c r="N90" s="137"/>
    </row>
    <row r="91" spans="1:16" s="305" customFormat="1" ht="15" outlineLevel="1" thickTop="1" thickBot="1">
      <c r="A91" s="389" t="str">
        <f ca="1">IFERROR(MATCH(ROW(),OFFSET(ImpCalc!$E$1,$A$6-1,0,1,20),0),"")</f>
        <v/>
      </c>
      <c r="B91" s="40" t="str">
        <f t="shared" si="25"/>
        <v/>
      </c>
      <c r="C91" s="330"/>
      <c r="F91" s="97" t="str">
        <f>E85</f>
        <v>Other Data Integration</v>
      </c>
      <c r="G91" s="79" t="s">
        <v>823</v>
      </c>
      <c r="H91" s="290">
        <f>SUMPRODUCT(H86:H89,$J86:$J89)/SUM($J86:$J89)</f>
        <v>0.2</v>
      </c>
      <c r="I91" s="290">
        <f>SUMPRODUCT(I86:I89,$J86:$J89)/SUM($J86:$J89)</f>
        <v>0.84000000000000008</v>
      </c>
      <c r="J91" s="264">
        <f>J90</f>
        <v>228.57142857142858</v>
      </c>
      <c r="K91" s="331">
        <f>K90</f>
        <v>5</v>
      </c>
      <c r="L91" s="290">
        <f t="shared" si="31"/>
        <v>0.64000000000000012</v>
      </c>
      <c r="M91" s="290">
        <f>L91/(1-H91)</f>
        <v>0.80000000000000016</v>
      </c>
      <c r="N91" s="137"/>
    </row>
    <row r="92" spans="1:16" s="305" customFormat="1" ht="15" outlineLevel="1" thickTop="1" thickBot="1">
      <c r="A92" s="389" t="str">
        <f ca="1">IFERROR(MATCH(ROW(),OFFSET(ImpCalc!$E$1,$A$6-1,0,1,20),0),"")</f>
        <v/>
      </c>
      <c r="B92" s="40" t="str">
        <f t="shared" si="25"/>
        <v/>
      </c>
      <c r="C92" s="330"/>
      <c r="F92" s="47" t="str">
        <f>F91</f>
        <v>Other Data Integration</v>
      </c>
      <c r="G92" s="79" t="s">
        <v>824</v>
      </c>
      <c r="H92" s="290">
        <f>SUMPRODUCT(H86:H89,$K86:$K89)/SUM($K86:$K89)</f>
        <v>0.2</v>
      </c>
      <c r="I92" s="290">
        <f>SUMPRODUCT(I86:I89,$K86:$K89)/SUM($K86:$K89)</f>
        <v>0.84000000000000008</v>
      </c>
      <c r="J92" s="264">
        <f>J91</f>
        <v>228.57142857142858</v>
      </c>
      <c r="K92" s="331">
        <f>K91</f>
        <v>5</v>
      </c>
      <c r="L92" s="290">
        <f t="shared" si="31"/>
        <v>0.64000000000000012</v>
      </c>
      <c r="M92" s="290">
        <f>L92/(1-H92)</f>
        <v>0.80000000000000016</v>
      </c>
      <c r="N92" s="137"/>
    </row>
    <row r="93" spans="1:16" ht="15" outlineLevel="1" thickTop="1" thickBot="1">
      <c r="A93" s="389" t="str">
        <f ca="1">IFERROR(MATCH(ROW(),OFFSET(ImpCalc!$E$1,$A$6-1,0,1,20),0),"")</f>
        <v/>
      </c>
      <c r="B93" s="40" t="str">
        <f t="shared" si="25"/>
        <v/>
      </c>
      <c r="C93" s="330"/>
      <c r="G93" s="35"/>
      <c r="M93" s="266"/>
    </row>
    <row r="94" spans="1:16" ht="15" outlineLevel="1" thickTop="1" thickBot="1">
      <c r="A94" s="389" t="str">
        <f ca="1">IFERROR(MATCH(ROW(),OFFSET(ImpCalc!$E$1,$A$6-1,0,1,20),0),"")</f>
        <v/>
      </c>
      <c r="B94" s="40" t="str">
        <f t="shared" si="25"/>
        <v/>
      </c>
      <c r="C94" s="330"/>
      <c r="D94" s="103"/>
      <c r="E94" s="103"/>
      <c r="F94" s="97" t="s">
        <v>653</v>
      </c>
      <c r="G94" s="79"/>
      <c r="H94" s="264">
        <f>SUM(H82,H61,H70,H90)</f>
        <v>542.85714285714289</v>
      </c>
      <c r="I94" s="264">
        <f>SUM(I82,I61,I70,I90)</f>
        <v>1114.2857142857144</v>
      </c>
      <c r="J94" s="264">
        <f>SUM(J82,J61,J70,J90)</f>
        <v>1257.1428571428573</v>
      </c>
      <c r="K94" s="273">
        <f>(J82*K82+J61*K61+J70*K70+J90*K90)/J94</f>
        <v>5</v>
      </c>
      <c r="L94" s="264">
        <f>I94-H94</f>
        <v>571.42857142857156</v>
      </c>
      <c r="M94" s="290">
        <f>L94/(J94-H94)</f>
        <v>0.8</v>
      </c>
      <c r="N94" s="137"/>
      <c r="P94" s="103"/>
    </row>
    <row r="95" spans="1:16" ht="15" outlineLevel="1" thickTop="1" thickBot="1">
      <c r="A95" s="389" t="str">
        <f ca="1">IFERROR(MATCH(ROW(),OFFSET(ImpCalc!$E$1,$A$6-1,0,1,20),0),"")</f>
        <v/>
      </c>
      <c r="B95" s="40" t="str">
        <f t="shared" si="25"/>
        <v/>
      </c>
      <c r="C95" s="330"/>
    </row>
    <row r="96" spans="1:16" s="266" customFormat="1" ht="22.2" thickTop="1" thickBot="1">
      <c r="A96" s="389" t="str">
        <f ca="1">IFERROR(MATCH(ROW(),OFFSET(ImpCalc!$E$1,$A$6-1,0,1,20),0),"")</f>
        <v/>
      </c>
      <c r="B96" s="40" t="str">
        <f t="shared" si="25"/>
        <v/>
      </c>
      <c r="C96" s="330"/>
      <c r="D96" s="1" t="s">
        <v>736</v>
      </c>
      <c r="G96" s="305"/>
    </row>
    <row r="97" spans="1:14" s="266" customFormat="1" ht="15" outlineLevel="1" thickTop="1" thickBot="1">
      <c r="A97" s="389" t="str">
        <f ca="1">IFERROR(MATCH(ROW(),OFFSET(ImpCalc!$E$1,$A$6-1,0,1,20),0),"")</f>
        <v/>
      </c>
      <c r="B97" s="40" t="str">
        <f t="shared" si="25"/>
        <v/>
      </c>
      <c r="C97" s="330"/>
      <c r="F97" s="332"/>
      <c r="G97" s="332"/>
      <c r="H97" s="332"/>
      <c r="I97" s="332"/>
      <c r="J97" s="332"/>
      <c r="K97" s="332"/>
      <c r="L97" s="280"/>
    </row>
    <row r="98" spans="1:14" s="266" customFormat="1" ht="80.400000000000006" outlineLevel="1" thickTop="1" thickBot="1">
      <c r="A98" s="389" t="str">
        <f ca="1">IFERROR(MATCH(ROW(),OFFSET(ImpCalc!$E$1,$A$6-1,0,1,20),0),"")</f>
        <v/>
      </c>
      <c r="B98" s="40" t="str">
        <f t="shared" si="25"/>
        <v/>
      </c>
      <c r="C98" s="330"/>
      <c r="F98" s="277" t="s">
        <v>652</v>
      </c>
      <c r="G98" s="301" t="s">
        <v>77</v>
      </c>
      <c r="H98" s="277" t="s">
        <v>650</v>
      </c>
      <c r="I98" s="277" t="s">
        <v>651</v>
      </c>
      <c r="J98" s="277" t="s">
        <v>691</v>
      </c>
      <c r="K98" s="277" t="s">
        <v>715</v>
      </c>
      <c r="L98" s="277" t="s">
        <v>324</v>
      </c>
      <c r="M98" s="277" t="str">
        <f>M54</f>
        <v>% of Remaining Gap</v>
      </c>
      <c r="N98" s="341" t="s">
        <v>6</v>
      </c>
    </row>
    <row r="99" spans="1:14" s="266" customFormat="1" ht="16.8" outlineLevel="1" thickTop="1" thickBot="1">
      <c r="A99" s="389" t="str">
        <f ca="1">IFERROR(MATCH(ROW(),OFFSET(ImpCalc!$E$1,$A$6-1,0,1,20),0),"")</f>
        <v/>
      </c>
      <c r="B99" s="40" t="str">
        <f t="shared" si="25"/>
        <v/>
      </c>
      <c r="C99" s="330"/>
      <c r="D99" s="29"/>
      <c r="E99" s="327" t="s">
        <v>926</v>
      </c>
      <c r="F99" s="326"/>
      <c r="G99" s="328"/>
    </row>
    <row r="100" spans="1:14" s="266" customFormat="1" ht="21.6" outlineLevel="1" thickTop="1" thickBot="1">
      <c r="A100" s="389" t="str">
        <f ca="1">IFERROR(MATCH(ROW(),OFFSET(ImpCalc!$E$1,$A$6-1,0,1,20),0),"")</f>
        <v/>
      </c>
      <c r="B100" s="40" t="str">
        <f t="shared" si="25"/>
        <v/>
      </c>
      <c r="C100" s="330"/>
      <c r="D100" s="29"/>
      <c r="E100" s="29"/>
      <c r="F100" s="288" t="s">
        <v>814</v>
      </c>
      <c r="G100" s="79" t="s">
        <v>777</v>
      </c>
      <c r="H100" s="342">
        <f>Profile!D72</f>
        <v>0.65</v>
      </c>
      <c r="I100" s="279">
        <f>(1-H100)*CHOOSE(Profile!$E$72+1,$R$7,$R$8,$R$9,$R$10)+H100</f>
        <v>0.79</v>
      </c>
      <c r="J100" s="330">
        <f>Profile!F72</f>
        <v>5</v>
      </c>
      <c r="K100" s="272">
        <v>5</v>
      </c>
      <c r="L100" s="41">
        <f>I100-H100</f>
        <v>0.14000000000000001</v>
      </c>
      <c r="M100" s="289">
        <f>L100/(1-H100)</f>
        <v>0.40000000000000008</v>
      </c>
      <c r="N100" s="137"/>
    </row>
    <row r="101" spans="1:14" s="266" customFormat="1" ht="42" outlineLevel="1" thickTop="1" thickBot="1">
      <c r="A101" s="389" t="str">
        <f ca="1">IFERROR(MATCH(ROW(),OFFSET(ImpCalc!$E$1,$A$6-1,0,1,20),0),"")</f>
        <v/>
      </c>
      <c r="B101" s="40" t="str">
        <f t="shared" si="25"/>
        <v/>
      </c>
      <c r="C101" s="330"/>
      <c r="D101" s="29"/>
      <c r="E101" s="29"/>
      <c r="F101" s="288" t="s">
        <v>336</v>
      </c>
      <c r="G101" s="79" t="s">
        <v>821</v>
      </c>
      <c r="H101" s="342">
        <f t="shared" ref="H101:J102" si="33">H100</f>
        <v>0.65</v>
      </c>
      <c r="I101" s="303">
        <f>(1-H101)*CHOOSE(Profile!$E$72+1,$R$7,$R$8,$R$9,$R$10)+H101</f>
        <v>0.79</v>
      </c>
      <c r="J101" s="330">
        <f t="shared" si="33"/>
        <v>5</v>
      </c>
      <c r="K101" s="272">
        <v>5</v>
      </c>
      <c r="L101" s="41">
        <f>I101-H101</f>
        <v>0.14000000000000001</v>
      </c>
      <c r="M101" s="289">
        <f>L101/(1-H101)</f>
        <v>0.40000000000000008</v>
      </c>
      <c r="N101" s="137"/>
    </row>
    <row r="102" spans="1:14" s="266" customFormat="1" ht="15" outlineLevel="1" thickTop="1" thickBot="1">
      <c r="A102" s="389" t="str">
        <f ca="1">IFERROR(MATCH(ROW(),OFFSET(ImpCalc!$E$1,$A$6-1,0,1,20),0),"")</f>
        <v/>
      </c>
      <c r="B102" s="40" t="str">
        <f t="shared" si="25"/>
        <v/>
      </c>
      <c r="C102" s="330"/>
      <c r="D102" s="305"/>
      <c r="E102" s="305"/>
      <c r="F102" s="221" t="s">
        <v>552</v>
      </c>
      <c r="G102" s="79" t="s">
        <v>822</v>
      </c>
      <c r="H102" s="342">
        <f t="shared" si="33"/>
        <v>0.65</v>
      </c>
      <c r="I102" s="303">
        <f>(1-H102)*CHOOSE(Profile!$E$72+1,$R$7,$R$8,$R$9,$R$10)+H102</f>
        <v>0.79</v>
      </c>
      <c r="J102" s="330">
        <f t="shared" si="33"/>
        <v>5</v>
      </c>
      <c r="K102" s="272">
        <v>5</v>
      </c>
      <c r="L102" s="41">
        <f>I102-H102</f>
        <v>0.14000000000000001</v>
      </c>
      <c r="M102" s="289">
        <f>L102/(1-H102)</f>
        <v>0.40000000000000008</v>
      </c>
      <c r="N102" s="137"/>
    </row>
    <row r="103" spans="1:14" s="305" customFormat="1" ht="27.6" outlineLevel="1" thickTop="1" thickBot="1">
      <c r="A103" s="389" t="str">
        <f ca="1">IFERROR(MATCH(ROW(),OFFSET(ImpCalc!$E$1,$A$6-1,0,1,20),0),"")</f>
        <v/>
      </c>
      <c r="B103" s="40" t="str">
        <f t="shared" si="25"/>
        <v/>
      </c>
      <c r="C103" s="330"/>
      <c r="F103" s="307" t="str">
        <f>E99</f>
        <v>Architecture Standards &amp; Adherence</v>
      </c>
      <c r="G103" s="79" t="s">
        <v>823</v>
      </c>
      <c r="H103" s="57">
        <f>SUMPRODUCT($J100:$J102,H100:H102)/SUM($J100:$J102)</f>
        <v>0.65</v>
      </c>
      <c r="I103" s="57">
        <f>SUMPRODUCT($J100:$J102,I100:I102)/SUM($J100:$J102)</f>
        <v>0.79000000000000015</v>
      </c>
      <c r="J103" s="331">
        <f>AVERAGE(J100:J102)</f>
        <v>5</v>
      </c>
      <c r="K103" s="331">
        <f>AVERAGE(K100:K102)</f>
        <v>5</v>
      </c>
      <c r="L103" s="57">
        <f>I103-H103</f>
        <v>0.14000000000000012</v>
      </c>
      <c r="M103" s="57">
        <f>L103/(1-H103)</f>
        <v>0.40000000000000036</v>
      </c>
      <c r="N103" s="137"/>
    </row>
    <row r="104" spans="1:14" s="305" customFormat="1" ht="27.6" outlineLevel="1" thickTop="1" thickBot="1">
      <c r="A104" s="389" t="str">
        <f ca="1">IFERROR(MATCH(ROW(),OFFSET(ImpCalc!$E$1,$A$6-1,0,1,20),0),"")</f>
        <v/>
      </c>
      <c r="B104" s="40" t="str">
        <f t="shared" si="25"/>
        <v/>
      </c>
      <c r="C104" s="330"/>
      <c r="F104" s="47" t="str">
        <f>F103</f>
        <v>Architecture Standards &amp; Adherence</v>
      </c>
      <c r="G104" s="79" t="s">
        <v>824</v>
      </c>
      <c r="H104" s="57">
        <f>SUMPRODUCT($K100:$K102,H100:H102)/SUM($K100:$K102)</f>
        <v>0.65</v>
      </c>
      <c r="I104" s="57">
        <f>SUMPRODUCT($K100:$K102,I100:I102)/SUM($K100:$K102)</f>
        <v>0.79000000000000015</v>
      </c>
      <c r="J104" s="331">
        <f>J103</f>
        <v>5</v>
      </c>
      <c r="K104" s="331">
        <f>K103</f>
        <v>5</v>
      </c>
      <c r="L104" s="57">
        <f>I104-H104</f>
        <v>0.14000000000000012</v>
      </c>
      <c r="M104" s="57">
        <f>L104/(1-H104)</f>
        <v>0.40000000000000036</v>
      </c>
      <c r="N104" s="137"/>
    </row>
    <row r="105" spans="1:14" s="266" customFormat="1" ht="16.8" outlineLevel="1" thickTop="1" thickBot="1">
      <c r="A105" s="389" t="str">
        <f ca="1">IFERROR(MATCH(ROW(),OFFSET(ImpCalc!$E$1,$A$6-1,0,1,20),0),"")</f>
        <v/>
      </c>
      <c r="B105" s="40" t="str">
        <f t="shared" si="25"/>
        <v/>
      </c>
      <c r="C105" s="330"/>
      <c r="D105" s="29"/>
      <c r="E105" s="327" t="s">
        <v>927</v>
      </c>
      <c r="F105" s="326"/>
      <c r="G105" s="329"/>
    </row>
    <row r="106" spans="1:14" s="266" customFormat="1" ht="52.2" outlineLevel="1" thickTop="1" thickBot="1">
      <c r="A106" s="389" t="str">
        <f ca="1">IFERROR(MATCH(ROW(),OFFSET(ImpCalc!$E$1,$A$6-1,0,1,20),0),"")</f>
        <v/>
      </c>
      <c r="B106" s="40" t="str">
        <f t="shared" si="25"/>
        <v/>
      </c>
      <c r="C106" s="330"/>
      <c r="D106" s="29"/>
      <c r="E106" s="29"/>
      <c r="F106" s="288" t="s">
        <v>816</v>
      </c>
      <c r="G106" s="79" t="s">
        <v>815</v>
      </c>
      <c r="H106" s="342">
        <f>Profile!D73</f>
        <v>0.75</v>
      </c>
      <c r="I106" s="303">
        <f>(1-H106)*CHOOSE(Profile!$E$73+1,$R$7,$R$8,$R$9,$R$10)+H106</f>
        <v>0.85</v>
      </c>
      <c r="J106" s="330">
        <f>Profile!F73</f>
        <v>5</v>
      </c>
      <c r="K106" s="272">
        <v>5</v>
      </c>
      <c r="L106" s="41">
        <f>I106-H106</f>
        <v>9.9999999999999978E-2</v>
      </c>
      <c r="M106" s="289">
        <f>L106/(1-H106)</f>
        <v>0.39999999999999991</v>
      </c>
      <c r="N106" s="137"/>
    </row>
    <row r="107" spans="1:14" s="266" customFormat="1" ht="42" outlineLevel="1" thickTop="1" thickBot="1">
      <c r="A107" s="389" t="str">
        <f ca="1">IFERROR(MATCH(ROW(),OFFSET(ImpCalc!$E$1,$A$6-1,0,1,20),0),"")</f>
        <v/>
      </c>
      <c r="B107" s="40" t="str">
        <f t="shared" si="25"/>
        <v/>
      </c>
      <c r="C107" s="330"/>
      <c r="D107" s="305"/>
      <c r="E107" s="305"/>
      <c r="F107" s="221" t="s">
        <v>555</v>
      </c>
      <c r="G107" s="79" t="s">
        <v>817</v>
      </c>
      <c r="H107" s="342">
        <f t="shared" ref="H107:J108" si="34">H106</f>
        <v>0.75</v>
      </c>
      <c r="I107" s="303">
        <f>(1-H107)*CHOOSE(Profile!$E$73+1,$R$7,$R$8,$R$9,$R$10)+H107</f>
        <v>0.85</v>
      </c>
      <c r="J107" s="330">
        <f t="shared" si="34"/>
        <v>5</v>
      </c>
      <c r="K107" s="272">
        <v>5</v>
      </c>
      <c r="L107" s="41">
        <f>I107-H107</f>
        <v>9.9999999999999978E-2</v>
      </c>
      <c r="M107" s="289">
        <f>L107/(1-H107)</f>
        <v>0.39999999999999991</v>
      </c>
      <c r="N107" s="137"/>
    </row>
    <row r="108" spans="1:14" s="266" customFormat="1" ht="42" outlineLevel="1" thickTop="1" thickBot="1">
      <c r="A108" s="389" t="str">
        <f ca="1">IFERROR(MATCH(ROW(),OFFSET(ImpCalc!$E$1,$A$6-1,0,1,20),0),"")</f>
        <v/>
      </c>
      <c r="B108" s="40" t="str">
        <f t="shared" si="25"/>
        <v/>
      </c>
      <c r="C108" s="330"/>
      <c r="D108" s="305"/>
      <c r="E108" s="305"/>
      <c r="F108" s="221" t="s">
        <v>553</v>
      </c>
      <c r="G108" s="79" t="s">
        <v>554</v>
      </c>
      <c r="H108" s="342">
        <f t="shared" si="34"/>
        <v>0.75</v>
      </c>
      <c r="I108" s="303">
        <f>(1-H108)*CHOOSE(Profile!$E$73+1,$R$7,$R$8,$R$9,$R$10)+H108</f>
        <v>0.85</v>
      </c>
      <c r="J108" s="330">
        <f t="shared" si="34"/>
        <v>5</v>
      </c>
      <c r="K108" s="272">
        <v>5</v>
      </c>
      <c r="L108" s="41">
        <f>I108-H108</f>
        <v>9.9999999999999978E-2</v>
      </c>
      <c r="M108" s="289">
        <f>L108/(1-H108)</f>
        <v>0.39999999999999991</v>
      </c>
      <c r="N108" s="137"/>
    </row>
    <row r="109" spans="1:14" s="305" customFormat="1" ht="15" outlineLevel="1" thickTop="1" thickBot="1">
      <c r="A109" s="389" t="str">
        <f ca="1">IFERROR(MATCH(ROW(),OFFSET(ImpCalc!$E$1,$A$6-1,0,1,20),0),"")</f>
        <v/>
      </c>
      <c r="B109" s="40" t="str">
        <f t="shared" si="25"/>
        <v/>
      </c>
      <c r="C109" s="330"/>
      <c r="F109" s="307" t="str">
        <f>E105</f>
        <v>Data Management</v>
      </c>
      <c r="G109" s="79" t="s">
        <v>823</v>
      </c>
      <c r="H109" s="57">
        <f>SUMPRODUCT($J106:$J108,H106:H108)/SUM($J106:$J108)</f>
        <v>0.75</v>
      </c>
      <c r="I109" s="57">
        <f>SUMPRODUCT($J106:$J108,I106:I108)/SUM($J106:$J108)</f>
        <v>0.85</v>
      </c>
      <c r="J109" s="331">
        <f>AVERAGE(J106:J108)</f>
        <v>5</v>
      </c>
      <c r="K109" s="331">
        <f>AVERAGE(K106:K108)</f>
        <v>5</v>
      </c>
      <c r="L109" s="57">
        <f>I109-H109</f>
        <v>9.9999999999999978E-2</v>
      </c>
      <c r="M109" s="57">
        <f>L109/(1-H109)</f>
        <v>0.39999999999999991</v>
      </c>
      <c r="N109" s="137"/>
    </row>
    <row r="110" spans="1:14" s="305" customFormat="1" ht="15" outlineLevel="1" thickTop="1" thickBot="1">
      <c r="A110" s="389" t="str">
        <f ca="1">IFERROR(MATCH(ROW(),OFFSET(ImpCalc!$E$1,$A$6-1,0,1,20),0),"")</f>
        <v/>
      </c>
      <c r="B110" s="40" t="str">
        <f t="shared" si="25"/>
        <v/>
      </c>
      <c r="C110" s="330"/>
      <c r="F110" s="47" t="str">
        <f>F109</f>
        <v>Data Management</v>
      </c>
      <c r="G110" s="79" t="s">
        <v>824</v>
      </c>
      <c r="H110" s="57">
        <f>SUMPRODUCT($J106:$J108,H106:H108)/SUM($J106:$J108)</f>
        <v>0.75</v>
      </c>
      <c r="I110" s="57">
        <f>SUMPRODUCT($J106:$J108,I106:I108)/SUM($J106:$J108)</f>
        <v>0.85</v>
      </c>
      <c r="J110" s="331">
        <f>J109</f>
        <v>5</v>
      </c>
      <c r="K110" s="331">
        <f>K109</f>
        <v>5</v>
      </c>
      <c r="L110" s="57">
        <f>I110-H110</f>
        <v>9.9999999999999978E-2</v>
      </c>
      <c r="M110" s="57">
        <f>L110/(1-H110)</f>
        <v>0.39999999999999991</v>
      </c>
      <c r="N110" s="137"/>
    </row>
    <row r="111" spans="1:14" s="266" customFormat="1" ht="16.8" outlineLevel="1" thickTop="1" thickBot="1">
      <c r="A111" s="389" t="str">
        <f ca="1">IFERROR(MATCH(ROW(),OFFSET(ImpCalc!$E$1,$A$6-1,0,1,20),0),"")</f>
        <v/>
      </c>
      <c r="B111" s="40" t="str">
        <f t="shared" si="25"/>
        <v/>
      </c>
      <c r="C111" s="330"/>
      <c r="D111" s="29"/>
      <c r="E111" s="327" t="s">
        <v>928</v>
      </c>
      <c r="F111" s="326"/>
      <c r="G111" s="329"/>
      <c r="H111" s="22"/>
      <c r="I111" s="22"/>
      <c r="J111" s="22"/>
      <c r="K111" s="22"/>
      <c r="L111" s="22"/>
      <c r="M111" s="22"/>
    </row>
    <row r="112" spans="1:14" s="266" customFormat="1" ht="27.6" outlineLevel="1" thickTop="1" thickBot="1">
      <c r="A112" s="389" t="str">
        <f ca="1">IFERROR(MATCH(ROW(),OFFSET(ImpCalc!$E$1,$A$6-1,0,1,20),0),"")</f>
        <v/>
      </c>
      <c r="B112" s="40" t="str">
        <f t="shared" si="25"/>
        <v/>
      </c>
      <c r="C112" s="330"/>
      <c r="D112" s="29"/>
      <c r="E112" s="29"/>
      <c r="F112" s="288" t="s">
        <v>987</v>
      </c>
      <c r="G112" s="79" t="s">
        <v>786</v>
      </c>
      <c r="H112" s="342">
        <f>Profile!D74</f>
        <v>0.75</v>
      </c>
      <c r="I112" s="303">
        <f>(1-H112)*CHOOSE(Profile!$E$74+1,$R$7,$R$8,$R$9,$R$10)+H112</f>
        <v>0.85</v>
      </c>
      <c r="J112" s="330">
        <f>Profile!F74</f>
        <v>5</v>
      </c>
      <c r="K112" s="272">
        <v>5</v>
      </c>
      <c r="L112" s="41">
        <f>I112-H112</f>
        <v>9.9999999999999978E-2</v>
      </c>
      <c r="M112" s="289">
        <f>L112/(1-H112)</f>
        <v>0.39999999999999991</v>
      </c>
      <c r="N112" s="137"/>
    </row>
    <row r="113" spans="1:14" s="266" customFormat="1" ht="21.6" outlineLevel="1" thickTop="1" thickBot="1">
      <c r="A113" s="389" t="str">
        <f ca="1">IFERROR(MATCH(ROW(),OFFSET(ImpCalc!$E$1,$A$6-1,0,1,20),0),"")</f>
        <v/>
      </c>
      <c r="B113" s="40" t="str">
        <f t="shared" si="25"/>
        <v/>
      </c>
      <c r="C113" s="330"/>
      <c r="D113" s="305"/>
      <c r="E113" s="305"/>
      <c r="F113" s="288" t="s">
        <v>988</v>
      </c>
      <c r="G113" s="79" t="s">
        <v>781</v>
      </c>
      <c r="H113" s="342">
        <f t="shared" ref="H113:J113" si="35">H112</f>
        <v>0.75</v>
      </c>
      <c r="I113" s="303">
        <f>(1-H113)*CHOOSE(Profile!$E$74+1,$R$7,$R$8,$R$9,$R$10)+H113</f>
        <v>0.85</v>
      </c>
      <c r="J113" s="330">
        <f t="shared" si="35"/>
        <v>5</v>
      </c>
      <c r="K113" s="272">
        <v>5</v>
      </c>
      <c r="L113" s="41">
        <f>I113-H113</f>
        <v>9.9999999999999978E-2</v>
      </c>
      <c r="M113" s="289">
        <f>L113/(1-H113)</f>
        <v>0.39999999999999991</v>
      </c>
      <c r="N113" s="137"/>
    </row>
    <row r="114" spans="1:14" s="305" customFormat="1" ht="15" outlineLevel="1" thickTop="1" thickBot="1">
      <c r="A114" s="389" t="str">
        <f ca="1">IFERROR(MATCH(ROW(),OFFSET(ImpCalc!$E$1,$A$6-1,0,1,20),0),"")</f>
        <v/>
      </c>
      <c r="B114" s="40" t="str">
        <f t="shared" si="25"/>
        <v/>
      </c>
      <c r="C114" s="330"/>
      <c r="F114" s="307" t="str">
        <f>E111</f>
        <v>Data Integration/ETL</v>
      </c>
      <c r="G114" s="79" t="s">
        <v>823</v>
      </c>
      <c r="H114" s="57">
        <f>SUMPRODUCT($J112:$J113,H112:H113)/SUM($J112:$J113)</f>
        <v>0.75</v>
      </c>
      <c r="I114" s="57">
        <f>SUMPRODUCT($J112:$J113,I112:I113)/SUM($J112:$J113)</f>
        <v>0.85</v>
      </c>
      <c r="J114" s="331">
        <f>AVERAGE(J112:J113)</f>
        <v>5</v>
      </c>
      <c r="K114" s="331">
        <f>AVERAGE(K112:K113)</f>
        <v>5</v>
      </c>
      <c r="L114" s="57">
        <f>I114-H114</f>
        <v>9.9999999999999978E-2</v>
      </c>
      <c r="M114" s="57">
        <f>L114/(1-H114)</f>
        <v>0.39999999999999991</v>
      </c>
      <c r="N114" s="137"/>
    </row>
    <row r="115" spans="1:14" s="305" customFormat="1" ht="15" outlineLevel="1" thickTop="1" thickBot="1">
      <c r="A115" s="389" t="str">
        <f ca="1">IFERROR(MATCH(ROW(),OFFSET(ImpCalc!$E$1,$A$6-1,0,1,20),0),"")</f>
        <v/>
      </c>
      <c r="B115" s="40" t="str">
        <f t="shared" si="25"/>
        <v/>
      </c>
      <c r="C115" s="330"/>
      <c r="F115" s="47" t="str">
        <f>F114</f>
        <v>Data Integration/ETL</v>
      </c>
      <c r="G115" s="79" t="s">
        <v>824</v>
      </c>
      <c r="H115" s="57">
        <f>SUMPRODUCT($K112:$K113,H112:H113)/SUM($K112:$K113)</f>
        <v>0.75</v>
      </c>
      <c r="I115" s="57">
        <f>SUMPRODUCT($K112:$K113,I112:I113)/SUM($K112:$K113)</f>
        <v>0.85</v>
      </c>
      <c r="J115" s="331">
        <f>J114</f>
        <v>5</v>
      </c>
      <c r="K115" s="331">
        <f>K114</f>
        <v>5</v>
      </c>
      <c r="L115" s="57">
        <f>I115-H115</f>
        <v>9.9999999999999978E-2</v>
      </c>
      <c r="M115" s="57">
        <f>L115/(1-H115)</f>
        <v>0.39999999999999991</v>
      </c>
      <c r="N115" s="137"/>
    </row>
    <row r="116" spans="1:14" s="266" customFormat="1" ht="16.8" outlineLevel="1" thickTop="1" thickBot="1">
      <c r="A116" s="389" t="str">
        <f ca="1">IFERROR(MATCH(ROW(),OFFSET(ImpCalc!$E$1,$A$6-1,0,1,20),0),"")</f>
        <v/>
      </c>
      <c r="B116" s="40" t="str">
        <f t="shared" si="25"/>
        <v/>
      </c>
      <c r="C116" s="330"/>
      <c r="D116" s="29"/>
      <c r="E116" s="327" t="s">
        <v>929</v>
      </c>
      <c r="F116" s="326"/>
      <c r="G116" s="329"/>
    </row>
    <row r="117" spans="1:14" ht="31.8" outlineLevel="1" thickTop="1" thickBot="1">
      <c r="A117" s="389" t="str">
        <f ca="1">IFERROR(MATCH(ROW(),OFFSET(ImpCalc!$E$1,$A$6-1,0,1,20),0),"")</f>
        <v/>
      </c>
      <c r="B117" s="40" t="str">
        <f t="shared" si="25"/>
        <v/>
      </c>
      <c r="C117" s="330"/>
      <c r="D117" s="29"/>
      <c r="E117" s="29"/>
      <c r="F117" s="288" t="s">
        <v>783</v>
      </c>
      <c r="G117" s="79" t="s">
        <v>813</v>
      </c>
      <c r="H117" s="342">
        <f>Profile!D75</f>
        <v>0.8</v>
      </c>
      <c r="I117" s="303">
        <f>(1-H117)*CHOOSE(Profile!$E$75+1,$R$7,$R$8,$R$9,$R$10)+H117</f>
        <v>0.83000000000000007</v>
      </c>
      <c r="J117" s="330">
        <f>Profile!F75</f>
        <v>5</v>
      </c>
      <c r="K117" s="272">
        <v>5</v>
      </c>
      <c r="L117" s="41">
        <f>I117-H117</f>
        <v>3.0000000000000027E-2</v>
      </c>
      <c r="M117" s="289">
        <f>L117/(1-H117)</f>
        <v>0.15000000000000016</v>
      </c>
      <c r="N117" s="137"/>
    </row>
    <row r="118" spans="1:14" ht="31.8" outlineLevel="1" thickTop="1" thickBot="1">
      <c r="A118" s="389" t="str">
        <f ca="1">IFERROR(MATCH(ROW(),OFFSET(ImpCalc!$E$1,$A$6-1,0,1,20),0),"")</f>
        <v/>
      </c>
      <c r="B118" s="40" t="str">
        <f t="shared" si="25"/>
        <v/>
      </c>
      <c r="C118" s="330"/>
      <c r="D118" s="29"/>
      <c r="E118" s="29"/>
      <c r="F118" s="288" t="s">
        <v>784</v>
      </c>
      <c r="G118" s="79" t="s">
        <v>782</v>
      </c>
      <c r="H118" s="342">
        <f t="shared" ref="H118:J119" si="36">H117</f>
        <v>0.8</v>
      </c>
      <c r="I118" s="303">
        <f>(1-H118)*CHOOSE(Profile!$E$75+1,$R$7,$R$8,$R$9,$R$10)+H118</f>
        <v>0.83000000000000007</v>
      </c>
      <c r="J118" s="330">
        <f t="shared" si="36"/>
        <v>5</v>
      </c>
      <c r="K118" s="272">
        <v>5</v>
      </c>
      <c r="L118" s="41">
        <f>I118-H118</f>
        <v>3.0000000000000027E-2</v>
      </c>
      <c r="M118" s="289">
        <f>L118/(1-H118)</f>
        <v>0.15000000000000016</v>
      </c>
      <c r="N118" s="137"/>
    </row>
    <row r="119" spans="1:14" ht="27.6" outlineLevel="1" thickTop="1" thickBot="1">
      <c r="A119" s="389" t="str">
        <f ca="1">IFERROR(MATCH(ROW(),OFFSET(ImpCalc!$E$1,$A$6-1,0,1,20),0),"")</f>
        <v/>
      </c>
      <c r="B119" s="40" t="str">
        <f t="shared" si="25"/>
        <v/>
      </c>
      <c r="C119" s="330"/>
      <c r="D119" s="305"/>
      <c r="E119" s="305"/>
      <c r="F119" s="221" t="s">
        <v>1017</v>
      </c>
      <c r="G119" s="79" t="s">
        <v>551</v>
      </c>
      <c r="H119" s="342">
        <f t="shared" si="36"/>
        <v>0.8</v>
      </c>
      <c r="I119" s="303">
        <f>(1-H119)*CHOOSE(Profile!$E$75+1,$R$7,$R$8,$R$9,$R$10)+H119</f>
        <v>0.83000000000000007</v>
      </c>
      <c r="J119" s="330">
        <f t="shared" si="36"/>
        <v>5</v>
      </c>
      <c r="K119" s="272">
        <v>5</v>
      </c>
      <c r="L119" s="41">
        <f>I119-H119</f>
        <v>3.0000000000000027E-2</v>
      </c>
      <c r="M119" s="289">
        <f>L119/(1-H119)</f>
        <v>0.15000000000000016</v>
      </c>
      <c r="N119" s="137"/>
    </row>
    <row r="120" spans="1:14" s="305" customFormat="1" ht="27.6" outlineLevel="1" thickTop="1" thickBot="1">
      <c r="A120" s="389" t="str">
        <f ca="1">IFERROR(MATCH(ROW(),OFFSET(ImpCalc!$E$1,$A$6-1,0,1,20),0),"")</f>
        <v/>
      </c>
      <c r="B120" s="40" t="str">
        <f t="shared" si="25"/>
        <v/>
      </c>
      <c r="C120" s="330"/>
      <c r="F120" s="307" t="str">
        <f>E116</f>
        <v>Data Warehouse / Data Marts</v>
      </c>
      <c r="G120" s="79" t="s">
        <v>823</v>
      </c>
      <c r="H120" s="57">
        <f>SUMPRODUCT($J117:$J119,H117:H119)/SUM($J117:$J119)</f>
        <v>0.8</v>
      </c>
      <c r="I120" s="57">
        <f>SUMPRODUCT($J117:$J119,I117:I119)/SUM($J117:$J119)</f>
        <v>0.83000000000000007</v>
      </c>
      <c r="J120" s="331">
        <f>AVERAGE(J117:J119)</f>
        <v>5</v>
      </c>
      <c r="K120" s="331">
        <f>AVERAGE(K117:K119)</f>
        <v>5</v>
      </c>
      <c r="L120" s="57">
        <f>I120-H120</f>
        <v>3.0000000000000027E-2</v>
      </c>
      <c r="M120" s="57">
        <f>L120/(1-H120)</f>
        <v>0.15000000000000016</v>
      </c>
      <c r="N120" s="137"/>
    </row>
    <row r="121" spans="1:14" s="305" customFormat="1" ht="15" outlineLevel="1" thickTop="1" thickBot="1">
      <c r="A121" s="389" t="str">
        <f ca="1">IFERROR(MATCH(ROW(),OFFSET(ImpCalc!$E$1,$A$6-1,0,1,20),0),"")</f>
        <v/>
      </c>
      <c r="B121" s="40" t="str">
        <f t="shared" si="25"/>
        <v/>
      </c>
      <c r="C121" s="330"/>
      <c r="F121" s="47" t="str">
        <f>F120</f>
        <v>Data Warehouse / Data Marts</v>
      </c>
      <c r="G121" s="79" t="s">
        <v>824</v>
      </c>
      <c r="H121" s="57">
        <f>SUMPRODUCT($K117:$K119,H117:H119)/SUM($K117:$K119)</f>
        <v>0.8</v>
      </c>
      <c r="I121" s="57">
        <f>SUMPRODUCT($K117:$K119,I117:I119)/SUM($K117:$K119)</f>
        <v>0.83000000000000007</v>
      </c>
      <c r="J121" s="331">
        <f>J120</f>
        <v>5</v>
      </c>
      <c r="K121" s="331">
        <f>K120</f>
        <v>5</v>
      </c>
      <c r="L121" s="57">
        <f>I121-H121</f>
        <v>3.0000000000000027E-2</v>
      </c>
      <c r="M121" s="57">
        <f>L121/(1-H121)</f>
        <v>0.15000000000000016</v>
      </c>
      <c r="N121" s="137"/>
    </row>
    <row r="122" spans="1:14" ht="16.2" outlineLevel="1" thickTop="1" thickBot="1">
      <c r="A122" s="389" t="str">
        <f ca="1">IFERROR(MATCH(ROW(),OFFSET(ImpCalc!$E$1,$A$6-1,0,1,20),0),"")</f>
        <v/>
      </c>
      <c r="B122" s="40" t="str">
        <f t="shared" si="25"/>
        <v/>
      </c>
      <c r="C122" s="330"/>
      <c r="D122" s="29"/>
      <c r="E122" s="327" t="s">
        <v>26</v>
      </c>
      <c r="F122" s="29"/>
      <c r="G122" s="35"/>
    </row>
    <row r="123" spans="1:14" ht="52.2" outlineLevel="1" thickTop="1" thickBot="1">
      <c r="A123" s="389" t="str">
        <f ca="1">IFERROR(MATCH(ROW(),OFFSET(ImpCalc!$E$1,$A$6-1,0,1,20),0),"")</f>
        <v/>
      </c>
      <c r="B123" s="40" t="str">
        <f t="shared" si="25"/>
        <v/>
      </c>
      <c r="C123" s="330"/>
      <c r="D123" s="29"/>
      <c r="E123" s="29"/>
      <c r="F123" s="288" t="s">
        <v>811</v>
      </c>
      <c r="G123" s="79" t="s">
        <v>810</v>
      </c>
      <c r="H123" s="342">
        <f>Profile!D76</f>
        <v>0.9</v>
      </c>
      <c r="I123" s="303">
        <f>(1-H123)*CHOOSE(Profile!$E$76+1,$R$7,$R$8,$R$9,$R$10)+H123</f>
        <v>0.91500000000000004</v>
      </c>
      <c r="J123" s="330">
        <f>Profile!F76</f>
        <v>5</v>
      </c>
      <c r="K123" s="272">
        <v>5</v>
      </c>
      <c r="L123" s="41">
        <f>I123-H123</f>
        <v>1.5000000000000013E-2</v>
      </c>
      <c r="M123" s="289">
        <f>L123/(1-H123)</f>
        <v>0.15000000000000016</v>
      </c>
      <c r="N123" s="137"/>
    </row>
    <row r="124" spans="1:14" ht="31.8" outlineLevel="1" thickTop="1" thickBot="1">
      <c r="A124" s="389" t="str">
        <f ca="1">IFERROR(MATCH(ROW(),OFFSET(ImpCalc!$E$1,$A$6-1,0,1,20),0),"")</f>
        <v/>
      </c>
      <c r="B124" s="40" t="str">
        <f t="shared" si="25"/>
        <v/>
      </c>
      <c r="C124" s="330"/>
      <c r="D124" s="29"/>
      <c r="E124" s="29"/>
      <c r="F124" s="288" t="s">
        <v>812</v>
      </c>
      <c r="G124" s="79" t="s">
        <v>778</v>
      </c>
      <c r="H124" s="342">
        <f t="shared" ref="H124:J125" si="37">H123</f>
        <v>0.9</v>
      </c>
      <c r="I124" s="303">
        <f>(1-H124)*CHOOSE(Profile!$E$76+1,$R$7,$R$8,$R$9,$R$10)+H124</f>
        <v>0.91500000000000004</v>
      </c>
      <c r="J124" s="330">
        <f t="shared" si="37"/>
        <v>5</v>
      </c>
      <c r="K124" s="272">
        <v>5</v>
      </c>
      <c r="L124" s="41">
        <f>I124-H124</f>
        <v>1.5000000000000013E-2</v>
      </c>
      <c r="M124" s="289">
        <f>L124/(1-H124)</f>
        <v>0.15000000000000016</v>
      </c>
      <c r="N124" s="137"/>
    </row>
    <row r="125" spans="1:14" ht="42" outlineLevel="1" thickTop="1" thickBot="1">
      <c r="A125" s="389" t="str">
        <f ca="1">IFERROR(MATCH(ROW(),OFFSET(ImpCalc!$E$1,$A$6-1,0,1,20),0),"")</f>
        <v/>
      </c>
      <c r="B125" s="40" t="str">
        <f t="shared" si="25"/>
        <v/>
      </c>
      <c r="C125" s="330"/>
      <c r="D125" s="29"/>
      <c r="E125" s="29"/>
      <c r="F125" s="288" t="s">
        <v>809</v>
      </c>
      <c r="G125" s="79" t="s">
        <v>808</v>
      </c>
      <c r="H125" s="342">
        <f t="shared" si="37"/>
        <v>0.9</v>
      </c>
      <c r="I125" s="303">
        <f>(1-H125)*CHOOSE(Profile!$E$76+1,$R$7,$R$8,$R$9,$R$10)+H125</f>
        <v>0.91500000000000004</v>
      </c>
      <c r="J125" s="330">
        <f t="shared" si="37"/>
        <v>5</v>
      </c>
      <c r="K125" s="272">
        <v>5</v>
      </c>
      <c r="L125" s="41">
        <f>I125-H125</f>
        <v>1.5000000000000013E-2</v>
      </c>
      <c r="M125" s="289">
        <f>L125/(1-H125)</f>
        <v>0.15000000000000016</v>
      </c>
      <c r="N125" s="137"/>
    </row>
    <row r="126" spans="1:14" s="305" customFormat="1" ht="15" outlineLevel="1" thickTop="1" thickBot="1">
      <c r="A126" s="389" t="str">
        <f ca="1">IFERROR(MATCH(ROW(),OFFSET(ImpCalc!$E$1,$A$6-1,0,1,20),0),"")</f>
        <v/>
      </c>
      <c r="B126" s="40" t="str">
        <f t="shared" si="25"/>
        <v/>
      </c>
      <c r="C126" s="330"/>
      <c r="F126" s="307" t="str">
        <f>E122</f>
        <v>Development</v>
      </c>
      <c r="G126" s="79" t="s">
        <v>823</v>
      </c>
      <c r="H126" s="57">
        <f>SUMPRODUCT($J123:$J125,H123:H125)/SUM($J123:$J125)</f>
        <v>0.9</v>
      </c>
      <c r="I126" s="57">
        <f>SUMPRODUCT($J123:$J125,I123:I125)/SUM($J123:$J125)</f>
        <v>0.91500000000000015</v>
      </c>
      <c r="J126" s="331">
        <f>AVERAGE(J123:J125)</f>
        <v>5</v>
      </c>
      <c r="K126" s="331">
        <f>AVERAGE(K123:K125)</f>
        <v>5</v>
      </c>
      <c r="L126" s="57">
        <f>I126-H126</f>
        <v>1.5000000000000124E-2</v>
      </c>
      <c r="M126" s="57">
        <f>L126/(1-H126)</f>
        <v>0.15000000000000127</v>
      </c>
      <c r="N126" s="137"/>
    </row>
    <row r="127" spans="1:14" s="305" customFormat="1" ht="15" outlineLevel="1" thickTop="1" thickBot="1">
      <c r="A127" s="389" t="str">
        <f ca="1">IFERROR(MATCH(ROW(),OFFSET(ImpCalc!$E$1,$A$6-1,0,1,20),0),"")</f>
        <v/>
      </c>
      <c r="B127" s="40" t="str">
        <f t="shared" si="25"/>
        <v/>
      </c>
      <c r="C127" s="330"/>
      <c r="F127" s="47" t="str">
        <f>F126</f>
        <v>Development</v>
      </c>
      <c r="G127" s="79" t="s">
        <v>824</v>
      </c>
      <c r="H127" s="57">
        <f>SUMPRODUCT($K123:$K125,H123:H125)/SUM($K123:$K125)</f>
        <v>0.9</v>
      </c>
      <c r="I127" s="57">
        <f>SUMPRODUCT($K123:$K125,I123:I125)/SUM($K123:$K125)</f>
        <v>0.91500000000000015</v>
      </c>
      <c r="J127" s="331">
        <f>J126</f>
        <v>5</v>
      </c>
      <c r="K127" s="331">
        <f>K126</f>
        <v>5</v>
      </c>
      <c r="L127" s="57">
        <f>I127-H127</f>
        <v>1.5000000000000124E-2</v>
      </c>
      <c r="M127" s="57">
        <f>L127/(1-H127)</f>
        <v>0.15000000000000127</v>
      </c>
      <c r="N127" s="137"/>
    </row>
    <row r="128" spans="1:14" s="305" customFormat="1" ht="15" outlineLevel="1" thickTop="1" thickBot="1">
      <c r="A128" s="389" t="str">
        <f ca="1">IFERROR(MATCH(ROW(),OFFSET(ImpCalc!$E$1,$A$6-1,0,1,20),0),"")</f>
        <v/>
      </c>
      <c r="B128" s="40" t="str">
        <f t="shared" si="25"/>
        <v/>
      </c>
      <c r="C128" s="330"/>
    </row>
    <row r="129" spans="1:14" ht="22.2" thickTop="1" thickBot="1">
      <c r="A129" s="389" t="str">
        <f ca="1">IFERROR(MATCH(ROW(),OFFSET(ImpCalc!$E$1,$A$6-1,0,1,20),0),"")</f>
        <v/>
      </c>
      <c r="B129" s="40" t="str">
        <f t="shared" si="25"/>
        <v/>
      </c>
      <c r="C129" s="330"/>
      <c r="D129" s="88" t="s">
        <v>737</v>
      </c>
      <c r="E129" s="29"/>
      <c r="F129" s="29"/>
      <c r="G129" s="219"/>
    </row>
    <row r="130" spans="1:14" s="305" customFormat="1" ht="15" outlineLevel="1" thickTop="1" thickBot="1">
      <c r="A130" s="389" t="str">
        <f ca="1">IFERROR(MATCH(ROW(),OFFSET(ImpCalc!$E$1,$A$6-1,0,1,20),0),"")</f>
        <v/>
      </c>
      <c r="B130" s="40" t="str">
        <f t="shared" si="25"/>
        <v/>
      </c>
      <c r="C130" s="330"/>
      <c r="F130" s="332"/>
      <c r="G130" s="332"/>
      <c r="H130" s="332"/>
      <c r="I130" s="332"/>
      <c r="J130" s="332"/>
      <c r="K130" s="332"/>
      <c r="L130" s="304"/>
    </row>
    <row r="131" spans="1:14" s="305" customFormat="1" ht="80.400000000000006" outlineLevel="1" thickTop="1" thickBot="1">
      <c r="A131" s="389" t="str">
        <f ca="1">IFERROR(MATCH(ROW(),OFFSET(ImpCalc!$E$1,$A$6-1,0,1,20),0),"")</f>
        <v/>
      </c>
      <c r="B131" s="40" t="str">
        <f t="shared" si="25"/>
        <v/>
      </c>
      <c r="C131" s="330"/>
      <c r="F131" s="301" t="s">
        <v>652</v>
      </c>
      <c r="G131" s="301" t="s">
        <v>77</v>
      </c>
      <c r="H131" s="301" t="s">
        <v>650</v>
      </c>
      <c r="I131" s="301" t="s">
        <v>651</v>
      </c>
      <c r="J131" s="301" t="s">
        <v>691</v>
      </c>
      <c r="K131" s="301" t="s">
        <v>715</v>
      </c>
      <c r="L131" s="301" t="str">
        <f>L98</f>
        <v>Improve-ment</v>
      </c>
      <c r="M131" s="341" t="str">
        <f>M98</f>
        <v>% of Remaining Gap</v>
      </c>
      <c r="N131" s="341" t="s">
        <v>6</v>
      </c>
    </row>
    <row r="132" spans="1:14" ht="16.8" outlineLevel="1" thickTop="1" thickBot="1">
      <c r="A132" s="389" t="str">
        <f ca="1">IFERROR(MATCH(ROW(),OFFSET(ImpCalc!$E$1,$A$6-1,0,1,20),0),"")</f>
        <v/>
      </c>
      <c r="B132" s="40" t="str">
        <f t="shared" si="25"/>
        <v/>
      </c>
      <c r="C132" s="330"/>
      <c r="D132" s="29"/>
      <c r="E132" s="327" t="s">
        <v>550</v>
      </c>
      <c r="F132" s="326"/>
      <c r="G132" s="328"/>
    </row>
    <row r="133" spans="1:14" ht="21.6" outlineLevel="1" thickTop="1" thickBot="1">
      <c r="A133" s="389" t="str">
        <f ca="1">IFERROR(MATCH(ROW(),OFFSET(ImpCalc!$E$1,$A$6-1,0,1,20),0),"")</f>
        <v/>
      </c>
      <c r="B133" s="40" t="str">
        <f t="shared" si="25"/>
        <v/>
      </c>
      <c r="C133" s="330"/>
      <c r="D133" s="305"/>
      <c r="E133" s="305"/>
      <c r="F133" s="221" t="s">
        <v>556</v>
      </c>
      <c r="G133" s="79" t="s">
        <v>818</v>
      </c>
      <c r="H133" s="342">
        <f>Profile!D78</f>
        <v>0.4</v>
      </c>
      <c r="I133" s="303">
        <f>(1-H133)*CHOOSE(Profile!$E$78+1,$R$7,$R$8,$R$9,$R$10)+H133</f>
        <v>0.88</v>
      </c>
      <c r="J133" s="330">
        <f>Profile!F78</f>
        <v>5</v>
      </c>
      <c r="K133" s="272">
        <v>5</v>
      </c>
      <c r="L133" s="41">
        <f t="shared" ref="L133:L139" si="38">I133-H133</f>
        <v>0.48</v>
      </c>
      <c r="M133" s="289">
        <f t="shared" ref="M133:M139" si="39">L133/(1-H133)</f>
        <v>0.8</v>
      </c>
      <c r="N133" s="137"/>
    </row>
    <row r="134" spans="1:14" ht="31.8" outlineLevel="1" thickTop="1" thickBot="1">
      <c r="A134" s="389" t="str">
        <f ca="1">IFERROR(MATCH(ROW(),OFFSET(ImpCalc!$E$1,$A$6-1,0,1,20),0),"")</f>
        <v/>
      </c>
      <c r="B134" s="40" t="str">
        <f t="shared" si="25"/>
        <v/>
      </c>
      <c r="C134" s="330"/>
      <c r="D134" s="305"/>
      <c r="E134" s="305"/>
      <c r="F134" s="221" t="s">
        <v>557</v>
      </c>
      <c r="G134" s="79" t="s">
        <v>794</v>
      </c>
      <c r="H134" s="342">
        <f t="shared" ref="H134:J137" si="40">H133</f>
        <v>0.4</v>
      </c>
      <c r="I134" s="303">
        <f>(1-H134)*CHOOSE(Profile!$E$78+1,$R$7,$R$8,$R$9,$R$10)+H134</f>
        <v>0.88</v>
      </c>
      <c r="J134" s="330">
        <f t="shared" si="40"/>
        <v>5</v>
      </c>
      <c r="K134" s="272">
        <v>5</v>
      </c>
      <c r="L134" s="41">
        <f t="shared" si="38"/>
        <v>0.48</v>
      </c>
      <c r="M134" s="289">
        <f t="shared" si="39"/>
        <v>0.8</v>
      </c>
      <c r="N134" s="137"/>
    </row>
    <row r="135" spans="1:14" ht="27.6" outlineLevel="1" thickTop="1" thickBot="1">
      <c r="A135" s="389" t="str">
        <f ca="1">IFERROR(MATCH(ROW(),OFFSET(ImpCalc!$E$1,$A$6-1,0,1,20),0),"")</f>
        <v/>
      </c>
      <c r="B135" s="40" t="str">
        <f t="shared" si="25"/>
        <v/>
      </c>
      <c r="C135" s="330"/>
      <c r="D135" s="305"/>
      <c r="E135" s="305"/>
      <c r="F135" s="221" t="s">
        <v>802</v>
      </c>
      <c r="G135" s="79" t="s">
        <v>792</v>
      </c>
      <c r="H135" s="342">
        <f t="shared" si="40"/>
        <v>0.4</v>
      </c>
      <c r="I135" s="303">
        <f>(1-H135)*CHOOSE(Profile!$E$78+1,$R$7,$R$8,$R$9,$R$10)+H135</f>
        <v>0.88</v>
      </c>
      <c r="J135" s="330">
        <f t="shared" si="40"/>
        <v>5</v>
      </c>
      <c r="K135" s="272">
        <v>5</v>
      </c>
      <c r="L135" s="41">
        <f t="shared" si="38"/>
        <v>0.48</v>
      </c>
      <c r="M135" s="289">
        <f t="shared" si="39"/>
        <v>0.8</v>
      </c>
      <c r="N135" s="137"/>
    </row>
    <row r="136" spans="1:14" ht="27.6" outlineLevel="1" thickTop="1" thickBot="1">
      <c r="A136" s="389" t="str">
        <f ca="1">IFERROR(MATCH(ROW(),OFFSET(ImpCalc!$E$1,$A$6-1,0,1,20),0),"")</f>
        <v/>
      </c>
      <c r="B136" s="40" t="str">
        <f t="shared" si="25"/>
        <v/>
      </c>
      <c r="C136" s="330"/>
      <c r="D136" s="29"/>
      <c r="E136" s="29"/>
      <c r="F136" s="288" t="s">
        <v>793</v>
      </c>
      <c r="G136" s="79" t="s">
        <v>803</v>
      </c>
      <c r="H136" s="342">
        <f t="shared" si="40"/>
        <v>0.4</v>
      </c>
      <c r="I136" s="303">
        <f>(1-H136)*CHOOSE(Profile!$E$78+1,$R$7,$R$8,$R$9,$R$10)+H136</f>
        <v>0.88</v>
      </c>
      <c r="J136" s="330">
        <f t="shared" si="40"/>
        <v>5</v>
      </c>
      <c r="K136" s="272">
        <v>5</v>
      </c>
      <c r="L136" s="41">
        <f t="shared" si="38"/>
        <v>0.48</v>
      </c>
      <c r="M136" s="289">
        <f t="shared" si="39"/>
        <v>0.8</v>
      </c>
      <c r="N136" s="137"/>
    </row>
    <row r="137" spans="1:14" ht="15" outlineLevel="1" thickTop="1" thickBot="1">
      <c r="A137" s="389" t="str">
        <f ca="1">IFERROR(MATCH(ROW(),OFFSET(ImpCalc!$E$1,$A$6-1,0,1,20),0),"")</f>
        <v/>
      </c>
      <c r="B137" s="40" t="str">
        <f t="shared" si="25"/>
        <v/>
      </c>
      <c r="C137" s="330"/>
      <c r="D137" s="29"/>
      <c r="E137" s="29"/>
      <c r="F137" s="288" t="s">
        <v>804</v>
      </c>
      <c r="G137" s="79" t="s">
        <v>819</v>
      </c>
      <c r="H137" s="342">
        <f t="shared" si="40"/>
        <v>0.4</v>
      </c>
      <c r="I137" s="303">
        <f>(1-H137)*CHOOSE(Profile!$E$78+1,$R$7,$R$8,$R$9,$R$10)+H137</f>
        <v>0.88</v>
      </c>
      <c r="J137" s="330">
        <f t="shared" si="40"/>
        <v>5</v>
      </c>
      <c r="K137" s="272">
        <v>5</v>
      </c>
      <c r="L137" s="41">
        <f t="shared" si="38"/>
        <v>0.48</v>
      </c>
      <c r="M137" s="289">
        <f t="shared" si="39"/>
        <v>0.8</v>
      </c>
      <c r="N137" s="137"/>
    </row>
    <row r="138" spans="1:14" s="305" customFormat="1" ht="15" outlineLevel="1" thickTop="1" thickBot="1">
      <c r="A138" s="389" t="str">
        <f ca="1">IFERROR(MATCH(ROW(),OFFSET(ImpCalc!$E$1,$A$6-1,0,1,20),0),"")</f>
        <v/>
      </c>
      <c r="B138" s="40" t="str">
        <f t="shared" ref="B138:B201" si="41">IF(C138="","",ROW(C138))</f>
        <v/>
      </c>
      <c r="C138" s="330"/>
      <c r="F138" s="307" t="str">
        <f>E132</f>
        <v>Reporting</v>
      </c>
      <c r="G138" s="79" t="s">
        <v>823</v>
      </c>
      <c r="H138" s="57">
        <f>SUMPRODUCT($J133:$J137,H133:H137)/SUM($J133:$J137)</f>
        <v>0.4</v>
      </c>
      <c r="I138" s="57">
        <f>SUMPRODUCT($J133:$J137,I133:I137)/SUM($J133:$J137)</f>
        <v>0.88</v>
      </c>
      <c r="J138" s="331">
        <f>AVERAGE(J133:J137)</f>
        <v>5</v>
      </c>
      <c r="K138" s="331">
        <f>AVERAGE(K133:K137)</f>
        <v>5</v>
      </c>
      <c r="L138" s="57">
        <f t="shared" si="38"/>
        <v>0.48</v>
      </c>
      <c r="M138" s="57">
        <f t="shared" si="39"/>
        <v>0.8</v>
      </c>
      <c r="N138" s="137"/>
    </row>
    <row r="139" spans="1:14" s="305" customFormat="1" ht="15" outlineLevel="1" thickTop="1" thickBot="1">
      <c r="A139" s="389" t="str">
        <f ca="1">IFERROR(MATCH(ROW(),OFFSET(ImpCalc!$E$1,$A$6-1,0,1,20),0),"")</f>
        <v/>
      </c>
      <c r="B139" s="40" t="str">
        <f t="shared" si="41"/>
        <v/>
      </c>
      <c r="C139" s="330"/>
      <c r="F139" s="47" t="str">
        <f>F138</f>
        <v>Reporting</v>
      </c>
      <c r="G139" s="79" t="s">
        <v>824</v>
      </c>
      <c r="H139" s="57">
        <f>SUMPRODUCT($K133:$K137,H133:H137)/SUM($K133:$K137)</f>
        <v>0.4</v>
      </c>
      <c r="I139" s="57">
        <f>SUMPRODUCT($K133:$K137,I133:I137)/SUM($K133:$K137)</f>
        <v>0.88</v>
      </c>
      <c r="J139" s="331">
        <f>J138</f>
        <v>5</v>
      </c>
      <c r="K139" s="331">
        <f>K138</f>
        <v>5</v>
      </c>
      <c r="L139" s="57">
        <f t="shared" si="38"/>
        <v>0.48</v>
      </c>
      <c r="M139" s="57">
        <f t="shared" si="39"/>
        <v>0.8</v>
      </c>
      <c r="N139" s="137"/>
    </row>
    <row r="140" spans="1:14" ht="16.8" outlineLevel="1" thickTop="1" thickBot="1">
      <c r="A140" s="389" t="str">
        <f ca="1">IFERROR(MATCH(ROW(),OFFSET(ImpCalc!$E$1,$A$6-1,0,1,20),0),"")</f>
        <v/>
      </c>
      <c r="B140" s="40" t="str">
        <f t="shared" si="41"/>
        <v/>
      </c>
      <c r="C140" s="330"/>
      <c r="D140" s="29"/>
      <c r="E140" s="327" t="s">
        <v>714</v>
      </c>
      <c r="F140" s="326"/>
      <c r="G140" s="329"/>
    </row>
    <row r="141" spans="1:14" ht="62.4" outlineLevel="1" thickTop="1" thickBot="1">
      <c r="A141" s="389" t="str">
        <f ca="1">IFERROR(MATCH(ROW(),OFFSET(ImpCalc!$E$1,$A$6-1,0,1,20),0),"")</f>
        <v/>
      </c>
      <c r="B141" s="40" t="str">
        <f t="shared" si="41"/>
        <v/>
      </c>
      <c r="C141" s="330"/>
      <c r="D141" s="305"/>
      <c r="E141" s="305"/>
      <c r="F141" s="221" t="s">
        <v>799</v>
      </c>
      <c r="G141" s="79" t="s">
        <v>801</v>
      </c>
      <c r="H141" s="342">
        <f>Profile!D79</f>
        <v>0.25</v>
      </c>
      <c r="I141" s="303">
        <f>(1-H141)*CHOOSE(Profile!$E$79+1,$R$7,$R$8,$R$9,$R$10)+H141</f>
        <v>0.85000000000000009</v>
      </c>
      <c r="J141" s="330">
        <f>Profile!F79</f>
        <v>5</v>
      </c>
      <c r="K141" s="272">
        <v>5</v>
      </c>
      <c r="L141" s="41">
        <f t="shared" ref="L141:L146" si="42">I141-H141</f>
        <v>0.60000000000000009</v>
      </c>
      <c r="M141" s="289">
        <f t="shared" ref="M141:M146" si="43">L141/(1-H141)</f>
        <v>0.80000000000000016</v>
      </c>
      <c r="N141" s="137"/>
    </row>
    <row r="142" spans="1:14" ht="42" outlineLevel="1" thickTop="1" thickBot="1">
      <c r="A142" s="389" t="str">
        <f ca="1">IFERROR(MATCH(ROW(),OFFSET(ImpCalc!$E$1,$A$6-1,0,1,20),0),"")</f>
        <v/>
      </c>
      <c r="B142" s="40" t="str">
        <f t="shared" si="41"/>
        <v/>
      </c>
      <c r="C142" s="330"/>
      <c r="D142" s="305"/>
      <c r="E142" s="305"/>
      <c r="F142" s="221" t="s">
        <v>800</v>
      </c>
      <c r="G142" s="79" t="s">
        <v>798</v>
      </c>
      <c r="H142" s="342">
        <f t="shared" ref="H142:J144" si="44">H141</f>
        <v>0.25</v>
      </c>
      <c r="I142" s="303">
        <f>(1-H142)*CHOOSE(Profile!$E$79+1,$R$7,$R$8,$R$9,$R$10)+H142</f>
        <v>0.85000000000000009</v>
      </c>
      <c r="J142" s="330">
        <f t="shared" si="44"/>
        <v>5</v>
      </c>
      <c r="K142" s="272">
        <v>5</v>
      </c>
      <c r="L142" s="41">
        <f t="shared" si="42"/>
        <v>0.60000000000000009</v>
      </c>
      <c r="M142" s="289">
        <f t="shared" si="43"/>
        <v>0.80000000000000016</v>
      </c>
      <c r="N142" s="137"/>
    </row>
    <row r="143" spans="1:14" ht="21.6" outlineLevel="1" thickTop="1" thickBot="1">
      <c r="A143" s="389" t="str">
        <f ca="1">IFERROR(MATCH(ROW(),OFFSET(ImpCalc!$E$1,$A$6-1,0,1,20),0),"")</f>
        <v/>
      </c>
      <c r="B143" s="40" t="str">
        <f t="shared" si="41"/>
        <v/>
      </c>
      <c r="C143" s="330"/>
      <c r="D143" s="305"/>
      <c r="E143" s="305"/>
      <c r="F143" s="221" t="s">
        <v>561</v>
      </c>
      <c r="G143" s="79" t="s">
        <v>820</v>
      </c>
      <c r="H143" s="342">
        <f t="shared" si="44"/>
        <v>0.25</v>
      </c>
      <c r="I143" s="303">
        <f>(1-H143)*CHOOSE(Profile!$E$79+1,$R$7,$R$8,$R$9,$R$10)+H143</f>
        <v>0.85000000000000009</v>
      </c>
      <c r="J143" s="330">
        <f t="shared" si="44"/>
        <v>5</v>
      </c>
      <c r="K143" s="272">
        <v>5</v>
      </c>
      <c r="L143" s="41">
        <f t="shared" si="42"/>
        <v>0.60000000000000009</v>
      </c>
      <c r="M143" s="289">
        <f t="shared" si="43"/>
        <v>0.80000000000000016</v>
      </c>
      <c r="N143" s="137"/>
    </row>
    <row r="144" spans="1:14" ht="21.6" outlineLevel="1" thickTop="1" thickBot="1">
      <c r="A144" s="389" t="str">
        <f ca="1">IFERROR(MATCH(ROW(),OFFSET(ImpCalc!$E$1,$A$6-1,0,1,20),0),"")</f>
        <v/>
      </c>
      <c r="B144" s="40" t="str">
        <f t="shared" si="41"/>
        <v/>
      </c>
      <c r="C144" s="330"/>
      <c r="D144" s="305"/>
      <c r="E144" s="305"/>
      <c r="F144" s="221" t="s">
        <v>562</v>
      </c>
      <c r="G144" s="79" t="s">
        <v>563</v>
      </c>
      <c r="H144" s="342">
        <f t="shared" si="44"/>
        <v>0.25</v>
      </c>
      <c r="I144" s="303">
        <f>(1-H144)*CHOOSE(Profile!$E$79+1,$R$7,$R$8,$R$9,$R$10)+H144</f>
        <v>0.85000000000000009</v>
      </c>
      <c r="J144" s="330">
        <f t="shared" si="44"/>
        <v>5</v>
      </c>
      <c r="K144" s="272">
        <v>5</v>
      </c>
      <c r="L144" s="41">
        <f t="shared" si="42"/>
        <v>0.60000000000000009</v>
      </c>
      <c r="M144" s="289">
        <f t="shared" si="43"/>
        <v>0.80000000000000016</v>
      </c>
      <c r="N144" s="137"/>
    </row>
    <row r="145" spans="1:14" s="305" customFormat="1" ht="15" outlineLevel="1" thickTop="1" thickBot="1">
      <c r="A145" s="389" t="str">
        <f ca="1">IFERROR(MATCH(ROW(),OFFSET(ImpCalc!$E$1,$A$6-1,0,1,20),0),"")</f>
        <v/>
      </c>
      <c r="B145" s="40" t="str">
        <f t="shared" si="41"/>
        <v/>
      </c>
      <c r="C145" s="330"/>
      <c r="F145" s="307" t="str">
        <f>E140</f>
        <v>Scorecards / Dashboards</v>
      </c>
      <c r="G145" s="79" t="s">
        <v>823</v>
      </c>
      <c r="H145" s="57">
        <f>SUMPRODUCT($J141:$J144,H141:H144)/SUM($J141:$J144)</f>
        <v>0.25</v>
      </c>
      <c r="I145" s="57">
        <f>SUMPRODUCT($J141:$J144,I141:I144)/SUM($J141:$J144)</f>
        <v>0.85</v>
      </c>
      <c r="J145" s="331">
        <f>AVERAGE(J141:J144)</f>
        <v>5</v>
      </c>
      <c r="K145" s="331">
        <f>AVERAGE(K141:K144)</f>
        <v>5</v>
      </c>
      <c r="L145" s="57">
        <f t="shared" si="42"/>
        <v>0.6</v>
      </c>
      <c r="M145" s="57">
        <f t="shared" si="43"/>
        <v>0.79999999999999993</v>
      </c>
      <c r="N145" s="137"/>
    </row>
    <row r="146" spans="1:14" s="305" customFormat="1" ht="15" outlineLevel="1" thickTop="1" thickBot="1">
      <c r="A146" s="389" t="str">
        <f ca="1">IFERROR(MATCH(ROW(),OFFSET(ImpCalc!$E$1,$A$6-1,0,1,20),0),"")</f>
        <v/>
      </c>
      <c r="B146" s="40" t="str">
        <f t="shared" si="41"/>
        <v/>
      </c>
      <c r="C146" s="330"/>
      <c r="F146" s="47" t="str">
        <f>F145</f>
        <v>Scorecards / Dashboards</v>
      </c>
      <c r="G146" s="79" t="s">
        <v>824</v>
      </c>
      <c r="H146" s="57">
        <f>SUMPRODUCT($K141:$K144,H141:H144)/SUM($K141:$K144)</f>
        <v>0.25</v>
      </c>
      <c r="I146" s="57">
        <f>SUMPRODUCT($K141:$K144,I141:I144)/SUM($K141:$K144)</f>
        <v>0.85</v>
      </c>
      <c r="J146" s="331">
        <f>J145</f>
        <v>5</v>
      </c>
      <c r="K146" s="331">
        <f>K145</f>
        <v>5</v>
      </c>
      <c r="L146" s="57">
        <f t="shared" si="42"/>
        <v>0.6</v>
      </c>
      <c r="M146" s="57">
        <f t="shared" si="43"/>
        <v>0.79999999999999993</v>
      </c>
      <c r="N146" s="137"/>
    </row>
    <row r="147" spans="1:14" ht="16.8" outlineLevel="1" thickTop="1" thickBot="1">
      <c r="A147" s="389" t="str">
        <f ca="1">IFERROR(MATCH(ROW(),OFFSET(ImpCalc!$E$1,$A$6-1,0,1,20),0),"")</f>
        <v/>
      </c>
      <c r="B147" s="40" t="str">
        <f t="shared" si="41"/>
        <v/>
      </c>
      <c r="C147" s="330"/>
      <c r="D147" s="29"/>
      <c r="E147" s="327" t="s">
        <v>930</v>
      </c>
      <c r="F147" s="326"/>
      <c r="G147" s="329"/>
    </row>
    <row r="148" spans="1:14" ht="31.8" outlineLevel="1" thickTop="1" thickBot="1">
      <c r="A148" s="389" t="str">
        <f ca="1">IFERROR(MATCH(ROW(),OFFSET(ImpCalc!$E$1,$A$6-1,0,1,20),0),"")</f>
        <v/>
      </c>
      <c r="B148" s="40" t="str">
        <f t="shared" si="41"/>
        <v/>
      </c>
      <c r="C148" s="330"/>
      <c r="D148" s="29"/>
      <c r="E148" s="29"/>
      <c r="F148" s="288" t="s">
        <v>789</v>
      </c>
      <c r="G148" s="79" t="s">
        <v>790</v>
      </c>
      <c r="H148" s="342">
        <f>Profile!D80</f>
        <v>0.25</v>
      </c>
      <c r="I148" s="303">
        <f>(1-H148)*CHOOSE(Profile!$E$80+1,$R$7,$R$8,$R$9,$R$10)+H148</f>
        <v>0.85000000000000009</v>
      </c>
      <c r="J148" s="330">
        <f>Profile!F80</f>
        <v>5</v>
      </c>
      <c r="K148" s="272">
        <v>5</v>
      </c>
      <c r="L148" s="41">
        <f t="shared" ref="L148:L154" si="45">I148-H148</f>
        <v>0.60000000000000009</v>
      </c>
      <c r="M148" s="289">
        <f t="shared" ref="M148:M154" si="46">L148/(1-H148)</f>
        <v>0.80000000000000016</v>
      </c>
      <c r="N148" s="137"/>
    </row>
    <row r="149" spans="1:14" ht="42" outlineLevel="1" thickTop="1" thickBot="1">
      <c r="A149" s="389" t="str">
        <f ca="1">IFERROR(MATCH(ROW(),OFFSET(ImpCalc!$E$1,$A$6-1,0,1,20),0),"")</f>
        <v/>
      </c>
      <c r="B149" s="40" t="str">
        <f t="shared" si="41"/>
        <v/>
      </c>
      <c r="C149" s="330"/>
      <c r="D149" s="29"/>
      <c r="E149" s="29"/>
      <c r="F149" s="288" t="s">
        <v>797</v>
      </c>
      <c r="G149" s="79" t="s">
        <v>796</v>
      </c>
      <c r="H149" s="342">
        <f t="shared" ref="H149:J152" si="47">H148</f>
        <v>0.25</v>
      </c>
      <c r="I149" s="303">
        <f>(1-H149)*CHOOSE(Profile!$E$80+1,$R$7,$R$8,$R$9,$R$10)+H149</f>
        <v>0.85000000000000009</v>
      </c>
      <c r="J149" s="330">
        <f t="shared" si="47"/>
        <v>5</v>
      </c>
      <c r="K149" s="272">
        <v>5</v>
      </c>
      <c r="L149" s="41">
        <f t="shared" si="45"/>
        <v>0.60000000000000009</v>
      </c>
      <c r="M149" s="289">
        <f t="shared" si="46"/>
        <v>0.80000000000000016</v>
      </c>
      <c r="N149" s="137"/>
    </row>
    <row r="150" spans="1:14" ht="21.6" outlineLevel="1" thickTop="1" thickBot="1">
      <c r="A150" s="389" t="str">
        <f ca="1">IFERROR(MATCH(ROW(),OFFSET(ImpCalc!$E$1,$A$6-1,0,1,20),0),"")</f>
        <v/>
      </c>
      <c r="B150" s="40" t="str">
        <f t="shared" si="41"/>
        <v/>
      </c>
      <c r="C150" s="330"/>
      <c r="D150" s="305"/>
      <c r="E150" s="305"/>
      <c r="F150" s="221" t="s">
        <v>558</v>
      </c>
      <c r="G150" s="79" t="s">
        <v>559</v>
      </c>
      <c r="H150" s="342">
        <f t="shared" si="47"/>
        <v>0.25</v>
      </c>
      <c r="I150" s="303">
        <f>(1-H150)*CHOOSE(Profile!$E$80+1,$R$7,$R$8,$R$9,$R$10)+H150</f>
        <v>0.85000000000000009</v>
      </c>
      <c r="J150" s="330">
        <f t="shared" si="47"/>
        <v>5</v>
      </c>
      <c r="K150" s="272">
        <v>5</v>
      </c>
      <c r="L150" s="41">
        <f t="shared" si="45"/>
        <v>0.60000000000000009</v>
      </c>
      <c r="M150" s="289">
        <f t="shared" si="46"/>
        <v>0.80000000000000016</v>
      </c>
      <c r="N150" s="137"/>
    </row>
    <row r="151" spans="1:14" ht="21.6" outlineLevel="1" thickTop="1" thickBot="1">
      <c r="A151" s="389" t="str">
        <f ca="1">IFERROR(MATCH(ROW(),OFFSET(ImpCalc!$E$1,$A$6-1,0,1,20),0),"")</f>
        <v/>
      </c>
      <c r="B151" s="40" t="str">
        <f t="shared" si="41"/>
        <v/>
      </c>
      <c r="C151" s="330"/>
      <c r="D151" s="305"/>
      <c r="E151" s="305"/>
      <c r="F151" s="221" t="s">
        <v>560</v>
      </c>
      <c r="G151" s="79" t="s">
        <v>788</v>
      </c>
      <c r="H151" s="342">
        <f t="shared" si="47"/>
        <v>0.25</v>
      </c>
      <c r="I151" s="303">
        <f>(1-H151)*CHOOSE(Profile!$E$80+1,$R$7,$R$8,$R$9,$R$10)+H151</f>
        <v>0.85000000000000009</v>
      </c>
      <c r="J151" s="330">
        <f t="shared" si="47"/>
        <v>5</v>
      </c>
      <c r="K151" s="272">
        <v>5</v>
      </c>
      <c r="L151" s="41">
        <f t="shared" si="45"/>
        <v>0.60000000000000009</v>
      </c>
      <c r="M151" s="289">
        <f t="shared" si="46"/>
        <v>0.80000000000000016</v>
      </c>
      <c r="N151" s="137"/>
    </row>
    <row r="152" spans="1:14" ht="21.6" outlineLevel="1" thickTop="1" thickBot="1">
      <c r="A152" s="389" t="str">
        <f ca="1">IFERROR(MATCH(ROW(),OFFSET(ImpCalc!$E$1,$A$6-1,0,1,20),0),"")</f>
        <v/>
      </c>
      <c r="B152" s="40" t="str">
        <f t="shared" si="41"/>
        <v/>
      </c>
      <c r="C152" s="330"/>
      <c r="D152" s="29"/>
      <c r="E152" s="29"/>
      <c r="F152" s="288" t="s">
        <v>791</v>
      </c>
      <c r="G152" s="79" t="s">
        <v>787</v>
      </c>
      <c r="H152" s="342">
        <f t="shared" si="47"/>
        <v>0.25</v>
      </c>
      <c r="I152" s="303">
        <f>(1-H152)*CHOOSE(Profile!$E$80+1,$R$7,$R$8,$R$9,$R$10)+H152</f>
        <v>0.85000000000000009</v>
      </c>
      <c r="J152" s="330">
        <f t="shared" si="47"/>
        <v>5</v>
      </c>
      <c r="K152" s="272">
        <v>5</v>
      </c>
      <c r="L152" s="41">
        <f t="shared" si="45"/>
        <v>0.60000000000000009</v>
      </c>
      <c r="M152" s="289">
        <f t="shared" si="46"/>
        <v>0.80000000000000016</v>
      </c>
      <c r="N152" s="137"/>
    </row>
    <row r="153" spans="1:14" s="305" customFormat="1" ht="15" outlineLevel="1" thickTop="1" thickBot="1">
      <c r="A153" s="389" t="str">
        <f ca="1">IFERROR(MATCH(ROW(),OFFSET(ImpCalc!$E$1,$A$6-1,0,1,20),0),"")</f>
        <v/>
      </c>
      <c r="B153" s="40" t="str">
        <f t="shared" si="41"/>
        <v/>
      </c>
      <c r="C153" s="330"/>
      <c r="D153" s="29"/>
      <c r="E153" s="29"/>
      <c r="F153" s="307" t="str">
        <f>E147</f>
        <v>Analytical Tools</v>
      </c>
      <c r="G153" s="79" t="s">
        <v>823</v>
      </c>
      <c r="H153" s="57">
        <f>SUMPRODUCT($J148:$J152,H148:H152)/SUM($J148:$J152)</f>
        <v>0.25</v>
      </c>
      <c r="I153" s="57">
        <f>SUMPRODUCT($J148:$J152,I148:I152)/SUM($J148:$J152)</f>
        <v>0.85</v>
      </c>
      <c r="J153" s="331">
        <f>AVERAGE(J148:J152)</f>
        <v>5</v>
      </c>
      <c r="K153" s="331">
        <f>AVERAGE(K148:K152)</f>
        <v>5</v>
      </c>
      <c r="L153" s="57">
        <f t="shared" si="45"/>
        <v>0.6</v>
      </c>
      <c r="M153" s="57">
        <f t="shared" si="46"/>
        <v>0.79999999999999993</v>
      </c>
      <c r="N153" s="137"/>
    </row>
    <row r="154" spans="1:14" s="305" customFormat="1" ht="15" outlineLevel="1" thickTop="1" thickBot="1">
      <c r="A154" s="389" t="str">
        <f ca="1">IFERROR(MATCH(ROW(),OFFSET(ImpCalc!$E$1,$A$6-1,0,1,20),0),"")</f>
        <v/>
      </c>
      <c r="B154" s="40" t="str">
        <f t="shared" si="41"/>
        <v/>
      </c>
      <c r="C154" s="330"/>
      <c r="D154" s="29"/>
      <c r="E154" s="29"/>
      <c r="F154" s="47" t="str">
        <f>F153</f>
        <v>Analytical Tools</v>
      </c>
      <c r="G154" s="79" t="s">
        <v>824</v>
      </c>
      <c r="H154" s="57">
        <f>SUMPRODUCT($K148:$K152,H148:H152)/SUM($K148:$K152)</f>
        <v>0.25</v>
      </c>
      <c r="I154" s="57">
        <f>SUMPRODUCT($K148:$K152,I148:I152)/SUM($K148:$K152)</f>
        <v>0.85</v>
      </c>
      <c r="J154" s="331">
        <f>J153</f>
        <v>5</v>
      </c>
      <c r="K154" s="331">
        <f>K153</f>
        <v>5</v>
      </c>
      <c r="L154" s="57">
        <f t="shared" si="45"/>
        <v>0.6</v>
      </c>
      <c r="M154" s="57">
        <f t="shared" si="46"/>
        <v>0.79999999999999993</v>
      </c>
      <c r="N154" s="137"/>
    </row>
    <row r="155" spans="1:14" ht="16.8" outlineLevel="1" thickTop="1" thickBot="1">
      <c r="A155" s="389" t="str">
        <f ca="1">IFERROR(MATCH(ROW(),OFFSET(ImpCalc!$E$1,$A$6-1,0,1,20),0),"")</f>
        <v/>
      </c>
      <c r="B155" s="40" t="str">
        <f t="shared" si="41"/>
        <v/>
      </c>
      <c r="C155" s="330"/>
      <c r="D155" s="29"/>
      <c r="E155" s="327" t="s">
        <v>931</v>
      </c>
      <c r="F155" s="326"/>
      <c r="G155" s="329"/>
    </row>
    <row r="156" spans="1:14" ht="21.6" outlineLevel="1" thickTop="1" thickBot="1">
      <c r="A156" s="389" t="str">
        <f ca="1">IFERROR(MATCH(ROW(),OFFSET(ImpCalc!$E$1,$A$6-1,0,1,20),0),"")</f>
        <v/>
      </c>
      <c r="B156" s="40" t="str">
        <f t="shared" si="41"/>
        <v/>
      </c>
      <c r="C156" s="330"/>
      <c r="D156" s="29"/>
      <c r="E156" s="29"/>
      <c r="F156" s="288" t="s">
        <v>805</v>
      </c>
      <c r="G156" s="79" t="s">
        <v>806</v>
      </c>
      <c r="H156" s="342">
        <f>Profile!D81</f>
        <v>0.1</v>
      </c>
      <c r="I156" s="303">
        <f>(1-H156)*CHOOSE(Profile!$E$81+1,$R$7,$R$8,$R$9,$R$10)+H156</f>
        <v>0.82000000000000006</v>
      </c>
      <c r="J156" s="330">
        <f>Profile!F81</f>
        <v>5</v>
      </c>
      <c r="K156" s="272">
        <v>5</v>
      </c>
      <c r="L156" s="41">
        <f t="shared" ref="L156:L161" si="48">I156-H156</f>
        <v>0.72000000000000008</v>
      </c>
      <c r="M156" s="289">
        <f t="shared" ref="M156:M161" si="49">L156/(1-H156)</f>
        <v>0.8</v>
      </c>
      <c r="N156" s="137"/>
    </row>
    <row r="157" spans="1:14" ht="42" outlineLevel="1" thickTop="1" thickBot="1">
      <c r="A157" s="389" t="str">
        <f ca="1">IFERROR(MATCH(ROW(),OFFSET(ImpCalc!$E$1,$A$6-1,0,1,20),0),"")</f>
        <v/>
      </c>
      <c r="B157" s="40" t="str">
        <f t="shared" si="41"/>
        <v/>
      </c>
      <c r="C157" s="330"/>
      <c r="D157" s="305"/>
      <c r="E157" s="305"/>
      <c r="F157" s="221" t="s">
        <v>567</v>
      </c>
      <c r="G157" s="79" t="s">
        <v>568</v>
      </c>
      <c r="H157" s="342">
        <f t="shared" ref="H157:J159" si="50">H156</f>
        <v>0.1</v>
      </c>
      <c r="I157" s="303">
        <f>(1-H157)*CHOOSE(Profile!$E$81+1,$R$7,$R$8,$R$9,$R$10)+H157</f>
        <v>0.82000000000000006</v>
      </c>
      <c r="J157" s="330">
        <f t="shared" si="50"/>
        <v>5</v>
      </c>
      <c r="K157" s="272">
        <v>5</v>
      </c>
      <c r="L157" s="41">
        <f t="shared" si="48"/>
        <v>0.72000000000000008</v>
      </c>
      <c r="M157" s="289">
        <f t="shared" si="49"/>
        <v>0.8</v>
      </c>
      <c r="N157" s="137"/>
    </row>
    <row r="158" spans="1:14" ht="21.6" outlineLevel="1" thickTop="1" thickBot="1">
      <c r="A158" s="389" t="str">
        <f ca="1">IFERROR(MATCH(ROW(),OFFSET(ImpCalc!$E$1,$A$6-1,0,1,20),0),"")</f>
        <v/>
      </c>
      <c r="B158" s="40" t="str">
        <f t="shared" si="41"/>
        <v/>
      </c>
      <c r="C158" s="330"/>
      <c r="D158" s="305"/>
      <c r="E158" s="305"/>
      <c r="F158" s="221" t="s">
        <v>779</v>
      </c>
      <c r="G158" s="79" t="s">
        <v>795</v>
      </c>
      <c r="H158" s="342">
        <f t="shared" si="50"/>
        <v>0.1</v>
      </c>
      <c r="I158" s="303">
        <f>(1-H158)*CHOOSE(Profile!$E$81+1,$R$7,$R$8,$R$9,$R$10)+H158</f>
        <v>0.82000000000000006</v>
      </c>
      <c r="J158" s="330">
        <f t="shared" si="50"/>
        <v>5</v>
      </c>
      <c r="K158" s="272">
        <v>5</v>
      </c>
      <c r="L158" s="41">
        <f t="shared" si="48"/>
        <v>0.72000000000000008</v>
      </c>
      <c r="M158" s="289">
        <f t="shared" si="49"/>
        <v>0.8</v>
      </c>
      <c r="N158" s="137"/>
    </row>
    <row r="159" spans="1:14" ht="62.4" outlineLevel="1" thickTop="1" thickBot="1">
      <c r="A159" s="389" t="str">
        <f ca="1">IFERROR(MATCH(ROW(),OFFSET(ImpCalc!$E$1,$A$6-1,0,1,20),0),"")</f>
        <v/>
      </c>
      <c r="B159" s="40" t="str">
        <f t="shared" si="41"/>
        <v/>
      </c>
      <c r="C159" s="330"/>
      <c r="D159" s="305"/>
      <c r="E159" s="305"/>
      <c r="F159" s="221" t="s">
        <v>570</v>
      </c>
      <c r="G159" s="79" t="s">
        <v>807</v>
      </c>
      <c r="H159" s="342">
        <f t="shared" si="50"/>
        <v>0.1</v>
      </c>
      <c r="I159" s="303">
        <f>(1-H159)*CHOOSE(Profile!$E$81+1,$R$7,$R$8,$R$9,$R$10)+H159</f>
        <v>0.82000000000000006</v>
      </c>
      <c r="J159" s="330">
        <f t="shared" si="50"/>
        <v>5</v>
      </c>
      <c r="K159" s="272">
        <v>5</v>
      </c>
      <c r="L159" s="41">
        <f t="shared" si="48"/>
        <v>0.72000000000000008</v>
      </c>
      <c r="M159" s="289">
        <f t="shared" si="49"/>
        <v>0.8</v>
      </c>
      <c r="N159" s="137"/>
    </row>
    <row r="160" spans="1:14" ht="15" outlineLevel="1" thickTop="1" thickBot="1">
      <c r="A160" s="389" t="str">
        <f ca="1">IFERROR(MATCH(ROW(),OFFSET(ImpCalc!$E$1,$A$6-1,0,1,20),0),"")</f>
        <v/>
      </c>
      <c r="B160" s="40" t="str">
        <f t="shared" si="41"/>
        <v/>
      </c>
      <c r="C160" s="330"/>
      <c r="D160" s="305"/>
      <c r="E160" s="305"/>
      <c r="F160" s="307" t="str">
        <f>E155</f>
        <v>Workflow and Collaboration</v>
      </c>
      <c r="G160" s="79" t="s">
        <v>823</v>
      </c>
      <c r="H160" s="57">
        <f>SUMPRODUCT($J156:$J159,H156:H159)/SUM($J156:$J159)</f>
        <v>0.1</v>
      </c>
      <c r="I160" s="57">
        <f>SUMPRODUCT($J156:$J159,I156:I159)/SUM($J156:$J159)</f>
        <v>0.82000000000000006</v>
      </c>
      <c r="J160" s="331">
        <f>AVERAGE(J156:J159)</f>
        <v>5</v>
      </c>
      <c r="K160" s="331">
        <f>AVERAGE(K156:K159)</f>
        <v>5</v>
      </c>
      <c r="L160" s="57">
        <f t="shared" si="48"/>
        <v>0.72000000000000008</v>
      </c>
      <c r="M160" s="57">
        <f t="shared" si="49"/>
        <v>0.8</v>
      </c>
      <c r="N160" s="137"/>
    </row>
    <row r="161" spans="1:14" s="305" customFormat="1" ht="15" outlineLevel="1" thickTop="1" thickBot="1">
      <c r="A161" s="389" t="str">
        <f ca="1">IFERROR(MATCH(ROW(),OFFSET(ImpCalc!$E$1,$A$6-1,0,1,20),0),"")</f>
        <v/>
      </c>
      <c r="B161" s="40" t="str">
        <f t="shared" si="41"/>
        <v/>
      </c>
      <c r="C161" s="330"/>
      <c r="F161" s="47" t="str">
        <f>F160</f>
        <v>Workflow and Collaboration</v>
      </c>
      <c r="G161" s="79" t="s">
        <v>824</v>
      </c>
      <c r="H161" s="57">
        <f>SUMPRODUCT($K156:$K159,H156:H159)/SUM($K156:$K159)</f>
        <v>0.1</v>
      </c>
      <c r="I161" s="57">
        <f>SUMPRODUCT($K156:$K159,I156:I159)/SUM($K156:$K159)</f>
        <v>0.82000000000000006</v>
      </c>
      <c r="J161" s="331">
        <f>J160</f>
        <v>5</v>
      </c>
      <c r="K161" s="331">
        <f>K160</f>
        <v>5</v>
      </c>
      <c r="L161" s="57">
        <f t="shared" si="48"/>
        <v>0.72000000000000008</v>
      </c>
      <c r="M161" s="57">
        <f t="shared" si="49"/>
        <v>0.8</v>
      </c>
      <c r="N161" s="137"/>
    </row>
    <row r="162" spans="1:14" ht="15" outlineLevel="1" thickTop="1" thickBot="1">
      <c r="A162" s="389" t="str">
        <f ca="1">IFERROR(MATCH(ROW(),OFFSET(ImpCalc!$E$1,$A$6-1,0,1,20),0),"")</f>
        <v/>
      </c>
      <c r="B162" s="40" t="str">
        <f t="shared" si="41"/>
        <v/>
      </c>
      <c r="C162" s="330"/>
    </row>
    <row r="163" spans="1:14" ht="22.2" thickTop="1" thickBot="1">
      <c r="A163" s="389" t="str">
        <f ca="1">IFERROR(MATCH(ROW(),OFFSET(ImpCalc!$E$1,$A$6-1,0,1,20),0),"")</f>
        <v/>
      </c>
      <c r="B163" s="40" t="str">
        <f t="shared" si="41"/>
        <v/>
      </c>
      <c r="C163" s="330"/>
      <c r="D163" s="88" t="s">
        <v>827</v>
      </c>
    </row>
    <row r="164" spans="1:14" s="266" customFormat="1" ht="40.799999999999997" thickTop="1" thickBot="1">
      <c r="A164" s="389" t="str">
        <f ca="1">IFERROR(MATCH(ROW(),OFFSET(ImpCalc!$E$1,$A$6-1,0,1,20),0),"")</f>
        <v/>
      </c>
      <c r="B164" s="40" t="str">
        <f t="shared" si="41"/>
        <v/>
      </c>
      <c r="C164" s="330"/>
      <c r="G164" s="305"/>
      <c r="H164" s="277" t="s">
        <v>650</v>
      </c>
      <c r="I164" s="277" t="s">
        <v>651</v>
      </c>
      <c r="J164" s="308" t="s">
        <v>839</v>
      </c>
      <c r="K164" s="277" t="s">
        <v>706</v>
      </c>
      <c r="L164" s="277" t="s">
        <v>324</v>
      </c>
      <c r="M164" s="277" t="s">
        <v>705</v>
      </c>
      <c r="N164" s="277" t="s">
        <v>707</v>
      </c>
    </row>
    <row r="165" spans="1:14" s="305" customFormat="1" ht="16.2" thickTop="1" thickBot="1">
      <c r="A165" s="389" t="str">
        <f ca="1">IFERROR(MATCH(ROW(),OFFSET(ImpCalc!$E$1,$A$6-1,0,1,20),0),"")</f>
        <v/>
      </c>
      <c r="B165" s="40" t="str">
        <f t="shared" si="41"/>
        <v/>
      </c>
      <c r="C165" s="330"/>
      <c r="E165" s="6" t="str">
        <f>$D$3</f>
        <v>BI Applications</v>
      </c>
    </row>
    <row r="166" spans="1:14" s="305" customFormat="1" ht="15" thickTop="1" thickBot="1">
      <c r="A166" s="389" t="str">
        <f ca="1">IFERROR(MATCH(ROW(),OFFSET(ImpCalc!$E$1,$A$6-1,0,1,20),0),"")</f>
        <v/>
      </c>
      <c r="B166" s="40" t="str">
        <f t="shared" si="41"/>
        <v/>
      </c>
      <c r="C166" s="330"/>
      <c r="F166" s="47" t="str">
        <f>F15</f>
        <v>Marketing / Sales Apps</v>
      </c>
      <c r="G166" s="79"/>
      <c r="H166" s="41">
        <f t="shared" ref="H166:M166" si="51">H15</f>
        <v>0.65</v>
      </c>
      <c r="I166" s="41">
        <f t="shared" si="51"/>
        <v>0.92999999999999994</v>
      </c>
      <c r="J166" s="42">
        <f t="shared" si="51"/>
        <v>5</v>
      </c>
      <c r="K166" s="42">
        <f t="shared" si="51"/>
        <v>5</v>
      </c>
      <c r="L166" s="41">
        <f t="shared" si="51"/>
        <v>0.27999999999999992</v>
      </c>
      <c r="M166" s="41">
        <f t="shared" si="51"/>
        <v>0.79999999999999982</v>
      </c>
      <c r="N166" s="42">
        <f>IF(M166&gt;0.8,3,(-$U$14+($U$14^2+4*$U$13*M166)^0.5)/(2*$U$13))</f>
        <v>2.9925247254929501</v>
      </c>
    </row>
    <row r="167" spans="1:14" s="305" customFormat="1" ht="15" thickTop="1" thickBot="1">
      <c r="A167" s="389" t="str">
        <f ca="1">IFERROR(MATCH(ROW(),OFFSET(ImpCalc!$E$1,$A$6-1,0,1,20),0),"")</f>
        <v/>
      </c>
      <c r="B167" s="40" t="str">
        <f t="shared" si="41"/>
        <v/>
      </c>
      <c r="C167" s="330"/>
      <c r="F167" s="47" t="str">
        <f>F27</f>
        <v>Supply / Operations Apps</v>
      </c>
      <c r="G167" s="79"/>
      <c r="H167" s="41">
        <f t="shared" ref="H167:M167" si="52">H27</f>
        <v>0.19999999999999998</v>
      </c>
      <c r="I167" s="41">
        <f t="shared" si="52"/>
        <v>0.52</v>
      </c>
      <c r="J167" s="42">
        <f t="shared" si="52"/>
        <v>4</v>
      </c>
      <c r="K167" s="42">
        <f t="shared" si="52"/>
        <v>5</v>
      </c>
      <c r="L167" s="41">
        <f t="shared" si="52"/>
        <v>0.32000000000000006</v>
      </c>
      <c r="M167" s="41">
        <f t="shared" si="52"/>
        <v>0.40000000000000008</v>
      </c>
      <c r="N167" s="42">
        <f>IF(M167&gt;0.8,3,(-$U$14+($U$14^2+4*$U$13*M167)^0.5)/(2*$U$13))</f>
        <v>1.9677106796455974</v>
      </c>
    </row>
    <row r="168" spans="1:14" s="266" customFormat="1" ht="15" thickTop="1" thickBot="1">
      <c r="A168" s="389" t="str">
        <f ca="1">IFERROR(MATCH(ROW(),OFFSET(ImpCalc!$E$1,$A$6-1,0,1,20),0),"")</f>
        <v/>
      </c>
      <c r="B168" s="40" t="str">
        <f t="shared" si="41"/>
        <v/>
      </c>
      <c r="C168" s="330"/>
      <c r="F168" s="47" t="str">
        <f>F37</f>
        <v>Financial Apps</v>
      </c>
      <c r="G168" s="79"/>
      <c r="H168" s="41">
        <f t="shared" ref="H168:M168" si="53">H37</f>
        <v>0.3</v>
      </c>
      <c r="I168" s="41">
        <f t="shared" si="53"/>
        <v>0.85999999999999965</v>
      </c>
      <c r="J168" s="42">
        <f t="shared" si="53"/>
        <v>5</v>
      </c>
      <c r="K168" s="42">
        <f t="shared" si="53"/>
        <v>5</v>
      </c>
      <c r="L168" s="41">
        <f t="shared" si="53"/>
        <v>0.55999999999999961</v>
      </c>
      <c r="M168" s="41">
        <f t="shared" si="53"/>
        <v>0.79999999999999949</v>
      </c>
      <c r="N168" s="42">
        <f>IF(M168&gt;0.8,3,(-$U$14+($U$14^2+4*$U$13*M168)^0.5)/(2*$U$13))</f>
        <v>2.9925247254929492</v>
      </c>
    </row>
    <row r="169" spans="1:14" s="266" customFormat="1" ht="15" thickTop="1" thickBot="1">
      <c r="A169" s="389" t="str">
        <f ca="1">IFERROR(MATCH(ROW(),OFFSET(ImpCalc!$E$1,$A$6-1,0,1,20),0),"")</f>
        <v/>
      </c>
      <c r="B169" s="40" t="str">
        <f t="shared" si="41"/>
        <v/>
      </c>
      <c r="C169" s="330"/>
      <c r="F169" s="47" t="str">
        <f>F49</f>
        <v>Other / General Mgmt Apps</v>
      </c>
      <c r="G169" s="79"/>
      <c r="H169" s="41">
        <f t="shared" ref="H169:M169" si="54">H49</f>
        <v>0.15</v>
      </c>
      <c r="I169" s="41">
        <f t="shared" si="54"/>
        <v>0.83000000000000007</v>
      </c>
      <c r="J169" s="42">
        <f t="shared" si="54"/>
        <v>4</v>
      </c>
      <c r="K169" s="42">
        <f t="shared" si="54"/>
        <v>5</v>
      </c>
      <c r="L169" s="41">
        <f t="shared" si="54"/>
        <v>0.68</v>
      </c>
      <c r="M169" s="41">
        <f t="shared" si="54"/>
        <v>0.8</v>
      </c>
      <c r="N169" s="42">
        <f>IF(M169&gt;0.8,3,(-$U$14+($U$14^2+4*$U$13*M169)^0.5)/(2*$U$13))</f>
        <v>2.9925247254929506</v>
      </c>
    </row>
    <row r="170" spans="1:14" s="266" customFormat="1" ht="15" thickTop="1" thickBot="1">
      <c r="A170" s="389">
        <f ca="1">IFERROR(MATCH(ROW(),OFFSET(ImpCalc!$E$1,$A$6-1,0,1,20),0),"")</f>
        <v>1</v>
      </c>
      <c r="B170" s="40" t="str">
        <f t="shared" si="41"/>
        <v/>
      </c>
      <c r="C170" s="330"/>
      <c r="F170" s="285" t="str">
        <f>E165</f>
        <v>BI Applications</v>
      </c>
      <c r="G170" s="79"/>
      <c r="H170" s="57">
        <f>SUMPRODUCT($J166:$J169,H166:H169)/SUM($J166:$J169)</f>
        <v>0.34166666666666662</v>
      </c>
      <c r="I170" s="57">
        <f>SUMPRODUCT($J166:$J169,I166:I169)/SUM($J166:$J169)</f>
        <v>0.79722222222222205</v>
      </c>
      <c r="J170" s="56">
        <f>AVERAGE(J166:J169)</f>
        <v>4.5</v>
      </c>
      <c r="K170" s="56">
        <f>AVERAGE(K166:K169)</f>
        <v>5</v>
      </c>
      <c r="L170" s="57">
        <f>I170-H170</f>
        <v>0.45555555555555544</v>
      </c>
      <c r="M170" s="57">
        <f>L170/(1-H170)</f>
        <v>0.69198312236286896</v>
      </c>
      <c r="N170" s="56">
        <f>IF(M170&gt;0.8,3,(-$U$14+($U$14^2+4*$U$13*M170)^0.5)/(2*$U$13))</f>
        <v>2.746465255185857</v>
      </c>
    </row>
    <row r="171" spans="1:14" s="305" customFormat="1" ht="16.2" thickTop="1" thickBot="1">
      <c r="A171" s="389" t="str">
        <f ca="1">IFERROR(MATCH(ROW(),OFFSET(ImpCalc!$E$1,$A$6-1,0,1,20),0),"")</f>
        <v/>
      </c>
      <c r="B171" s="40" t="str">
        <f t="shared" si="41"/>
        <v/>
      </c>
      <c r="C171" s="330"/>
      <c r="E171" s="6" t="str">
        <f>$D$52</f>
        <v>Source System Inclusion / Integration</v>
      </c>
    </row>
    <row r="172" spans="1:14" s="305" customFormat="1" ht="27.6" thickTop="1" thickBot="1">
      <c r="A172" s="389" t="str">
        <f ca="1">IFERROR(MATCH(ROW(),OFFSET(ImpCalc!$E$1,$A$6-1,0,1,20),0),"")</f>
        <v/>
      </c>
      <c r="B172" s="40" t="str">
        <f t="shared" si="41"/>
        <v/>
      </c>
      <c r="C172" s="330"/>
      <c r="F172" s="47" t="str">
        <f>F62</f>
        <v>Marketing / Sales Data Integration</v>
      </c>
      <c r="G172" s="79"/>
      <c r="H172" s="41">
        <f t="shared" ref="H172:M172" si="55">H62</f>
        <v>0.55000000000000004</v>
      </c>
      <c r="I172" s="41">
        <f t="shared" si="55"/>
        <v>0.91000000000000014</v>
      </c>
      <c r="J172" s="42">
        <f t="shared" si="55"/>
        <v>285.71428571428572</v>
      </c>
      <c r="K172" s="42">
        <f t="shared" si="55"/>
        <v>5</v>
      </c>
      <c r="L172" s="41">
        <f t="shared" si="55"/>
        <v>0.3600000000000001</v>
      </c>
      <c r="M172" s="41">
        <f t="shared" si="55"/>
        <v>0.80000000000000027</v>
      </c>
      <c r="N172" s="42">
        <f>IF(M172&gt;0.8,3,(-$U$14+($U$14^2+4*$U$13*M172)^0.5)/(2*$U$13))</f>
        <v>2.992524725492951</v>
      </c>
    </row>
    <row r="173" spans="1:14" s="305" customFormat="1" ht="27.6" thickTop="1" thickBot="1">
      <c r="A173" s="389" t="str">
        <f ca="1">IFERROR(MATCH(ROW(),OFFSET(ImpCalc!$E$1,$A$6-1,0,1,20),0),"")</f>
        <v/>
      </c>
      <c r="B173" s="40" t="str">
        <f t="shared" si="41"/>
        <v/>
      </c>
      <c r="C173" s="330"/>
      <c r="F173" s="47" t="str">
        <f>F71</f>
        <v>Supply Chain / Ops Data Integration</v>
      </c>
      <c r="G173" s="79"/>
      <c r="H173" s="41">
        <f t="shared" ref="H173:M173" si="56">H71</f>
        <v>0.15</v>
      </c>
      <c r="I173" s="41">
        <f t="shared" si="56"/>
        <v>0.83000000000000018</v>
      </c>
      <c r="J173" s="42">
        <f t="shared" si="56"/>
        <v>285.71428571428572</v>
      </c>
      <c r="K173" s="42">
        <f t="shared" si="56"/>
        <v>5</v>
      </c>
      <c r="L173" s="41">
        <f t="shared" si="56"/>
        <v>0.68000000000000016</v>
      </c>
      <c r="M173" s="41">
        <f t="shared" si="56"/>
        <v>0.80000000000000016</v>
      </c>
      <c r="N173" s="42">
        <f>IF(M173&gt;0.8,3,(-$U$14+($U$14^2+4*$U$13*M173)^0.5)/(2*$U$13))</f>
        <v>2.9925247254929506</v>
      </c>
    </row>
    <row r="174" spans="1:14" s="305" customFormat="1" ht="15" thickTop="1" thickBot="1">
      <c r="A174" s="389" t="str">
        <f ca="1">IFERROR(MATCH(ROW(),OFFSET(ImpCalc!$E$1,$A$6-1,0,1,20),0),"")</f>
        <v/>
      </c>
      <c r="B174" s="40" t="str">
        <f t="shared" si="41"/>
        <v/>
      </c>
      <c r="C174" s="330"/>
      <c r="F174" s="47" t="str">
        <f>F83</f>
        <v>Financial Data Integration</v>
      </c>
      <c r="G174" s="79"/>
      <c r="H174" s="41">
        <f t="shared" ref="H174:M174" si="57">H83</f>
        <v>0.64999999999999991</v>
      </c>
      <c r="I174" s="41">
        <f t="shared" si="57"/>
        <v>0.92999999999999949</v>
      </c>
      <c r="J174" s="42">
        <f t="shared" si="57"/>
        <v>457.14285714285722</v>
      </c>
      <c r="K174" s="42">
        <f t="shared" si="57"/>
        <v>4.9999999999999991</v>
      </c>
      <c r="L174" s="41">
        <f t="shared" si="57"/>
        <v>0.27999999999999958</v>
      </c>
      <c r="M174" s="41">
        <f t="shared" si="57"/>
        <v>0.7999999999999986</v>
      </c>
      <c r="N174" s="42">
        <f>IF(M174&gt;0.8,3,(-$U$14+($U$14^2+4*$U$13*M174)^0.5)/(2*$U$13))</f>
        <v>2.9925247254929475</v>
      </c>
    </row>
    <row r="175" spans="1:14" s="305" customFormat="1" ht="15" thickTop="1" thickBot="1">
      <c r="A175" s="389" t="str">
        <f ca="1">IFERROR(MATCH(ROW(),OFFSET(ImpCalc!$E$1,$A$6-1,0,1,20),0),"")</f>
        <v/>
      </c>
      <c r="B175" s="40" t="str">
        <f t="shared" si="41"/>
        <v/>
      </c>
      <c r="C175" s="330"/>
      <c r="F175" s="47" t="str">
        <f>F91</f>
        <v>Other Data Integration</v>
      </c>
      <c r="G175" s="79"/>
      <c r="H175" s="41">
        <f t="shared" ref="H175:M175" si="58">H91</f>
        <v>0.2</v>
      </c>
      <c r="I175" s="41">
        <f t="shared" si="58"/>
        <v>0.84000000000000008</v>
      </c>
      <c r="J175" s="42">
        <f t="shared" si="58"/>
        <v>228.57142857142858</v>
      </c>
      <c r="K175" s="42">
        <f t="shared" si="58"/>
        <v>5</v>
      </c>
      <c r="L175" s="41">
        <f t="shared" si="58"/>
        <v>0.64000000000000012</v>
      </c>
      <c r="M175" s="41">
        <f t="shared" si="58"/>
        <v>0.80000000000000016</v>
      </c>
      <c r="N175" s="42">
        <f>IF(M175&gt;0.8,3,(-$U$14+($U$14^2+4*$U$13*M175)^0.5)/(2*$U$13))</f>
        <v>2.9925247254929506</v>
      </c>
    </row>
    <row r="176" spans="1:14" s="305" customFormat="1" ht="27.6" thickTop="1" thickBot="1">
      <c r="A176" s="389">
        <f ca="1">IFERROR(MATCH(ROW(),OFFSET(ImpCalc!$E$1,$A$6-1,0,1,20),0),"")</f>
        <v>2</v>
      </c>
      <c r="B176" s="40" t="str">
        <f t="shared" si="41"/>
        <v/>
      </c>
      <c r="C176" s="330"/>
      <c r="F176" s="307" t="str">
        <f>E171</f>
        <v>Source System Inclusion / Integration</v>
      </c>
      <c r="G176" s="79"/>
      <c r="H176" s="57">
        <f>SUMPRODUCT($J172:$J175,H172:H175)/SUM($J172:$J175)</f>
        <v>0.43181818181818177</v>
      </c>
      <c r="I176" s="57">
        <f>SUMPRODUCT($J172:$J175,I172:I175)/SUM($J172:$J175)</f>
        <v>0.88636363636363613</v>
      </c>
      <c r="J176" s="224">
        <f>SUM(J172:J175)</f>
        <v>1257.1428571428573</v>
      </c>
      <c r="K176" s="56">
        <f>AVERAGE(K172:K175)</f>
        <v>5</v>
      </c>
      <c r="L176" s="57">
        <f>I176-H176</f>
        <v>0.45454545454545436</v>
      </c>
      <c r="M176" s="57">
        <f>L176/(1-H176)</f>
        <v>0.7999999999999996</v>
      </c>
      <c r="N176" s="56">
        <f>IF(M176&gt;0.8,3,(-$U$14+($U$14^2+4*$U$13*M176)^0.5)/(2*$U$13))</f>
        <v>2.9925247254929497</v>
      </c>
    </row>
    <row r="177" spans="1:14" s="305" customFormat="1" ht="16.2" thickTop="1" thickBot="1">
      <c r="A177" s="389" t="str">
        <f ca="1">IFERROR(MATCH(ROW(),OFFSET(ImpCalc!$E$1,$A$6-1,0,1,20),0),"")</f>
        <v/>
      </c>
      <c r="B177" s="40" t="str">
        <f t="shared" si="41"/>
        <v/>
      </c>
      <c r="C177" s="330"/>
      <c r="E177" s="6" t="str">
        <f>$D$96</f>
        <v>Enhance DW Platform</v>
      </c>
    </row>
    <row r="178" spans="1:14" s="305" customFormat="1" ht="27.6" thickTop="1" thickBot="1">
      <c r="A178" s="389" t="str">
        <f ca="1">IFERROR(MATCH(ROW(),OFFSET(ImpCalc!$E$1,$A$6-1,0,1,20),0),"")</f>
        <v/>
      </c>
      <c r="B178" s="40" t="str">
        <f t="shared" si="41"/>
        <v/>
      </c>
      <c r="C178" s="330"/>
      <c r="F178" s="47" t="str">
        <f>F103</f>
        <v>Architecture Standards &amp; Adherence</v>
      </c>
      <c r="G178" s="79"/>
      <c r="H178" s="41">
        <f t="shared" ref="H178:M178" si="59">H103</f>
        <v>0.65</v>
      </c>
      <c r="I178" s="41">
        <f t="shared" si="59"/>
        <v>0.79000000000000015</v>
      </c>
      <c r="J178" s="42">
        <f t="shared" si="59"/>
        <v>5</v>
      </c>
      <c r="K178" s="42">
        <f t="shared" si="59"/>
        <v>5</v>
      </c>
      <c r="L178" s="41">
        <f t="shared" si="59"/>
        <v>0.14000000000000012</v>
      </c>
      <c r="M178" s="41">
        <f t="shared" si="59"/>
        <v>0.40000000000000036</v>
      </c>
      <c r="N178" s="42">
        <f t="shared" ref="N178:N183" si="60">IF(M178&gt;0.8,3,(-$U$14+($U$14^2+4*$U$13*M178)^0.5)/(2*$U$13))</f>
        <v>1.9677106796455983</v>
      </c>
    </row>
    <row r="179" spans="1:14" s="305" customFormat="1" ht="15" thickTop="1" thickBot="1">
      <c r="A179" s="389" t="str">
        <f ca="1">IFERROR(MATCH(ROW(),OFFSET(ImpCalc!$E$1,$A$6-1,0,1,20),0),"")</f>
        <v/>
      </c>
      <c r="B179" s="40" t="str">
        <f t="shared" si="41"/>
        <v/>
      </c>
      <c r="C179" s="330"/>
      <c r="F179" s="47" t="str">
        <f>F109</f>
        <v>Data Management</v>
      </c>
      <c r="G179" s="79"/>
      <c r="H179" s="41">
        <f t="shared" ref="H179:M179" si="61">H109</f>
        <v>0.75</v>
      </c>
      <c r="I179" s="41">
        <f t="shared" si="61"/>
        <v>0.85</v>
      </c>
      <c r="J179" s="42">
        <f t="shared" si="61"/>
        <v>5</v>
      </c>
      <c r="K179" s="42">
        <f t="shared" si="61"/>
        <v>5</v>
      </c>
      <c r="L179" s="41">
        <f t="shared" si="61"/>
        <v>9.9999999999999978E-2</v>
      </c>
      <c r="M179" s="41">
        <f t="shared" si="61"/>
        <v>0.39999999999999991</v>
      </c>
      <c r="N179" s="42">
        <f t="shared" si="60"/>
        <v>1.967710679645597</v>
      </c>
    </row>
    <row r="180" spans="1:14" s="305" customFormat="1" ht="15" thickTop="1" thickBot="1">
      <c r="A180" s="389" t="str">
        <f ca="1">IFERROR(MATCH(ROW(),OFFSET(ImpCalc!$E$1,$A$6-1,0,1,20),0),"")</f>
        <v/>
      </c>
      <c r="B180" s="40" t="str">
        <f t="shared" si="41"/>
        <v/>
      </c>
      <c r="C180" s="330"/>
      <c r="F180" s="47" t="str">
        <f>F114</f>
        <v>Data Integration/ETL</v>
      </c>
      <c r="G180" s="79"/>
      <c r="H180" s="41">
        <f t="shared" ref="H180:M180" si="62">H114</f>
        <v>0.75</v>
      </c>
      <c r="I180" s="41">
        <f t="shared" si="62"/>
        <v>0.85</v>
      </c>
      <c r="J180" s="42">
        <f t="shared" si="62"/>
        <v>5</v>
      </c>
      <c r="K180" s="42">
        <f t="shared" si="62"/>
        <v>5</v>
      </c>
      <c r="L180" s="41">
        <f t="shared" si="62"/>
        <v>9.9999999999999978E-2</v>
      </c>
      <c r="M180" s="41">
        <f t="shared" si="62"/>
        <v>0.39999999999999991</v>
      </c>
      <c r="N180" s="42">
        <f t="shared" si="60"/>
        <v>1.967710679645597</v>
      </c>
    </row>
    <row r="181" spans="1:14" s="305" customFormat="1" ht="15" thickTop="1" thickBot="1">
      <c r="A181" s="389" t="str">
        <f ca="1">IFERROR(MATCH(ROW(),OFFSET(ImpCalc!$E$1,$A$6-1,0,1,20),0),"")</f>
        <v/>
      </c>
      <c r="B181" s="40" t="str">
        <f t="shared" si="41"/>
        <v/>
      </c>
      <c r="C181" s="330"/>
      <c r="F181" s="47" t="str">
        <f>F120</f>
        <v>Data Warehouse / Data Marts</v>
      </c>
      <c r="G181" s="79"/>
      <c r="H181" s="41">
        <f t="shared" ref="H181:M181" si="63">H120</f>
        <v>0.8</v>
      </c>
      <c r="I181" s="41">
        <f t="shared" si="63"/>
        <v>0.83000000000000007</v>
      </c>
      <c r="J181" s="42">
        <f t="shared" si="63"/>
        <v>5</v>
      </c>
      <c r="K181" s="42">
        <f t="shared" si="63"/>
        <v>5</v>
      </c>
      <c r="L181" s="41">
        <f t="shared" si="63"/>
        <v>3.0000000000000027E-2</v>
      </c>
      <c r="M181" s="41">
        <f t="shared" si="63"/>
        <v>0.15000000000000016</v>
      </c>
      <c r="N181" s="42">
        <f t="shared" si="60"/>
        <v>1.0347039800799478</v>
      </c>
    </row>
    <row r="182" spans="1:14" s="305" customFormat="1" ht="15" thickTop="1" thickBot="1">
      <c r="A182" s="389" t="str">
        <f ca="1">IFERROR(MATCH(ROW(),OFFSET(ImpCalc!$E$1,$A$6-1,0,1,20),0),"")</f>
        <v/>
      </c>
      <c r="B182" s="40" t="str">
        <f t="shared" si="41"/>
        <v/>
      </c>
      <c r="C182" s="330"/>
      <c r="F182" s="47" t="str">
        <f>F126</f>
        <v>Development</v>
      </c>
      <c r="G182" s="79"/>
      <c r="H182" s="41">
        <f t="shared" ref="H182:M182" si="64">H126</f>
        <v>0.9</v>
      </c>
      <c r="I182" s="41">
        <f t="shared" si="64"/>
        <v>0.91500000000000015</v>
      </c>
      <c r="J182" s="42">
        <f t="shared" si="64"/>
        <v>5</v>
      </c>
      <c r="K182" s="42">
        <f t="shared" si="64"/>
        <v>5</v>
      </c>
      <c r="L182" s="41">
        <f t="shared" si="64"/>
        <v>1.5000000000000124E-2</v>
      </c>
      <c r="M182" s="41">
        <f t="shared" si="64"/>
        <v>0.15000000000000127</v>
      </c>
      <c r="N182" s="42">
        <f t="shared" si="60"/>
        <v>1.0347039800799531</v>
      </c>
    </row>
    <row r="183" spans="1:14" s="305" customFormat="1" ht="15" thickTop="1" thickBot="1">
      <c r="A183" s="389">
        <f ca="1">IFERROR(MATCH(ROW(),OFFSET(ImpCalc!$E$1,$A$6-1,0,1,20),0),"")</f>
        <v>3</v>
      </c>
      <c r="B183" s="40" t="str">
        <f t="shared" si="41"/>
        <v/>
      </c>
      <c r="C183" s="330"/>
      <c r="F183" s="307" t="str">
        <f>E177</f>
        <v>Enhance DW Platform</v>
      </c>
      <c r="G183" s="79"/>
      <c r="H183" s="57">
        <f>SUMPRODUCT($J178:$J182,H178:H182)/SUM($J178:$J182)</f>
        <v>0.77</v>
      </c>
      <c r="I183" s="57">
        <f>SUMPRODUCT($J178:$J182,I178:I182)/SUM($J178:$J182)</f>
        <v>0.8470000000000002</v>
      </c>
      <c r="J183" s="56">
        <f>AVERAGE(J178:J182)</f>
        <v>5</v>
      </c>
      <c r="K183" s="56">
        <f>AVERAGE(K178:K182)</f>
        <v>5</v>
      </c>
      <c r="L183" s="57">
        <f>I183-H183</f>
        <v>7.7000000000000179E-2</v>
      </c>
      <c r="M183" s="57">
        <f>L183/(1-H183)</f>
        <v>0.33478260869565296</v>
      </c>
      <c r="N183" s="56">
        <f t="shared" si="60"/>
        <v>1.7595157976770226</v>
      </c>
    </row>
    <row r="184" spans="1:14" s="305" customFormat="1" ht="16.2" thickTop="1" thickBot="1">
      <c r="A184" s="389" t="str">
        <f ca="1">IFERROR(MATCH(ROW(),OFFSET(ImpCalc!$E$1,$A$6-1,0,1,20),0),"")</f>
        <v/>
      </c>
      <c r="B184" s="40" t="str">
        <f t="shared" si="41"/>
        <v/>
      </c>
      <c r="C184" s="330"/>
      <c r="E184" s="6" t="str">
        <f>$D$129</f>
        <v>Enhance BI Platform</v>
      </c>
    </row>
    <row r="185" spans="1:14" s="305" customFormat="1" ht="15" thickTop="1" thickBot="1">
      <c r="A185" s="389" t="str">
        <f ca="1">IFERROR(MATCH(ROW(),OFFSET(ImpCalc!$E$1,$A$6-1,0,1,20),0),"")</f>
        <v/>
      </c>
      <c r="B185" s="40" t="str">
        <f t="shared" si="41"/>
        <v/>
      </c>
      <c r="C185" s="330"/>
      <c r="F185" s="47" t="str">
        <f>F138</f>
        <v>Reporting</v>
      </c>
      <c r="G185" s="79"/>
      <c r="H185" s="41">
        <f t="shared" ref="H185:M185" si="65">H138</f>
        <v>0.4</v>
      </c>
      <c r="I185" s="41">
        <f t="shared" si="65"/>
        <v>0.88</v>
      </c>
      <c r="J185" s="42">
        <f t="shared" si="65"/>
        <v>5</v>
      </c>
      <c r="K185" s="42">
        <f t="shared" si="65"/>
        <v>5</v>
      </c>
      <c r="L185" s="41">
        <f t="shared" si="65"/>
        <v>0.48</v>
      </c>
      <c r="M185" s="41">
        <f t="shared" si="65"/>
        <v>0.8</v>
      </c>
      <c r="N185" s="42">
        <f>IF(M185&gt;0.8,3,(-$U$14+($U$14^2+4*$U$13*M185)^0.5)/(2*$U$13))</f>
        <v>2.9925247254929506</v>
      </c>
    </row>
    <row r="186" spans="1:14" s="305" customFormat="1" ht="15" thickTop="1" thickBot="1">
      <c r="A186" s="389" t="str">
        <f ca="1">IFERROR(MATCH(ROW(),OFFSET(ImpCalc!$E$1,$A$6-1,0,1,20),0),"")</f>
        <v/>
      </c>
      <c r="B186" s="40" t="str">
        <f t="shared" si="41"/>
        <v/>
      </c>
      <c r="C186" s="330"/>
      <c r="F186" s="47" t="str">
        <f>F145</f>
        <v>Scorecards / Dashboards</v>
      </c>
      <c r="G186" s="79"/>
      <c r="H186" s="41">
        <f t="shared" ref="H186:M186" si="66">H145</f>
        <v>0.25</v>
      </c>
      <c r="I186" s="41">
        <f t="shared" si="66"/>
        <v>0.85</v>
      </c>
      <c r="J186" s="42">
        <f t="shared" si="66"/>
        <v>5</v>
      </c>
      <c r="K186" s="42">
        <f t="shared" si="66"/>
        <v>5</v>
      </c>
      <c r="L186" s="41">
        <f t="shared" si="66"/>
        <v>0.6</v>
      </c>
      <c r="M186" s="41">
        <f t="shared" si="66"/>
        <v>0.79999999999999993</v>
      </c>
      <c r="N186" s="42">
        <f>IF(M186&gt;0.8,3,(-$U$14+($U$14^2+4*$U$13*M186)^0.5)/(2*$U$13))</f>
        <v>2.9925247254929501</v>
      </c>
    </row>
    <row r="187" spans="1:14" s="305" customFormat="1" ht="15" thickTop="1" thickBot="1">
      <c r="A187" s="389" t="str">
        <f ca="1">IFERROR(MATCH(ROW(),OFFSET(ImpCalc!$E$1,$A$6-1,0,1,20),0),"")</f>
        <v/>
      </c>
      <c r="B187" s="40" t="str">
        <f t="shared" si="41"/>
        <v/>
      </c>
      <c r="C187" s="330"/>
      <c r="F187" s="47" t="str">
        <f>F153</f>
        <v>Analytical Tools</v>
      </c>
      <c r="G187" s="79"/>
      <c r="H187" s="41">
        <f t="shared" ref="H187:M187" si="67">H153</f>
        <v>0.25</v>
      </c>
      <c r="I187" s="41">
        <f t="shared" si="67"/>
        <v>0.85</v>
      </c>
      <c r="J187" s="42">
        <f t="shared" si="67"/>
        <v>5</v>
      </c>
      <c r="K187" s="42">
        <f t="shared" si="67"/>
        <v>5</v>
      </c>
      <c r="L187" s="41">
        <f t="shared" si="67"/>
        <v>0.6</v>
      </c>
      <c r="M187" s="41">
        <f t="shared" si="67"/>
        <v>0.79999999999999993</v>
      </c>
      <c r="N187" s="42">
        <f>IF(M187&gt;0.8,3,(-$U$14+($U$14^2+4*$U$13*M187)^0.5)/(2*$U$13))</f>
        <v>2.9925247254929501</v>
      </c>
    </row>
    <row r="188" spans="1:14" s="305" customFormat="1" ht="15" thickTop="1" thickBot="1">
      <c r="A188" s="389" t="str">
        <f ca="1">IFERROR(MATCH(ROW(),OFFSET(ImpCalc!$E$1,$A$6-1,0,1,20),0),"")</f>
        <v/>
      </c>
      <c r="B188" s="40" t="str">
        <f t="shared" si="41"/>
        <v/>
      </c>
      <c r="C188" s="330"/>
      <c r="F188" s="47" t="str">
        <f>F160</f>
        <v>Workflow and Collaboration</v>
      </c>
      <c r="G188" s="79"/>
      <c r="H188" s="41">
        <f t="shared" ref="H188:M188" si="68">H160</f>
        <v>0.1</v>
      </c>
      <c r="I188" s="41">
        <f t="shared" si="68"/>
        <v>0.82000000000000006</v>
      </c>
      <c r="J188" s="42">
        <f t="shared" si="68"/>
        <v>5</v>
      </c>
      <c r="K188" s="42">
        <f t="shared" si="68"/>
        <v>5</v>
      </c>
      <c r="L188" s="41">
        <f t="shared" si="68"/>
        <v>0.72000000000000008</v>
      </c>
      <c r="M188" s="41">
        <f t="shared" si="68"/>
        <v>0.8</v>
      </c>
      <c r="N188" s="42">
        <f>IF(M188&gt;0.8,3,(-$U$14+($U$14^2+4*$U$13*M188)^0.5)/(2*$U$13))</f>
        <v>2.9925247254929506</v>
      </c>
    </row>
    <row r="189" spans="1:14" s="305" customFormat="1" ht="15" thickTop="1" thickBot="1">
      <c r="A189" s="389">
        <f ca="1">IFERROR(MATCH(ROW(),OFFSET(ImpCalc!$E$1,$A$6-1,0,1,20),0),"")</f>
        <v>4</v>
      </c>
      <c r="B189" s="40" t="str">
        <f t="shared" si="41"/>
        <v/>
      </c>
      <c r="C189" s="330"/>
      <c r="F189" s="307" t="str">
        <f>E184</f>
        <v>Enhance BI Platform</v>
      </c>
      <c r="G189" s="79"/>
      <c r="H189" s="57">
        <f>SUMPRODUCT($J185:$J188,H185:H188)/SUM($J185:$J188)</f>
        <v>0.25</v>
      </c>
      <c r="I189" s="57">
        <f>SUMPRODUCT($J185:$J188,I185:I188)/SUM($J185:$J188)</f>
        <v>0.85</v>
      </c>
      <c r="J189" s="56">
        <f>AVERAGE(J185:J188)</f>
        <v>5</v>
      </c>
      <c r="K189" s="56">
        <f>AVERAGE(K185:K188)</f>
        <v>5</v>
      </c>
      <c r="L189" s="57">
        <f>I189-H189</f>
        <v>0.6</v>
      </c>
      <c r="M189" s="57">
        <f>L189/(1-H189)</f>
        <v>0.79999999999999993</v>
      </c>
      <c r="N189" s="56">
        <f>IF(M189&gt;0.8,3,(-$U$14+($U$14^2+4*$U$13*M189)^0.5)/(2*$U$13))</f>
        <v>2.9925247254929501</v>
      </c>
    </row>
    <row r="190" spans="1:14" s="305" customFormat="1" ht="15" thickTop="1" thickBot="1">
      <c r="A190" s="389" t="str">
        <f ca="1">IFERROR(MATCH(ROW(),OFFSET(ImpCalc!$E$1,$A$6-1,0,1,20),0),"")</f>
        <v/>
      </c>
      <c r="B190" s="40" t="str">
        <f t="shared" si="41"/>
        <v/>
      </c>
      <c r="C190" s="330"/>
    </row>
    <row r="191" spans="1:14" s="343" customFormat="1" ht="16.2" thickTop="1" thickBot="1">
      <c r="A191" s="389" t="str">
        <f ca="1">IFERROR(MATCH(ROW(),OFFSET(ImpCalc!$E$1,$A$6-1,0,1,20),0),"")</f>
        <v/>
      </c>
      <c r="B191" s="40" t="str">
        <f t="shared" si="41"/>
        <v/>
      </c>
      <c r="C191" s="330"/>
      <c r="E191" s="6" t="s">
        <v>33</v>
      </c>
    </row>
    <row r="192" spans="1:14" s="343" customFormat="1" ht="15" thickTop="1" thickBot="1">
      <c r="A192" s="389" t="str">
        <f ca="1">IFERROR(MATCH(ROW(),OFFSET(ImpCalc!$E$1,$A$6-1,0,1,20),0),"")</f>
        <v/>
      </c>
      <c r="B192" s="40" t="str">
        <f t="shared" si="41"/>
        <v/>
      </c>
      <c r="C192" s="330"/>
      <c r="F192" s="47" t="str">
        <f>E165</f>
        <v>BI Applications</v>
      </c>
      <c r="G192" s="79"/>
      <c r="H192" s="41">
        <f>H170</f>
        <v>0.34166666666666662</v>
      </c>
      <c r="I192" s="41">
        <f t="shared" ref="I192:N192" si="69">I170</f>
        <v>0.79722222222222205</v>
      </c>
      <c r="J192" s="42">
        <f t="shared" si="69"/>
        <v>4.5</v>
      </c>
      <c r="K192" s="42">
        <f t="shared" si="69"/>
        <v>5</v>
      </c>
      <c r="L192" s="41">
        <f t="shared" si="69"/>
        <v>0.45555555555555544</v>
      </c>
      <c r="M192" s="41">
        <f t="shared" si="69"/>
        <v>0.69198312236286896</v>
      </c>
      <c r="N192" s="42">
        <f t="shared" si="69"/>
        <v>2.746465255185857</v>
      </c>
    </row>
    <row r="193" spans="1:14" s="343" customFormat="1" ht="27.6" thickTop="1" thickBot="1">
      <c r="A193" s="389" t="str">
        <f ca="1">IFERROR(MATCH(ROW(),OFFSET(ImpCalc!$E$1,$A$6-1,0,1,20),0),"")</f>
        <v/>
      </c>
      <c r="B193" s="40" t="str">
        <f t="shared" si="41"/>
        <v/>
      </c>
      <c r="C193" s="330"/>
      <c r="F193" s="47" t="str">
        <f>E171</f>
        <v>Source System Inclusion / Integration</v>
      </c>
      <c r="G193" s="79"/>
      <c r="H193" s="41">
        <f>H176</f>
        <v>0.43181818181818177</v>
      </c>
      <c r="I193" s="41">
        <f t="shared" ref="I193:N193" si="70">I176</f>
        <v>0.88636363636363613</v>
      </c>
      <c r="J193" s="46">
        <v>5</v>
      </c>
      <c r="K193" s="42">
        <f t="shared" si="70"/>
        <v>5</v>
      </c>
      <c r="L193" s="41">
        <f t="shared" si="70"/>
        <v>0.45454545454545436</v>
      </c>
      <c r="M193" s="41">
        <f t="shared" si="70"/>
        <v>0.7999999999999996</v>
      </c>
      <c r="N193" s="42">
        <f t="shared" si="70"/>
        <v>2.9925247254929497</v>
      </c>
    </row>
    <row r="194" spans="1:14" s="343" customFormat="1" ht="15" thickTop="1" thickBot="1">
      <c r="A194" s="389" t="str">
        <f ca="1">IFERROR(MATCH(ROW(),OFFSET(ImpCalc!$E$1,$A$6-1,0,1,20),0),"")</f>
        <v/>
      </c>
      <c r="B194" s="40" t="str">
        <f t="shared" si="41"/>
        <v/>
      </c>
      <c r="C194" s="330"/>
      <c r="F194" s="47" t="str">
        <f>E177</f>
        <v>Enhance DW Platform</v>
      </c>
      <c r="G194" s="79"/>
      <c r="H194" s="41">
        <f>H183</f>
        <v>0.77</v>
      </c>
      <c r="I194" s="41">
        <f t="shared" ref="I194:N194" si="71">I183</f>
        <v>0.8470000000000002</v>
      </c>
      <c r="J194" s="42">
        <f t="shared" si="71"/>
        <v>5</v>
      </c>
      <c r="K194" s="42">
        <f t="shared" si="71"/>
        <v>5</v>
      </c>
      <c r="L194" s="41">
        <f t="shared" si="71"/>
        <v>7.7000000000000179E-2</v>
      </c>
      <c r="M194" s="41">
        <f t="shared" si="71"/>
        <v>0.33478260869565296</v>
      </c>
      <c r="N194" s="42">
        <f t="shared" si="71"/>
        <v>1.7595157976770226</v>
      </c>
    </row>
    <row r="195" spans="1:14" s="343" customFormat="1" ht="15" thickTop="1" thickBot="1">
      <c r="A195" s="389" t="str">
        <f ca="1">IFERROR(MATCH(ROW(),OFFSET(ImpCalc!$E$1,$A$6-1,0,1,20),0),"")</f>
        <v/>
      </c>
      <c r="B195" s="40" t="str">
        <f t="shared" si="41"/>
        <v/>
      </c>
      <c r="C195" s="330"/>
      <c r="F195" s="47" t="str">
        <f>E184</f>
        <v>Enhance BI Platform</v>
      </c>
      <c r="G195" s="79"/>
      <c r="H195" s="41">
        <f>H189</f>
        <v>0.25</v>
      </c>
      <c r="I195" s="41">
        <f t="shared" ref="I195:N195" si="72">I189</f>
        <v>0.85</v>
      </c>
      <c r="J195" s="42">
        <f t="shared" si="72"/>
        <v>5</v>
      </c>
      <c r="K195" s="42">
        <f t="shared" si="72"/>
        <v>5</v>
      </c>
      <c r="L195" s="41">
        <f t="shared" si="72"/>
        <v>0.6</v>
      </c>
      <c r="M195" s="41">
        <f t="shared" si="72"/>
        <v>0.79999999999999993</v>
      </c>
      <c r="N195" s="42">
        <f t="shared" si="72"/>
        <v>2.9925247254929501</v>
      </c>
    </row>
    <row r="196" spans="1:14" s="343" customFormat="1" ht="15" thickTop="1" thickBot="1">
      <c r="A196" s="389" t="str">
        <f ca="1">IFERROR(MATCH(ROW(),OFFSET(ImpCalc!$E$1,$A$6-1,0,1,20),0),"")</f>
        <v/>
      </c>
      <c r="B196" s="40" t="str">
        <f t="shared" si="41"/>
        <v/>
      </c>
      <c r="C196" s="330"/>
      <c r="F196" s="348" t="str">
        <f>E191</f>
        <v>Summary</v>
      </c>
      <c r="G196" s="79"/>
      <c r="H196" s="57">
        <f>SUMPRODUCT($J192:$J195,H192:H195)/SUM($J192:$J195)</f>
        <v>0.45110722610722614</v>
      </c>
      <c r="I196" s="57">
        <f>SUMPRODUCT($J192:$J195,I192:I195)/SUM($J192:$J195)</f>
        <v>0.84637529137529133</v>
      </c>
      <c r="J196" s="56">
        <f>AVERAGE(J192:J195)</f>
        <v>4.875</v>
      </c>
      <c r="K196" s="56">
        <f>AVERAGE(K192:K195)</f>
        <v>5</v>
      </c>
      <c r="L196" s="57">
        <f>I196-H196</f>
        <v>0.39526806526806518</v>
      </c>
      <c r="M196" s="57">
        <f>L196/(1-H196)</f>
        <v>0.72011890858902217</v>
      </c>
      <c r="N196" s="56">
        <f>IF(M196&gt;0.8,3,(-$U$14+($U$14^2+4*$U$13*M196)^0.5)/(2*$U$13))</f>
        <v>2.8122461899048874</v>
      </c>
    </row>
    <row r="197" spans="1:14" s="343" customFormat="1" ht="15" thickTop="1" thickBot="1">
      <c r="A197" s="389" t="str">
        <f ca="1">IFERROR(MATCH(ROW(),OFFSET(ImpCalc!$E$1,$A$6-1,0,1,20),0),"")</f>
        <v/>
      </c>
      <c r="B197" s="40" t="str">
        <f t="shared" si="41"/>
        <v/>
      </c>
      <c r="C197" s="330"/>
    </row>
    <row r="198" spans="1:14" s="343" customFormat="1" ht="15" thickTop="1" thickBot="1">
      <c r="A198" s="389" t="str">
        <f ca="1">IFERROR(MATCH(ROW(),OFFSET(ImpCalc!$E$1,$A$6-1,0,1,20),0),"")</f>
        <v/>
      </c>
      <c r="B198" s="40" t="str">
        <f t="shared" si="41"/>
        <v/>
      </c>
      <c r="C198" s="330"/>
    </row>
    <row r="199" spans="1:14" s="343" customFormat="1" ht="15" thickTop="1" thickBot="1">
      <c r="A199" s="389" t="str">
        <f ca="1">IFERROR(MATCH(ROW(),OFFSET(ImpCalc!$E$1,$A$6-1,0,1,20),0),"")</f>
        <v/>
      </c>
      <c r="B199" s="40" t="str">
        <f t="shared" si="41"/>
        <v/>
      </c>
      <c r="C199" s="330"/>
    </row>
    <row r="200" spans="1:14" s="343" customFormat="1" ht="15" thickTop="1" thickBot="1">
      <c r="A200" s="389" t="str">
        <f ca="1">IFERROR(MATCH(ROW(),OFFSET(ImpCalc!$E$1,$A$6-1,0,1,20),0),"")</f>
        <v/>
      </c>
      <c r="B200" s="40" t="str">
        <f t="shared" si="41"/>
        <v/>
      </c>
      <c r="C200" s="330"/>
    </row>
    <row r="201" spans="1:14" s="343" customFormat="1" ht="15" thickTop="1" thickBot="1">
      <c r="A201" s="389" t="str">
        <f ca="1">IFERROR(MATCH(ROW(),OFFSET(ImpCalc!$E$1,$A$6-1,0,1,20),0),"")</f>
        <v/>
      </c>
      <c r="B201" s="40" t="str">
        <f t="shared" si="41"/>
        <v/>
      </c>
      <c r="C201" s="330"/>
    </row>
    <row r="202" spans="1:14" s="343" customFormat="1" ht="15" thickTop="1" thickBot="1">
      <c r="A202" s="389" t="str">
        <f ca="1">IFERROR(MATCH(ROW(),OFFSET(ImpCalc!$E$1,$A$6-1,0,1,20),0),"")</f>
        <v/>
      </c>
      <c r="B202" s="40" t="str">
        <f t="shared" ref="B202:B260" si="73">IF(C202="","",ROW(C202))</f>
        <v/>
      </c>
      <c r="C202" s="330"/>
    </row>
    <row r="203" spans="1:14" s="343" customFormat="1" ht="15" thickTop="1" thickBot="1">
      <c r="A203" s="389" t="str">
        <f ca="1">IFERROR(MATCH(ROW(),OFFSET(ImpCalc!$E$1,$A$6-1,0,1,20),0),"")</f>
        <v/>
      </c>
      <c r="B203" s="40" t="str">
        <f t="shared" si="73"/>
        <v/>
      </c>
      <c r="C203" s="330"/>
    </row>
    <row r="204" spans="1:14" s="343" customFormat="1" ht="15" thickTop="1" thickBot="1">
      <c r="A204" s="389" t="str">
        <f ca="1">IFERROR(MATCH(ROW(),OFFSET(ImpCalc!$E$1,$A$6-1,0,1,20),0),"")</f>
        <v/>
      </c>
      <c r="B204" s="40" t="str">
        <f t="shared" si="73"/>
        <v/>
      </c>
      <c r="C204" s="330"/>
    </row>
    <row r="205" spans="1:14" s="343" customFormat="1" ht="15" thickTop="1" thickBot="1">
      <c r="A205" s="389" t="str">
        <f ca="1">IFERROR(MATCH(ROW(),OFFSET(ImpCalc!$E$1,$A$6-1,0,1,20),0),"")</f>
        <v/>
      </c>
      <c r="B205" s="40" t="str">
        <f t="shared" si="73"/>
        <v/>
      </c>
      <c r="C205" s="330"/>
    </row>
    <row r="206" spans="1:14" s="343" customFormat="1" ht="15" thickTop="1" thickBot="1">
      <c r="A206" s="389" t="str">
        <f ca="1">IFERROR(MATCH(ROW(),OFFSET(ImpCalc!$E$1,$A$6-1,0,1,20),0),"")</f>
        <v/>
      </c>
      <c r="B206" s="40" t="str">
        <f t="shared" si="73"/>
        <v/>
      </c>
      <c r="C206" s="330"/>
    </row>
    <row r="207" spans="1:14" s="343" customFormat="1" ht="15" thickTop="1" thickBot="1">
      <c r="A207" s="389" t="str">
        <f ca="1">IFERROR(MATCH(ROW(),OFFSET(ImpCalc!$E$1,$A$6-1,0,1,20),0),"")</f>
        <v/>
      </c>
      <c r="B207" s="40" t="str">
        <f t="shared" si="73"/>
        <v/>
      </c>
      <c r="C207" s="330"/>
    </row>
    <row r="208" spans="1:14" s="343" customFormat="1" ht="15" thickTop="1" thickBot="1">
      <c r="A208" s="389" t="str">
        <f ca="1">IFERROR(MATCH(ROW(),OFFSET(ImpCalc!$E$1,$A$6-1,0,1,20),0),"")</f>
        <v/>
      </c>
      <c r="B208" s="40" t="str">
        <f t="shared" si="73"/>
        <v/>
      </c>
      <c r="C208" s="330"/>
    </row>
    <row r="209" spans="1:3" s="343" customFormat="1" ht="15" thickTop="1" thickBot="1">
      <c r="A209" s="389" t="str">
        <f ca="1">IFERROR(MATCH(ROW(),OFFSET(ImpCalc!$E$1,$A$6-1,0,1,20),0),"")</f>
        <v/>
      </c>
      <c r="B209" s="40" t="str">
        <f t="shared" si="73"/>
        <v/>
      </c>
      <c r="C209" s="330"/>
    </row>
    <row r="210" spans="1:3" s="343" customFormat="1" ht="15" thickTop="1" thickBot="1">
      <c r="A210" s="389" t="str">
        <f ca="1">IFERROR(MATCH(ROW(),OFFSET(ImpCalc!$E$1,$A$6-1,0,1,20),0),"")</f>
        <v/>
      </c>
      <c r="B210" s="40" t="str">
        <f t="shared" si="73"/>
        <v/>
      </c>
      <c r="C210" s="330"/>
    </row>
    <row r="211" spans="1:3" s="343" customFormat="1" ht="15" thickTop="1" thickBot="1">
      <c r="A211" s="389" t="str">
        <f ca="1">IFERROR(MATCH(ROW(),OFFSET(ImpCalc!$E$1,$A$6-1,0,1,20),0),"")</f>
        <v/>
      </c>
      <c r="B211" s="40" t="str">
        <f t="shared" si="73"/>
        <v/>
      </c>
      <c r="C211" s="330"/>
    </row>
    <row r="212" spans="1:3" s="343" customFormat="1" ht="15" thickTop="1" thickBot="1">
      <c r="A212" s="389" t="str">
        <f ca="1">IFERROR(MATCH(ROW(),OFFSET(ImpCalc!$E$1,$A$6-1,0,1,20),0),"")</f>
        <v/>
      </c>
      <c r="B212" s="40" t="str">
        <f t="shared" si="73"/>
        <v/>
      </c>
      <c r="C212" s="330"/>
    </row>
    <row r="213" spans="1:3" s="343" customFormat="1" ht="15" thickTop="1" thickBot="1">
      <c r="A213" s="389" t="str">
        <f ca="1">IFERROR(MATCH(ROW(),OFFSET(ImpCalc!$E$1,$A$6-1,0,1,20),0),"")</f>
        <v/>
      </c>
      <c r="B213" s="40" t="str">
        <f t="shared" si="73"/>
        <v/>
      </c>
      <c r="C213" s="330"/>
    </row>
    <row r="214" spans="1:3" s="343" customFormat="1" ht="15" thickTop="1" thickBot="1">
      <c r="A214" s="389" t="str">
        <f ca="1">IFERROR(MATCH(ROW(),OFFSET(ImpCalc!$E$1,$A$6-1,0,1,20),0),"")</f>
        <v/>
      </c>
      <c r="B214" s="40" t="str">
        <f t="shared" si="73"/>
        <v/>
      </c>
      <c r="C214" s="330"/>
    </row>
    <row r="215" spans="1:3" s="343" customFormat="1" ht="15" thickTop="1" thickBot="1">
      <c r="A215" s="389" t="str">
        <f ca="1">IFERROR(MATCH(ROW(),OFFSET(ImpCalc!$E$1,$A$6-1,0,1,20),0),"")</f>
        <v/>
      </c>
      <c r="B215" s="40" t="str">
        <f t="shared" si="73"/>
        <v/>
      </c>
      <c r="C215" s="330"/>
    </row>
    <row r="216" spans="1:3" s="343" customFormat="1" ht="15" thickTop="1" thickBot="1">
      <c r="A216" s="389" t="str">
        <f ca="1">IFERROR(MATCH(ROW(),OFFSET(ImpCalc!$E$1,$A$6-1,0,1,20),0),"")</f>
        <v/>
      </c>
      <c r="B216" s="40" t="str">
        <f t="shared" si="73"/>
        <v/>
      </c>
      <c r="C216" s="330"/>
    </row>
    <row r="217" spans="1:3" s="343" customFormat="1" ht="15" thickTop="1" thickBot="1">
      <c r="A217" s="389" t="str">
        <f ca="1">IFERROR(MATCH(ROW(),OFFSET(ImpCalc!$E$1,$A$6-1,0,1,20),0),"")</f>
        <v/>
      </c>
      <c r="B217" s="40" t="str">
        <f t="shared" si="73"/>
        <v/>
      </c>
      <c r="C217" s="330"/>
    </row>
    <row r="218" spans="1:3" s="343" customFormat="1" ht="15" thickTop="1" thickBot="1">
      <c r="A218" s="389" t="str">
        <f ca="1">IFERROR(MATCH(ROW(),OFFSET(ImpCalc!$E$1,$A$6-1,0,1,20),0),"")</f>
        <v/>
      </c>
      <c r="B218" s="40" t="str">
        <f t="shared" si="73"/>
        <v/>
      </c>
      <c r="C218" s="330"/>
    </row>
    <row r="219" spans="1:3" s="343" customFormat="1" ht="15" thickTop="1" thickBot="1">
      <c r="A219" s="389" t="str">
        <f ca="1">IFERROR(MATCH(ROW(),OFFSET(ImpCalc!$E$1,$A$6-1,0,1,20),0),"")</f>
        <v/>
      </c>
      <c r="B219" s="40" t="str">
        <f t="shared" si="73"/>
        <v/>
      </c>
      <c r="C219" s="330"/>
    </row>
    <row r="220" spans="1:3" s="343" customFormat="1" ht="15" thickTop="1" thickBot="1">
      <c r="A220" s="389" t="str">
        <f ca="1">IFERROR(MATCH(ROW(),OFFSET(ImpCalc!$E$1,$A$6-1,0,1,20),0),"")</f>
        <v/>
      </c>
      <c r="B220" s="40" t="str">
        <f t="shared" si="73"/>
        <v/>
      </c>
      <c r="C220" s="330"/>
    </row>
    <row r="221" spans="1:3" s="343" customFormat="1" ht="15" thickTop="1" thickBot="1">
      <c r="A221" s="389" t="str">
        <f ca="1">IFERROR(MATCH(ROW(),OFFSET(ImpCalc!$E$1,$A$6-1,0,1,20),0),"")</f>
        <v/>
      </c>
      <c r="B221" s="40" t="str">
        <f t="shared" si="73"/>
        <v/>
      </c>
      <c r="C221" s="330"/>
    </row>
    <row r="222" spans="1:3" s="343" customFormat="1" ht="15" thickTop="1" thickBot="1">
      <c r="A222" s="389" t="str">
        <f ca="1">IFERROR(MATCH(ROW(),OFFSET(ImpCalc!$E$1,$A$6-1,0,1,20),0),"")</f>
        <v/>
      </c>
      <c r="B222" s="40" t="str">
        <f t="shared" si="73"/>
        <v/>
      </c>
      <c r="C222" s="330"/>
    </row>
    <row r="223" spans="1:3" s="343" customFormat="1" ht="15" thickTop="1" thickBot="1">
      <c r="A223" s="389" t="str">
        <f ca="1">IFERROR(MATCH(ROW(),OFFSET(ImpCalc!$E$1,$A$6-1,0,1,20),0),"")</f>
        <v/>
      </c>
      <c r="B223" s="40" t="str">
        <f t="shared" si="73"/>
        <v/>
      </c>
      <c r="C223" s="330"/>
    </row>
    <row r="224" spans="1:3" s="343" customFormat="1" ht="15" thickTop="1" thickBot="1">
      <c r="A224" s="389" t="str">
        <f ca="1">IFERROR(MATCH(ROW(),OFFSET(ImpCalc!$E$1,$A$6-1,0,1,20),0),"")</f>
        <v/>
      </c>
      <c r="B224" s="40" t="str">
        <f t="shared" si="73"/>
        <v/>
      </c>
      <c r="C224" s="330"/>
    </row>
    <row r="225" spans="1:14" s="343" customFormat="1" ht="15" thickTop="1" thickBot="1">
      <c r="A225" s="389" t="str">
        <f ca="1">IFERROR(MATCH(ROW(),OFFSET(ImpCalc!$E$1,$A$6-1,0,1,20),0),"")</f>
        <v/>
      </c>
      <c r="B225" s="40" t="str">
        <f t="shared" si="73"/>
        <v/>
      </c>
      <c r="C225" s="330"/>
    </row>
    <row r="226" spans="1:14" s="343" customFormat="1" ht="15" thickTop="1" thickBot="1">
      <c r="A226" s="389" t="str">
        <f ca="1">IFERROR(MATCH(ROW(),OFFSET(ImpCalc!$E$1,$A$6-1,0,1,20),0),"")</f>
        <v/>
      </c>
      <c r="B226" s="40" t="str">
        <f t="shared" si="73"/>
        <v/>
      </c>
      <c r="C226" s="330"/>
    </row>
    <row r="227" spans="1:14" s="343" customFormat="1" ht="15" thickTop="1" thickBot="1">
      <c r="A227" s="389" t="str">
        <f ca="1">IFERROR(MATCH(ROW(),OFFSET(ImpCalc!$E$1,$A$6-1,0,1,20),0),"")</f>
        <v/>
      </c>
      <c r="B227" s="40" t="str">
        <f t="shared" si="73"/>
        <v/>
      </c>
      <c r="C227" s="330"/>
    </row>
    <row r="228" spans="1:14" s="343" customFormat="1" ht="15" thickTop="1" thickBot="1">
      <c r="A228" s="389" t="str">
        <f ca="1">IFERROR(MATCH(ROW(),OFFSET(ImpCalc!$E$1,$A$6-1,0,1,20),0),"")</f>
        <v/>
      </c>
      <c r="B228" s="40" t="str">
        <f t="shared" si="73"/>
        <v/>
      </c>
      <c r="C228" s="330"/>
    </row>
    <row r="229" spans="1:14" s="343" customFormat="1" ht="15" thickTop="1" thickBot="1">
      <c r="A229" s="389" t="str">
        <f ca="1">IFERROR(MATCH(ROW(),OFFSET(ImpCalc!$E$1,$A$6-1,0,1,20),0),"")</f>
        <v/>
      </c>
      <c r="B229" s="40" t="str">
        <f t="shared" si="73"/>
        <v/>
      </c>
      <c r="C229" s="330"/>
    </row>
    <row r="230" spans="1:14" s="343" customFormat="1" ht="15" thickTop="1" thickBot="1">
      <c r="A230" s="389" t="str">
        <f ca="1">IFERROR(MATCH(ROW(),OFFSET(ImpCalc!$E$1,$A$6-1,0,1,20),0),"")</f>
        <v/>
      </c>
      <c r="B230" s="40" t="str">
        <f t="shared" si="73"/>
        <v/>
      </c>
      <c r="C230" s="330"/>
    </row>
    <row r="231" spans="1:14" s="343" customFormat="1" ht="15" thickTop="1" thickBot="1">
      <c r="A231" s="389" t="str">
        <f ca="1">IFERROR(MATCH(ROW(),OFFSET(ImpCalc!$E$1,$A$6-1,0,1,20),0),"")</f>
        <v/>
      </c>
      <c r="B231" s="40" t="str">
        <f t="shared" si="73"/>
        <v/>
      </c>
      <c r="C231" s="330"/>
    </row>
    <row r="232" spans="1:14" s="343" customFormat="1" ht="15" thickTop="1" thickBot="1">
      <c r="A232" s="389" t="str">
        <f ca="1">IFERROR(MATCH(ROW(),OFFSET(ImpCalc!$E$1,$A$6-1,0,1,20),0),"")</f>
        <v/>
      </c>
      <c r="B232" s="40" t="str">
        <f t="shared" si="73"/>
        <v/>
      </c>
      <c r="C232" s="330"/>
    </row>
    <row r="233" spans="1:14" s="343" customFormat="1" ht="15" thickTop="1" thickBot="1">
      <c r="A233" s="389" t="str">
        <f ca="1">IFERROR(MATCH(ROW(),OFFSET(ImpCalc!$E$1,$A$6-1,0,1,20),0),"")</f>
        <v/>
      </c>
      <c r="B233" s="40" t="str">
        <f t="shared" si="73"/>
        <v/>
      </c>
      <c r="C233" s="330"/>
    </row>
    <row r="234" spans="1:14" s="343" customFormat="1" ht="15" thickTop="1" thickBot="1">
      <c r="A234" s="389" t="str">
        <f ca="1">IFERROR(MATCH(ROW(),OFFSET(ImpCalc!$E$1,$A$6-1,0,1,20),0),"")</f>
        <v/>
      </c>
      <c r="B234" s="40" t="str">
        <f t="shared" si="73"/>
        <v/>
      </c>
      <c r="C234" s="330"/>
    </row>
    <row r="235" spans="1:14" ht="22.2" thickTop="1" thickBot="1">
      <c r="A235" s="389" t="str">
        <f ca="1">IFERROR(MATCH(ROW(),OFFSET(ImpCalc!$E$1,$A$6-1,0,1,20),0),"")</f>
        <v/>
      </c>
      <c r="B235" s="40" t="str">
        <f t="shared" si="73"/>
        <v/>
      </c>
      <c r="C235" s="330"/>
      <c r="D235" s="88" t="s">
        <v>828</v>
      </c>
    </row>
    <row r="236" spans="1:14" s="305" customFormat="1" ht="40.799999999999997" thickTop="1" thickBot="1">
      <c r="A236" s="389" t="str">
        <f ca="1">IFERROR(MATCH(ROW(),OFFSET(ImpCalc!$E$1,$A$6-1,0,1,20),0),"")</f>
        <v/>
      </c>
      <c r="B236" s="40" t="str">
        <f t="shared" si="73"/>
        <v/>
      </c>
      <c r="C236" s="330"/>
      <c r="H236" s="301" t="s">
        <v>650</v>
      </c>
      <c r="I236" s="301" t="s">
        <v>651</v>
      </c>
      <c r="J236" s="301" t="str">
        <f>J164</f>
        <v>Importance Rating / Size</v>
      </c>
      <c r="K236" s="301" t="s">
        <v>706</v>
      </c>
      <c r="L236" s="301" t="s">
        <v>324</v>
      </c>
      <c r="M236" s="301" t="s">
        <v>705</v>
      </c>
      <c r="N236" s="301" t="s">
        <v>707</v>
      </c>
    </row>
    <row r="237" spans="1:14" s="305" customFormat="1" ht="16.2" thickTop="1" thickBot="1">
      <c r="A237" s="389" t="str">
        <f ca="1">IFERROR(MATCH(ROW(),OFFSET(ImpCalc!$E$1,$A$6-1,0,1,20),0),"")</f>
        <v/>
      </c>
      <c r="B237" s="40" t="str">
        <f t="shared" si="73"/>
        <v/>
      </c>
      <c r="C237" s="330"/>
      <c r="E237" s="6" t="str">
        <f>$D$3</f>
        <v>BI Applications</v>
      </c>
    </row>
    <row r="238" spans="1:14" s="305" customFormat="1" ht="15" thickTop="1" thickBot="1">
      <c r="A238" s="389" t="str">
        <f ca="1">IFERROR(MATCH(ROW(),OFFSET(ImpCalc!$E$1,$A$6-1,0,1,20),0),"")</f>
        <v/>
      </c>
      <c r="B238" s="40" t="str">
        <f t="shared" si="73"/>
        <v/>
      </c>
      <c r="C238" s="330"/>
      <c r="F238" s="47" t="str">
        <f>F166</f>
        <v>Marketing / Sales Apps</v>
      </c>
      <c r="G238" s="79"/>
      <c r="H238" s="41">
        <f t="shared" ref="H238:M238" si="74">H16</f>
        <v>0.65</v>
      </c>
      <c r="I238" s="41">
        <f t="shared" si="74"/>
        <v>0.92999999999999994</v>
      </c>
      <c r="J238" s="42">
        <f t="shared" si="74"/>
        <v>5</v>
      </c>
      <c r="K238" s="42">
        <f t="shared" si="74"/>
        <v>5</v>
      </c>
      <c r="L238" s="41">
        <f t="shared" si="74"/>
        <v>0.27999999999999992</v>
      </c>
      <c r="M238" s="41">
        <f t="shared" si="74"/>
        <v>0.79999999999999982</v>
      </c>
      <c r="N238" s="42">
        <f>IF(M238&gt;0.8,3,(-$U$14+($U$14^2+4*$U$13*M238)^0.5)/(2*$U$13))</f>
        <v>2.9925247254929501</v>
      </c>
    </row>
    <row r="239" spans="1:14" s="305" customFormat="1" ht="15" thickTop="1" thickBot="1">
      <c r="A239" s="389" t="str">
        <f ca="1">IFERROR(MATCH(ROW(),OFFSET(ImpCalc!$E$1,$A$6-1,0,1,20),0),"")</f>
        <v/>
      </c>
      <c r="B239" s="40" t="str">
        <f t="shared" si="73"/>
        <v/>
      </c>
      <c r="C239" s="330"/>
      <c r="F239" s="47" t="str">
        <f>F167</f>
        <v>Supply / Operations Apps</v>
      </c>
      <c r="G239" s="79"/>
      <c r="H239" s="41">
        <f t="shared" ref="H239:M239" si="75">H28</f>
        <v>0.2</v>
      </c>
      <c r="I239" s="41">
        <f t="shared" si="75"/>
        <v>0.52</v>
      </c>
      <c r="J239" s="42">
        <f t="shared" si="75"/>
        <v>4</v>
      </c>
      <c r="K239" s="42">
        <f t="shared" si="75"/>
        <v>5</v>
      </c>
      <c r="L239" s="41">
        <f t="shared" si="75"/>
        <v>0.32</v>
      </c>
      <c r="M239" s="41">
        <f t="shared" si="75"/>
        <v>0.39999999999999997</v>
      </c>
      <c r="N239" s="42">
        <f>IF(M239&gt;0.8,3,(-$U$14+($U$14^2+4*$U$13*M239)^0.5)/(2*$U$13))</f>
        <v>1.967710679645597</v>
      </c>
    </row>
    <row r="240" spans="1:14" s="266" customFormat="1" ht="15" thickTop="1" thickBot="1">
      <c r="A240" s="389" t="str">
        <f ca="1">IFERROR(MATCH(ROW(),OFFSET(ImpCalc!$E$1,$A$6-1,0,1,20),0),"")</f>
        <v/>
      </c>
      <c r="B240" s="40" t="str">
        <f t="shared" si="73"/>
        <v/>
      </c>
      <c r="C240" s="330"/>
      <c r="F240" s="47" t="str">
        <f>F168</f>
        <v>Financial Apps</v>
      </c>
      <c r="G240" s="79"/>
      <c r="H240" s="41">
        <f t="shared" ref="H240:M240" si="76">H38</f>
        <v>0.3</v>
      </c>
      <c r="I240" s="41">
        <f t="shared" si="76"/>
        <v>0.85999999999999965</v>
      </c>
      <c r="J240" s="42">
        <f t="shared" si="76"/>
        <v>5</v>
      </c>
      <c r="K240" s="42">
        <f t="shared" si="76"/>
        <v>5</v>
      </c>
      <c r="L240" s="41">
        <f t="shared" si="76"/>
        <v>0.55999999999999961</v>
      </c>
      <c r="M240" s="41">
        <f t="shared" si="76"/>
        <v>0.79999999999999949</v>
      </c>
      <c r="N240" s="42">
        <f>IF(M240&gt;0.8,3,(-$U$14+($U$14^2+4*$U$13*M240)^0.5)/(2*$U$13))</f>
        <v>2.9925247254929492</v>
      </c>
    </row>
    <row r="241" spans="1:15" s="266" customFormat="1" ht="15" thickTop="1" thickBot="1">
      <c r="A241" s="389" t="str">
        <f ca="1">IFERROR(MATCH(ROW(),OFFSET(ImpCalc!$E$1,$A$6-1,0,1,20),0),"")</f>
        <v/>
      </c>
      <c r="B241" s="40" t="str">
        <f t="shared" si="73"/>
        <v/>
      </c>
      <c r="C241" s="330"/>
      <c r="F241" s="47" t="str">
        <f>F169</f>
        <v>Other / General Mgmt Apps</v>
      </c>
      <c r="G241" s="79"/>
      <c r="H241" s="41">
        <f t="shared" ref="H241:M241" si="77">H50</f>
        <v>0.15</v>
      </c>
      <c r="I241" s="41">
        <f t="shared" si="77"/>
        <v>0.82999999999999985</v>
      </c>
      <c r="J241" s="42">
        <f t="shared" si="77"/>
        <v>4</v>
      </c>
      <c r="K241" s="42">
        <f t="shared" si="77"/>
        <v>5</v>
      </c>
      <c r="L241" s="41">
        <f t="shared" si="77"/>
        <v>0.67999999999999983</v>
      </c>
      <c r="M241" s="41">
        <f t="shared" si="77"/>
        <v>0.79999999999999982</v>
      </c>
      <c r="N241" s="42">
        <f>IF(M241&gt;0.8,3,(-$U$14+($U$14^2+4*$U$13*M241)^0.5)/(2*$U$13))</f>
        <v>2.9925247254929501</v>
      </c>
      <c r="O241" s="59"/>
    </row>
    <row r="242" spans="1:15" s="305" customFormat="1" ht="15" thickTop="1" thickBot="1">
      <c r="A242" s="389" t="str">
        <f ca="1">IFERROR(MATCH(ROW(),OFFSET(ImpCalc!$E$1,$A$6-1,0,1,20),0),"")</f>
        <v/>
      </c>
      <c r="B242" s="40" t="str">
        <f t="shared" si="73"/>
        <v/>
      </c>
      <c r="C242" s="330"/>
      <c r="F242" s="47" t="str">
        <f>F170</f>
        <v>BI Applications</v>
      </c>
      <c r="G242" s="79"/>
      <c r="H242" s="57">
        <f>SUMPRODUCT($J238:$J241,H238:H241)/SUM($J238:$J241)</f>
        <v>0.34166666666666662</v>
      </c>
      <c r="I242" s="57">
        <f>SUMPRODUCT($J238:$J241,I238:I241)/SUM($J238:$J241)</f>
        <v>0.79722222222222205</v>
      </c>
      <c r="J242" s="56">
        <f>AVERAGE(J238:J241)</f>
        <v>4.5</v>
      </c>
      <c r="K242" s="56">
        <f>AVERAGE(K238:K241)</f>
        <v>5</v>
      </c>
      <c r="L242" s="57">
        <f>I242-H242</f>
        <v>0.45555555555555544</v>
      </c>
      <c r="M242" s="57">
        <f>L242/(1-H242)</f>
        <v>0.69198312236286896</v>
      </c>
      <c r="N242" s="56">
        <f>IF(M242&gt;0.8,3,(-$U$14+($U$14^2+4*$U$13*M242)^0.5)/(2*$U$13))</f>
        <v>2.746465255185857</v>
      </c>
    </row>
    <row r="243" spans="1:15" s="305" customFormat="1" ht="16.2" thickTop="1" thickBot="1">
      <c r="A243" s="389" t="str">
        <f ca="1">IFERROR(MATCH(ROW(),OFFSET(ImpCalc!$E$1,$A$6-1,0,1,20),0),"")</f>
        <v/>
      </c>
      <c r="B243" s="40" t="str">
        <f t="shared" si="73"/>
        <v/>
      </c>
      <c r="C243" s="330"/>
      <c r="E243" s="6" t="str">
        <f>$D$52</f>
        <v>Source System Inclusion / Integration</v>
      </c>
    </row>
    <row r="244" spans="1:15" s="305" customFormat="1" ht="27.6" thickTop="1" thickBot="1">
      <c r="A244" s="389" t="str">
        <f ca="1">IFERROR(MATCH(ROW(),OFFSET(ImpCalc!$E$1,$A$6-1,0,1,20),0),"")</f>
        <v/>
      </c>
      <c r="B244" s="40" t="str">
        <f t="shared" si="73"/>
        <v/>
      </c>
      <c r="C244" s="330"/>
      <c r="F244" s="47" t="str">
        <f>F172</f>
        <v>Marketing / Sales Data Integration</v>
      </c>
      <c r="G244" s="79"/>
      <c r="H244" s="41">
        <f t="shared" ref="H244:M244" si="78">H63</f>
        <v>0.55000000000000004</v>
      </c>
      <c r="I244" s="41">
        <f t="shared" si="78"/>
        <v>0.91</v>
      </c>
      <c r="J244" s="42">
        <f t="shared" si="78"/>
        <v>285.71428571428572</v>
      </c>
      <c r="K244" s="42">
        <f t="shared" si="78"/>
        <v>5</v>
      </c>
      <c r="L244" s="41">
        <f t="shared" si="78"/>
        <v>0.36</v>
      </c>
      <c r="M244" s="41">
        <f t="shared" si="78"/>
        <v>0.8</v>
      </c>
      <c r="N244" s="42">
        <f>IF(M244&gt;0.8,3,(-$U$14+($U$14^2+4*$U$13*M244)^0.5)/(2*$U$13))</f>
        <v>2.9925247254929506</v>
      </c>
    </row>
    <row r="245" spans="1:15" s="305" customFormat="1" ht="27.6" thickTop="1" thickBot="1">
      <c r="A245" s="389" t="str">
        <f ca="1">IFERROR(MATCH(ROW(),OFFSET(ImpCalc!$E$1,$A$6-1,0,1,20),0),"")</f>
        <v/>
      </c>
      <c r="B245" s="40" t="str">
        <f t="shared" si="73"/>
        <v/>
      </c>
      <c r="C245" s="330"/>
      <c r="F245" s="47" t="str">
        <f>F173</f>
        <v>Supply Chain / Ops Data Integration</v>
      </c>
      <c r="G245" s="79"/>
      <c r="H245" s="41">
        <f t="shared" ref="H245:M245" si="79">H72</f>
        <v>0.15</v>
      </c>
      <c r="I245" s="41">
        <f t="shared" si="79"/>
        <v>0.83</v>
      </c>
      <c r="J245" s="42">
        <f t="shared" si="79"/>
        <v>285.71428571428572</v>
      </c>
      <c r="K245" s="42">
        <f t="shared" si="79"/>
        <v>5</v>
      </c>
      <c r="L245" s="41">
        <f t="shared" si="79"/>
        <v>0.67999999999999994</v>
      </c>
      <c r="M245" s="41">
        <f t="shared" si="79"/>
        <v>0.79999999999999993</v>
      </c>
      <c r="N245" s="42">
        <f>IF(M245&gt;0.8,3,(-$U$14+($U$14^2+4*$U$13*M245)^0.5)/(2*$U$13))</f>
        <v>2.9925247254929501</v>
      </c>
    </row>
    <row r="246" spans="1:15" s="305" customFormat="1" ht="15" thickTop="1" thickBot="1">
      <c r="A246" s="389" t="str">
        <f ca="1">IFERROR(MATCH(ROW(),OFFSET(ImpCalc!$E$1,$A$6-1,0,1,20),0),"")</f>
        <v/>
      </c>
      <c r="B246" s="40" t="str">
        <f t="shared" si="73"/>
        <v/>
      </c>
      <c r="C246" s="330"/>
      <c r="F246" s="47" t="str">
        <f>F174</f>
        <v>Financial Data Integration</v>
      </c>
      <c r="G246" s="79"/>
      <c r="H246" s="41">
        <f t="shared" ref="H246:M246" si="80">H84</f>
        <v>0.65</v>
      </c>
      <c r="I246" s="41">
        <f t="shared" si="80"/>
        <v>0.92999999999999994</v>
      </c>
      <c r="J246" s="42">
        <f t="shared" si="80"/>
        <v>457.14285714285722</v>
      </c>
      <c r="K246" s="42">
        <f t="shared" si="80"/>
        <v>4.9999999999999991</v>
      </c>
      <c r="L246" s="41">
        <f t="shared" si="80"/>
        <v>0.27999999999999992</v>
      </c>
      <c r="M246" s="41">
        <f t="shared" si="80"/>
        <v>0.79999999999999982</v>
      </c>
      <c r="N246" s="42">
        <f>IF(M246&gt;0.8,3,(-$U$14+($U$14^2+4*$U$13*M246)^0.5)/(2*$U$13))</f>
        <v>2.9925247254929501</v>
      </c>
    </row>
    <row r="247" spans="1:15" s="305" customFormat="1" ht="15" thickTop="1" thickBot="1">
      <c r="A247" s="389" t="str">
        <f ca="1">IFERROR(MATCH(ROW(),OFFSET(ImpCalc!$E$1,$A$6-1,0,1,20),0),"")</f>
        <v/>
      </c>
      <c r="B247" s="40" t="str">
        <f t="shared" si="73"/>
        <v/>
      </c>
      <c r="C247" s="330"/>
      <c r="F247" s="47" t="str">
        <f>F175</f>
        <v>Other Data Integration</v>
      </c>
      <c r="G247" s="79"/>
      <c r="H247" s="41">
        <f t="shared" ref="H247:M247" si="81">H92</f>
        <v>0.2</v>
      </c>
      <c r="I247" s="41">
        <f t="shared" si="81"/>
        <v>0.84000000000000008</v>
      </c>
      <c r="J247" s="42">
        <f t="shared" si="81"/>
        <v>228.57142857142858</v>
      </c>
      <c r="K247" s="42">
        <f t="shared" si="81"/>
        <v>5</v>
      </c>
      <c r="L247" s="41">
        <f t="shared" si="81"/>
        <v>0.64000000000000012</v>
      </c>
      <c r="M247" s="41">
        <f t="shared" si="81"/>
        <v>0.80000000000000016</v>
      </c>
      <c r="N247" s="42">
        <f>IF(M247&gt;0.8,3,(-$U$14+($U$14^2+4*$U$13*M247)^0.5)/(2*$U$13))</f>
        <v>2.9925247254929506</v>
      </c>
      <c r="O247" s="59"/>
    </row>
    <row r="248" spans="1:15" s="305" customFormat="1" ht="27.6" thickTop="1" thickBot="1">
      <c r="A248" s="389" t="str">
        <f ca="1">IFERROR(MATCH(ROW(),OFFSET(ImpCalc!$E$1,$A$6-1,0,1,20),0),"")</f>
        <v/>
      </c>
      <c r="B248" s="40" t="str">
        <f t="shared" si="73"/>
        <v/>
      </c>
      <c r="C248" s="330"/>
      <c r="F248" s="47" t="str">
        <f>F176</f>
        <v>Source System Inclusion / Integration</v>
      </c>
      <c r="G248" s="79"/>
      <c r="H248" s="57">
        <f>SUMPRODUCT($J244:$J247,H244:H247)/SUM($J244:$J247)</f>
        <v>0.43181818181818177</v>
      </c>
      <c r="I248" s="57">
        <f>SUMPRODUCT($J244:$J247,I244:I247)/SUM($J244:$J247)</f>
        <v>0.88636363636363613</v>
      </c>
      <c r="J248" s="56">
        <f>AVERAGE(J244:J247)</f>
        <v>314.28571428571433</v>
      </c>
      <c r="K248" s="56">
        <f>AVERAGE(K244:K247)</f>
        <v>5</v>
      </c>
      <c r="L248" s="57">
        <f>I248-H248</f>
        <v>0.45454545454545436</v>
      </c>
      <c r="M248" s="57">
        <f>L248/(1-H248)</f>
        <v>0.7999999999999996</v>
      </c>
      <c r="N248" s="56">
        <f>IF(M248&gt;0.8,3,(-$U$14+($U$14^2+4*$U$13*M248)^0.5)/(2*$U$13))</f>
        <v>2.9925247254929497</v>
      </c>
    </row>
    <row r="249" spans="1:15" s="305" customFormat="1" ht="16.2" thickTop="1" thickBot="1">
      <c r="A249" s="389" t="str">
        <f ca="1">IFERROR(MATCH(ROW(),OFFSET(ImpCalc!$E$1,$A$6-1,0,1,20),0),"")</f>
        <v/>
      </c>
      <c r="B249" s="40" t="str">
        <f t="shared" si="73"/>
        <v/>
      </c>
      <c r="C249" s="330"/>
      <c r="E249" s="6" t="str">
        <f>$D$96</f>
        <v>Enhance DW Platform</v>
      </c>
    </row>
    <row r="250" spans="1:15" s="305" customFormat="1" ht="27.6" thickTop="1" thickBot="1">
      <c r="A250" s="389" t="str">
        <f ca="1">IFERROR(MATCH(ROW(),OFFSET(ImpCalc!$E$1,$A$6-1,0,1,20),0),"")</f>
        <v/>
      </c>
      <c r="B250" s="40" t="str">
        <f t="shared" si="73"/>
        <v/>
      </c>
      <c r="C250" s="330"/>
      <c r="F250" s="47" t="str">
        <f t="shared" ref="F250:F255" si="82">F178</f>
        <v>Architecture Standards &amp; Adherence</v>
      </c>
      <c r="G250" s="79"/>
      <c r="H250" s="41">
        <f t="shared" ref="H250:M250" si="83">H104</f>
        <v>0.65</v>
      </c>
      <c r="I250" s="41">
        <f t="shared" si="83"/>
        <v>0.79000000000000015</v>
      </c>
      <c r="J250" s="42">
        <f t="shared" si="83"/>
        <v>5</v>
      </c>
      <c r="K250" s="42">
        <f t="shared" si="83"/>
        <v>5</v>
      </c>
      <c r="L250" s="41">
        <f t="shared" si="83"/>
        <v>0.14000000000000012</v>
      </c>
      <c r="M250" s="41">
        <f t="shared" si="83"/>
        <v>0.40000000000000036</v>
      </c>
      <c r="N250" s="42">
        <f t="shared" ref="N250:N255" si="84">IF(M250&gt;0.8,3,(-$U$14+($U$14^2+4*$U$13*M250)^0.5)/(2*$U$13))</f>
        <v>1.9677106796455983</v>
      </c>
    </row>
    <row r="251" spans="1:15" s="305" customFormat="1" ht="15" thickTop="1" thickBot="1">
      <c r="A251" s="389" t="str">
        <f ca="1">IFERROR(MATCH(ROW(),OFFSET(ImpCalc!$E$1,$A$6-1,0,1,20),0),"")</f>
        <v/>
      </c>
      <c r="B251" s="40" t="str">
        <f t="shared" si="73"/>
        <v/>
      </c>
      <c r="C251" s="330"/>
      <c r="F251" s="47" t="str">
        <f t="shared" si="82"/>
        <v>Data Management</v>
      </c>
      <c r="G251" s="79"/>
      <c r="H251" s="41">
        <f t="shared" ref="H251:M251" si="85">H110</f>
        <v>0.75</v>
      </c>
      <c r="I251" s="41">
        <f t="shared" si="85"/>
        <v>0.85</v>
      </c>
      <c r="J251" s="42">
        <f t="shared" si="85"/>
        <v>5</v>
      </c>
      <c r="K251" s="42">
        <f t="shared" si="85"/>
        <v>5</v>
      </c>
      <c r="L251" s="41">
        <f t="shared" si="85"/>
        <v>9.9999999999999978E-2</v>
      </c>
      <c r="M251" s="41">
        <f t="shared" si="85"/>
        <v>0.39999999999999991</v>
      </c>
      <c r="N251" s="42">
        <f t="shared" si="84"/>
        <v>1.967710679645597</v>
      </c>
    </row>
    <row r="252" spans="1:15" s="305" customFormat="1" ht="15" thickTop="1" thickBot="1">
      <c r="A252" s="389" t="str">
        <f ca="1">IFERROR(MATCH(ROW(),OFFSET(ImpCalc!$E$1,$A$6-1,0,1,20),0),"")</f>
        <v/>
      </c>
      <c r="B252" s="40" t="str">
        <f t="shared" si="73"/>
        <v/>
      </c>
      <c r="C252" s="330"/>
      <c r="F252" s="47" t="str">
        <f t="shared" si="82"/>
        <v>Data Integration/ETL</v>
      </c>
      <c r="G252" s="79"/>
      <c r="H252" s="41">
        <f t="shared" ref="H252:M252" si="86">H115</f>
        <v>0.75</v>
      </c>
      <c r="I252" s="41">
        <f t="shared" si="86"/>
        <v>0.85</v>
      </c>
      <c r="J252" s="42">
        <f t="shared" si="86"/>
        <v>5</v>
      </c>
      <c r="K252" s="42">
        <f t="shared" si="86"/>
        <v>5</v>
      </c>
      <c r="L252" s="41">
        <f t="shared" si="86"/>
        <v>9.9999999999999978E-2</v>
      </c>
      <c r="M252" s="41">
        <f t="shared" si="86"/>
        <v>0.39999999999999991</v>
      </c>
      <c r="N252" s="42">
        <f t="shared" si="84"/>
        <v>1.967710679645597</v>
      </c>
    </row>
    <row r="253" spans="1:15" s="305" customFormat="1" ht="15" thickTop="1" thickBot="1">
      <c r="A253" s="389" t="str">
        <f ca="1">IFERROR(MATCH(ROW(),OFFSET(ImpCalc!$E$1,$A$6-1,0,1,20),0),"")</f>
        <v/>
      </c>
      <c r="B253" s="40" t="str">
        <f t="shared" si="73"/>
        <v/>
      </c>
      <c r="C253" s="330"/>
      <c r="F253" s="47" t="str">
        <f t="shared" si="82"/>
        <v>Data Warehouse / Data Marts</v>
      </c>
      <c r="G253" s="79"/>
      <c r="H253" s="41">
        <f t="shared" ref="H253:M253" si="87">H121</f>
        <v>0.8</v>
      </c>
      <c r="I253" s="41">
        <f t="shared" si="87"/>
        <v>0.83000000000000007</v>
      </c>
      <c r="J253" s="42">
        <f t="shared" si="87"/>
        <v>5</v>
      </c>
      <c r="K253" s="42">
        <f t="shared" si="87"/>
        <v>5</v>
      </c>
      <c r="L253" s="41">
        <f t="shared" si="87"/>
        <v>3.0000000000000027E-2</v>
      </c>
      <c r="M253" s="41">
        <f t="shared" si="87"/>
        <v>0.15000000000000016</v>
      </c>
      <c r="N253" s="42">
        <f t="shared" si="84"/>
        <v>1.0347039800799478</v>
      </c>
      <c r="O253" s="59"/>
    </row>
    <row r="254" spans="1:15" s="305" customFormat="1" ht="15" thickTop="1" thickBot="1">
      <c r="A254" s="389" t="str">
        <f ca="1">IFERROR(MATCH(ROW(),OFFSET(ImpCalc!$E$1,$A$6-1,0,1,20),0),"")</f>
        <v/>
      </c>
      <c r="B254" s="40" t="str">
        <f t="shared" si="73"/>
        <v/>
      </c>
      <c r="C254" s="330"/>
      <c r="F254" s="47" t="str">
        <f t="shared" si="82"/>
        <v>Development</v>
      </c>
      <c r="G254" s="79"/>
      <c r="H254" s="41">
        <f t="shared" ref="H254:M254" si="88">H127</f>
        <v>0.9</v>
      </c>
      <c r="I254" s="41">
        <f t="shared" si="88"/>
        <v>0.91500000000000015</v>
      </c>
      <c r="J254" s="42">
        <f t="shared" si="88"/>
        <v>5</v>
      </c>
      <c r="K254" s="42">
        <f t="shared" si="88"/>
        <v>5</v>
      </c>
      <c r="L254" s="41">
        <f t="shared" si="88"/>
        <v>1.5000000000000124E-2</v>
      </c>
      <c r="M254" s="41">
        <f t="shared" si="88"/>
        <v>0.15000000000000127</v>
      </c>
      <c r="N254" s="42">
        <f t="shared" si="84"/>
        <v>1.0347039800799531</v>
      </c>
      <c r="O254" s="59"/>
    </row>
    <row r="255" spans="1:15" s="305" customFormat="1" ht="15" thickTop="1" thickBot="1">
      <c r="A255" s="389" t="str">
        <f ca="1">IFERROR(MATCH(ROW(),OFFSET(ImpCalc!$E$1,$A$6-1,0,1,20),0),"")</f>
        <v/>
      </c>
      <c r="B255" s="40" t="str">
        <f t="shared" si="73"/>
        <v/>
      </c>
      <c r="C255" s="330"/>
      <c r="F255" s="47" t="str">
        <f t="shared" si="82"/>
        <v>Enhance DW Platform</v>
      </c>
      <c r="G255" s="79"/>
      <c r="H255" s="57">
        <f>SUMPRODUCT($J250:$J254,H250:H254)/SUM($J250:$J254)</f>
        <v>0.77</v>
      </c>
      <c r="I255" s="57">
        <f>SUMPRODUCT($J250:$J254,I250:I254)/SUM($J250:$J254)</f>
        <v>0.8470000000000002</v>
      </c>
      <c r="J255" s="56">
        <f>AVERAGE(J250:J254)</f>
        <v>5</v>
      </c>
      <c r="K255" s="56">
        <f>AVERAGE(K250:K254)</f>
        <v>5</v>
      </c>
      <c r="L255" s="57">
        <f>I255-H255</f>
        <v>7.7000000000000179E-2</v>
      </c>
      <c r="M255" s="57">
        <f>L255/(1-H255)</f>
        <v>0.33478260869565296</v>
      </c>
      <c r="N255" s="56">
        <f t="shared" si="84"/>
        <v>1.7595157976770226</v>
      </c>
    </row>
    <row r="256" spans="1:15" s="305" customFormat="1" ht="16.2" thickTop="1" thickBot="1">
      <c r="A256" s="389" t="str">
        <f ca="1">IFERROR(MATCH(ROW(),OFFSET(ImpCalc!$E$1,$A$6-1,0,1,20),0),"")</f>
        <v/>
      </c>
      <c r="B256" s="40" t="str">
        <f t="shared" si="73"/>
        <v/>
      </c>
      <c r="C256" s="330"/>
      <c r="E256" s="6" t="str">
        <f>$D$129</f>
        <v>Enhance BI Platform</v>
      </c>
    </row>
    <row r="257" spans="1:15" s="305" customFormat="1" ht="15" thickTop="1" thickBot="1">
      <c r="A257" s="389" t="str">
        <f ca="1">IFERROR(MATCH(ROW(),OFFSET(ImpCalc!$E$1,$A$6-1,0,1,20),0),"")</f>
        <v/>
      </c>
      <c r="B257" s="40" t="str">
        <f t="shared" si="73"/>
        <v/>
      </c>
      <c r="C257" s="330"/>
      <c r="F257" s="47" t="str">
        <f>F185</f>
        <v>Reporting</v>
      </c>
      <c r="G257" s="79"/>
      <c r="H257" s="41">
        <f t="shared" ref="H257:M257" si="89">H139</f>
        <v>0.4</v>
      </c>
      <c r="I257" s="41">
        <f t="shared" si="89"/>
        <v>0.88</v>
      </c>
      <c r="J257" s="42">
        <f t="shared" si="89"/>
        <v>5</v>
      </c>
      <c r="K257" s="42">
        <f t="shared" si="89"/>
        <v>5</v>
      </c>
      <c r="L257" s="41">
        <f t="shared" si="89"/>
        <v>0.48</v>
      </c>
      <c r="M257" s="41">
        <f t="shared" si="89"/>
        <v>0.8</v>
      </c>
      <c r="N257" s="42">
        <f>IF(M257&gt;0.8,3,(-$U$14+($U$14^2+4*$U$13*M257)^0.5)/(2*$U$13))</f>
        <v>2.9925247254929506</v>
      </c>
    </row>
    <row r="258" spans="1:15" s="305" customFormat="1" ht="15" thickTop="1" thickBot="1">
      <c r="A258" s="389" t="str">
        <f ca="1">IFERROR(MATCH(ROW(),OFFSET(ImpCalc!$E$1,$A$6-1,0,1,20),0),"")</f>
        <v/>
      </c>
      <c r="B258" s="40" t="str">
        <f t="shared" si="73"/>
        <v/>
      </c>
      <c r="C258" s="330"/>
      <c r="F258" s="47" t="str">
        <f>F186</f>
        <v>Scorecards / Dashboards</v>
      </c>
      <c r="G258" s="79"/>
      <c r="H258" s="41">
        <f t="shared" ref="H258:M258" si="90">H146</f>
        <v>0.25</v>
      </c>
      <c r="I258" s="41">
        <f t="shared" si="90"/>
        <v>0.85</v>
      </c>
      <c r="J258" s="42">
        <f t="shared" si="90"/>
        <v>5</v>
      </c>
      <c r="K258" s="42">
        <f t="shared" si="90"/>
        <v>5</v>
      </c>
      <c r="L258" s="41">
        <f t="shared" si="90"/>
        <v>0.6</v>
      </c>
      <c r="M258" s="41">
        <f t="shared" si="90"/>
        <v>0.79999999999999993</v>
      </c>
      <c r="N258" s="42">
        <f>IF(M258&gt;0.8,3,(-$U$14+($U$14^2+4*$U$13*M258)^0.5)/(2*$U$13))</f>
        <v>2.9925247254929501</v>
      </c>
    </row>
    <row r="259" spans="1:15" s="305" customFormat="1" ht="15" thickTop="1" thickBot="1">
      <c r="A259" s="389" t="str">
        <f ca="1">IFERROR(MATCH(ROW(),OFFSET(ImpCalc!$E$1,$A$6-1,0,1,20),0),"")</f>
        <v/>
      </c>
      <c r="B259" s="40" t="str">
        <f t="shared" si="73"/>
        <v/>
      </c>
      <c r="C259" s="330"/>
      <c r="F259" s="47" t="str">
        <f>F187</f>
        <v>Analytical Tools</v>
      </c>
      <c r="G259" s="79"/>
      <c r="H259" s="41">
        <f t="shared" ref="H259:M259" si="91">H154</f>
        <v>0.25</v>
      </c>
      <c r="I259" s="41">
        <f t="shared" si="91"/>
        <v>0.85</v>
      </c>
      <c r="J259" s="42">
        <f t="shared" si="91"/>
        <v>5</v>
      </c>
      <c r="K259" s="42">
        <f t="shared" si="91"/>
        <v>5</v>
      </c>
      <c r="L259" s="41">
        <f t="shared" si="91"/>
        <v>0.6</v>
      </c>
      <c r="M259" s="41">
        <f t="shared" si="91"/>
        <v>0.79999999999999993</v>
      </c>
      <c r="N259" s="42">
        <f>IF(M259&gt;0.8,3,(-$U$14+($U$14^2+4*$U$13*M259)^0.5)/(2*$U$13))</f>
        <v>2.9925247254929501</v>
      </c>
    </row>
    <row r="260" spans="1:15" s="305" customFormat="1" ht="15" thickTop="1" thickBot="1">
      <c r="A260" s="389" t="str">
        <f ca="1">IFERROR(MATCH(ROW(),OFFSET(ImpCalc!$E$1,$A$6-1,0,1,20),0),"")</f>
        <v/>
      </c>
      <c r="B260" s="40" t="str">
        <f t="shared" si="73"/>
        <v/>
      </c>
      <c r="C260" s="330"/>
      <c r="F260" s="47" t="str">
        <f>F188</f>
        <v>Workflow and Collaboration</v>
      </c>
      <c r="G260" s="79"/>
      <c r="H260" s="41">
        <f t="shared" ref="H260:M260" si="92">H161</f>
        <v>0.1</v>
      </c>
      <c r="I260" s="41">
        <f t="shared" si="92"/>
        <v>0.82000000000000006</v>
      </c>
      <c r="J260" s="42">
        <f t="shared" si="92"/>
        <v>5</v>
      </c>
      <c r="K260" s="42">
        <f t="shared" si="92"/>
        <v>5</v>
      </c>
      <c r="L260" s="41">
        <f t="shared" si="92"/>
        <v>0.72000000000000008</v>
      </c>
      <c r="M260" s="41">
        <f t="shared" si="92"/>
        <v>0.8</v>
      </c>
      <c r="N260" s="42">
        <f>IF(M260&gt;0.8,3,(-$U$14+($U$14^2+4*$U$13*M260)^0.5)/(2*$U$13))</f>
        <v>2.9925247254929506</v>
      </c>
      <c r="O260" s="59"/>
    </row>
    <row r="261" spans="1:15" s="305" customFormat="1" ht="15" thickTop="1" thickBot="1">
      <c r="A261" s="389" t="str">
        <f ca="1">IFERROR(MATCH(ROW(),OFFSET(ImpCalc!$E$1,$A$6-1,0,1,20),0),"")</f>
        <v/>
      </c>
      <c r="B261" s="40" t="str">
        <f t="shared" ref="B261:B296" si="93">IF(C261="","",ROW(C261))</f>
        <v/>
      </c>
      <c r="C261" s="330"/>
      <c r="F261" s="47" t="str">
        <f>F189</f>
        <v>Enhance BI Platform</v>
      </c>
      <c r="G261" s="79"/>
      <c r="H261" s="57">
        <f>SUMPRODUCT($J257:$J260,H257:H260)/SUM($J257:$J260)</f>
        <v>0.25</v>
      </c>
      <c r="I261" s="57">
        <f>SUMPRODUCT($J257:$J260,I257:I260)/SUM($J257:$J260)</f>
        <v>0.85</v>
      </c>
      <c r="J261" s="56">
        <f>AVERAGE(J257:J260)</f>
        <v>5</v>
      </c>
      <c r="K261" s="56">
        <f>AVERAGE(K257:K260)</f>
        <v>5</v>
      </c>
      <c r="L261" s="57">
        <f>I261-H261</f>
        <v>0.6</v>
      </c>
      <c r="M261" s="57">
        <f>L261/(1-H261)</f>
        <v>0.79999999999999993</v>
      </c>
      <c r="N261" s="56">
        <f>IF(M261&gt;0.8,3,(-$U$14+($U$14^2+4*$U$13*M261)^0.5)/(2*$U$13))</f>
        <v>2.9925247254929501</v>
      </c>
    </row>
    <row r="262" spans="1:15" ht="15" thickTop="1" thickBot="1">
      <c r="A262" s="389" t="str">
        <f ca="1">IFERROR(MATCH(ROW(),OFFSET(ImpCalc!$E$1,$A$6-1,0,1,20),0),"")</f>
        <v/>
      </c>
      <c r="B262" s="40" t="str">
        <f t="shared" si="93"/>
        <v/>
      </c>
      <c r="C262" s="330"/>
    </row>
    <row r="263" spans="1:15" ht="15" thickTop="1" thickBot="1">
      <c r="A263" s="389" t="str">
        <f ca="1">IFERROR(MATCH(ROW(),OFFSET(ImpCalc!$E$1,$A$6-1,0,1,20),0),"")</f>
        <v/>
      </c>
      <c r="B263" s="40" t="str">
        <f t="shared" si="93"/>
        <v/>
      </c>
      <c r="C263" s="330"/>
      <c r="F263" s="397"/>
    </row>
    <row r="264" spans="1:15" ht="15" thickTop="1" thickBot="1">
      <c r="A264" s="389" t="str">
        <f ca="1">IFERROR(MATCH(ROW(),OFFSET(ImpCalc!$E$1,$A$6-1,0,1,20),0),"")</f>
        <v/>
      </c>
      <c r="B264" s="40" t="str">
        <f t="shared" si="93"/>
        <v/>
      </c>
      <c r="C264" s="330"/>
    </row>
    <row r="265" spans="1:15" ht="15" thickTop="1" thickBot="1">
      <c r="A265" s="389" t="str">
        <f ca="1">IFERROR(MATCH(ROW(),OFFSET(ImpCalc!$E$1,$A$6-1,0,1,20),0),"")</f>
        <v/>
      </c>
      <c r="B265" s="40" t="str">
        <f t="shared" si="93"/>
        <v/>
      </c>
      <c r="C265" s="330"/>
    </row>
    <row r="266" spans="1:15" ht="15" thickTop="1" thickBot="1">
      <c r="A266" s="389" t="str">
        <f ca="1">IFERROR(MATCH(ROW(),OFFSET(ImpCalc!$E$1,$A$6-1,0,1,20),0),"")</f>
        <v/>
      </c>
      <c r="B266" s="40" t="str">
        <f t="shared" si="93"/>
        <v/>
      </c>
      <c r="C266" s="330"/>
    </row>
    <row r="267" spans="1:15" ht="15" thickTop="1" thickBot="1">
      <c r="A267" s="389" t="str">
        <f ca="1">IFERROR(MATCH(ROW(),OFFSET(ImpCalc!$E$1,$A$6-1,0,1,20),0),"")</f>
        <v/>
      </c>
      <c r="B267" s="40" t="str">
        <f t="shared" si="93"/>
        <v/>
      </c>
      <c r="C267" s="330"/>
    </row>
    <row r="268" spans="1:15" ht="15" thickTop="1" thickBot="1">
      <c r="A268" s="389" t="str">
        <f ca="1">IFERROR(MATCH(ROW(),OFFSET(ImpCalc!$E$1,$A$6-1,0,1,20),0),"")</f>
        <v/>
      </c>
      <c r="B268" s="40" t="str">
        <f t="shared" si="93"/>
        <v/>
      </c>
      <c r="C268" s="330"/>
    </row>
    <row r="269" spans="1:15" ht="15" thickTop="1" thickBot="1">
      <c r="A269" s="389" t="str">
        <f ca="1">IFERROR(MATCH(ROW(),OFFSET(ImpCalc!$E$1,$A$6-1,0,1,20),0),"")</f>
        <v/>
      </c>
      <c r="B269" s="40" t="str">
        <f t="shared" si="93"/>
        <v/>
      </c>
      <c r="C269" s="330"/>
    </row>
    <row r="270" spans="1:15" ht="15" thickTop="1" thickBot="1">
      <c r="A270" s="389" t="str">
        <f ca="1">IFERROR(MATCH(ROW(),OFFSET(ImpCalc!$E$1,$A$6-1,0,1,20),0),"")</f>
        <v/>
      </c>
      <c r="B270" s="40" t="str">
        <f t="shared" si="93"/>
        <v/>
      </c>
      <c r="C270" s="330"/>
    </row>
    <row r="271" spans="1:15" ht="15" thickTop="1" thickBot="1">
      <c r="A271" s="389" t="str">
        <f ca="1">IFERROR(MATCH(ROW(),OFFSET(ImpCalc!$E$1,$A$6-1,0,1,20),0),"")</f>
        <v/>
      </c>
      <c r="B271" s="40" t="str">
        <f t="shared" si="93"/>
        <v/>
      </c>
      <c r="C271" s="330"/>
    </row>
    <row r="272" spans="1:15" ht="15" thickTop="1" thickBot="1">
      <c r="A272" s="389" t="str">
        <f ca="1">IFERROR(MATCH(ROW(),OFFSET(ImpCalc!$E$1,$A$6-1,0,1,20),0),"")</f>
        <v/>
      </c>
      <c r="B272" s="40" t="str">
        <f t="shared" si="93"/>
        <v/>
      </c>
      <c r="C272" s="330"/>
    </row>
    <row r="273" spans="1:3" ht="15" thickTop="1" thickBot="1">
      <c r="A273" s="389" t="str">
        <f ca="1">IFERROR(MATCH(ROW(),OFFSET(ImpCalc!$E$1,$A$6-1,0,1,20),0),"")</f>
        <v/>
      </c>
      <c r="B273" s="40" t="str">
        <f t="shared" si="93"/>
        <v/>
      </c>
      <c r="C273" s="330"/>
    </row>
    <row r="274" spans="1:3" ht="15" thickTop="1" thickBot="1">
      <c r="A274" s="389" t="str">
        <f ca="1">IFERROR(MATCH(ROW(),OFFSET(ImpCalc!$E$1,$A$6-1,0,1,20),0),"")</f>
        <v/>
      </c>
      <c r="B274" s="40" t="str">
        <f t="shared" si="93"/>
        <v/>
      </c>
      <c r="C274" s="330"/>
    </row>
    <row r="275" spans="1:3" ht="15" thickTop="1" thickBot="1">
      <c r="A275" s="389" t="str">
        <f ca="1">IFERROR(MATCH(ROW(),OFFSET(ImpCalc!$E$1,$A$6-1,0,1,20),0),"")</f>
        <v/>
      </c>
      <c r="B275" s="40" t="str">
        <f t="shared" si="93"/>
        <v/>
      </c>
      <c r="C275" s="330"/>
    </row>
    <row r="276" spans="1:3" ht="15" thickTop="1" thickBot="1">
      <c r="A276" s="389" t="str">
        <f ca="1">IFERROR(MATCH(ROW(),OFFSET(ImpCalc!$E$1,$A$6-1,0,1,20),0),"")</f>
        <v/>
      </c>
      <c r="B276" s="40" t="str">
        <f t="shared" si="93"/>
        <v/>
      </c>
      <c r="C276" s="330"/>
    </row>
    <row r="277" spans="1:3" ht="15" thickTop="1" thickBot="1">
      <c r="A277" s="389" t="str">
        <f ca="1">IFERROR(MATCH(ROW(),OFFSET(ImpCalc!$E$1,$A$6-1,0,1,20),0),"")</f>
        <v/>
      </c>
      <c r="B277" s="40" t="str">
        <f t="shared" si="93"/>
        <v/>
      </c>
      <c r="C277" s="330"/>
    </row>
    <row r="278" spans="1:3" ht="15" thickTop="1" thickBot="1">
      <c r="A278" s="389" t="str">
        <f ca="1">IFERROR(MATCH(ROW(),OFFSET(ImpCalc!$E$1,$A$6-1,0,1,20),0),"")</f>
        <v/>
      </c>
      <c r="B278" s="40" t="str">
        <f t="shared" si="93"/>
        <v/>
      </c>
      <c r="C278" s="330"/>
    </row>
    <row r="279" spans="1:3" ht="15" thickTop="1" thickBot="1">
      <c r="A279" s="389" t="str">
        <f ca="1">IFERROR(MATCH(ROW(),OFFSET(ImpCalc!$E$1,$A$6-1,0,1,20),0),"")</f>
        <v/>
      </c>
      <c r="B279" s="40" t="str">
        <f t="shared" si="93"/>
        <v/>
      </c>
      <c r="C279" s="330"/>
    </row>
    <row r="280" spans="1:3" ht="15" thickTop="1" thickBot="1">
      <c r="A280" s="389" t="str">
        <f ca="1">IFERROR(MATCH(ROW(),OFFSET(ImpCalc!$E$1,$A$6-1,0,1,20),0),"")</f>
        <v/>
      </c>
      <c r="B280" s="40" t="str">
        <f t="shared" si="93"/>
        <v/>
      </c>
      <c r="C280" s="330"/>
    </row>
    <row r="281" spans="1:3" ht="15" thickTop="1" thickBot="1">
      <c r="A281" s="389" t="str">
        <f ca="1">IFERROR(MATCH(ROW(),OFFSET(ImpCalc!$E$1,$A$6-1,0,1,20),0),"")</f>
        <v/>
      </c>
      <c r="B281" s="40" t="str">
        <f t="shared" si="93"/>
        <v/>
      </c>
      <c r="C281" s="330"/>
    </row>
    <row r="282" spans="1:3" ht="15" thickTop="1" thickBot="1">
      <c r="A282" s="389" t="str">
        <f ca="1">IFERROR(MATCH(ROW(),OFFSET(ImpCalc!$E$1,$A$6-1,0,1,20),0),"")</f>
        <v/>
      </c>
      <c r="B282" s="40" t="str">
        <f t="shared" si="93"/>
        <v/>
      </c>
      <c r="C282" s="330"/>
    </row>
    <row r="283" spans="1:3" ht="15" thickTop="1" thickBot="1">
      <c r="A283" s="389" t="str">
        <f ca="1">IFERROR(MATCH(ROW(),OFFSET(ImpCalc!$E$1,$A$6-1,0,1,20),0),"")</f>
        <v/>
      </c>
      <c r="B283" s="40" t="str">
        <f t="shared" si="93"/>
        <v/>
      </c>
      <c r="C283" s="330"/>
    </row>
    <row r="284" spans="1:3" ht="15" thickTop="1" thickBot="1">
      <c r="A284" s="389" t="str">
        <f ca="1">IFERROR(MATCH(ROW(),OFFSET(ImpCalc!$E$1,$A$6-1,0,1,20),0),"")</f>
        <v/>
      </c>
      <c r="B284" s="40" t="str">
        <f t="shared" si="93"/>
        <v/>
      </c>
      <c r="C284" s="330"/>
    </row>
    <row r="285" spans="1:3" ht="15" thickTop="1" thickBot="1">
      <c r="A285" s="389" t="str">
        <f ca="1">IFERROR(MATCH(ROW(),OFFSET(ImpCalc!$E$1,$A$6-1,0,1,20),0),"")</f>
        <v/>
      </c>
      <c r="B285" s="40" t="str">
        <f t="shared" si="93"/>
        <v/>
      </c>
      <c r="C285" s="330"/>
    </row>
    <row r="286" spans="1:3" ht="15" thickTop="1" thickBot="1">
      <c r="A286" s="389" t="str">
        <f ca="1">IFERROR(MATCH(ROW(),OFFSET(ImpCalc!$E$1,$A$6-1,0,1,20),0),"")</f>
        <v/>
      </c>
      <c r="B286" s="40" t="str">
        <f t="shared" si="93"/>
        <v/>
      </c>
      <c r="C286" s="330"/>
    </row>
    <row r="287" spans="1:3" ht="15" thickTop="1" thickBot="1">
      <c r="A287" s="389" t="str">
        <f ca="1">IFERROR(MATCH(ROW(),OFFSET(ImpCalc!$E$1,$A$6-1,0,1,20),0),"")</f>
        <v/>
      </c>
      <c r="B287" s="40" t="str">
        <f t="shared" si="93"/>
        <v/>
      </c>
      <c r="C287" s="330"/>
    </row>
    <row r="288" spans="1:3" ht="15" thickTop="1" thickBot="1">
      <c r="A288" s="389" t="str">
        <f ca="1">IFERROR(MATCH(ROW(),OFFSET(ImpCalc!$E$1,$A$6-1,0,1,20),0),"")</f>
        <v/>
      </c>
      <c r="B288" s="40" t="str">
        <f t="shared" si="93"/>
        <v/>
      </c>
      <c r="C288" s="330"/>
    </row>
    <row r="289" spans="1:3" ht="15" thickTop="1" thickBot="1">
      <c r="A289" s="389" t="str">
        <f ca="1">IFERROR(MATCH(ROW(),OFFSET(ImpCalc!$E$1,$A$6-1,0,1,20),0),"")</f>
        <v/>
      </c>
      <c r="B289" s="40" t="str">
        <f t="shared" si="93"/>
        <v/>
      </c>
      <c r="C289" s="330"/>
    </row>
    <row r="290" spans="1:3" ht="15" thickTop="1" thickBot="1">
      <c r="A290" s="389" t="str">
        <f ca="1">IFERROR(MATCH(ROW(),OFFSET(ImpCalc!$E$1,$A$6-1,0,1,20),0),"")</f>
        <v/>
      </c>
      <c r="B290" s="40" t="str">
        <f t="shared" si="93"/>
        <v/>
      </c>
      <c r="C290" s="330"/>
    </row>
    <row r="291" spans="1:3" ht="15" thickTop="1" thickBot="1">
      <c r="A291" s="389" t="str">
        <f ca="1">IFERROR(MATCH(ROW(),OFFSET(ImpCalc!$E$1,$A$6-1,0,1,20),0),"")</f>
        <v/>
      </c>
      <c r="B291" s="40" t="str">
        <f t="shared" si="93"/>
        <v/>
      </c>
      <c r="C291" s="330"/>
    </row>
    <row r="292" spans="1:3" ht="15" thickTop="1" thickBot="1">
      <c r="A292" s="389" t="str">
        <f ca="1">IFERROR(MATCH(ROW(),OFFSET(ImpCalc!$E$1,$A$6-1,0,1,20),0),"")</f>
        <v/>
      </c>
      <c r="B292" s="40" t="str">
        <f t="shared" si="93"/>
        <v/>
      </c>
      <c r="C292" s="330"/>
    </row>
    <row r="293" spans="1:3" ht="15" thickTop="1" thickBot="1">
      <c r="A293" s="389" t="str">
        <f ca="1">IFERROR(MATCH(ROW(),OFFSET(ImpCalc!$E$1,$A$6-1,0,1,20),0),"")</f>
        <v/>
      </c>
      <c r="B293" s="40" t="str">
        <f t="shared" si="93"/>
        <v/>
      </c>
      <c r="C293" s="330"/>
    </row>
    <row r="294" spans="1:3" ht="15" thickTop="1" thickBot="1">
      <c r="A294" s="389" t="str">
        <f ca="1">IFERROR(MATCH(ROW(),OFFSET(ImpCalc!$E$1,$A$6-1,0,1,20),0),"")</f>
        <v/>
      </c>
      <c r="B294" s="40" t="str">
        <f t="shared" si="93"/>
        <v/>
      </c>
      <c r="C294" s="330"/>
    </row>
    <row r="295" spans="1:3" ht="15" thickTop="1" thickBot="1">
      <c r="A295" s="389" t="str">
        <f ca="1">IFERROR(MATCH(ROW(),OFFSET(ImpCalc!$E$1,$A$6-1,0,1,20),0),"")</f>
        <v/>
      </c>
      <c r="B295" s="40" t="str">
        <f t="shared" si="93"/>
        <v/>
      </c>
      <c r="C295" s="330"/>
    </row>
    <row r="296" spans="1:3" ht="15" thickTop="1" thickBot="1">
      <c r="A296" s="389" t="str">
        <f ca="1">IFERROR(MATCH(ROW(),OFFSET(ImpCalc!$E$1,$A$6-1,0,1,20),0),"")</f>
        <v/>
      </c>
      <c r="B296" s="40" t="str">
        <f t="shared" si="93"/>
        <v/>
      </c>
      <c r="C296" s="330"/>
    </row>
    <row r="297" spans="1:3" ht="13.8" thickTop="1"/>
  </sheetData>
  <sheetProtection selectLockedCells="1" selectUnlockedCells="1"/>
  <sortState ref="F103:F125">
    <sortCondition ref="F103"/>
  </sortState>
  <mergeCells count="1">
    <mergeCell ref="O37:O39"/>
  </mergeCells>
  <pageMargins left="0.25" right="0.25" top="0.75" bottom="0.75" header="0.3" footer="0.3"/>
  <pageSetup scale="71" fitToHeight="10" orientation="portrait" horizontalDpi="300" verticalDpi="300" r:id="rId1"/>
  <headerFooter>
    <oddFooter>&amp;LTDWI Business Intelligence ROI Calculator&amp;C&amp;A Worksheet&amp;R&amp;P of &amp;N</oddFooter>
  </headerFooter>
  <drawing r:id="rId2"/>
</worksheet>
</file>

<file path=xl/worksheets/sheet4.xml><?xml version="1.0" encoding="utf-8"?>
<worksheet xmlns="http://schemas.openxmlformats.org/spreadsheetml/2006/main" xmlns:r="http://schemas.openxmlformats.org/officeDocument/2006/relationships">
  <sheetPr codeName="Sheet3">
    <tabColor theme="3" tint="0.59999389629810485"/>
    <outlinePr summaryBelow="0" summaryRight="0"/>
    <pageSetUpPr fitToPage="1"/>
  </sheetPr>
  <dimension ref="A1:N80"/>
  <sheetViews>
    <sheetView showGridLines="0" workbookViewId="0">
      <pane xSplit="2" ySplit="3" topLeftCell="C76" activePane="bottomRight" state="frozen"/>
      <selection pane="topRight"/>
      <selection pane="bottomLeft"/>
      <selection pane="bottomRight" activeCell="F80" sqref="B80:F80"/>
    </sheetView>
  </sheetViews>
  <sheetFormatPr defaultRowHeight="13.2" outlineLevelRow="1"/>
  <cols>
    <col min="1" max="1" width="2.44140625" style="103" customWidth="1"/>
    <col min="2" max="2" width="43.6640625" customWidth="1"/>
    <col min="3" max="3" width="6.33203125" style="103" customWidth="1"/>
    <col min="4" max="4" width="6.33203125" style="103" bestFit="1" customWidth="1"/>
    <col min="5" max="5" width="13.109375" customWidth="1"/>
    <col min="6" max="7" width="13.109375" style="92" customWidth="1"/>
    <col min="8" max="9" width="13.109375" customWidth="1"/>
    <col min="10" max="10" width="30.6640625" style="103" customWidth="1"/>
    <col min="11" max="11" width="4.33203125" customWidth="1"/>
    <col min="12" max="12" width="5.109375" hidden="1" customWidth="1"/>
    <col min="13" max="13" width="6.33203125" hidden="1" customWidth="1"/>
    <col min="14" max="14" width="8.88671875" hidden="1" customWidth="1"/>
  </cols>
  <sheetData>
    <row r="1" spans="1:14" s="103" customFormat="1" ht="27.6">
      <c r="A1" s="11" t="s">
        <v>1173</v>
      </c>
      <c r="E1" s="11"/>
      <c r="F1" s="18"/>
      <c r="G1" s="18"/>
      <c r="H1" s="18"/>
      <c r="L1" s="417"/>
      <c r="M1" s="417"/>
      <c r="N1" s="417"/>
    </row>
    <row r="2" spans="1:14" s="103" customFormat="1" ht="40.5" customHeight="1">
      <c r="B2" s="11"/>
      <c r="C2" s="11"/>
      <c r="D2" s="11"/>
      <c r="E2" s="11"/>
      <c r="F2" s="18"/>
      <c r="G2" s="18"/>
      <c r="H2" s="18"/>
      <c r="L2" s="417"/>
      <c r="M2" s="417"/>
      <c r="N2" s="417"/>
    </row>
    <row r="3" spans="1:14" ht="26.4">
      <c r="A3" s="73"/>
      <c r="B3" s="73"/>
      <c r="C3" s="205" t="s">
        <v>34</v>
      </c>
      <c r="D3" s="249" t="s">
        <v>54</v>
      </c>
      <c r="E3" s="202">
        <v>1</v>
      </c>
      <c r="F3" s="205">
        <v>2</v>
      </c>
      <c r="G3" s="205">
        <v>3</v>
      </c>
      <c r="H3" s="205">
        <v>4</v>
      </c>
      <c r="I3" s="205">
        <v>5</v>
      </c>
      <c r="J3" s="481" t="s">
        <v>976</v>
      </c>
      <c r="L3" s="418" t="s">
        <v>34</v>
      </c>
      <c r="M3" s="418" t="s">
        <v>54</v>
      </c>
      <c r="N3" s="418" t="s">
        <v>1041</v>
      </c>
    </row>
    <row r="4" spans="1:14" ht="21.6" thickBot="1">
      <c r="A4" s="1" t="s">
        <v>337</v>
      </c>
    </row>
    <row r="5" spans="1:14" ht="72.599999999999994" outlineLevel="1" thickTop="1" thickBot="1">
      <c r="B5" s="40" t="s">
        <v>338</v>
      </c>
      <c r="C5" s="259">
        <f ca="1">L5</f>
        <v>2.8324031002236749</v>
      </c>
      <c r="D5" s="260">
        <f ca="1">M5</f>
        <v>3.6158120788144137</v>
      </c>
      <c r="E5" s="79" t="s">
        <v>368</v>
      </c>
      <c r="F5" s="79" t="s">
        <v>369</v>
      </c>
      <c r="G5" s="79" t="s">
        <v>370</v>
      </c>
      <c r="H5" s="79" t="s">
        <v>371</v>
      </c>
      <c r="I5" s="79" t="s">
        <v>372</v>
      </c>
      <c r="J5" s="79" t="str">
        <f ca="1">ImpCalc!BP119</f>
        <v>Source System Inclusion / Integration (45%); BI Applications (30%); Enhance BI Platform (20%)</v>
      </c>
      <c r="L5" s="339">
        <f ca="1">ImpCalc!IL119*4+1</f>
        <v>2.8324031002236749</v>
      </c>
      <c r="M5" s="339">
        <f ca="1">C5+(ImpCalc!D119*N5)*4</f>
        <v>3.6158120788144137</v>
      </c>
      <c r="N5" s="253">
        <v>0.5</v>
      </c>
    </row>
    <row r="6" spans="1:14" ht="62.4" outlineLevel="1" thickTop="1" thickBot="1">
      <c r="B6" s="40" t="s">
        <v>339</v>
      </c>
      <c r="C6" s="259">
        <f t="shared" ref="C6:C9" ca="1" si="0">L6</f>
        <v>2.7934758811054428</v>
      </c>
      <c r="D6" s="260">
        <f t="shared" ref="D6:D9" ca="1" si="1">M6</f>
        <v>4.0631503408139524</v>
      </c>
      <c r="E6" s="79" t="s">
        <v>373</v>
      </c>
      <c r="F6" s="79" t="s">
        <v>374</v>
      </c>
      <c r="G6" s="79" t="s">
        <v>375</v>
      </c>
      <c r="H6" s="79" t="s">
        <v>376</v>
      </c>
      <c r="I6" s="79" t="s">
        <v>377</v>
      </c>
      <c r="J6" s="79" t="str">
        <f ca="1">ImpCalc!BP120</f>
        <v>Enhance BI Platform (38%); BI Applications (29%); Source System Inclusion / Integration (29%)</v>
      </c>
      <c r="L6" s="339">
        <f ca="1">ImpCalc!IL120*4+1</f>
        <v>2.7934758811054428</v>
      </c>
      <c r="M6" s="339">
        <f ca="1">C6+(ImpCalc!D120*N6)*4</f>
        <v>4.0631503408139524</v>
      </c>
      <c r="N6" s="253">
        <v>0.8</v>
      </c>
    </row>
    <row r="7" spans="1:14" ht="40.799999999999997" outlineLevel="1" thickTop="1" thickBot="1">
      <c r="B7" s="40" t="s">
        <v>673</v>
      </c>
      <c r="C7" s="259">
        <f t="shared" ca="1" si="0"/>
        <v>2.7804777265739418</v>
      </c>
      <c r="D7" s="260">
        <f t="shared" ca="1" si="1"/>
        <v>4.3908389618966766</v>
      </c>
      <c r="E7" s="79" t="s">
        <v>674</v>
      </c>
      <c r="F7" s="79" t="s">
        <v>515</v>
      </c>
      <c r="G7" s="79" t="s">
        <v>516</v>
      </c>
      <c r="H7" s="79" t="s">
        <v>517</v>
      </c>
      <c r="I7" s="79" t="s">
        <v>518</v>
      </c>
      <c r="J7" s="79" t="str">
        <f ca="1">ImpCalc!BP121</f>
        <v>Source System Inclusion / Integration (41%); BI Applications (32%); Enhance BI Platform (24%)</v>
      </c>
      <c r="L7" s="339">
        <f ca="1">ImpCalc!IL121*4+1</f>
        <v>2.7804777265739418</v>
      </c>
      <c r="M7" s="339">
        <f ca="1">C7+(ImpCalc!D121*N7)*4</f>
        <v>4.3908389618966766</v>
      </c>
      <c r="N7" s="253">
        <v>1</v>
      </c>
    </row>
    <row r="8" spans="1:14" ht="58.8" outlineLevel="1" thickTop="1" thickBot="1">
      <c r="B8" s="40" t="s">
        <v>672</v>
      </c>
      <c r="C8" s="259">
        <f t="shared" ca="1" si="0"/>
        <v>2.3666514816502038</v>
      </c>
      <c r="D8" s="260">
        <f t="shared" ca="1" si="1"/>
        <v>4.188853457183809</v>
      </c>
      <c r="E8" s="79" t="s">
        <v>378</v>
      </c>
      <c r="F8" s="79" t="s">
        <v>379</v>
      </c>
      <c r="G8" s="79" t="s">
        <v>380</v>
      </c>
      <c r="H8" s="79" t="s">
        <v>381</v>
      </c>
      <c r="I8" s="79" t="s">
        <v>382</v>
      </c>
      <c r="J8" s="79" t="str">
        <f ca="1">ImpCalc!BP122</f>
        <v>BI Applications (100%)</v>
      </c>
      <c r="L8" s="339">
        <f ca="1">ImpCalc!IL122*4+1</f>
        <v>2.3666514816502038</v>
      </c>
      <c r="M8" s="339">
        <f ca="1">C8+(ImpCalc!D122*N8)*4</f>
        <v>4.188853457183809</v>
      </c>
      <c r="N8" s="253">
        <v>1</v>
      </c>
    </row>
    <row r="9" spans="1:14" ht="40.799999999999997" outlineLevel="1" thickTop="1" thickBot="1">
      <c r="B9" s="40" t="s">
        <v>340</v>
      </c>
      <c r="C9" s="259">
        <f t="shared" ca="1" si="0"/>
        <v>2.8041240308411823</v>
      </c>
      <c r="D9" s="260">
        <f t="shared" ca="1" si="1"/>
        <v>4.0695948627230756</v>
      </c>
      <c r="E9" s="79" t="s">
        <v>378</v>
      </c>
      <c r="F9" s="79" t="s">
        <v>379</v>
      </c>
      <c r="G9" s="79" t="s">
        <v>380</v>
      </c>
      <c r="H9" s="79" t="s">
        <v>381</v>
      </c>
      <c r="I9" s="79" t="s">
        <v>382</v>
      </c>
      <c r="J9" s="79" t="str">
        <f ca="1">ImpCalc!BP123</f>
        <v>Source System Inclusion / Integration (37%); BI Applications (31%); Enhance BI Platform (28%)</v>
      </c>
      <c r="L9" s="339">
        <f ca="1">ImpCalc!IL123*4+1</f>
        <v>2.8041240308411823</v>
      </c>
      <c r="M9" s="339">
        <f ca="1">C9+(ImpCalc!D123*N9)*4</f>
        <v>4.0695948627230756</v>
      </c>
      <c r="N9" s="253">
        <v>0.8</v>
      </c>
    </row>
    <row r="10" spans="1:14" s="103" customFormat="1" ht="13.8" outlineLevel="1" thickTop="1">
      <c r="B10" s="212" t="s">
        <v>534</v>
      </c>
      <c r="C10" s="261">
        <f ca="1">AVERAGE(C5:C9)</f>
        <v>2.7154264440788891</v>
      </c>
      <c r="D10" s="261">
        <f ca="1">AVERAGE(D5:D9)</f>
        <v>4.0656499402863853</v>
      </c>
      <c r="L10" s="261">
        <f ca="1">AVERAGE(L5:L9)</f>
        <v>2.7154264440788891</v>
      </c>
      <c r="M10" s="261">
        <f ca="1">AVERAGE(M5:M9)</f>
        <v>4.0656499402863853</v>
      </c>
    </row>
    <row r="11" spans="1:14" s="103" customFormat="1" ht="21.6" thickBot="1">
      <c r="A11" s="1" t="s">
        <v>529</v>
      </c>
    </row>
    <row r="12" spans="1:14" ht="62.4" outlineLevel="1" thickTop="1" thickBot="1">
      <c r="B12" s="40" t="s">
        <v>341</v>
      </c>
      <c r="C12" s="259">
        <f t="shared" ref="C12:C16" ca="1" si="2">L12</f>
        <v>3.4133132223898133</v>
      </c>
      <c r="D12" s="260">
        <f t="shared" ref="D12:D16" ca="1" si="3">M12</f>
        <v>4.0730410579911833</v>
      </c>
      <c r="E12" s="79" t="s">
        <v>383</v>
      </c>
      <c r="F12" s="79" t="s">
        <v>384</v>
      </c>
      <c r="G12" s="79" t="s">
        <v>385</v>
      </c>
      <c r="H12" s="79" t="s">
        <v>386</v>
      </c>
      <c r="I12" s="79" t="s">
        <v>387</v>
      </c>
      <c r="J12" s="79" t="str">
        <f ca="1">ImpCalc!BP126</f>
        <v>Enhance BI Platform (48%); Governance (45%); Enhance DW Platform (6%)</v>
      </c>
      <c r="L12" s="339">
        <f ca="1">ImpCalc!IL126*4+1</f>
        <v>3.4133132223898133</v>
      </c>
      <c r="M12" s="339">
        <f ca="1">C12+(ImpCalc!D126*N12)*4</f>
        <v>4.0730410579911833</v>
      </c>
      <c r="N12" s="253">
        <v>0.8</v>
      </c>
    </row>
    <row r="13" spans="1:14" ht="62.4" outlineLevel="1" thickTop="1" thickBot="1">
      <c r="B13" s="40" t="s">
        <v>342</v>
      </c>
      <c r="C13" s="259">
        <f t="shared" ca="1" si="2"/>
        <v>2.7934758811054428</v>
      </c>
      <c r="D13" s="260">
        <f t="shared" ca="1" si="3"/>
        <v>4.3012143020092974</v>
      </c>
      <c r="E13" s="79" t="s">
        <v>388</v>
      </c>
      <c r="F13" s="79" t="s">
        <v>389</v>
      </c>
      <c r="G13" s="79" t="s">
        <v>390</v>
      </c>
      <c r="H13" s="79" t="s">
        <v>391</v>
      </c>
      <c r="I13" s="79" t="s">
        <v>392</v>
      </c>
      <c r="J13" s="79" t="str">
        <f ca="1">ImpCalc!BP127</f>
        <v>Enhance BI Platform (38%); BI Applications (29%); Source System Inclusion / Integration (29%)</v>
      </c>
      <c r="L13" s="339">
        <f ca="1">ImpCalc!IL127*4+1</f>
        <v>2.7934758811054428</v>
      </c>
      <c r="M13" s="339">
        <f ca="1">C13+(ImpCalc!D127*N13)*4</f>
        <v>4.3012143020092974</v>
      </c>
      <c r="N13" s="253">
        <v>0.95</v>
      </c>
    </row>
    <row r="14" spans="1:14" ht="68.400000000000006" outlineLevel="1" thickTop="1" thickBot="1">
      <c r="B14" s="40" t="s">
        <v>670</v>
      </c>
      <c r="C14" s="259">
        <f t="shared" ca="1" si="2"/>
        <v>3.0239105206658894</v>
      </c>
      <c r="D14" s="260">
        <f t="shared" ca="1" si="3"/>
        <v>4.1881855833198864</v>
      </c>
      <c r="E14" s="79" t="s">
        <v>393</v>
      </c>
      <c r="F14" s="79" t="s">
        <v>394</v>
      </c>
      <c r="G14" s="79" t="s">
        <v>395</v>
      </c>
      <c r="H14" s="79" t="s">
        <v>396</v>
      </c>
      <c r="I14" s="79" t="s">
        <v>397</v>
      </c>
      <c r="J14" s="79" t="str">
        <f ca="1">ImpCalc!BP128</f>
        <v>Enhance BI Platform (33%); BI Applications (25%); Source System Inclusion / Integration (25%); Governance (12%)</v>
      </c>
      <c r="L14" s="339">
        <f ca="1">ImpCalc!IL128*4+1</f>
        <v>3.0239105206658894</v>
      </c>
      <c r="M14" s="339">
        <f ca="1">C14+(ImpCalc!D128*N14)*4</f>
        <v>4.1881855833198864</v>
      </c>
      <c r="N14" s="253">
        <v>0.9</v>
      </c>
    </row>
    <row r="15" spans="1:14" ht="52.2" outlineLevel="1" thickTop="1" thickBot="1">
      <c r="B15" s="40" t="s">
        <v>343</v>
      </c>
      <c r="C15" s="259">
        <f t="shared" ca="1" si="2"/>
        <v>3.277382552481177</v>
      </c>
      <c r="D15" s="260">
        <f t="shared" ca="1" si="3"/>
        <v>3.7628003274125046</v>
      </c>
      <c r="E15" s="79" t="s">
        <v>398</v>
      </c>
      <c r="F15" s="79" t="s">
        <v>399</v>
      </c>
      <c r="G15" s="79" t="s">
        <v>400</v>
      </c>
      <c r="H15" s="79" t="s">
        <v>401</v>
      </c>
      <c r="I15" s="79" t="s">
        <v>402</v>
      </c>
      <c r="J15" s="79" t="str">
        <f ca="1">ImpCalc!BP129</f>
        <v>Governance (26%); Enhance BI Platform (25%); BI Applications (19%); Source System Inclusion / Integration (19%); Architecture (9%)</v>
      </c>
      <c r="L15" s="339">
        <f ca="1">ImpCalc!IL129*4+1</f>
        <v>3.277382552481177</v>
      </c>
      <c r="M15" s="339">
        <f ca="1">C15+(ImpCalc!D129*N15)*4</f>
        <v>3.7628003274125046</v>
      </c>
      <c r="N15" s="253">
        <v>0.5</v>
      </c>
    </row>
    <row r="16" spans="1:14" ht="82.8" outlineLevel="1" thickTop="1" thickBot="1">
      <c r="B16" s="40" t="s">
        <v>344</v>
      </c>
      <c r="C16" s="259">
        <f t="shared" ca="1" si="2"/>
        <v>3.5999800001538449</v>
      </c>
      <c r="D16" s="260">
        <f t="shared" ca="1" si="3"/>
        <v>4.0479765540265076</v>
      </c>
      <c r="E16" s="79" t="s">
        <v>403</v>
      </c>
      <c r="F16" s="79" t="s">
        <v>399</v>
      </c>
      <c r="G16" s="79" t="s">
        <v>404</v>
      </c>
      <c r="H16" s="79" t="s">
        <v>401</v>
      </c>
      <c r="I16" s="79" t="s">
        <v>405</v>
      </c>
      <c r="J16" s="79" t="str">
        <f ca="1">ImpCalc!BP130</f>
        <v>Governance (62%); Architecture (38%)</v>
      </c>
      <c r="L16" s="339">
        <f ca="1">ImpCalc!IL130*4+1</f>
        <v>3.5999800001538449</v>
      </c>
      <c r="M16" s="339">
        <f ca="1">C16+(ImpCalc!D130*N16)*4</f>
        <v>4.0479765540265076</v>
      </c>
      <c r="N16" s="253">
        <v>0.8</v>
      </c>
    </row>
    <row r="17" spans="1:14" s="103" customFormat="1" ht="13.8" outlineLevel="1" thickTop="1">
      <c r="B17" s="212" t="s">
        <v>534</v>
      </c>
      <c r="C17" s="261">
        <f ca="1">AVERAGE(C12:C16)</f>
        <v>3.2216124353592335</v>
      </c>
      <c r="D17" s="261">
        <f ca="1">AVERAGE(D12:D16)</f>
        <v>4.0746435649518764</v>
      </c>
      <c r="L17" s="261">
        <f ca="1">AVERAGE(L12:L16)</f>
        <v>3.2216124353592335</v>
      </c>
      <c r="M17" s="261">
        <f ca="1">AVERAGE(M12:M16)</f>
        <v>4.0746435649518764</v>
      </c>
    </row>
    <row r="18" spans="1:14" s="103" customFormat="1" ht="21.6" thickBot="1">
      <c r="A18" s="1" t="s">
        <v>530</v>
      </c>
    </row>
    <row r="19" spans="1:14" ht="52.2" outlineLevel="1" thickTop="1" thickBot="1">
      <c r="B19" s="40" t="s">
        <v>345</v>
      </c>
      <c r="C19" s="259">
        <f t="shared" ref="C19:C23" ca="1" si="4">L19</f>
        <v>2.979596115772515</v>
      </c>
      <c r="D19" s="260">
        <f t="shared" ref="D19:D23" ca="1" si="5">M19</f>
        <v>4.059654121765421</v>
      </c>
      <c r="E19" s="79" t="s">
        <v>406</v>
      </c>
      <c r="F19" s="79" t="s">
        <v>407</v>
      </c>
      <c r="G19" s="79" t="s">
        <v>408</v>
      </c>
      <c r="H19" s="79" t="s">
        <v>409</v>
      </c>
      <c r="I19" s="79" t="s">
        <v>410</v>
      </c>
      <c r="J19" s="79" t="str">
        <f ca="1">ImpCalc!BP133</f>
        <v>Enhance BI Platform (34%); BI Applications (26%); Source System Inclusion / Integration (26%); Governance (10%)</v>
      </c>
      <c r="L19" s="339">
        <f ca="1">ImpCalc!IL133*4+1</f>
        <v>2.979596115772515</v>
      </c>
      <c r="M19" s="339">
        <f ca="1">C19+(ImpCalc!D133*N19)*4</f>
        <v>4.059654121765421</v>
      </c>
      <c r="N19" s="253">
        <v>0.8</v>
      </c>
    </row>
    <row r="20" spans="1:14" ht="42" outlineLevel="1" thickTop="1" thickBot="1">
      <c r="B20" s="40" t="s">
        <v>346</v>
      </c>
      <c r="C20" s="259">
        <f t="shared" ca="1" si="4"/>
        <v>2.979596115772515</v>
      </c>
      <c r="D20" s="260">
        <f t="shared" ca="1" si="5"/>
        <v>4.059654121765421</v>
      </c>
      <c r="E20" s="79" t="s">
        <v>411</v>
      </c>
      <c r="F20" s="79" t="s">
        <v>412</v>
      </c>
      <c r="G20" s="79" t="s">
        <v>413</v>
      </c>
      <c r="H20" s="79" t="s">
        <v>414</v>
      </c>
      <c r="I20" s="79" t="s">
        <v>415</v>
      </c>
      <c r="J20" s="79" t="str">
        <f ca="1">ImpCalc!BP134</f>
        <v>Enhance BI Platform (34%); BI Applications (26%); Source System Inclusion / Integration (26%); Governance (10%)</v>
      </c>
      <c r="L20" s="339">
        <f ca="1">ImpCalc!IL134*4+1</f>
        <v>2.979596115772515</v>
      </c>
      <c r="M20" s="339">
        <f ca="1">C20+(ImpCalc!D134*N20)*4</f>
        <v>4.059654121765421</v>
      </c>
      <c r="N20" s="253">
        <v>0.8</v>
      </c>
    </row>
    <row r="21" spans="1:14" ht="40.799999999999997" outlineLevel="1" thickTop="1" thickBot="1">
      <c r="B21" s="40" t="s">
        <v>347</v>
      </c>
      <c r="C21" s="259">
        <f t="shared" ca="1" si="4"/>
        <v>2.7934758811054428</v>
      </c>
      <c r="D21" s="260">
        <f t="shared" ca="1" si="5"/>
        <v>3.9837956870821705</v>
      </c>
      <c r="E21" s="79">
        <v>0</v>
      </c>
      <c r="F21" s="262" t="s">
        <v>671</v>
      </c>
      <c r="G21" s="79" t="s">
        <v>416</v>
      </c>
      <c r="H21" s="79" t="s">
        <v>730</v>
      </c>
      <c r="I21" s="79" t="s">
        <v>731</v>
      </c>
      <c r="J21" s="79" t="str">
        <f ca="1">ImpCalc!BP135</f>
        <v>Enhance BI Platform (38%); BI Applications (29%); Source System Inclusion / Integration (29%)</v>
      </c>
      <c r="L21" s="339">
        <f ca="1">ImpCalc!IL135*4+1</f>
        <v>2.7934758811054428</v>
      </c>
      <c r="M21" s="339">
        <f ca="1">C21+(ImpCalc!D135*N21)*4</f>
        <v>3.9837956870821705</v>
      </c>
      <c r="N21" s="253">
        <v>0.75</v>
      </c>
    </row>
    <row r="22" spans="1:14" ht="72.599999999999994" outlineLevel="1" thickTop="1" thickBot="1">
      <c r="B22" s="40" t="s">
        <v>348</v>
      </c>
      <c r="C22" s="259">
        <f t="shared" ca="1" si="4"/>
        <v>2.7934758811054428</v>
      </c>
      <c r="D22" s="260">
        <f t="shared" ca="1" si="5"/>
        <v>4.3805689557410794</v>
      </c>
      <c r="E22" s="79" t="s">
        <v>417</v>
      </c>
      <c r="F22" s="79" t="s">
        <v>418</v>
      </c>
      <c r="G22" s="79" t="s">
        <v>419</v>
      </c>
      <c r="H22" s="79" t="s">
        <v>420</v>
      </c>
      <c r="I22" s="79" t="s">
        <v>421</v>
      </c>
      <c r="J22" s="79" t="str">
        <f ca="1">ImpCalc!BP136</f>
        <v>Enhance BI Platform (38%); BI Applications (29%); Source System Inclusion / Integration (29%)</v>
      </c>
      <c r="L22" s="339">
        <f ca="1">ImpCalc!IL136*4+1</f>
        <v>2.7934758811054428</v>
      </c>
      <c r="M22" s="339">
        <f ca="1">C22+(ImpCalc!D136*N22)*4</f>
        <v>4.3805689557410794</v>
      </c>
      <c r="N22" s="253">
        <v>1</v>
      </c>
    </row>
    <row r="23" spans="1:14" ht="72.599999999999994" outlineLevel="1" thickTop="1" thickBot="1">
      <c r="B23" s="40" t="s">
        <v>349</v>
      </c>
      <c r="C23" s="259">
        <f t="shared" ca="1" si="4"/>
        <v>2.7934758811054428</v>
      </c>
      <c r="D23" s="260">
        <f t="shared" ca="1" si="5"/>
        <v>4.0631503408139524</v>
      </c>
      <c r="E23" s="79" t="s">
        <v>422</v>
      </c>
      <c r="F23" s="79" t="s">
        <v>399</v>
      </c>
      <c r="G23" s="79" t="s">
        <v>423</v>
      </c>
      <c r="H23" s="79" t="s">
        <v>401</v>
      </c>
      <c r="I23" s="79" t="s">
        <v>424</v>
      </c>
      <c r="J23" s="79" t="str">
        <f ca="1">ImpCalc!BP137</f>
        <v>Enhance BI Platform (38%); BI Applications (29%); Source System Inclusion / Integration (29%)</v>
      </c>
      <c r="L23" s="339">
        <f ca="1">ImpCalc!IL137*4+1</f>
        <v>2.7934758811054428</v>
      </c>
      <c r="M23" s="339">
        <f ca="1">C23+(ImpCalc!D137*N23)*4</f>
        <v>4.0631503408139524</v>
      </c>
      <c r="N23" s="253">
        <v>0.8</v>
      </c>
    </row>
    <row r="24" spans="1:14" s="103" customFormat="1" ht="13.8" outlineLevel="1" thickTop="1">
      <c r="B24" s="212" t="s">
        <v>534</v>
      </c>
      <c r="C24" s="261">
        <f ca="1">AVERAGE(C19:C23)</f>
        <v>2.867923974972272</v>
      </c>
      <c r="D24" s="261">
        <f ca="1">AVERAGE(D19:D23)</f>
        <v>4.109364645433609</v>
      </c>
      <c r="L24" s="261">
        <f ca="1">AVERAGE(L19:L23)</f>
        <v>2.867923974972272</v>
      </c>
      <c r="M24" s="261">
        <f ca="1">AVERAGE(M19:M23)</f>
        <v>4.109364645433609</v>
      </c>
    </row>
    <row r="25" spans="1:14" s="103" customFormat="1" ht="21.6" thickBot="1">
      <c r="A25" s="1" t="s">
        <v>531</v>
      </c>
    </row>
    <row r="26" spans="1:14" ht="31.8" outlineLevel="1" thickTop="1" thickBot="1">
      <c r="B26" s="40" t="s">
        <v>425</v>
      </c>
      <c r="C26" s="259">
        <f t="shared" ref="C26:C30" ca="1" si="6">L26</f>
        <v>2.7934758811054428</v>
      </c>
      <c r="D26" s="260">
        <f t="shared" ref="D26:D30" ca="1" si="7">M26</f>
        <v>4.2218596482775155</v>
      </c>
      <c r="E26" s="79" t="s">
        <v>426</v>
      </c>
      <c r="F26" s="79" t="s">
        <v>427</v>
      </c>
      <c r="G26" s="79" t="s">
        <v>428</v>
      </c>
      <c r="H26" s="79" t="s">
        <v>429</v>
      </c>
      <c r="I26" s="79" t="s">
        <v>430</v>
      </c>
      <c r="J26" s="79" t="str">
        <f ca="1">ImpCalc!BP140</f>
        <v>Enhance BI Platform (38%); BI Applications (29%); Source System Inclusion / Integration (29%)</v>
      </c>
      <c r="L26" s="339">
        <f ca="1">ImpCalc!IL140*4+1</f>
        <v>2.7934758811054428</v>
      </c>
      <c r="M26" s="339">
        <f ca="1">C26+(ImpCalc!D140*N26)*4</f>
        <v>4.2218596482775155</v>
      </c>
      <c r="N26" s="253">
        <v>0.9</v>
      </c>
    </row>
    <row r="27" spans="1:14" ht="31.8" outlineLevel="1" thickTop="1" thickBot="1">
      <c r="B27" s="40" t="s">
        <v>350</v>
      </c>
      <c r="C27" s="259">
        <f t="shared" ca="1" si="6"/>
        <v>3.0623163579353725</v>
      </c>
      <c r="D27" s="260">
        <f t="shared" ca="1" si="7"/>
        <v>3.9958637511612336</v>
      </c>
      <c r="E27" s="79" t="s">
        <v>431</v>
      </c>
      <c r="F27" s="79" t="s">
        <v>432</v>
      </c>
      <c r="G27" s="79" t="s">
        <v>433</v>
      </c>
      <c r="H27" s="79" t="s">
        <v>434</v>
      </c>
      <c r="I27" s="79" t="s">
        <v>435</v>
      </c>
      <c r="J27" s="79" t="str">
        <f ca="1">ImpCalc!BP141</f>
        <v>Enhance BI Platform (32%); BI Applications (24%); Source System Inclusion / Integration (24%); Governance (10%)</v>
      </c>
      <c r="L27" s="339">
        <f ca="1">ImpCalc!IL141*4+1</f>
        <v>3.0623163579353725</v>
      </c>
      <c r="M27" s="339">
        <f ca="1">C27+(ImpCalc!D141*N27)*4</f>
        <v>3.9958637511612336</v>
      </c>
      <c r="N27" s="253">
        <v>0.75</v>
      </c>
    </row>
    <row r="28" spans="1:14" ht="52.2" outlineLevel="1" thickTop="1" thickBot="1">
      <c r="B28" s="40" t="s">
        <v>351</v>
      </c>
      <c r="C28" s="259">
        <f t="shared" ca="1" si="6"/>
        <v>2.7934758811054428</v>
      </c>
      <c r="D28" s="260">
        <f t="shared" ca="1" si="7"/>
        <v>4.2218596482775155</v>
      </c>
      <c r="E28" s="79" t="s">
        <v>436</v>
      </c>
      <c r="F28" s="79" t="s">
        <v>437</v>
      </c>
      <c r="G28" s="79" t="s">
        <v>438</v>
      </c>
      <c r="H28" s="79" t="s">
        <v>439</v>
      </c>
      <c r="I28" s="79" t="s">
        <v>440</v>
      </c>
      <c r="J28" s="79" t="str">
        <f ca="1">ImpCalc!BP142</f>
        <v>Enhance BI Platform (38%); BI Applications (29%); Source System Inclusion / Integration (29%)</v>
      </c>
      <c r="L28" s="339">
        <f ca="1">ImpCalc!IL142*4+1</f>
        <v>2.7934758811054428</v>
      </c>
      <c r="M28" s="339">
        <f ca="1">C28+(ImpCalc!D142*N28)*4</f>
        <v>4.2218596482775155</v>
      </c>
      <c r="N28" s="253">
        <v>0.9</v>
      </c>
    </row>
    <row r="29" spans="1:14" ht="52.2" outlineLevel="1" thickTop="1" thickBot="1">
      <c r="B29" s="40" t="s">
        <v>612</v>
      </c>
      <c r="C29" s="259">
        <f t="shared" ca="1" si="6"/>
        <v>2.3467368128390378</v>
      </c>
      <c r="D29" s="260">
        <f t="shared" ca="1" si="7"/>
        <v>4.2786017431998076</v>
      </c>
      <c r="E29" s="79" t="s">
        <v>441</v>
      </c>
      <c r="F29" s="79" t="s">
        <v>442</v>
      </c>
      <c r="G29" s="79" t="s">
        <v>443</v>
      </c>
      <c r="H29" s="79" t="s">
        <v>444</v>
      </c>
      <c r="I29" s="79" t="s">
        <v>445</v>
      </c>
      <c r="J29" s="79" t="str">
        <f ca="1">ImpCalc!BP143</f>
        <v>Analytical Tools (29%); Workflow and Collaboration (18%); Enhance BI Platform (15%); BI Applications (11%); Source System Inclusion / Integration (11%); Scorecards / Dashboards (10%)</v>
      </c>
      <c r="L29" s="339">
        <f ca="1">ImpCalc!IL143*4+1</f>
        <v>2.3467368128390378</v>
      </c>
      <c r="M29" s="339">
        <f ca="1">C29+(ImpCalc!D143*N29)*4</f>
        <v>4.2786017431998076</v>
      </c>
      <c r="N29" s="253">
        <v>0.95</v>
      </c>
    </row>
    <row r="30" spans="1:14" ht="52.2" outlineLevel="1" thickTop="1" thickBot="1">
      <c r="B30" s="40" t="s">
        <v>613</v>
      </c>
      <c r="C30" s="259">
        <f t="shared" ca="1" si="6"/>
        <v>2.3082106429908844</v>
      </c>
      <c r="D30" s="260">
        <f t="shared" ca="1" si="7"/>
        <v>4.278757104491083</v>
      </c>
      <c r="E30" s="79" t="s">
        <v>441</v>
      </c>
      <c r="F30" s="79" t="s">
        <v>442</v>
      </c>
      <c r="G30" s="79" t="s">
        <v>443</v>
      </c>
      <c r="H30" s="79" t="s">
        <v>444</v>
      </c>
      <c r="I30" s="79" t="s">
        <v>445</v>
      </c>
      <c r="J30" s="79" t="str">
        <f ca="1">ImpCalc!BP144</f>
        <v>Broad-reach analytic tools (21%); Workflow and Collaboration (21%); Scorecards / Dashboards (17%); BI Applications (10%); Source System Inclusion / Integration (10%); Enhance BI Platform (9%); Reporting (7%)</v>
      </c>
      <c r="L30" s="339">
        <f ca="1">ImpCalc!IL144*4+1</f>
        <v>2.3082106429908844</v>
      </c>
      <c r="M30" s="339">
        <f ca="1">C30+(ImpCalc!D144*N30)*4</f>
        <v>4.278757104491083</v>
      </c>
      <c r="N30" s="253">
        <v>0.95</v>
      </c>
    </row>
    <row r="31" spans="1:14" s="103" customFormat="1" ht="13.8" outlineLevel="1" thickTop="1">
      <c r="B31" s="212" t="s">
        <v>534</v>
      </c>
      <c r="C31" s="261">
        <f ca="1">AVERAGE(C26:C30)</f>
        <v>2.6608431151952354</v>
      </c>
      <c r="D31" s="261">
        <f ca="1">AVERAGE(D26:D30)</f>
        <v>4.199388379081431</v>
      </c>
      <c r="L31" s="261">
        <f ca="1">AVERAGE(L26:L30)</f>
        <v>2.6608431151952354</v>
      </c>
      <c r="M31" s="261">
        <f ca="1">AVERAGE(M26:M30)</f>
        <v>4.199388379081431</v>
      </c>
    </row>
    <row r="32" spans="1:14" s="103" customFormat="1" ht="21.6" thickBot="1">
      <c r="A32" s="1" t="s">
        <v>336</v>
      </c>
    </row>
    <row r="33" spans="1:14" ht="72.599999999999994" outlineLevel="1" thickTop="1" thickBot="1">
      <c r="B33" s="40" t="s">
        <v>1042</v>
      </c>
      <c r="C33" s="259">
        <f t="shared" ref="C33:C37" ca="1" si="8">L33</f>
        <v>3.782670731870974</v>
      </c>
      <c r="D33" s="260">
        <f t="shared" ref="D33:D37" ca="1" si="9">M33</f>
        <v>4.4003301282980907</v>
      </c>
      <c r="E33" s="79" t="s">
        <v>446</v>
      </c>
      <c r="F33" s="79" t="s">
        <v>447</v>
      </c>
      <c r="G33" s="79" t="s">
        <v>448</v>
      </c>
      <c r="H33" s="79" t="s">
        <v>449</v>
      </c>
      <c r="I33" s="79" t="s">
        <v>450</v>
      </c>
      <c r="J33" s="79" t="str">
        <f ca="1">ImpCalc!BP147</f>
        <v>Source System Inclusion / Integration (70%); Data Integration/ETL (22%); Data Warehouse / Data Marts (8%)</v>
      </c>
      <c r="L33" s="339">
        <f ca="1">ImpCalc!IL147*4+1</f>
        <v>3.782670731870974</v>
      </c>
      <c r="M33" s="339">
        <f ca="1">C33+(ImpCalc!D147*N33)*4</f>
        <v>4.4003301282980907</v>
      </c>
      <c r="N33" s="253">
        <v>1</v>
      </c>
    </row>
    <row r="34" spans="1:14" ht="52.2" outlineLevel="1" thickTop="1" thickBot="1">
      <c r="B34" s="40" t="s">
        <v>352</v>
      </c>
      <c r="C34" s="259">
        <f t="shared" ca="1" si="8"/>
        <v>2.7765538128735709</v>
      </c>
      <c r="D34" s="260">
        <f t="shared" ca="1" si="9"/>
        <v>4.2927726609768726</v>
      </c>
      <c r="E34" s="79" t="s">
        <v>451</v>
      </c>
      <c r="F34" s="79" t="s">
        <v>399</v>
      </c>
      <c r="G34" s="79" t="s">
        <v>452</v>
      </c>
      <c r="H34" s="79" t="s">
        <v>401</v>
      </c>
      <c r="I34" s="79" t="s">
        <v>453</v>
      </c>
      <c r="J34" s="79" t="str">
        <f ca="1">ImpCalc!BP148</f>
        <v>BI Applications (32%); Enhance BI Platform (32%); Source System Inclusion / Integration (24%); Architecture (12%)</v>
      </c>
      <c r="L34" s="339">
        <f ca="1">ImpCalc!IL148*4+1</f>
        <v>2.7765538128735709</v>
      </c>
      <c r="M34" s="339">
        <f ca="1">C34+(ImpCalc!D148*N34)*4</f>
        <v>4.2927726609768726</v>
      </c>
      <c r="N34" s="253">
        <v>1</v>
      </c>
    </row>
    <row r="35" spans="1:14" ht="40.799999999999997" outlineLevel="1" thickTop="1" thickBot="1">
      <c r="B35" s="40" t="s">
        <v>353</v>
      </c>
      <c r="C35" s="259">
        <f t="shared" ca="1" si="8"/>
        <v>3.9466470223531847</v>
      </c>
      <c r="D35" s="260">
        <f t="shared" ca="1" si="9"/>
        <v>4.314644569036207</v>
      </c>
      <c r="E35" s="79" t="s">
        <v>454</v>
      </c>
      <c r="F35" s="79" t="s">
        <v>455</v>
      </c>
      <c r="G35" s="79" t="s">
        <v>456</v>
      </c>
      <c r="H35" s="79" t="s">
        <v>457</v>
      </c>
      <c r="I35" s="79" t="s">
        <v>458</v>
      </c>
      <c r="J35" s="79" t="str">
        <f ca="1">ImpCalc!BP149</f>
        <v>Architecture (91%)</v>
      </c>
      <c r="L35" s="339">
        <f ca="1">ImpCalc!IL149*4+1</f>
        <v>3.9466470223531847</v>
      </c>
      <c r="M35" s="339">
        <f ca="1">C35+(ImpCalc!D149*N35)*4</f>
        <v>4.314644569036207</v>
      </c>
      <c r="N35" s="253">
        <v>1</v>
      </c>
    </row>
    <row r="36" spans="1:14" ht="42" outlineLevel="1" thickTop="1" thickBot="1">
      <c r="B36" s="40" t="s">
        <v>354</v>
      </c>
      <c r="C36" s="259">
        <f t="shared" ca="1" si="8"/>
        <v>3.5999711114320956</v>
      </c>
      <c r="D36" s="260">
        <f t="shared" ca="1" si="9"/>
        <v>4.1039655114943177</v>
      </c>
      <c r="E36" s="79" t="s">
        <v>459</v>
      </c>
      <c r="F36" s="79" t="s">
        <v>460</v>
      </c>
      <c r="G36" s="79" t="s">
        <v>461</v>
      </c>
      <c r="H36" s="79" t="s">
        <v>462</v>
      </c>
      <c r="I36" s="79" t="s">
        <v>463</v>
      </c>
      <c r="J36" s="79" t="str">
        <f ca="1">ImpCalc!BP150</f>
        <v>Architecture Standards &amp; Adherence (100%)</v>
      </c>
      <c r="L36" s="339">
        <f ca="1">ImpCalc!IL150*4+1</f>
        <v>3.5999711114320956</v>
      </c>
      <c r="M36" s="339">
        <f ca="1">C36+(ImpCalc!D150*N36)*4</f>
        <v>4.1039655114943177</v>
      </c>
      <c r="N36" s="253">
        <v>0.9</v>
      </c>
    </row>
    <row r="37" spans="1:14" ht="40.799999999999997" outlineLevel="1" thickTop="1" thickBot="1">
      <c r="B37" s="40" t="s">
        <v>355</v>
      </c>
      <c r="C37" s="259">
        <f t="shared" ca="1" si="8"/>
        <v>3.8571224491253635</v>
      </c>
      <c r="D37" s="260">
        <f t="shared" ca="1" si="9"/>
        <v>4.2914050613924193</v>
      </c>
      <c r="E37" s="79" t="s">
        <v>464</v>
      </c>
      <c r="F37" s="79" t="s">
        <v>465</v>
      </c>
      <c r="G37" s="79" t="s">
        <v>466</v>
      </c>
      <c r="H37" s="79" t="s">
        <v>467</v>
      </c>
      <c r="I37" s="79" t="s">
        <v>468</v>
      </c>
      <c r="J37" s="79" t="str">
        <f ca="1">ImpCalc!BP151</f>
        <v>Metadata definitions (56%); Architecture Standards &amp; Adherence (44%)</v>
      </c>
      <c r="L37" s="339">
        <f ca="1">ImpCalc!IL151*4+1</f>
        <v>3.8571224491253635</v>
      </c>
      <c r="M37" s="339">
        <f ca="1">C37+(ImpCalc!D151*N37)*4</f>
        <v>4.2914050613924193</v>
      </c>
      <c r="N37" s="253">
        <v>0.95</v>
      </c>
    </row>
    <row r="38" spans="1:14" s="103" customFormat="1" ht="13.8" outlineLevel="1" thickTop="1">
      <c r="B38" s="212" t="s">
        <v>534</v>
      </c>
      <c r="C38" s="261">
        <f ca="1">AVERAGE(C33:C37)</f>
        <v>3.5925930255310377</v>
      </c>
      <c r="D38" s="261">
        <f ca="1">AVERAGE(D33:D37)</f>
        <v>4.2806235862395807</v>
      </c>
      <c r="L38" s="261">
        <f ca="1">AVERAGE(L33:L37)</f>
        <v>3.5925930255310377</v>
      </c>
      <c r="M38" s="261">
        <f ca="1">AVERAGE(M33:M37)</f>
        <v>4.2806235862395807</v>
      </c>
    </row>
    <row r="39" spans="1:14" s="103" customFormat="1" ht="21.6" thickBot="1">
      <c r="A39" s="1" t="s">
        <v>532</v>
      </c>
    </row>
    <row r="40" spans="1:14" ht="103.2" outlineLevel="1" thickTop="1" thickBot="1">
      <c r="B40" s="40" t="s">
        <v>356</v>
      </c>
      <c r="C40" s="259">
        <f t="shared" ref="C40:C44" ca="1" si="10">L40</f>
        <v>3.7838930344571629</v>
      </c>
      <c r="D40" s="260">
        <f t="shared" ref="D40:D44" ca="1" si="11">M40</f>
        <v>4.3495348439196508</v>
      </c>
      <c r="E40" s="79" t="s">
        <v>469</v>
      </c>
      <c r="F40" s="79" t="s">
        <v>399</v>
      </c>
      <c r="G40" s="79" t="s">
        <v>470</v>
      </c>
      <c r="H40" s="79" t="s">
        <v>401</v>
      </c>
      <c r="I40" s="79" t="s">
        <v>471</v>
      </c>
      <c r="J40" s="79" t="str">
        <f ca="1">ImpCalc!BP154</f>
        <v>Source System Inclusion / Integration (40%); Architecture Standards &amp; Adherence (20%); Data Management (20%); Data Integration/ETL (18%)</v>
      </c>
      <c r="L40" s="339">
        <f ca="1">ImpCalc!IL154*4+1</f>
        <v>3.7838930344571629</v>
      </c>
      <c r="M40" s="339">
        <f ca="1">C40+(ImpCalc!D154*N40)*4</f>
        <v>4.3495348439196508</v>
      </c>
      <c r="N40" s="253">
        <v>0.95</v>
      </c>
    </row>
    <row r="41" spans="1:14" ht="40.799999999999997" outlineLevel="1" thickTop="1" thickBot="1">
      <c r="B41" s="40" t="s">
        <v>675</v>
      </c>
      <c r="C41" s="259">
        <f t="shared" ca="1" si="10"/>
        <v>2.7770307602642799</v>
      </c>
      <c r="D41" s="260">
        <f t="shared" ca="1" si="11"/>
        <v>4.5951923766503597</v>
      </c>
      <c r="E41" s="79" t="s">
        <v>378</v>
      </c>
      <c r="F41" s="79" t="s">
        <v>379</v>
      </c>
      <c r="G41" s="79" t="s">
        <v>380</v>
      </c>
      <c r="H41" s="79" t="s">
        <v>381</v>
      </c>
      <c r="I41" s="79" t="s">
        <v>382</v>
      </c>
      <c r="J41" s="79" t="str">
        <f ca="1">ImpCalc!BP155</f>
        <v>Source System Inclusion / Integration (100%)</v>
      </c>
      <c r="L41" s="339">
        <f ca="1">ImpCalc!IL155*4+1</f>
        <v>2.7770307602642799</v>
      </c>
      <c r="M41" s="339">
        <f ca="1">C41+(ImpCalc!D155*N41)*4</f>
        <v>4.5951923766503597</v>
      </c>
      <c r="N41" s="253">
        <v>1</v>
      </c>
    </row>
    <row r="42" spans="1:14" ht="40.799999999999997" outlineLevel="1" thickTop="1" thickBot="1">
      <c r="B42" s="40" t="s">
        <v>357</v>
      </c>
      <c r="C42" s="259">
        <f t="shared" ca="1" si="10"/>
        <v>4.0497438917345363</v>
      </c>
      <c r="D42" s="260">
        <f t="shared" ca="1" si="11"/>
        <v>4.449739447339474</v>
      </c>
      <c r="E42" s="79" t="s">
        <v>472</v>
      </c>
      <c r="F42" s="79" t="s">
        <v>473</v>
      </c>
      <c r="G42" s="79" t="s">
        <v>474</v>
      </c>
      <c r="H42" s="79" t="s">
        <v>475</v>
      </c>
      <c r="I42" s="79" t="s">
        <v>476</v>
      </c>
      <c r="J42" s="79" t="str">
        <f ca="1">ImpCalc!BP156</f>
        <v>DW refresh rate (100%)</v>
      </c>
      <c r="L42" s="339">
        <f ca="1">ImpCalc!IL156*4+1</f>
        <v>4.0497438917345363</v>
      </c>
      <c r="M42" s="339">
        <f ca="1">C42+(ImpCalc!D156*N42)*4</f>
        <v>4.449739447339474</v>
      </c>
      <c r="N42" s="253">
        <v>1</v>
      </c>
    </row>
    <row r="43" spans="1:14" ht="62.4" outlineLevel="1" thickTop="1" thickBot="1">
      <c r="B43" s="40" t="s">
        <v>477</v>
      </c>
      <c r="C43" s="259">
        <f t="shared" ca="1" si="10"/>
        <v>4.0799384012319759</v>
      </c>
      <c r="D43" s="260">
        <f t="shared" ca="1" si="11"/>
        <v>4.3571328573428545</v>
      </c>
      <c r="E43" s="79" t="s">
        <v>478</v>
      </c>
      <c r="F43" s="79" t="s">
        <v>399</v>
      </c>
      <c r="G43" s="79" t="s">
        <v>479</v>
      </c>
      <c r="H43" s="79" t="s">
        <v>401</v>
      </c>
      <c r="I43" s="79" t="s">
        <v>480</v>
      </c>
      <c r="J43" s="79" t="str">
        <f ca="1">ImpCalc!BP157</f>
        <v>Enhance DW Platform (100%)</v>
      </c>
      <c r="L43" s="339">
        <f ca="1">ImpCalc!IL157*4+1</f>
        <v>4.0799384012319759</v>
      </c>
      <c r="M43" s="339">
        <f ca="1">C43+(ImpCalc!D157*N43)*4</f>
        <v>4.3571328573428545</v>
      </c>
      <c r="N43" s="253">
        <v>0.9</v>
      </c>
    </row>
    <row r="44" spans="1:14" ht="67.2" outlineLevel="1" thickTop="1" thickBot="1">
      <c r="B44" s="40" t="s">
        <v>358</v>
      </c>
      <c r="C44" s="259">
        <f t="shared" ca="1" si="10"/>
        <v>4.0497438917345363</v>
      </c>
      <c r="D44" s="260">
        <f t="shared" ca="1" si="11"/>
        <v>4.449739447339474</v>
      </c>
      <c r="E44" s="79" t="s">
        <v>481</v>
      </c>
      <c r="F44" s="79" t="s">
        <v>482</v>
      </c>
      <c r="G44" s="79" t="s">
        <v>483</v>
      </c>
      <c r="H44" s="79" t="s">
        <v>484</v>
      </c>
      <c r="I44" s="79" t="s">
        <v>485</v>
      </c>
      <c r="J44" s="79" t="str">
        <f ca="1">ImpCalc!BP158</f>
        <v>Automated DW synchronization (100%)</v>
      </c>
      <c r="L44" s="339">
        <f ca="1">ImpCalc!IL158*4+1</f>
        <v>4.0497438917345363</v>
      </c>
      <c r="M44" s="339">
        <f ca="1">C44+(ImpCalc!D158*N44)*4</f>
        <v>4.449739447339474</v>
      </c>
      <c r="N44" s="253">
        <v>1</v>
      </c>
    </row>
    <row r="45" spans="1:14" s="103" customFormat="1" ht="13.8" outlineLevel="1" thickTop="1">
      <c r="B45" s="212" t="s">
        <v>534</v>
      </c>
      <c r="C45" s="261">
        <f ca="1">AVERAGE(C40:C44)</f>
        <v>3.7480699958844981</v>
      </c>
      <c r="D45" s="261">
        <f ca="1">AVERAGE(D40:D44)</f>
        <v>4.4402677945183626</v>
      </c>
      <c r="L45" s="261">
        <f ca="1">AVERAGE(L40:L44)</f>
        <v>3.7480699958844981</v>
      </c>
      <c r="M45" s="261">
        <f ca="1">AVERAGE(M40:M44)</f>
        <v>4.4402677945183626</v>
      </c>
    </row>
    <row r="46" spans="1:14" s="103" customFormat="1" ht="21.6" thickBot="1">
      <c r="A46" s="1" t="s">
        <v>26</v>
      </c>
    </row>
    <row r="47" spans="1:14" ht="123.6" outlineLevel="1" thickTop="1" thickBot="1">
      <c r="B47" s="40" t="s">
        <v>359</v>
      </c>
      <c r="C47" s="259">
        <f t="shared" ref="C47:C51" ca="1" si="12">L47</f>
        <v>3.8499821876113276</v>
      </c>
      <c r="D47" s="260">
        <f t="shared" ref="D47:D51" ca="1" si="13">M47</f>
        <v>4.2675420778620143</v>
      </c>
      <c r="E47" s="79" t="s">
        <v>486</v>
      </c>
      <c r="F47" s="79" t="s">
        <v>487</v>
      </c>
      <c r="G47" s="79" t="s">
        <v>488</v>
      </c>
      <c r="H47" s="79" t="s">
        <v>489</v>
      </c>
      <c r="I47" s="79" t="s">
        <v>490</v>
      </c>
      <c r="J47" s="79" t="str">
        <f ca="1">ImpCalc!BP161</f>
        <v>Architecture Standards &amp; Adherence (64%); Enhance BI Platform (31%)</v>
      </c>
      <c r="L47" s="339">
        <f ca="1">ImpCalc!IL161*4+1</f>
        <v>3.8499821876113276</v>
      </c>
      <c r="M47" s="339">
        <f ca="1">C47+(ImpCalc!D161*N47)*4</f>
        <v>4.2675420778620143</v>
      </c>
      <c r="N47" s="253">
        <v>0.85</v>
      </c>
    </row>
    <row r="48" spans="1:14" ht="62.4" outlineLevel="1" thickTop="1" thickBot="1">
      <c r="B48" s="40" t="s">
        <v>360</v>
      </c>
      <c r="C48" s="259">
        <f t="shared" ca="1" si="12"/>
        <v>3.1999816668194434</v>
      </c>
      <c r="D48" s="260">
        <f t="shared" ca="1" si="13"/>
        <v>4.1689735918867346</v>
      </c>
      <c r="E48" s="79" t="s">
        <v>491</v>
      </c>
      <c r="F48" s="79" t="s">
        <v>492</v>
      </c>
      <c r="G48" s="79" t="s">
        <v>493</v>
      </c>
      <c r="H48" s="79" t="s">
        <v>494</v>
      </c>
      <c r="I48" s="79" t="s">
        <v>495</v>
      </c>
      <c r="J48" s="79" t="str">
        <f ca="1">ImpCalc!BP162</f>
        <v>Enhance BI Platform (59%); Architecture Standards &amp; Adherence (41%)</v>
      </c>
      <c r="L48" s="339">
        <f ca="1">ImpCalc!IL162*4+1</f>
        <v>3.1999816668194434</v>
      </c>
      <c r="M48" s="339">
        <f ca="1">C48+(ImpCalc!D162*N48)*4</f>
        <v>4.1689735918867346</v>
      </c>
      <c r="N48" s="253">
        <v>0.95</v>
      </c>
    </row>
    <row r="49" spans="1:14" ht="31.8" outlineLevel="1" thickTop="1" thickBot="1">
      <c r="B49" s="40" t="s">
        <v>361</v>
      </c>
      <c r="C49" s="259">
        <f t="shared" ca="1" si="12"/>
        <v>3.6902257264367035</v>
      </c>
      <c r="D49" s="260">
        <f t="shared" ca="1" si="13"/>
        <v>4.2292472990840775</v>
      </c>
      <c r="E49" s="79" t="s">
        <v>496</v>
      </c>
      <c r="F49" s="79" t="s">
        <v>497</v>
      </c>
      <c r="G49" s="79" t="s">
        <v>498</v>
      </c>
      <c r="H49" s="79" t="s">
        <v>499</v>
      </c>
      <c r="I49" s="79" t="s">
        <v>500</v>
      </c>
      <c r="J49" s="79" t="str">
        <f ca="1">ImpCalc!BP163</f>
        <v>Source System Inclusion / Integration (44%); Enhance BI Platform (35%); Architecture Standards &amp; Adherence (13%)</v>
      </c>
      <c r="L49" s="339">
        <f ca="1">ImpCalc!IL163*4+1</f>
        <v>3.6902257264367035</v>
      </c>
      <c r="M49" s="339">
        <f ca="1">C49+(ImpCalc!D163*N49)*4</f>
        <v>4.2292472990840775</v>
      </c>
      <c r="N49" s="253">
        <v>0.7</v>
      </c>
    </row>
    <row r="50" spans="1:14" ht="40.799999999999997" outlineLevel="1" thickTop="1" thickBot="1">
      <c r="B50" s="40" t="s">
        <v>362</v>
      </c>
      <c r="C50" s="259">
        <f t="shared" ca="1" si="12"/>
        <v>3.6902257264367035</v>
      </c>
      <c r="D50" s="260">
        <f t="shared" ca="1" si="13"/>
        <v>4.0752411354705425</v>
      </c>
      <c r="E50" s="79">
        <v>0</v>
      </c>
      <c r="F50" s="79">
        <v>1</v>
      </c>
      <c r="G50" s="79">
        <v>2</v>
      </c>
      <c r="H50" s="79">
        <v>3</v>
      </c>
      <c r="I50" s="262" t="s">
        <v>729</v>
      </c>
      <c r="J50" s="79" t="str">
        <f ca="1">ImpCalc!BP164</f>
        <v>Source System Inclusion / Integration (44%); Enhance BI Platform (35%); Architecture Standards &amp; Adherence (13%)</v>
      </c>
      <c r="L50" s="339">
        <f ca="1">ImpCalc!IL164*4+1</f>
        <v>3.6902257264367035</v>
      </c>
      <c r="M50" s="339">
        <f ca="1">C50+(ImpCalc!D164*N50)*4</f>
        <v>4.0752411354705425</v>
      </c>
      <c r="N50" s="253">
        <v>0.5</v>
      </c>
    </row>
    <row r="51" spans="1:14" ht="113.4" outlineLevel="1" thickTop="1" thickBot="1">
      <c r="B51" s="40" t="s">
        <v>363</v>
      </c>
      <c r="C51" s="259">
        <f t="shared" ca="1" si="12"/>
        <v>3.5999711114320956</v>
      </c>
      <c r="D51" s="260">
        <f t="shared" ca="1" si="13"/>
        <v>3.8799680003555519</v>
      </c>
      <c r="E51" s="79" t="s">
        <v>501</v>
      </c>
      <c r="F51" s="79" t="s">
        <v>399</v>
      </c>
      <c r="G51" s="79" t="s">
        <v>502</v>
      </c>
      <c r="H51" s="79" t="s">
        <v>401</v>
      </c>
      <c r="I51" s="79" t="s">
        <v>503</v>
      </c>
      <c r="J51" s="79" t="str">
        <f ca="1">ImpCalc!BP165</f>
        <v>Governance (100%)</v>
      </c>
      <c r="L51" s="339">
        <f ca="1">ImpCalc!IL165*4+1</f>
        <v>3.5999711114320956</v>
      </c>
      <c r="M51" s="339">
        <f ca="1">C51+(ImpCalc!D165*N51)*4</f>
        <v>3.8799680003555519</v>
      </c>
      <c r="N51" s="253">
        <v>0.5</v>
      </c>
    </row>
    <row r="52" spans="1:14" s="103" customFormat="1" ht="13.8" outlineLevel="1" thickTop="1">
      <c r="B52" s="212" t="s">
        <v>534</v>
      </c>
      <c r="C52" s="261">
        <f ca="1">AVERAGE(C47:C51)</f>
        <v>3.6060772837472554</v>
      </c>
      <c r="D52" s="261">
        <f ca="1">AVERAGE(D47:D51)</f>
        <v>4.1241944209317838</v>
      </c>
      <c r="L52" s="261">
        <f ca="1">AVERAGE(L47:L51)</f>
        <v>3.6060772837472554</v>
      </c>
      <c r="M52" s="261">
        <f ca="1">AVERAGE(M47:M51)</f>
        <v>4.1241944209317838</v>
      </c>
    </row>
    <row r="53" spans="1:14" s="103" customFormat="1" ht="21.6" thickBot="1">
      <c r="A53" s="1" t="s">
        <v>533</v>
      </c>
    </row>
    <row r="54" spans="1:14" ht="62.4" outlineLevel="1" thickTop="1" thickBot="1">
      <c r="B54" s="40" t="s">
        <v>504</v>
      </c>
      <c r="C54" s="259">
        <f t="shared" ref="C54:C58" ca="1" si="14">L54</f>
        <v>1.9999888890123443</v>
      </c>
      <c r="D54" s="260">
        <f t="shared" ref="D54:D58" ca="1" si="15">M54</f>
        <v>4.399962222641971</v>
      </c>
      <c r="E54" s="79" t="s">
        <v>505</v>
      </c>
      <c r="F54" s="79" t="s">
        <v>506</v>
      </c>
      <c r="G54" s="79" t="s">
        <v>507</v>
      </c>
      <c r="H54" s="79" t="s">
        <v>508</v>
      </c>
      <c r="I54" s="79" t="s">
        <v>509</v>
      </c>
      <c r="J54" s="79" t="str">
        <f ca="1">ImpCalc!BP168</f>
        <v>Enhance BI Platform (100%)</v>
      </c>
      <c r="L54" s="339">
        <f ca="1">ImpCalc!IL168*4+1</f>
        <v>1.9999888890123443</v>
      </c>
      <c r="M54" s="339">
        <f ca="1">C54+(ImpCalc!D168*N54)*4</f>
        <v>4.399962222641971</v>
      </c>
      <c r="N54" s="253">
        <v>1</v>
      </c>
    </row>
    <row r="55" spans="1:14" ht="103.2" outlineLevel="1" thickTop="1" thickBot="1">
      <c r="B55" s="40" t="s">
        <v>364</v>
      </c>
      <c r="C55" s="259">
        <f t="shared" ca="1" si="14"/>
        <v>2.5999822224197509</v>
      </c>
      <c r="D55" s="260">
        <f t="shared" ca="1" si="15"/>
        <v>4.5199608893234524</v>
      </c>
      <c r="E55" s="79" t="s">
        <v>510</v>
      </c>
      <c r="F55" s="79" t="s">
        <v>511</v>
      </c>
      <c r="G55" s="79" t="s">
        <v>512</v>
      </c>
      <c r="H55" s="79" t="s">
        <v>513</v>
      </c>
      <c r="I55" s="79" t="s">
        <v>514</v>
      </c>
      <c r="J55" s="79" t="str">
        <f ca="1">ImpCalc!BP169</f>
        <v>Reporting (100%)</v>
      </c>
      <c r="L55" s="339">
        <f ca="1">ImpCalc!IL169*4+1</f>
        <v>2.5999822224197509</v>
      </c>
      <c r="M55" s="339">
        <f ca="1">C55+(ImpCalc!D169*N55)*4</f>
        <v>4.5199608893234524</v>
      </c>
      <c r="N55" s="253">
        <v>1</v>
      </c>
    </row>
    <row r="56" spans="1:14" ht="54" outlineLevel="1" thickTop="1" thickBot="1">
      <c r="B56" s="40" t="s">
        <v>365</v>
      </c>
      <c r="C56" s="259">
        <f t="shared" ca="1" si="14"/>
        <v>3.6833109724085635</v>
      </c>
      <c r="D56" s="260">
        <f t="shared" ca="1" si="15"/>
        <v>4.0111415738202183</v>
      </c>
      <c r="E56" s="79" t="s">
        <v>378</v>
      </c>
      <c r="F56" s="79" t="s">
        <v>515</v>
      </c>
      <c r="G56" s="79" t="s">
        <v>516</v>
      </c>
      <c r="H56" s="79" t="s">
        <v>517</v>
      </c>
      <c r="I56" s="79" t="s">
        <v>518</v>
      </c>
      <c r="J56" s="79" t="str">
        <f ca="1">ImpCalc!BP170</f>
        <v>Supply / Operations Apps (68%); Enhance DW Platform (27%)</v>
      </c>
      <c r="L56" s="339">
        <f ca="1">ImpCalc!IL170*4+1</f>
        <v>3.6833109724085635</v>
      </c>
      <c r="M56" s="339">
        <f ca="1">C56+(ImpCalc!D170*N56)*4</f>
        <v>4.0111415738202183</v>
      </c>
      <c r="N56" s="253">
        <v>0.7</v>
      </c>
    </row>
    <row r="57" spans="1:14" ht="62.4" outlineLevel="1" thickTop="1" thickBot="1">
      <c r="B57" s="40" t="s">
        <v>366</v>
      </c>
      <c r="C57" s="259">
        <f t="shared" ca="1" si="14"/>
        <v>4.2142627552660343</v>
      </c>
      <c r="D57" s="260">
        <f t="shared" ca="1" si="15"/>
        <v>4.4928321940557572</v>
      </c>
      <c r="E57" s="79" t="s">
        <v>519</v>
      </c>
      <c r="F57" s="79" t="s">
        <v>520</v>
      </c>
      <c r="G57" s="79" t="s">
        <v>521</v>
      </c>
      <c r="H57" s="79" t="s">
        <v>522</v>
      </c>
      <c r="I57" s="79" t="s">
        <v>523</v>
      </c>
      <c r="J57" s="79" t="str">
        <f ca="1">ImpCalc!BP171</f>
        <v>Metadata management (92%)</v>
      </c>
      <c r="L57" s="339">
        <f ca="1">ImpCalc!IL171*4+1</f>
        <v>4.2142627552660343</v>
      </c>
      <c r="M57" s="339">
        <f ca="1">C57+(ImpCalc!D171*N57)*4</f>
        <v>4.4928321940557572</v>
      </c>
      <c r="N57" s="253">
        <v>1</v>
      </c>
    </row>
    <row r="58" spans="1:14" ht="40.799999999999997" outlineLevel="1" thickTop="1" thickBot="1">
      <c r="B58" s="40" t="s">
        <v>367</v>
      </c>
      <c r="C58" s="259">
        <f t="shared" ca="1" si="14"/>
        <v>2.1466590222731847</v>
      </c>
      <c r="D58" s="260">
        <f t="shared" ca="1" si="15"/>
        <v>3.2310962371361964</v>
      </c>
      <c r="E58" s="79" t="s">
        <v>524</v>
      </c>
      <c r="F58" s="79" t="s">
        <v>525</v>
      </c>
      <c r="G58" s="79" t="s">
        <v>526</v>
      </c>
      <c r="H58" s="79" t="s">
        <v>527</v>
      </c>
      <c r="I58" s="79" t="s">
        <v>528</v>
      </c>
      <c r="J58" s="79" t="str">
        <f ca="1">ImpCalc!BP172</f>
        <v>Enhance BI Platform (66%); BI Applications (34%)</v>
      </c>
      <c r="L58" s="339">
        <f ca="1">ImpCalc!IL172*4+1</f>
        <v>2.1466590222731847</v>
      </c>
      <c r="M58" s="339">
        <f ca="1">C58+(ImpCalc!D172*N58)*4</f>
        <v>3.2310962371361964</v>
      </c>
      <c r="N58" s="253">
        <v>0.5</v>
      </c>
    </row>
    <row r="59" spans="1:14" s="103" customFormat="1" ht="13.8" outlineLevel="1" thickTop="1">
      <c r="B59" s="212" t="s">
        <v>534</v>
      </c>
      <c r="C59" s="261">
        <f ca="1">AVERAGE(C54:C58)</f>
        <v>2.9288407722759757</v>
      </c>
      <c r="D59" s="261">
        <f ca="1">AVERAGE(D54:D58)</f>
        <v>4.1309986233955192</v>
      </c>
      <c r="L59" s="261">
        <f ca="1">AVERAGE(L54:L58)</f>
        <v>2.9288407722759757</v>
      </c>
      <c r="M59" s="261">
        <f ca="1">AVERAGE(M54:M58)</f>
        <v>4.1309986233955192</v>
      </c>
    </row>
    <row r="62" spans="1:14" ht="48.75" customHeight="1">
      <c r="A62" s="1" t="s">
        <v>33</v>
      </c>
      <c r="C62" s="205" t="str">
        <f>C$3</f>
        <v>As-Is</v>
      </c>
      <c r="D62" s="213" t="s">
        <v>54</v>
      </c>
      <c r="E62" s="205" t="s">
        <v>536</v>
      </c>
      <c r="L62" s="406" t="str">
        <f>L$3</f>
        <v>As-Is</v>
      </c>
      <c r="M62" s="406" t="s">
        <v>54</v>
      </c>
    </row>
    <row r="63" spans="1:14">
      <c r="B63" s="211" t="str">
        <f>A4</f>
        <v>Scope</v>
      </c>
      <c r="C63" s="42">
        <f ca="1">C10</f>
        <v>2.7154264440788891</v>
      </c>
      <c r="D63" s="42">
        <f ca="1">D10</f>
        <v>4.0656499402863853</v>
      </c>
      <c r="E63" s="42">
        <f t="shared" ref="E63:E70" ca="1" si="16">D63-C63</f>
        <v>1.3502234962074962</v>
      </c>
      <c r="L63" s="42">
        <f ca="1">L10</f>
        <v>2.7154264440788891</v>
      </c>
      <c r="M63" s="42">
        <f ca="1">M10</f>
        <v>4.0656499402863853</v>
      </c>
    </row>
    <row r="64" spans="1:14">
      <c r="B64" s="211" t="str">
        <f>A11</f>
        <v>Sponsorship</v>
      </c>
      <c r="C64" s="42">
        <f ca="1">C17</f>
        <v>3.2216124353592335</v>
      </c>
      <c r="D64" s="42">
        <f ca="1">D17</f>
        <v>4.0746435649518764</v>
      </c>
      <c r="E64" s="42">
        <f t="shared" ca="1" si="16"/>
        <v>0.85303112959264293</v>
      </c>
      <c r="L64" s="42">
        <f ca="1">L17</f>
        <v>3.2216124353592335</v>
      </c>
      <c r="M64" s="42">
        <f ca="1">M17</f>
        <v>4.0746435649518764</v>
      </c>
    </row>
    <row r="65" spans="2:13">
      <c r="B65" s="211" t="str">
        <f>A18</f>
        <v>Funding</v>
      </c>
      <c r="C65" s="42">
        <f ca="1">C24</f>
        <v>2.867923974972272</v>
      </c>
      <c r="D65" s="42">
        <f ca="1">D24</f>
        <v>4.109364645433609</v>
      </c>
      <c r="E65" s="42">
        <f t="shared" ca="1" si="16"/>
        <v>1.241440670461337</v>
      </c>
      <c r="L65" s="42">
        <f ca="1">L24</f>
        <v>2.867923974972272</v>
      </c>
      <c r="M65" s="42">
        <f ca="1">M24</f>
        <v>4.109364645433609</v>
      </c>
    </row>
    <row r="66" spans="2:13">
      <c r="B66" s="211" t="str">
        <f>A25</f>
        <v>Value</v>
      </c>
      <c r="C66" s="42">
        <f ca="1">C31</f>
        <v>2.6608431151952354</v>
      </c>
      <c r="D66" s="42">
        <f ca="1">D31</f>
        <v>4.199388379081431</v>
      </c>
      <c r="E66" s="42">
        <f t="shared" ca="1" si="16"/>
        <v>1.5385452638861956</v>
      </c>
      <c r="L66" s="42">
        <f ca="1">L31</f>
        <v>2.6608431151952354</v>
      </c>
      <c r="M66" s="42">
        <f ca="1">M31</f>
        <v>4.199388379081431</v>
      </c>
    </row>
    <row r="67" spans="2:13">
      <c r="B67" s="211" t="str">
        <f>A32</f>
        <v>Architecture</v>
      </c>
      <c r="C67" s="42">
        <f ca="1">C38</f>
        <v>3.5925930255310377</v>
      </c>
      <c r="D67" s="42">
        <f ca="1">D38</f>
        <v>4.2806235862395807</v>
      </c>
      <c r="E67" s="42">
        <f t="shared" ca="1" si="16"/>
        <v>0.68803056070854307</v>
      </c>
      <c r="L67" s="42">
        <f ca="1">L38</f>
        <v>3.5925930255310377</v>
      </c>
      <c r="M67" s="42">
        <f ca="1">M38</f>
        <v>4.2806235862395807</v>
      </c>
    </row>
    <row r="68" spans="2:13">
      <c r="B68" s="211" t="str">
        <f>A39</f>
        <v>Data</v>
      </c>
      <c r="C68" s="42">
        <f ca="1">C45</f>
        <v>3.7480699958844981</v>
      </c>
      <c r="D68" s="42">
        <f ca="1">D45</f>
        <v>4.4402677945183626</v>
      </c>
      <c r="E68" s="42">
        <f t="shared" ca="1" si="16"/>
        <v>0.69219779863386455</v>
      </c>
      <c r="L68" s="42">
        <f ca="1">L45</f>
        <v>3.7480699958844981</v>
      </c>
      <c r="M68" s="42">
        <f ca="1">M45</f>
        <v>4.4402677945183626</v>
      </c>
    </row>
    <row r="69" spans="2:13">
      <c r="B69" s="211" t="str">
        <f>A46</f>
        <v>Development</v>
      </c>
      <c r="C69" s="42">
        <f ca="1">C52</f>
        <v>3.6060772837472554</v>
      </c>
      <c r="D69" s="42">
        <f ca="1">D52</f>
        <v>4.1241944209317838</v>
      </c>
      <c r="E69" s="42">
        <f t="shared" ca="1" si="16"/>
        <v>0.51811713718452834</v>
      </c>
      <c r="L69" s="42">
        <f ca="1">L52</f>
        <v>3.6060772837472554</v>
      </c>
      <c r="M69" s="42">
        <f ca="1">M52</f>
        <v>4.1241944209317838</v>
      </c>
    </row>
    <row r="70" spans="2:13" ht="13.8" thickBot="1">
      <c r="B70" s="211" t="str">
        <f>A53</f>
        <v>Delivery</v>
      </c>
      <c r="C70" s="42">
        <f ca="1">C59</f>
        <v>2.9288407722759757</v>
      </c>
      <c r="D70" s="42">
        <f ca="1">D59</f>
        <v>4.1309986233955192</v>
      </c>
      <c r="E70" s="42">
        <f t="shared" ca="1" si="16"/>
        <v>1.2021578511195434</v>
      </c>
      <c r="L70" s="42">
        <f ca="1">L59</f>
        <v>2.9288407722759757</v>
      </c>
      <c r="M70" s="42">
        <f ca="1">M59</f>
        <v>4.1309986233955192</v>
      </c>
    </row>
    <row r="71" spans="2:13" ht="13.8" thickTop="1">
      <c r="B71" s="81" t="s">
        <v>0</v>
      </c>
      <c r="C71" s="56">
        <f ca="1">SUM(C63:C70)</f>
        <v>25.341387047044396</v>
      </c>
      <c r="D71" s="56">
        <f ca="1">SUM(D63:D70)</f>
        <v>33.425130954838544</v>
      </c>
      <c r="E71" s="56">
        <f ca="1">SUM(E63:E70)</f>
        <v>8.0837439077941511</v>
      </c>
      <c r="L71" s="56">
        <f ca="1">SUM(L63:L70)</f>
        <v>25.341387047044396</v>
      </c>
      <c r="M71" s="56">
        <f ca="1">SUM(M63:M70)</f>
        <v>33.425130954838544</v>
      </c>
    </row>
    <row r="80" spans="2:13">
      <c r="B80" s="397"/>
    </row>
  </sheetData>
  <sheetProtection selectLockedCells="1" selectUnlockedCells="1"/>
  <conditionalFormatting sqref="F5:I5">
    <cfRule type="expression" dxfId="2" priority="48">
      <formula>$C5&gt;=F$3</formula>
    </cfRule>
  </conditionalFormatting>
  <conditionalFormatting sqref="E12:I16 E19:I23 E40:I44 E26:I30 E33:I37 E47:I51 E54:I58 E5:I9">
    <cfRule type="expression" dxfId="1" priority="50" stopIfTrue="1">
      <formula>$C5&gt;=E$3</formula>
    </cfRule>
    <cfRule type="expression" dxfId="0" priority="51">
      <formula>$D5&gt;=E$3</formula>
    </cfRule>
  </conditionalFormatting>
  <pageMargins left="0.25" right="0.25" top="0.75" bottom="0.75" header="0.3" footer="0.3"/>
  <pageSetup scale="67" fitToHeight="10" orientation="portrait" horizontalDpi="300" verticalDpi="300" r:id="rId1"/>
  <headerFooter>
    <oddFooter>&amp;LTDWI Business Intelligence ROI Calculator&amp;C&amp;A Worksheet&amp;R&amp;P of &amp;N</oddFooter>
  </headerFooter>
  <drawing r:id="rId2"/>
</worksheet>
</file>

<file path=xl/worksheets/sheet5.xml><?xml version="1.0" encoding="utf-8"?>
<worksheet xmlns="http://schemas.openxmlformats.org/spreadsheetml/2006/main" xmlns:r="http://schemas.openxmlformats.org/officeDocument/2006/relationships">
  <sheetPr codeName="Sheet5">
    <tabColor rgb="FFFF0000"/>
    <pageSetUpPr fitToPage="1"/>
  </sheetPr>
  <dimension ref="A1:AA145"/>
  <sheetViews>
    <sheetView showGridLines="0" topLeftCell="A130" workbookViewId="0">
      <selection activeCell="H145" sqref="B145:H145"/>
    </sheetView>
  </sheetViews>
  <sheetFormatPr defaultRowHeight="13.2"/>
  <cols>
    <col min="1" max="2" width="2.109375" customWidth="1"/>
    <col min="3" max="3" width="29.5546875" customWidth="1"/>
    <col min="4" max="4" width="9.6640625" bestFit="1" customWidth="1"/>
    <col min="5" max="5" width="9.6640625" style="103" customWidth="1"/>
    <col min="6" max="7" width="11.33203125" style="103" bestFit="1" customWidth="1"/>
    <col min="8" max="9" width="9.6640625" style="103" customWidth="1"/>
    <col min="10" max="10" width="9.6640625" style="294" customWidth="1"/>
    <col min="11" max="12" width="9.6640625" style="103" customWidth="1"/>
    <col min="13" max="13" width="9.6640625" bestFit="1" customWidth="1"/>
    <col min="14" max="14" width="9.33203125" style="103" bestFit="1" customWidth="1"/>
    <col min="15" max="15" width="21.5546875" customWidth="1"/>
    <col min="17" max="19" width="9.109375" hidden="1" customWidth="1"/>
    <col min="20" max="20" width="9.109375" style="409" hidden="1" customWidth="1"/>
    <col min="21" max="25" width="9.109375" hidden="1" customWidth="1"/>
    <col min="26" max="26" width="13.109375" hidden="1" customWidth="1"/>
    <col min="27" max="27" width="9.109375" hidden="1" customWidth="1"/>
  </cols>
  <sheetData>
    <row r="1" spans="1:26" ht="27.6">
      <c r="A1" s="2" t="s">
        <v>582</v>
      </c>
    </row>
    <row r="4" spans="1:26" ht="28.5" customHeight="1">
      <c r="A4" s="66" t="s">
        <v>259</v>
      </c>
      <c r="C4" s="18"/>
      <c r="D4" s="18"/>
      <c r="E4" s="18"/>
      <c r="F4" s="18"/>
      <c r="G4" s="18"/>
      <c r="H4" s="18"/>
      <c r="I4" s="18"/>
      <c r="J4" s="18"/>
      <c r="K4" s="18"/>
      <c r="L4" s="18"/>
      <c r="M4" s="18"/>
      <c r="N4" s="18"/>
      <c r="O4" s="18"/>
    </row>
    <row r="5" spans="1:26" s="103" customFormat="1" ht="15">
      <c r="B5" s="21"/>
      <c r="C5" s="18"/>
      <c r="D5" s="553" t="s">
        <v>649</v>
      </c>
      <c r="E5" s="553"/>
      <c r="F5" s="553"/>
      <c r="G5" s="553"/>
      <c r="H5" s="553"/>
      <c r="I5" s="553"/>
      <c r="J5" s="553"/>
      <c r="K5" s="553"/>
      <c r="L5" s="553"/>
      <c r="M5" s="553"/>
      <c r="N5" s="18"/>
      <c r="O5" s="18"/>
      <c r="T5" s="409"/>
    </row>
    <row r="6" spans="1:26" ht="104.25" customHeight="1">
      <c r="B6" s="18"/>
      <c r="C6" s="18"/>
      <c r="D6" s="252" t="s">
        <v>643</v>
      </c>
      <c r="E6" s="252" t="s">
        <v>645</v>
      </c>
      <c r="F6" s="252" t="s">
        <v>647</v>
      </c>
      <c r="G6" s="252" t="s">
        <v>646</v>
      </c>
      <c r="H6" s="252" t="s">
        <v>644</v>
      </c>
      <c r="I6" s="252" t="s">
        <v>642</v>
      </c>
      <c r="J6" s="252" t="s">
        <v>769</v>
      </c>
      <c r="K6" s="252" t="s">
        <v>735</v>
      </c>
      <c r="L6" s="252" t="s">
        <v>764</v>
      </c>
      <c r="M6" s="252" t="s">
        <v>648</v>
      </c>
      <c r="N6" s="252" t="s">
        <v>584</v>
      </c>
      <c r="O6" s="472" t="s">
        <v>6</v>
      </c>
      <c r="Q6" s="321" t="s">
        <v>1043</v>
      </c>
      <c r="R6" s="321" t="s">
        <v>765</v>
      </c>
      <c r="S6" s="321" t="s">
        <v>768</v>
      </c>
      <c r="T6" s="321" t="s">
        <v>1047</v>
      </c>
      <c r="U6" s="321" t="s">
        <v>766</v>
      </c>
      <c r="V6" s="321" t="s">
        <v>767</v>
      </c>
      <c r="X6" s="321" t="s">
        <v>1050</v>
      </c>
      <c r="Y6" s="321" t="s">
        <v>1043</v>
      </c>
    </row>
    <row r="7" spans="1:26" s="103" customFormat="1" ht="15.6" thickBot="1">
      <c r="B7" s="21" t="str">
        <f>Profile!B61</f>
        <v>BI Applications</v>
      </c>
      <c r="C7" s="18"/>
      <c r="D7" s="18"/>
      <c r="E7" s="18"/>
      <c r="F7" s="18"/>
      <c r="G7" s="18"/>
      <c r="H7" s="18"/>
      <c r="I7" s="18"/>
      <c r="J7" s="18"/>
      <c r="K7" s="18"/>
      <c r="L7" s="18"/>
      <c r="M7" s="18"/>
      <c r="N7" s="18"/>
      <c r="O7" s="18"/>
      <c r="T7" s="409"/>
    </row>
    <row r="8" spans="1:26" s="103" customFormat="1" ht="15" thickTop="1" thickBot="1">
      <c r="B8" s="18"/>
      <c r="C8" s="109" t="str">
        <f>Initiatives!F166</f>
        <v>Marketing / Sales Apps</v>
      </c>
      <c r="D8" s="65">
        <f>$V8*0.15</f>
        <v>4.2509107199999985</v>
      </c>
      <c r="E8" s="65">
        <f>$V8*0.1</f>
        <v>2.8339404799999994</v>
      </c>
      <c r="F8" s="65">
        <f>$V8*0.15</f>
        <v>4.2509107199999985</v>
      </c>
      <c r="G8" s="65">
        <f>$V8*0.1</f>
        <v>2.8339404799999994</v>
      </c>
      <c r="H8" s="65">
        <f>$V8*0.05</f>
        <v>1.4169702399999997</v>
      </c>
      <c r="I8" s="65">
        <f t="shared" ref="I8:J11" si="0">$V8*0.07</f>
        <v>1.9837583359999997</v>
      </c>
      <c r="J8" s="65">
        <f t="shared" si="0"/>
        <v>1.9837583359999997</v>
      </c>
      <c r="K8" s="65">
        <f>$V8*0.06</f>
        <v>1.7003642879999996</v>
      </c>
      <c r="L8" s="65">
        <f>$V8*0.05</f>
        <v>1.4169702399999997</v>
      </c>
      <c r="M8" s="65">
        <f>$V8*0.2</f>
        <v>5.6678809599999989</v>
      </c>
      <c r="N8" s="339">
        <f>SUM(D8:M8)</f>
        <v>28.339404799999993</v>
      </c>
      <c r="O8" s="210"/>
      <c r="Q8" s="220">
        <v>1</v>
      </c>
      <c r="R8" s="220">
        <f>(4*4*3.5)*Q8</f>
        <v>56</v>
      </c>
      <c r="S8" s="289">
        <f>Initiatives!L238</f>
        <v>0.27999999999999992</v>
      </c>
      <c r="T8" s="41">
        <f>$Y$17*(1-S8)^$Y$16+$Y$18</f>
        <v>0.90368000000000004</v>
      </c>
      <c r="U8" s="289">
        <f>$U$9</f>
        <v>2</v>
      </c>
      <c r="V8" s="339">
        <f>R8*S8*T8*U8</f>
        <v>28.339404799999993</v>
      </c>
      <c r="X8" s="445">
        <v>0</v>
      </c>
      <c r="Y8" s="445">
        <f>$Y$17*(1-X8)^$Y$16+$Y$18</f>
        <v>1</v>
      </c>
    </row>
    <row r="9" spans="1:26" s="103" customFormat="1" ht="15" thickTop="1" thickBot="1">
      <c r="B9" s="18"/>
      <c r="C9" s="109" t="str">
        <f>Initiatives!F167</f>
        <v>Supply / Operations Apps</v>
      </c>
      <c r="D9" s="65">
        <f>$V9*0.15</f>
        <v>5.4833971200000002</v>
      </c>
      <c r="E9" s="65">
        <f>$V9*0.1</f>
        <v>3.6555980800000003</v>
      </c>
      <c r="F9" s="65">
        <f>$V9*0.15</f>
        <v>5.4833971200000002</v>
      </c>
      <c r="G9" s="65">
        <f>$V9*0.1</f>
        <v>3.6555980800000003</v>
      </c>
      <c r="H9" s="65">
        <f>$V9*0.05</f>
        <v>1.8277990400000002</v>
      </c>
      <c r="I9" s="65">
        <f t="shared" si="0"/>
        <v>2.5589186560000003</v>
      </c>
      <c r="J9" s="65">
        <f t="shared" si="0"/>
        <v>2.5589186560000003</v>
      </c>
      <c r="K9" s="65">
        <f>$V9*0.06</f>
        <v>2.1933588479999999</v>
      </c>
      <c r="L9" s="65">
        <f>$V9*0.05</f>
        <v>1.8277990400000002</v>
      </c>
      <c r="M9" s="65">
        <f>$V9*0.2</f>
        <v>7.3111961600000006</v>
      </c>
      <c r="N9" s="339">
        <f>SUM(D9:M9)</f>
        <v>36.555980799999993</v>
      </c>
      <c r="O9" s="210"/>
      <c r="Q9" s="220">
        <f>Q8</f>
        <v>1</v>
      </c>
      <c r="R9" s="220">
        <f>(4*4*4)*Q9</f>
        <v>64</v>
      </c>
      <c r="S9" s="289">
        <f>Initiatives!L239</f>
        <v>0.32</v>
      </c>
      <c r="T9" s="41">
        <f t="shared" ref="T9:T11" si="1">$Y$17*(1-S9)^$Y$16+$Y$18</f>
        <v>0.89248000000000005</v>
      </c>
      <c r="U9" s="289">
        <f>PCUsers/2500</f>
        <v>2</v>
      </c>
      <c r="V9" s="339">
        <f t="shared" ref="V9:V11" si="2">R9*S9*T9*U9</f>
        <v>36.5559808</v>
      </c>
      <c r="X9" s="445">
        <v>0.1</v>
      </c>
      <c r="Y9" s="445">
        <f t="shared" ref="Y9:Y14" si="3">$Y$17*(1-X9)^$Y$16+$Y$18</f>
        <v>0.96200000000000008</v>
      </c>
      <c r="Z9" s="409"/>
    </row>
    <row r="10" spans="1:26" s="103" customFormat="1" ht="15" thickTop="1" thickBot="1">
      <c r="B10" s="18"/>
      <c r="C10" s="109" t="str">
        <f>Initiatives!F168</f>
        <v>Financial Apps</v>
      </c>
      <c r="D10" s="65">
        <f>$V10*0.15</f>
        <v>6.7634380799999958</v>
      </c>
      <c r="E10" s="65">
        <f>$V10*0.1</f>
        <v>4.5089587199999981</v>
      </c>
      <c r="F10" s="65">
        <f>$V10*0.15</f>
        <v>6.7634380799999958</v>
      </c>
      <c r="G10" s="65">
        <f>$V10*0.1</f>
        <v>4.5089587199999981</v>
      </c>
      <c r="H10" s="65">
        <f>$V10*0.05</f>
        <v>2.254479359999999</v>
      </c>
      <c r="I10" s="65">
        <f t="shared" si="0"/>
        <v>3.1562711039999987</v>
      </c>
      <c r="J10" s="65">
        <f t="shared" si="0"/>
        <v>3.1562711039999987</v>
      </c>
      <c r="K10" s="65">
        <f>$V10*0.06</f>
        <v>2.7053752319999984</v>
      </c>
      <c r="L10" s="65">
        <f>$V10*0.05</f>
        <v>2.254479359999999</v>
      </c>
      <c r="M10" s="65">
        <f>$V10*0.2</f>
        <v>9.0179174399999962</v>
      </c>
      <c r="N10" s="339">
        <f>SUM(D10:M10)</f>
        <v>45.089587199999976</v>
      </c>
      <c r="O10" s="210"/>
      <c r="Q10" s="220">
        <f>Q9</f>
        <v>1</v>
      </c>
      <c r="R10" s="220">
        <f>(4*4*3)*Q10</f>
        <v>48</v>
      </c>
      <c r="S10" s="289">
        <f>Initiatives!L240</f>
        <v>0.55999999999999961</v>
      </c>
      <c r="T10" s="41">
        <f t="shared" si="1"/>
        <v>0.83872000000000013</v>
      </c>
      <c r="U10" s="289">
        <f>$U$9</f>
        <v>2</v>
      </c>
      <c r="V10" s="339">
        <f t="shared" si="2"/>
        <v>45.089587199999976</v>
      </c>
      <c r="X10" s="445">
        <v>0.3</v>
      </c>
      <c r="Y10" s="445">
        <f t="shared" si="3"/>
        <v>0.89800000000000002</v>
      </c>
      <c r="Z10" s="409"/>
    </row>
    <row r="11" spans="1:26" s="103" customFormat="1" ht="15" thickTop="1" thickBot="1">
      <c r="B11" s="18"/>
      <c r="C11" s="109" t="str">
        <f>Initiatives!F169</f>
        <v>Other / General Mgmt Apps</v>
      </c>
      <c r="D11" s="65">
        <f>$V11*0.15</f>
        <v>5.8917027839999996</v>
      </c>
      <c r="E11" s="65">
        <f>$V11*0.1</f>
        <v>3.9278018560000003</v>
      </c>
      <c r="F11" s="65">
        <f>$V11*0.15</f>
        <v>5.8917027839999996</v>
      </c>
      <c r="G11" s="65">
        <f>$V11*0.1</f>
        <v>3.9278018560000003</v>
      </c>
      <c r="H11" s="65">
        <f>$V11*0.05</f>
        <v>1.9639009280000002</v>
      </c>
      <c r="I11" s="65">
        <f t="shared" si="0"/>
        <v>2.7494612992</v>
      </c>
      <c r="J11" s="65">
        <f t="shared" si="0"/>
        <v>2.7494612992</v>
      </c>
      <c r="K11" s="65">
        <f>$V11*0.06</f>
        <v>2.3566811136000001</v>
      </c>
      <c r="L11" s="65">
        <f>$V11*0.05</f>
        <v>1.9639009280000002</v>
      </c>
      <c r="M11" s="65">
        <f>$V11*0.2</f>
        <v>7.8556037120000006</v>
      </c>
      <c r="N11" s="339">
        <f>SUM(D11:M11)</f>
        <v>39.278018560000007</v>
      </c>
      <c r="O11" s="210"/>
      <c r="Q11" s="220">
        <f>Q10</f>
        <v>1</v>
      </c>
      <c r="R11" s="220">
        <f>(4*4*4*0.55)*Q11</f>
        <v>35.200000000000003</v>
      </c>
      <c r="S11" s="289">
        <f>Initiatives!L241</f>
        <v>0.67999999999999983</v>
      </c>
      <c r="T11" s="41">
        <f t="shared" si="1"/>
        <v>0.8204800000000001</v>
      </c>
      <c r="U11" s="289">
        <f>$U$9</f>
        <v>2</v>
      </c>
      <c r="V11" s="339">
        <f t="shared" si="2"/>
        <v>39.27801856</v>
      </c>
      <c r="X11" s="445">
        <v>0.5</v>
      </c>
      <c r="Y11" s="445">
        <f t="shared" si="3"/>
        <v>0.85000000000000009</v>
      </c>
      <c r="Z11" s="409"/>
    </row>
    <row r="12" spans="1:26" s="103" customFormat="1" ht="14.4" thickTop="1">
      <c r="B12" s="18"/>
      <c r="C12" s="86" t="s">
        <v>586</v>
      </c>
      <c r="D12" s="340">
        <f>SUM(D8:D11)</f>
        <v>22.389448703999996</v>
      </c>
      <c r="E12" s="340">
        <f t="shared" ref="E12:M12" si="4">SUM(E8:E11)</f>
        <v>14.926299135999999</v>
      </c>
      <c r="F12" s="340">
        <f t="shared" si="4"/>
        <v>22.389448703999996</v>
      </c>
      <c r="G12" s="340">
        <f t="shared" si="4"/>
        <v>14.926299135999999</v>
      </c>
      <c r="H12" s="340">
        <f t="shared" si="4"/>
        <v>7.4631495679999995</v>
      </c>
      <c r="I12" s="340">
        <f t="shared" si="4"/>
        <v>10.448409395199999</v>
      </c>
      <c r="J12" s="340">
        <f t="shared" si="4"/>
        <v>10.448409395199999</v>
      </c>
      <c r="K12" s="340">
        <f t="shared" si="4"/>
        <v>8.9557794815999987</v>
      </c>
      <c r="L12" s="340">
        <f t="shared" si="4"/>
        <v>7.4631495679999995</v>
      </c>
      <c r="M12" s="340">
        <f t="shared" si="4"/>
        <v>29.852598271999998</v>
      </c>
      <c r="N12" s="340">
        <f>SUM(N8:N11)</f>
        <v>149.26299135999994</v>
      </c>
      <c r="O12" s="210"/>
      <c r="Q12" s="224"/>
      <c r="R12" s="224">
        <f>SUM(R8:R11)</f>
        <v>203.2</v>
      </c>
      <c r="S12" s="322"/>
      <c r="T12" s="322"/>
      <c r="U12" s="322"/>
      <c r="V12" s="340">
        <f>SUM(V8:V11)</f>
        <v>149.26299135999997</v>
      </c>
      <c r="X12" s="445">
        <v>0.7</v>
      </c>
      <c r="Y12" s="445">
        <f t="shared" si="3"/>
        <v>0.81800000000000006</v>
      </c>
      <c r="Z12" s="409"/>
    </row>
    <row r="13" spans="1:26" s="103" customFormat="1" ht="15.6" thickBot="1">
      <c r="B13" s="21" t="str">
        <f>Profile!B66</f>
        <v>Source System Inclusion / Integration</v>
      </c>
      <c r="C13" s="18"/>
      <c r="D13" s="18"/>
      <c r="E13" s="18"/>
      <c r="F13" s="18"/>
      <c r="G13" s="18"/>
      <c r="H13" s="18"/>
      <c r="I13" s="18"/>
      <c r="J13" s="18"/>
      <c r="K13" s="18"/>
      <c r="L13" s="18"/>
      <c r="M13" s="18"/>
      <c r="N13" s="18"/>
      <c r="O13" s="18"/>
      <c r="Q13" s="18"/>
      <c r="R13" s="18"/>
      <c r="S13" s="323"/>
      <c r="T13" s="323"/>
      <c r="U13" s="323"/>
      <c r="V13" s="444"/>
      <c r="X13" s="445">
        <v>0.9</v>
      </c>
      <c r="Y13" s="445">
        <f t="shared" si="3"/>
        <v>0.80200000000000005</v>
      </c>
      <c r="Z13" s="409"/>
    </row>
    <row r="14" spans="1:26" ht="15" thickTop="1" thickBot="1">
      <c r="B14" s="18"/>
      <c r="C14" s="109" t="str">
        <f>Initiatives!F172</f>
        <v>Marketing / Sales Data Integration</v>
      </c>
      <c r="D14" s="65">
        <f>$V14*0.15</f>
        <v>2.6669260800000001</v>
      </c>
      <c r="E14" s="65">
        <f>$V14*0.1</f>
        <v>1.7779507200000002</v>
      </c>
      <c r="F14" s="65">
        <f>$V14*0.15</f>
        <v>2.6669260800000001</v>
      </c>
      <c r="G14" s="65">
        <f>$V14*0.1</f>
        <v>1.7779507200000002</v>
      </c>
      <c r="H14" s="65">
        <f>$V14*0.05</f>
        <v>0.8889753600000001</v>
      </c>
      <c r="I14" s="65">
        <f t="shared" ref="I14:J17" si="5">$V14*0.07</f>
        <v>1.2445655040000001</v>
      </c>
      <c r="J14" s="65">
        <f t="shared" si="5"/>
        <v>1.2445655040000001</v>
      </c>
      <c r="K14" s="65">
        <f>$V14*0.06</f>
        <v>1.066770432</v>
      </c>
      <c r="L14" s="65">
        <f>$V14*0.05</f>
        <v>0.8889753600000001</v>
      </c>
      <c r="M14" s="65">
        <f>$V14*0.2</f>
        <v>3.5559014400000004</v>
      </c>
      <c r="N14" s="339">
        <f t="shared" ref="N14:N24" si="6">SUM(D14:M14)</f>
        <v>17.779507200000001</v>
      </c>
      <c r="O14" s="210"/>
      <c r="Q14" s="220">
        <f>Q8</f>
        <v>1</v>
      </c>
      <c r="R14" s="220">
        <f>(R8*0.5)*Q14</f>
        <v>28</v>
      </c>
      <c r="S14" s="289">
        <f>Initiatives!L244</f>
        <v>0.36</v>
      </c>
      <c r="T14" s="41">
        <f t="shared" ref="T14:T17" si="7">$Y$17*(1-S14)^$Y$16+$Y$18</f>
        <v>0.88192000000000004</v>
      </c>
      <c r="U14" s="289">
        <f>$U$9</f>
        <v>2</v>
      </c>
      <c r="V14" s="339">
        <f t="shared" ref="V14:V17" si="8">R14*S14*T14*U14</f>
        <v>17.779507200000001</v>
      </c>
      <c r="X14" s="445">
        <v>1</v>
      </c>
      <c r="Y14" s="445">
        <f t="shared" si="3"/>
        <v>0.8</v>
      </c>
      <c r="Z14" s="409"/>
    </row>
    <row r="15" spans="1:26" s="103" customFormat="1" ht="27.6" thickTop="1" thickBot="1">
      <c r="B15" s="18"/>
      <c r="C15" s="109" t="str">
        <f>Initiatives!F173</f>
        <v>Supply Chain / Ops Data Integration</v>
      </c>
      <c r="D15" s="65">
        <f>$V15*0.15</f>
        <v>5.3560934400000004</v>
      </c>
      <c r="E15" s="65">
        <f>$V15*0.1</f>
        <v>3.5707289600000003</v>
      </c>
      <c r="F15" s="65">
        <f>$V15*0.15</f>
        <v>5.3560934400000004</v>
      </c>
      <c r="G15" s="65">
        <f>$V15*0.1</f>
        <v>3.5707289600000003</v>
      </c>
      <c r="H15" s="65">
        <f>$V15*0.05</f>
        <v>1.7853644800000001</v>
      </c>
      <c r="I15" s="65">
        <f t="shared" si="5"/>
        <v>2.4995102720000006</v>
      </c>
      <c r="J15" s="65">
        <f t="shared" si="5"/>
        <v>2.4995102720000006</v>
      </c>
      <c r="K15" s="65">
        <f>$V15*0.06</f>
        <v>2.1424373760000002</v>
      </c>
      <c r="L15" s="65">
        <f>$V15*0.05</f>
        <v>1.7853644800000001</v>
      </c>
      <c r="M15" s="65">
        <f>$V15*0.2</f>
        <v>7.1414579200000006</v>
      </c>
      <c r="N15" s="339">
        <f t="shared" si="6"/>
        <v>35.70728960000001</v>
      </c>
      <c r="O15" s="218"/>
      <c r="Q15" s="220">
        <f>Q9</f>
        <v>1</v>
      </c>
      <c r="R15" s="220">
        <f>(R9*0.5)*Q15</f>
        <v>32</v>
      </c>
      <c r="S15" s="289">
        <f>Initiatives!L245</f>
        <v>0.67999999999999994</v>
      </c>
      <c r="T15" s="41">
        <f t="shared" si="7"/>
        <v>0.8204800000000001</v>
      </c>
      <c r="U15" s="289">
        <f>$U$9</f>
        <v>2</v>
      </c>
      <c r="V15" s="339">
        <f t="shared" si="8"/>
        <v>35.707289600000003</v>
      </c>
    </row>
    <row r="16" spans="1:26" ht="15" thickTop="1" thickBot="1">
      <c r="B16" s="18"/>
      <c r="C16" s="109" t="str">
        <f>Initiatives!F174</f>
        <v>Financial Data Integration</v>
      </c>
      <c r="D16" s="65">
        <f>$V16*0.15</f>
        <v>1.8218188799999995</v>
      </c>
      <c r="E16" s="65">
        <f>$V16*0.1</f>
        <v>1.2145459199999999</v>
      </c>
      <c r="F16" s="65">
        <f>$V16*0.15</f>
        <v>1.8218188799999995</v>
      </c>
      <c r="G16" s="65">
        <f>$V16*0.1</f>
        <v>1.2145459199999999</v>
      </c>
      <c r="H16" s="65">
        <f>$V16*0.05</f>
        <v>0.60727295999999997</v>
      </c>
      <c r="I16" s="65">
        <f t="shared" si="5"/>
        <v>0.85018214399999992</v>
      </c>
      <c r="J16" s="65">
        <f t="shared" si="5"/>
        <v>0.85018214399999992</v>
      </c>
      <c r="K16" s="65">
        <f>$V16*0.06</f>
        <v>0.72872755199999983</v>
      </c>
      <c r="L16" s="65">
        <f>$V16*0.05</f>
        <v>0.60727295999999997</v>
      </c>
      <c r="M16" s="65">
        <f>$V16*0.2</f>
        <v>2.4290918399999999</v>
      </c>
      <c r="N16" s="339">
        <f t="shared" si="6"/>
        <v>12.145459199999998</v>
      </c>
      <c r="O16" s="210"/>
      <c r="Q16" s="220">
        <f>Q10</f>
        <v>1</v>
      </c>
      <c r="R16" s="220">
        <f>(R10*0.5)*Q16</f>
        <v>24</v>
      </c>
      <c r="S16" s="289">
        <f>Initiatives!L246</f>
        <v>0.27999999999999992</v>
      </c>
      <c r="T16" s="41">
        <f t="shared" si="7"/>
        <v>0.90368000000000004</v>
      </c>
      <c r="U16" s="289">
        <f>$U$9</f>
        <v>2</v>
      </c>
      <c r="V16" s="339">
        <f t="shared" si="8"/>
        <v>12.145459199999998</v>
      </c>
      <c r="X16" s="387" t="s">
        <v>1048</v>
      </c>
      <c r="Y16" s="387">
        <v>2</v>
      </c>
    </row>
    <row r="17" spans="2:25" ht="15" thickTop="1" thickBot="1">
      <c r="B17" s="18"/>
      <c r="C17" s="109" t="str">
        <f>Initiatives!F175</f>
        <v>Other Data Integration</v>
      </c>
      <c r="D17" s="65">
        <f>$V17*0.15</f>
        <v>2.7909488640000006</v>
      </c>
      <c r="E17" s="65">
        <f>$V17*0.1</f>
        <v>1.8606325760000004</v>
      </c>
      <c r="F17" s="65">
        <f>$V17*0.15</f>
        <v>2.7909488640000006</v>
      </c>
      <c r="G17" s="65">
        <f>$V17*0.1</f>
        <v>1.8606325760000004</v>
      </c>
      <c r="H17" s="65">
        <f>$V17*0.05</f>
        <v>0.93031628800000021</v>
      </c>
      <c r="I17" s="65">
        <f t="shared" si="5"/>
        <v>1.3024428032000004</v>
      </c>
      <c r="J17" s="65">
        <f t="shared" si="5"/>
        <v>1.3024428032000004</v>
      </c>
      <c r="K17" s="65">
        <f>$V17*0.06</f>
        <v>1.1163795456000003</v>
      </c>
      <c r="L17" s="65">
        <f>$V17*0.05</f>
        <v>0.93031628800000021</v>
      </c>
      <c r="M17" s="65">
        <f>$V17*0.2</f>
        <v>3.7212651520000009</v>
      </c>
      <c r="N17" s="339">
        <f t="shared" si="6"/>
        <v>18.606325760000004</v>
      </c>
      <c r="O17" s="210"/>
      <c r="Q17" s="220">
        <f>Q11</f>
        <v>1</v>
      </c>
      <c r="R17" s="220">
        <f>(R11*0.5)*Q17</f>
        <v>17.600000000000001</v>
      </c>
      <c r="S17" s="289">
        <f>Initiatives!L247</f>
        <v>0.64000000000000012</v>
      </c>
      <c r="T17" s="41">
        <f t="shared" si="7"/>
        <v>0.82591999999999999</v>
      </c>
      <c r="U17" s="289">
        <f>$U$9</f>
        <v>2</v>
      </c>
      <c r="V17" s="339">
        <f t="shared" si="8"/>
        <v>18.606325760000004</v>
      </c>
      <c r="X17" s="387" t="s">
        <v>1043</v>
      </c>
      <c r="Y17" s="387">
        <v>0.2</v>
      </c>
    </row>
    <row r="18" spans="2:25" s="294" customFormat="1" ht="15" thickTop="1" thickBot="1">
      <c r="B18" s="18"/>
      <c r="C18" s="86" t="s">
        <v>586</v>
      </c>
      <c r="D18" s="340">
        <f t="shared" ref="D18:M18" si="9">SUM(D14:D17)</f>
        <v>12.635787264000001</v>
      </c>
      <c r="E18" s="340">
        <f t="shared" si="9"/>
        <v>8.4238581759999995</v>
      </c>
      <c r="F18" s="340">
        <f t="shared" si="9"/>
        <v>12.635787264000001</v>
      </c>
      <c r="G18" s="340">
        <f t="shared" si="9"/>
        <v>8.4238581759999995</v>
      </c>
      <c r="H18" s="340">
        <f t="shared" si="9"/>
        <v>4.2119290879999998</v>
      </c>
      <c r="I18" s="340">
        <f t="shared" si="9"/>
        <v>5.8967007232000004</v>
      </c>
      <c r="J18" s="340">
        <f t="shared" si="9"/>
        <v>5.8967007232000004</v>
      </c>
      <c r="K18" s="340">
        <f t="shared" si="9"/>
        <v>5.0543149056000001</v>
      </c>
      <c r="L18" s="340">
        <f t="shared" si="9"/>
        <v>4.2119290879999998</v>
      </c>
      <c r="M18" s="340">
        <f t="shared" si="9"/>
        <v>16.847716351999999</v>
      </c>
      <c r="N18" s="340">
        <f>SUM(N31:N31)</f>
        <v>137.35541760000001</v>
      </c>
      <c r="O18" s="295"/>
      <c r="Q18" s="224"/>
      <c r="R18" s="224">
        <f>SUM(R14:R17)</f>
        <v>101.6</v>
      </c>
      <c r="S18" s="322"/>
      <c r="T18" s="322"/>
      <c r="U18" s="322"/>
      <c r="V18" s="340">
        <f>SUM(V14:V17)</f>
        <v>84.238581760000017</v>
      </c>
      <c r="X18" s="387" t="s">
        <v>1049</v>
      </c>
      <c r="Y18" s="387">
        <v>0.8</v>
      </c>
    </row>
    <row r="19" spans="2:25" s="294" customFormat="1" ht="16.2" thickTop="1" thickBot="1">
      <c r="B19" s="21" t="str">
        <f>Profile!B71</f>
        <v>Enhance DW Platform</v>
      </c>
      <c r="C19" s="18"/>
      <c r="D19" s="18"/>
      <c r="E19" s="18"/>
      <c r="F19" s="18"/>
      <c r="G19" s="18"/>
      <c r="H19" s="18"/>
      <c r="I19" s="18"/>
      <c r="J19" s="18"/>
      <c r="K19" s="18"/>
      <c r="L19" s="18"/>
      <c r="M19" s="18"/>
      <c r="N19" s="18"/>
      <c r="O19" s="18"/>
      <c r="Q19" s="18"/>
      <c r="R19" s="18"/>
      <c r="S19" s="323"/>
      <c r="T19" s="323"/>
      <c r="U19" s="323"/>
      <c r="V19" s="444"/>
    </row>
    <row r="20" spans="2:25" ht="27.6" thickTop="1" thickBot="1">
      <c r="B20" s="18"/>
      <c r="C20" s="109" t="str">
        <f>Initiatives!F178</f>
        <v>Architecture Standards &amp; Adherence</v>
      </c>
      <c r="D20" s="65">
        <f>$V20*0.15</f>
        <v>0.99531600000000087</v>
      </c>
      <c r="E20" s="65">
        <f>$V20*0.1</f>
        <v>0.66354400000000069</v>
      </c>
      <c r="F20" s="65">
        <f>$V20*0.15</f>
        <v>0.99531600000000087</v>
      </c>
      <c r="G20" s="65">
        <f>$V20*0.1</f>
        <v>0.66354400000000069</v>
      </c>
      <c r="H20" s="65">
        <f>$V20*0.05</f>
        <v>0.33177200000000034</v>
      </c>
      <c r="I20" s="65">
        <f t="shared" ref="I20:J24" si="10">$V20*0.07</f>
        <v>0.46448080000000047</v>
      </c>
      <c r="J20" s="65">
        <f t="shared" si="10"/>
        <v>0.46448080000000047</v>
      </c>
      <c r="K20" s="65">
        <f>$V20*0.06</f>
        <v>0.39812640000000038</v>
      </c>
      <c r="L20" s="65">
        <f>$V20*0.05</f>
        <v>0.33177200000000034</v>
      </c>
      <c r="M20" s="65">
        <f>$V20*0.2</f>
        <v>1.3270880000000014</v>
      </c>
      <c r="N20" s="339">
        <f t="shared" si="6"/>
        <v>6.6354400000000071</v>
      </c>
      <c r="O20" s="210"/>
      <c r="Q20" s="220">
        <f>Q8</f>
        <v>1</v>
      </c>
      <c r="R20" s="220">
        <f>(5*5)*Q20</f>
        <v>25</v>
      </c>
      <c r="S20" s="289">
        <f>Initiatives!L250</f>
        <v>0.14000000000000012</v>
      </c>
      <c r="T20" s="41">
        <f t="shared" ref="T20:T24" si="11">$Y$17*(1-S20)^$Y$16+$Y$18</f>
        <v>0.94791999999999998</v>
      </c>
      <c r="U20" s="289">
        <f>$U$9</f>
        <v>2</v>
      </c>
      <c r="V20" s="339">
        <f t="shared" ref="V20:V24" si="12">R20*S20*T20*U20</f>
        <v>6.6354400000000062</v>
      </c>
    </row>
    <row r="21" spans="2:25" ht="15" thickTop="1" thickBot="1">
      <c r="B21" s="18"/>
      <c r="C21" s="109" t="str">
        <f>Initiatives!F179</f>
        <v>Data Management</v>
      </c>
      <c r="D21" s="65">
        <f>$V21*0.15</f>
        <v>1.0822499999999997</v>
      </c>
      <c r="E21" s="65">
        <f>$V21*0.1</f>
        <v>0.72149999999999992</v>
      </c>
      <c r="F21" s="65">
        <f>$V21*0.15</f>
        <v>1.0822499999999997</v>
      </c>
      <c r="G21" s="65">
        <f>$V21*0.1</f>
        <v>0.72149999999999992</v>
      </c>
      <c r="H21" s="65">
        <f>$V21*0.05</f>
        <v>0.36074999999999996</v>
      </c>
      <c r="I21" s="65">
        <f t="shared" si="10"/>
        <v>0.50505</v>
      </c>
      <c r="J21" s="65">
        <f t="shared" si="10"/>
        <v>0.50505</v>
      </c>
      <c r="K21" s="65">
        <f>$V21*0.06</f>
        <v>0.4328999999999999</v>
      </c>
      <c r="L21" s="65">
        <f>$V21*0.05</f>
        <v>0.36074999999999996</v>
      </c>
      <c r="M21" s="65">
        <f>$V21*0.2</f>
        <v>1.4429999999999998</v>
      </c>
      <c r="N21" s="339">
        <f t="shared" si="6"/>
        <v>7.214999999999999</v>
      </c>
      <c r="O21" s="210"/>
      <c r="Q21" s="220">
        <f>Q20</f>
        <v>1</v>
      </c>
      <c r="R21" s="220">
        <f>(R20*1.5)</f>
        <v>37.5</v>
      </c>
      <c r="S21" s="289">
        <f>Initiatives!L251</f>
        <v>9.9999999999999978E-2</v>
      </c>
      <c r="T21" s="41">
        <f t="shared" si="11"/>
        <v>0.96200000000000008</v>
      </c>
      <c r="U21" s="289">
        <f>$U$9</f>
        <v>2</v>
      </c>
      <c r="V21" s="339">
        <f t="shared" si="12"/>
        <v>7.214999999999999</v>
      </c>
    </row>
    <row r="22" spans="2:25" ht="15" thickTop="1" thickBot="1">
      <c r="B22" s="18"/>
      <c r="C22" s="109" t="str">
        <f>Initiatives!F180</f>
        <v>Data Integration/ETL</v>
      </c>
      <c r="D22" s="65">
        <f>$V22*0.15</f>
        <v>1.0822499999999997</v>
      </c>
      <c r="E22" s="65">
        <f>$V22*0.1</f>
        <v>0.72149999999999992</v>
      </c>
      <c r="F22" s="65">
        <f>$V22*0.15</f>
        <v>1.0822499999999997</v>
      </c>
      <c r="G22" s="65">
        <f>$V22*0.1</f>
        <v>0.72149999999999992</v>
      </c>
      <c r="H22" s="65">
        <f>$V22*0.05</f>
        <v>0.36074999999999996</v>
      </c>
      <c r="I22" s="65">
        <f t="shared" si="10"/>
        <v>0.50505</v>
      </c>
      <c r="J22" s="65">
        <f t="shared" si="10"/>
        <v>0.50505</v>
      </c>
      <c r="K22" s="65">
        <f>$V22*0.06</f>
        <v>0.4328999999999999</v>
      </c>
      <c r="L22" s="65">
        <f>$V22*0.05</f>
        <v>0.36074999999999996</v>
      </c>
      <c r="M22" s="65">
        <f>$V22*0.2</f>
        <v>1.4429999999999998</v>
      </c>
      <c r="N22" s="339">
        <f t="shared" si="6"/>
        <v>7.214999999999999</v>
      </c>
      <c r="O22" s="210"/>
      <c r="Q22" s="220">
        <f>Q21</f>
        <v>1</v>
      </c>
      <c r="R22" s="220">
        <f>(R21)</f>
        <v>37.5</v>
      </c>
      <c r="S22" s="289">
        <f>Initiatives!L252</f>
        <v>9.9999999999999978E-2</v>
      </c>
      <c r="T22" s="41">
        <f t="shared" si="11"/>
        <v>0.96200000000000008</v>
      </c>
      <c r="U22" s="289">
        <f>$U$9</f>
        <v>2</v>
      </c>
      <c r="V22" s="339">
        <f t="shared" si="12"/>
        <v>7.214999999999999</v>
      </c>
    </row>
    <row r="23" spans="2:25" s="336" customFormat="1" ht="15" thickTop="1" thickBot="1">
      <c r="B23" s="18"/>
      <c r="C23" s="109" t="str">
        <f>Initiatives!F181</f>
        <v>Data Warehouse / Data Marts</v>
      </c>
      <c r="D23" s="65">
        <f>$V23*0.15</f>
        <v>0.44468100000000038</v>
      </c>
      <c r="E23" s="65">
        <f>$V23*0.1</f>
        <v>0.29645400000000027</v>
      </c>
      <c r="F23" s="65">
        <f>$V23*0.15</f>
        <v>0.44468100000000038</v>
      </c>
      <c r="G23" s="65">
        <f>$V23*0.1</f>
        <v>0.29645400000000027</v>
      </c>
      <c r="H23" s="65">
        <f>$V23*0.05</f>
        <v>0.14822700000000014</v>
      </c>
      <c r="I23" s="65">
        <f t="shared" si="10"/>
        <v>0.2075178000000002</v>
      </c>
      <c r="J23" s="65">
        <f t="shared" si="10"/>
        <v>0.2075178000000002</v>
      </c>
      <c r="K23" s="65">
        <f>$V23*0.06</f>
        <v>0.17787240000000015</v>
      </c>
      <c r="L23" s="65">
        <f>$V23*0.05</f>
        <v>0.14822700000000014</v>
      </c>
      <c r="M23" s="65">
        <f>$V23*0.2</f>
        <v>0.59290800000000055</v>
      </c>
      <c r="N23" s="339">
        <f>SUM(D23:M23)</f>
        <v>2.9645400000000026</v>
      </c>
      <c r="O23" s="337"/>
      <c r="Q23" s="220">
        <f>Q22</f>
        <v>1</v>
      </c>
      <c r="R23" s="220">
        <f>50*Q23</f>
        <v>50</v>
      </c>
      <c r="S23" s="289">
        <f>Initiatives!L253</f>
        <v>3.0000000000000027E-2</v>
      </c>
      <c r="T23" s="41">
        <f t="shared" si="11"/>
        <v>0.98818000000000006</v>
      </c>
      <c r="U23" s="289">
        <f>$U$9</f>
        <v>2</v>
      </c>
      <c r="V23" s="339">
        <f t="shared" si="12"/>
        <v>2.9645400000000026</v>
      </c>
    </row>
    <row r="24" spans="2:25" ht="15" thickTop="1" thickBot="1">
      <c r="B24" s="18"/>
      <c r="C24" s="109" t="str">
        <f>Initiatives!F182</f>
        <v>Development</v>
      </c>
      <c r="D24" s="65">
        <f>$V24*0.15</f>
        <v>0.12972287250000109</v>
      </c>
      <c r="E24" s="65">
        <f>$V24*0.1</f>
        <v>8.6481915000000728E-2</v>
      </c>
      <c r="F24" s="65">
        <f>$V24*0.15</f>
        <v>0.12972287250000109</v>
      </c>
      <c r="G24" s="65">
        <f>$V24*0.1</f>
        <v>8.6481915000000728E-2</v>
      </c>
      <c r="H24" s="65">
        <f>$V24*0.05</f>
        <v>4.3240957500000364E-2</v>
      </c>
      <c r="I24" s="65">
        <f t="shared" si="10"/>
        <v>6.0537340500000508E-2</v>
      </c>
      <c r="J24" s="65">
        <f t="shared" si="10"/>
        <v>6.0537340500000508E-2</v>
      </c>
      <c r="K24" s="65">
        <f>$V24*0.06</f>
        <v>5.1889149000000433E-2</v>
      </c>
      <c r="L24" s="65">
        <f>$V24*0.05</f>
        <v>4.3240957500000364E-2</v>
      </c>
      <c r="M24" s="65">
        <f>$V24*0.2</f>
        <v>0.17296383000000146</v>
      </c>
      <c r="N24" s="339">
        <f t="shared" si="6"/>
        <v>0.8648191500000072</v>
      </c>
      <c r="O24" s="210"/>
      <c r="Q24" s="220">
        <f>Q23</f>
        <v>1</v>
      </c>
      <c r="R24" s="220">
        <f>29*Q24</f>
        <v>29</v>
      </c>
      <c r="S24" s="289">
        <f>Initiatives!L254</f>
        <v>1.5000000000000124E-2</v>
      </c>
      <c r="T24" s="41">
        <f t="shared" si="11"/>
        <v>0.99404500000000007</v>
      </c>
      <c r="U24" s="289">
        <f>$U$9</f>
        <v>2</v>
      </c>
      <c r="V24" s="339">
        <f t="shared" si="12"/>
        <v>0.8648191500000072</v>
      </c>
    </row>
    <row r="25" spans="2:25" ht="14.4" thickTop="1">
      <c r="B25" s="18"/>
      <c r="C25" s="86" t="s">
        <v>586</v>
      </c>
      <c r="D25" s="340">
        <f>SUM(D20:D24)</f>
        <v>3.734219872500002</v>
      </c>
      <c r="E25" s="340">
        <f t="shared" ref="E25:M25" si="13">SUM(E20:E24)</f>
        <v>2.4894799150000013</v>
      </c>
      <c r="F25" s="340">
        <f t="shared" si="13"/>
        <v>3.734219872500002</v>
      </c>
      <c r="G25" s="340">
        <f t="shared" si="13"/>
        <v>2.4894799150000013</v>
      </c>
      <c r="H25" s="340">
        <f t="shared" si="13"/>
        <v>1.2447399575000007</v>
      </c>
      <c r="I25" s="340">
        <f t="shared" si="13"/>
        <v>1.7426359405000011</v>
      </c>
      <c r="J25" s="340">
        <f t="shared" si="13"/>
        <v>1.7426359405000011</v>
      </c>
      <c r="K25" s="340">
        <f t="shared" si="13"/>
        <v>1.4936879490000008</v>
      </c>
      <c r="L25" s="340">
        <f t="shared" si="13"/>
        <v>1.2447399575000007</v>
      </c>
      <c r="M25" s="340">
        <f t="shared" si="13"/>
        <v>4.9789598300000026</v>
      </c>
      <c r="N25" s="340">
        <f>SUM(N20:N24)</f>
        <v>24.894799150000015</v>
      </c>
      <c r="O25" s="210"/>
      <c r="Q25" s="224"/>
      <c r="R25" s="224">
        <f>SUM(R20:R24)</f>
        <v>179</v>
      </c>
      <c r="S25" s="322"/>
      <c r="T25" s="322"/>
      <c r="U25" s="322"/>
      <c r="V25" s="340">
        <f>SUM(V20:V24)</f>
        <v>24.894799150000015</v>
      </c>
    </row>
    <row r="26" spans="2:25" s="103" customFormat="1" ht="15.6" thickBot="1">
      <c r="B26" s="21" t="str">
        <f>Profile!B77</f>
        <v>Enhance BI Platform</v>
      </c>
      <c r="C26" s="18"/>
      <c r="D26" s="18"/>
      <c r="E26" s="18"/>
      <c r="F26" s="18"/>
      <c r="G26" s="18"/>
      <c r="H26" s="18"/>
      <c r="I26" s="18"/>
      <c r="J26" s="18"/>
      <c r="K26" s="18"/>
      <c r="L26" s="18"/>
      <c r="M26" s="18"/>
      <c r="N26" s="18"/>
      <c r="O26" s="18"/>
      <c r="Q26" s="18"/>
      <c r="R26" s="18"/>
      <c r="S26" s="323"/>
      <c r="T26" s="323"/>
      <c r="U26" s="323"/>
      <c r="V26" s="444"/>
    </row>
    <row r="27" spans="2:25" s="103" customFormat="1" ht="15" thickTop="1" thickBot="1">
      <c r="B27" s="18"/>
      <c r="C27" s="109" t="str">
        <f>Initiatives!F185</f>
        <v>Reporting</v>
      </c>
      <c r="D27" s="65">
        <f>$V27*0.15</f>
        <v>3.8126131199999995</v>
      </c>
      <c r="E27" s="65">
        <f>$V27*0.1</f>
        <v>2.5417420800000001</v>
      </c>
      <c r="F27" s="65">
        <f>$V27*0.15</f>
        <v>3.8126131199999995</v>
      </c>
      <c r="G27" s="65">
        <f>$V27*0.1</f>
        <v>2.5417420800000001</v>
      </c>
      <c r="H27" s="65">
        <f>$V27*0.05</f>
        <v>1.2708710400000001</v>
      </c>
      <c r="I27" s="65">
        <f t="shared" ref="I27:J30" si="14">$V27*0.07</f>
        <v>1.7792194560000001</v>
      </c>
      <c r="J27" s="65">
        <f t="shared" si="14"/>
        <v>1.7792194560000001</v>
      </c>
      <c r="K27" s="65">
        <f>$V27*0.06</f>
        <v>1.5250452479999999</v>
      </c>
      <c r="L27" s="65">
        <f>$V27*0.05</f>
        <v>1.2708710400000001</v>
      </c>
      <c r="M27" s="65">
        <f>$V27*0.2</f>
        <v>5.0834841600000003</v>
      </c>
      <c r="N27" s="339">
        <f>SUM(D27:M27)</f>
        <v>25.417420800000002</v>
      </c>
      <c r="O27" s="218"/>
      <c r="Q27" s="220">
        <f>Q8</f>
        <v>1</v>
      </c>
      <c r="R27" s="220">
        <f>31*Q27</f>
        <v>31</v>
      </c>
      <c r="S27" s="289">
        <f>Initiatives!L257</f>
        <v>0.48</v>
      </c>
      <c r="T27" s="41">
        <f t="shared" ref="T27:T30" si="15">$Y$17*(1-S27)^$Y$16+$Y$18</f>
        <v>0.85408000000000006</v>
      </c>
      <c r="U27" s="289">
        <f>$U$9</f>
        <v>2</v>
      </c>
      <c r="V27" s="339">
        <f t="shared" ref="V27:V30" si="16">R27*S27*T27*U27</f>
        <v>25.417420799999999</v>
      </c>
    </row>
    <row r="28" spans="2:25" s="103" customFormat="1" ht="15" thickTop="1" thickBot="1">
      <c r="B28" s="18"/>
      <c r="C28" s="109" t="str">
        <f>Initiatives!F186</f>
        <v>Scorecards / Dashboards</v>
      </c>
      <c r="D28" s="65">
        <f>$V28*0.15</f>
        <v>6.140159999999999</v>
      </c>
      <c r="E28" s="65">
        <f>$V28*0.1</f>
        <v>4.0934400000000002</v>
      </c>
      <c r="F28" s="65">
        <f>$V28*0.15</f>
        <v>6.140159999999999</v>
      </c>
      <c r="G28" s="65">
        <f>$V28*0.1</f>
        <v>4.0934400000000002</v>
      </c>
      <c r="H28" s="65">
        <f>$V28*0.05</f>
        <v>2.0467200000000001</v>
      </c>
      <c r="I28" s="65">
        <f t="shared" si="14"/>
        <v>2.865408</v>
      </c>
      <c r="J28" s="65">
        <f t="shared" si="14"/>
        <v>2.865408</v>
      </c>
      <c r="K28" s="65">
        <f>$V28*0.06</f>
        <v>2.4560639999999996</v>
      </c>
      <c r="L28" s="65">
        <f>$V28*0.05</f>
        <v>2.0467200000000001</v>
      </c>
      <c r="M28" s="65">
        <f>$V28*0.2</f>
        <v>8.1868800000000004</v>
      </c>
      <c r="N28" s="339">
        <f>SUM(D28:M28)</f>
        <v>40.934399999999997</v>
      </c>
      <c r="O28" s="218"/>
      <c r="Q28" s="220">
        <f>Q9</f>
        <v>1</v>
      </c>
      <c r="R28" s="220">
        <f>41*Q28</f>
        <v>41</v>
      </c>
      <c r="S28" s="289">
        <f>Initiatives!L258</f>
        <v>0.6</v>
      </c>
      <c r="T28" s="41">
        <f t="shared" si="15"/>
        <v>0.83200000000000007</v>
      </c>
      <c r="U28" s="289">
        <f>$U$9</f>
        <v>2</v>
      </c>
      <c r="V28" s="339">
        <f t="shared" si="16"/>
        <v>40.934399999999997</v>
      </c>
    </row>
    <row r="29" spans="2:25" s="103" customFormat="1" ht="15" thickTop="1" thickBot="1">
      <c r="B29" s="18"/>
      <c r="C29" s="109" t="str">
        <f>Initiatives!F187</f>
        <v>Analytical Tools</v>
      </c>
      <c r="D29" s="65">
        <f>$V29*0.15</f>
        <v>5.5411200000000003</v>
      </c>
      <c r="E29" s="65">
        <f>$V29*0.1</f>
        <v>3.6940800000000005</v>
      </c>
      <c r="F29" s="65">
        <f>$V29*0.15</f>
        <v>5.5411200000000003</v>
      </c>
      <c r="G29" s="65">
        <f>$V29*0.1</f>
        <v>3.6940800000000005</v>
      </c>
      <c r="H29" s="65">
        <f>$V29*0.05</f>
        <v>1.8470400000000002</v>
      </c>
      <c r="I29" s="65">
        <f t="shared" si="14"/>
        <v>2.5858560000000006</v>
      </c>
      <c r="J29" s="65">
        <f t="shared" si="14"/>
        <v>2.5858560000000006</v>
      </c>
      <c r="K29" s="65">
        <f>$V29*0.06</f>
        <v>2.2164480000000002</v>
      </c>
      <c r="L29" s="65">
        <f>$V29*0.05</f>
        <v>1.8470400000000002</v>
      </c>
      <c r="M29" s="65">
        <f>$V29*0.2</f>
        <v>7.3881600000000009</v>
      </c>
      <c r="N29" s="339">
        <f>SUM(D29:M29)</f>
        <v>36.940800000000003</v>
      </c>
      <c r="O29" s="218"/>
      <c r="Q29" s="220">
        <f>Q10</f>
        <v>1</v>
      </c>
      <c r="R29" s="220">
        <f>37*Q29</f>
        <v>37</v>
      </c>
      <c r="S29" s="289">
        <f>Initiatives!L259</f>
        <v>0.6</v>
      </c>
      <c r="T29" s="41">
        <f t="shared" si="15"/>
        <v>0.83200000000000007</v>
      </c>
      <c r="U29" s="289">
        <f>$U$9</f>
        <v>2</v>
      </c>
      <c r="V29" s="339">
        <f t="shared" si="16"/>
        <v>36.940800000000003</v>
      </c>
    </row>
    <row r="30" spans="2:25" s="103" customFormat="1" ht="15" thickTop="1" thickBot="1">
      <c r="B30" s="18"/>
      <c r="C30" s="109" t="str">
        <f>Initiatives!F188</f>
        <v>Workflow and Collaboration</v>
      </c>
      <c r="D30" s="65">
        <f>$V30*0.15</f>
        <v>5.1094195200000012</v>
      </c>
      <c r="E30" s="65">
        <f>$V30*0.1</f>
        <v>3.4062796800000008</v>
      </c>
      <c r="F30" s="65">
        <f>$V30*0.15</f>
        <v>5.1094195200000012</v>
      </c>
      <c r="G30" s="65">
        <f>$V30*0.1</f>
        <v>3.4062796800000008</v>
      </c>
      <c r="H30" s="65">
        <f>$V30*0.05</f>
        <v>1.7031398400000004</v>
      </c>
      <c r="I30" s="65">
        <f t="shared" si="14"/>
        <v>2.3843957760000007</v>
      </c>
      <c r="J30" s="65">
        <f t="shared" si="14"/>
        <v>2.3843957760000007</v>
      </c>
      <c r="K30" s="65">
        <f>$V30*0.06</f>
        <v>2.0437678080000006</v>
      </c>
      <c r="L30" s="65">
        <f>$V30*0.05</f>
        <v>1.7031398400000004</v>
      </c>
      <c r="M30" s="65">
        <f>$V30*0.2</f>
        <v>6.8125593600000016</v>
      </c>
      <c r="N30" s="339">
        <f>SUM(D30:M30)</f>
        <v>34.062796800000015</v>
      </c>
      <c r="O30" s="218"/>
      <c r="Q30" s="220">
        <f>Q11</f>
        <v>1</v>
      </c>
      <c r="R30" s="220">
        <f>29*Q30</f>
        <v>29</v>
      </c>
      <c r="S30" s="289">
        <f>Initiatives!L260</f>
        <v>0.72000000000000008</v>
      </c>
      <c r="T30" s="41">
        <f t="shared" si="15"/>
        <v>0.81568000000000007</v>
      </c>
      <c r="U30" s="289">
        <f>$U$9</f>
        <v>2</v>
      </c>
      <c r="V30" s="339">
        <f t="shared" si="16"/>
        <v>34.062796800000008</v>
      </c>
    </row>
    <row r="31" spans="2:25" s="103" customFormat="1" ht="14.4" thickTop="1">
      <c r="B31" s="18"/>
      <c r="C31" s="86" t="s">
        <v>586</v>
      </c>
      <c r="D31" s="340">
        <f t="shared" ref="D31:N31" si="17">SUM(D27:D30)</f>
        <v>20.603312639999999</v>
      </c>
      <c r="E31" s="340">
        <f t="shared" si="17"/>
        <v>13.73554176</v>
      </c>
      <c r="F31" s="340">
        <f t="shared" si="17"/>
        <v>20.603312639999999</v>
      </c>
      <c r="G31" s="340">
        <f t="shared" si="17"/>
        <v>13.73554176</v>
      </c>
      <c r="H31" s="340">
        <f t="shared" si="17"/>
        <v>6.8677708800000001</v>
      </c>
      <c r="I31" s="340">
        <f t="shared" si="17"/>
        <v>9.6148792320000016</v>
      </c>
      <c r="J31" s="340">
        <f t="shared" si="17"/>
        <v>9.6148792320000016</v>
      </c>
      <c r="K31" s="340">
        <f t="shared" si="17"/>
        <v>8.2413250559999991</v>
      </c>
      <c r="L31" s="340">
        <f t="shared" si="17"/>
        <v>6.8677708800000001</v>
      </c>
      <c r="M31" s="340">
        <f t="shared" si="17"/>
        <v>27.471083520000001</v>
      </c>
      <c r="N31" s="340">
        <f t="shared" si="17"/>
        <v>137.35541760000001</v>
      </c>
      <c r="O31" s="218"/>
      <c r="Q31" s="224"/>
      <c r="R31" s="224">
        <f>SUM(R27:R30)</f>
        <v>138</v>
      </c>
      <c r="S31" s="322"/>
      <c r="T31" s="322"/>
      <c r="U31" s="322"/>
      <c r="V31" s="340">
        <f>SUM(V27:V30)</f>
        <v>137.35541760000001</v>
      </c>
    </row>
    <row r="32" spans="2:25" s="103" customFormat="1">
      <c r="J32" s="294"/>
      <c r="T32" s="409"/>
    </row>
    <row r="33" spans="2:20" s="103" customFormat="1">
      <c r="C33" s="4" t="s">
        <v>260</v>
      </c>
      <c r="J33" s="294"/>
      <c r="T33" s="409"/>
    </row>
    <row r="34" spans="2:20" ht="13.8">
      <c r="B34" s="18"/>
      <c r="D34" s="18"/>
      <c r="E34" s="18"/>
      <c r="F34" s="18"/>
      <c r="G34" s="18"/>
      <c r="H34" s="18"/>
      <c r="I34" s="18"/>
      <c r="J34" s="18"/>
      <c r="K34" s="18"/>
      <c r="L34" s="18"/>
      <c r="M34" s="39"/>
      <c r="N34" s="39"/>
      <c r="O34" s="39"/>
    </row>
    <row r="35" spans="2:20" ht="15">
      <c r="B35" s="21" t="s">
        <v>763</v>
      </c>
    </row>
    <row r="36" spans="2:20" s="343" customFormat="1" ht="15">
      <c r="B36" s="21"/>
      <c r="D36" s="557" t="s">
        <v>649</v>
      </c>
      <c r="E36" s="557"/>
      <c r="F36" s="557"/>
      <c r="G36" s="557"/>
      <c r="H36" s="557"/>
      <c r="I36" s="532" t="s">
        <v>877</v>
      </c>
      <c r="J36" s="532"/>
      <c r="K36" s="532"/>
      <c r="T36" s="409"/>
    </row>
    <row r="37" spans="2:20" s="343" customFormat="1" ht="97.8" thickBot="1">
      <c r="B37" s="21"/>
      <c r="D37" s="226" t="str">
        <f>B7</f>
        <v>BI Applications</v>
      </c>
      <c r="E37" s="226" t="str">
        <f>B13</f>
        <v>Source System Inclusion / Integration</v>
      </c>
      <c r="F37" s="226" t="str">
        <f>B19</f>
        <v>Enhance DW Platform</v>
      </c>
      <c r="G37" s="226" t="str">
        <f>B26</f>
        <v>Enhance BI Platform</v>
      </c>
      <c r="H37" s="226" t="s">
        <v>0</v>
      </c>
      <c r="I37" s="226" t="s">
        <v>585</v>
      </c>
      <c r="J37" s="226" t="s">
        <v>838</v>
      </c>
      <c r="K37" s="226" t="s">
        <v>849</v>
      </c>
      <c r="O37" s="436" t="s">
        <v>6</v>
      </c>
      <c r="T37" s="409"/>
    </row>
    <row r="38" spans="2:20" s="343" customFormat="1" ht="16.2" thickTop="1" thickBot="1">
      <c r="B38" s="21"/>
      <c r="C38" s="109" t="str">
        <f t="array" ref="C38:C47">TRANSPOSE(D6:M6)</f>
        <v>Project Management</v>
      </c>
      <c r="D38" s="42">
        <f t="array" ref="D38:D47">TRANSPOSE(D12:M12)</f>
        <v>22.389448703999996</v>
      </c>
      <c r="E38" s="42">
        <f t="array" ref="E38:E47">TRANSPOSE(D18:M18)</f>
        <v>12.635787264000001</v>
      </c>
      <c r="F38" s="42">
        <f t="array" ref="F38:F47">TRANSPOSE(D25:M25)</f>
        <v>3.734219872500002</v>
      </c>
      <c r="G38" s="42">
        <f t="array" ref="G38:G47">TRANSPOSE(D31:M31)</f>
        <v>20.603312639999999</v>
      </c>
      <c r="H38" s="42">
        <f>SUM(D38:G38)</f>
        <v>59.362768480499994</v>
      </c>
      <c r="I38" s="437">
        <f>PMWRate</f>
        <v>2767.7683999167489</v>
      </c>
      <c r="J38" s="255">
        <f>I38*H38/1000</f>
        <v>164.30239473190187</v>
      </c>
      <c r="K38" s="255">
        <f t="shared" ref="K38:K47" si="18">J38*1000/BIs</f>
        <v>41.075598682975468</v>
      </c>
      <c r="O38" s="313"/>
      <c r="T38" s="409"/>
    </row>
    <row r="39" spans="2:20" s="343" customFormat="1" ht="27.6" thickTop="1" thickBot="1">
      <c r="B39" s="21"/>
      <c r="C39" s="109" t="str">
        <v>Planning, Evaluation, Needs Analysis, System Modeling</v>
      </c>
      <c r="D39" s="42">
        <v>14.926299135999999</v>
      </c>
      <c r="E39" s="42">
        <v>8.4238581759999995</v>
      </c>
      <c r="F39" s="42">
        <v>2.4894799150000013</v>
      </c>
      <c r="G39" s="42">
        <v>13.73554176</v>
      </c>
      <c r="H39" s="42">
        <f t="shared" ref="H39:H47" si="19">SUM(D39:G39)</f>
        <v>39.575178987000001</v>
      </c>
      <c r="I39" s="437">
        <f t="shared" ref="I39" si="20">EngrWRate</f>
        <v>2455.5263488949586</v>
      </c>
      <c r="J39" s="255">
        <f t="shared" ref="J39:J48" si="21">I39*H39/1000</f>
        <v>97.177894764812606</v>
      </c>
      <c r="K39" s="255">
        <f t="shared" si="18"/>
        <v>24.294473691203152</v>
      </c>
      <c r="O39" s="313"/>
      <c r="T39" s="409"/>
    </row>
    <row r="40" spans="2:20" s="343" customFormat="1" ht="27.6" thickTop="1" thickBot="1">
      <c r="B40" s="21"/>
      <c r="C40" s="109" t="str">
        <v>Engineering, Development, Configuration, Tuning</v>
      </c>
      <c r="D40" s="42">
        <v>22.389448703999996</v>
      </c>
      <c r="E40" s="42">
        <v>12.635787264000001</v>
      </c>
      <c r="F40" s="42">
        <v>3.734219872500002</v>
      </c>
      <c r="G40" s="42">
        <v>20.603312639999999</v>
      </c>
      <c r="H40" s="42">
        <f t="shared" si="19"/>
        <v>59.362768480499994</v>
      </c>
      <c r="I40" s="437">
        <f>AVERAGE(Profile!G44,Profile!G43,Profile!G42)</f>
        <v>2339.8020080030847</v>
      </c>
      <c r="J40" s="255">
        <f t="shared" si="21"/>
        <v>138.89712489129613</v>
      </c>
      <c r="K40" s="255">
        <f t="shared" si="18"/>
        <v>34.724281222824033</v>
      </c>
      <c r="O40" s="313"/>
      <c r="Q40" s="471" t="s">
        <v>1141</v>
      </c>
      <c r="T40" s="409"/>
    </row>
    <row r="41" spans="2:20" s="343" customFormat="1" ht="16.8" thickTop="1" thickBot="1">
      <c r="B41" s="21"/>
      <c r="C41" s="109" t="str">
        <v>Testing (lab / pilot)</v>
      </c>
      <c r="D41" s="42">
        <v>14.926299135999999</v>
      </c>
      <c r="E41" s="42">
        <v>8.4238581759999995</v>
      </c>
      <c r="F41" s="42">
        <v>2.4894799150000013</v>
      </c>
      <c r="G41" s="42">
        <v>13.73554176</v>
      </c>
      <c r="H41" s="42">
        <f t="shared" si="19"/>
        <v>39.575178987000001</v>
      </c>
      <c r="I41" s="437">
        <f>AVERAGE(Profile!G42,Profile!G43)</f>
        <v>2281.9398375571477</v>
      </c>
      <c r="J41" s="255">
        <f t="shared" si="21"/>
        <v>90.308177508889827</v>
      </c>
      <c r="K41" s="255">
        <f t="shared" si="18"/>
        <v>22.577044377222457</v>
      </c>
      <c r="O41" s="313"/>
      <c r="Q41" s="471" t="s">
        <v>1142</v>
      </c>
      <c r="T41" s="409"/>
    </row>
    <row r="42" spans="2:20" s="343" customFormat="1" ht="27.6" thickTop="1" thickBot="1">
      <c r="B42" s="21"/>
      <c r="C42" s="109" t="str">
        <v>Documentation, Report Development</v>
      </c>
      <c r="D42" s="42">
        <v>7.4631495679999995</v>
      </c>
      <c r="E42" s="42">
        <v>4.2119290879999998</v>
      </c>
      <c r="F42" s="42">
        <v>1.2447399575000007</v>
      </c>
      <c r="G42" s="42">
        <v>6.8677708800000001</v>
      </c>
      <c r="H42" s="42">
        <f t="shared" si="19"/>
        <v>19.787589493500001</v>
      </c>
      <c r="I42" s="437">
        <f>AnalystWRate</f>
        <v>2236.105368680589</v>
      </c>
      <c r="J42" s="255">
        <f t="shared" si="21"/>
        <v>44.24713509966297</v>
      </c>
      <c r="K42" s="255">
        <f t="shared" si="18"/>
        <v>11.061783774915742</v>
      </c>
      <c r="O42" s="313"/>
      <c r="Q42" s="471" t="s">
        <v>1143</v>
      </c>
      <c r="T42" s="409"/>
    </row>
    <row r="43" spans="2:20" s="343" customFormat="1" ht="16.8" thickTop="1" thickBot="1">
      <c r="B43" s="21"/>
      <c r="C43" s="109" t="str">
        <v>Deploy</v>
      </c>
      <c r="D43" s="42">
        <v>10.448409395199999</v>
      </c>
      <c r="E43" s="42">
        <v>5.8967007232000004</v>
      </c>
      <c r="F43" s="42">
        <v>1.7426359405000011</v>
      </c>
      <c r="G43" s="42">
        <v>9.6148792320000016</v>
      </c>
      <c r="H43" s="42">
        <f t="shared" si="19"/>
        <v>27.702625290900002</v>
      </c>
      <c r="I43" s="437">
        <f>AVERAGE(Profile!G42,Profile!G44)</f>
        <v>2345.8158587877738</v>
      </c>
      <c r="J43" s="255">
        <f t="shared" si="21"/>
        <v>64.985257737448492</v>
      </c>
      <c r="K43" s="255">
        <f t="shared" si="18"/>
        <v>16.246314434362123</v>
      </c>
      <c r="O43" s="313"/>
      <c r="Q43" s="471" t="s">
        <v>1144</v>
      </c>
      <c r="T43" s="409"/>
    </row>
    <row r="44" spans="2:20" s="343" customFormat="1" ht="16.8" thickTop="1" thickBot="1">
      <c r="B44" s="21"/>
      <c r="C44" s="109" t="str">
        <v>Change management</v>
      </c>
      <c r="D44" s="42">
        <v>10.448409395199999</v>
      </c>
      <c r="E44" s="42">
        <v>5.8967007232000004</v>
      </c>
      <c r="F44" s="42">
        <v>1.7426359405000011</v>
      </c>
      <c r="G44" s="42">
        <v>9.6148792320000016</v>
      </c>
      <c r="H44" s="42">
        <f t="shared" si="19"/>
        <v>27.702625290900002</v>
      </c>
      <c r="I44" s="437">
        <f>AnalystWRate</f>
        <v>2236.105368680589</v>
      </c>
      <c r="J44" s="255">
        <f t="shared" si="21"/>
        <v>61.945989139528159</v>
      </c>
      <c r="K44" s="255">
        <f t="shared" si="18"/>
        <v>15.48649728488204</v>
      </c>
      <c r="O44" s="313"/>
      <c r="Q44" s="471" t="s">
        <v>1145</v>
      </c>
      <c r="T44" s="409"/>
    </row>
    <row r="45" spans="2:20" s="343" customFormat="1" ht="16.8" thickTop="1" thickBot="1">
      <c r="B45" s="21"/>
      <c r="C45" s="109" t="str">
        <v>User Support</v>
      </c>
      <c r="D45" s="42">
        <v>8.9557794815999987</v>
      </c>
      <c r="E45" s="42">
        <v>5.0543149056000001</v>
      </c>
      <c r="F45" s="42">
        <v>1.4936879490000008</v>
      </c>
      <c r="G45" s="42">
        <v>8.2413250559999991</v>
      </c>
      <c r="H45" s="42">
        <f t="shared" si="19"/>
        <v>23.745107392199998</v>
      </c>
      <c r="I45" s="437">
        <f>AnalystWRate</f>
        <v>2236.105368680589</v>
      </c>
      <c r="J45" s="255">
        <f t="shared" si="21"/>
        <v>53.096562119595553</v>
      </c>
      <c r="K45" s="255">
        <f t="shared" si="18"/>
        <v>13.274140529898888</v>
      </c>
      <c r="O45" s="313"/>
      <c r="Q45" s="471" t="s">
        <v>1146</v>
      </c>
      <c r="T45" s="409"/>
    </row>
    <row r="46" spans="2:20" s="343" customFormat="1" ht="16.8" thickTop="1" thickBot="1">
      <c r="B46" s="21"/>
      <c r="C46" s="109" t="str">
        <v>Other Internal Labor</v>
      </c>
      <c r="D46" s="42">
        <v>7.4631495679999995</v>
      </c>
      <c r="E46" s="42">
        <v>4.2119290879999998</v>
      </c>
      <c r="F46" s="42">
        <v>1.2447399575000007</v>
      </c>
      <c r="G46" s="42">
        <v>6.8677708800000001</v>
      </c>
      <c r="H46" s="42">
        <f t="shared" si="19"/>
        <v>19.787589493500001</v>
      </c>
      <c r="I46" s="437">
        <f>AnalystWRate</f>
        <v>2236.105368680589</v>
      </c>
      <c r="J46" s="255">
        <f t="shared" si="21"/>
        <v>44.24713509966297</v>
      </c>
      <c r="K46" s="255">
        <f t="shared" si="18"/>
        <v>11.061783774915742</v>
      </c>
      <c r="O46" s="313"/>
      <c r="Q46" s="471" t="s">
        <v>1147</v>
      </c>
      <c r="T46" s="409"/>
    </row>
    <row r="47" spans="2:20" s="343" customFormat="1" ht="16.2" thickTop="1" thickBot="1">
      <c r="B47" s="21"/>
      <c r="C47" s="109" t="str">
        <v>External Consultants/Services</v>
      </c>
      <c r="D47" s="42">
        <v>29.852598271999998</v>
      </c>
      <c r="E47" s="42">
        <v>16.847716351999999</v>
      </c>
      <c r="F47" s="42">
        <v>4.9789598300000026</v>
      </c>
      <c r="G47" s="42">
        <v>27.471083520000001</v>
      </c>
      <c r="H47" s="42">
        <f t="shared" si="19"/>
        <v>79.150357974000002</v>
      </c>
      <c r="I47" s="215">
        <f>200*40</f>
        <v>8000</v>
      </c>
      <c r="J47" s="255">
        <f t="shared" si="21"/>
        <v>633.20286379200002</v>
      </c>
      <c r="K47" s="255">
        <f t="shared" si="18"/>
        <v>158.300715948</v>
      </c>
      <c r="O47" s="313"/>
      <c r="T47" s="409"/>
    </row>
    <row r="48" spans="2:20" s="343" customFormat="1" ht="16.2" thickTop="1" thickBot="1">
      <c r="B48" s="21"/>
      <c r="C48" s="348" t="s">
        <v>586</v>
      </c>
      <c r="D48" s="56">
        <f>SUM(D38:D47)</f>
        <v>149.26299136</v>
      </c>
      <c r="E48" s="56">
        <f>SUM(E38:E47)</f>
        <v>84.238581759999988</v>
      </c>
      <c r="F48" s="56">
        <f>SUM(F38:F47)</f>
        <v>24.894799150000011</v>
      </c>
      <c r="G48" s="56">
        <f>SUM(G38:G47)</f>
        <v>137.35541760000001</v>
      </c>
      <c r="H48" s="56">
        <f>SUM(H38:H47)</f>
        <v>395.75178987000004</v>
      </c>
      <c r="I48" s="225">
        <f>SUMPRODUCT(I38:I46,H38:H46)/SUM(H38:H46)</f>
        <v>2397.9919059310814</v>
      </c>
      <c r="J48" s="448">
        <f t="shared" si="21"/>
        <v>949.00958886599824</v>
      </c>
      <c r="O48" s="313"/>
      <c r="T48" s="409"/>
    </row>
    <row r="49" spans="2:20" s="343" customFormat="1" ht="16.2" thickTop="1" thickBot="1">
      <c r="B49" s="21"/>
      <c r="C49" s="348" t="s">
        <v>878</v>
      </c>
      <c r="D49" s="225">
        <f>SUMPRODUCT(D38:D47,$I38:$I47)/1000</f>
        <v>525.16594228507279</v>
      </c>
      <c r="E49" s="225">
        <f t="shared" ref="E49:H49" si="22">SUMPRODUCT(E38:E47,$I38:$I47)/1000</f>
        <v>296.3844805980749</v>
      </c>
      <c r="F49" s="225">
        <f t="shared" si="22"/>
        <v>87.589700129184024</v>
      </c>
      <c r="G49" s="225">
        <f t="shared" si="22"/>
        <v>483.27041187246692</v>
      </c>
      <c r="H49" s="225">
        <f t="shared" si="22"/>
        <v>1392.4105348847984</v>
      </c>
      <c r="J49" s="225">
        <f>SUM(J38:J48)</f>
        <v>2341.4201237507968</v>
      </c>
      <c r="O49" s="313"/>
      <c r="T49" s="409"/>
    </row>
    <row r="50" spans="2:20" s="343" customFormat="1" ht="15.6" thickTop="1">
      <c r="B50" s="21"/>
      <c r="C50" s="348" t="s">
        <v>879</v>
      </c>
      <c r="D50" s="225">
        <f>D49*1000/BIs</f>
        <v>131.2914855712682</v>
      </c>
      <c r="E50" s="225">
        <f>E49*1000/BIs</f>
        <v>74.096120149518725</v>
      </c>
      <c r="F50" s="225">
        <f>F49*1000/BIs</f>
        <v>21.897425032296006</v>
      </c>
      <c r="G50" s="225">
        <f>G49*1000/BIs</f>
        <v>120.81760296811673</v>
      </c>
      <c r="H50" s="225">
        <f>H49*1000/BIs</f>
        <v>348.1026337211996</v>
      </c>
      <c r="K50" s="225">
        <f>SUM(K38:K47)</f>
        <v>348.1026337211996</v>
      </c>
      <c r="O50" s="313"/>
      <c r="T50" s="409"/>
    </row>
    <row r="51" spans="2:20" s="343" customFormat="1" ht="15">
      <c r="B51" s="21"/>
      <c r="T51" s="409"/>
    </row>
    <row r="52" spans="2:20" s="266" customFormat="1">
      <c r="J52" s="294"/>
      <c r="T52" s="409"/>
    </row>
    <row r="53" spans="2:20" s="266" customFormat="1">
      <c r="J53" s="294"/>
      <c r="Q53" s="381" t="s">
        <v>641</v>
      </c>
      <c r="T53" s="409"/>
    </row>
    <row r="54" spans="2:20">
      <c r="Q54" s="382" t="s">
        <v>632</v>
      </c>
    </row>
    <row r="55" spans="2:20">
      <c r="Q55" s="382" t="s">
        <v>633</v>
      </c>
    </row>
    <row r="56" spans="2:20">
      <c r="Q56" s="382" t="s">
        <v>634</v>
      </c>
    </row>
    <row r="57" spans="2:20">
      <c r="Q57" s="382" t="s">
        <v>635</v>
      </c>
    </row>
    <row r="58" spans="2:20">
      <c r="Q58" s="382" t="s">
        <v>636</v>
      </c>
    </row>
    <row r="59" spans="2:20">
      <c r="Q59" s="382" t="s">
        <v>637</v>
      </c>
    </row>
    <row r="60" spans="2:20">
      <c r="Q60" s="382" t="s">
        <v>638</v>
      </c>
    </row>
    <row r="61" spans="2:20">
      <c r="Q61" s="382" t="s">
        <v>639</v>
      </c>
    </row>
    <row r="62" spans="2:20">
      <c r="Q62" s="382" t="s">
        <v>640</v>
      </c>
    </row>
    <row r="69" spans="1:20" s="343" customFormat="1">
      <c r="T69" s="409"/>
    </row>
    <row r="70" spans="1:20" s="343" customFormat="1">
      <c r="T70" s="409"/>
    </row>
    <row r="71" spans="1:20" s="343" customFormat="1">
      <c r="T71" s="409"/>
    </row>
    <row r="72" spans="1:20" s="343" customFormat="1">
      <c r="T72" s="409"/>
    </row>
    <row r="76" spans="1:20" ht="15">
      <c r="A76" s="18"/>
      <c r="B76" s="6" t="s">
        <v>738</v>
      </c>
      <c r="C76" s="265"/>
      <c r="D76" s="18"/>
      <c r="E76" s="18"/>
      <c r="F76" s="18"/>
      <c r="G76" s="18"/>
      <c r="H76" s="18"/>
      <c r="I76" s="18"/>
    </row>
    <row r="77" spans="1:20" ht="60" thickBot="1">
      <c r="A77" s="18"/>
      <c r="B77" s="18"/>
      <c r="C77" s="18"/>
      <c r="D77" s="301" t="s">
        <v>739</v>
      </c>
      <c r="E77" s="301" t="s">
        <v>740</v>
      </c>
      <c r="F77" s="301" t="s">
        <v>741</v>
      </c>
      <c r="G77" s="335" t="s">
        <v>0</v>
      </c>
      <c r="H77" s="18"/>
      <c r="O77" s="301" t="s">
        <v>6</v>
      </c>
      <c r="R77" s="447" t="s">
        <v>1050</v>
      </c>
      <c r="S77" s="447" t="s">
        <v>1043</v>
      </c>
    </row>
    <row r="78" spans="1:20" s="336" customFormat="1" ht="27.6" thickTop="1" thickBot="1">
      <c r="A78" s="18"/>
      <c r="B78" s="18"/>
      <c r="C78" s="312" t="s">
        <v>864</v>
      </c>
      <c r="D78" s="253">
        <v>0.2</v>
      </c>
      <c r="E78" s="253">
        <v>0.4</v>
      </c>
      <c r="F78" s="253">
        <v>1</v>
      </c>
      <c r="G78" s="18"/>
      <c r="H78" s="18"/>
      <c r="O78" s="313"/>
      <c r="R78" s="445">
        <v>0</v>
      </c>
      <c r="S78" s="445">
        <f>$S$89*(1-R78)^$S$88+$S$90</f>
        <v>1</v>
      </c>
      <c r="T78" s="409"/>
    </row>
    <row r="79" spans="1:20" ht="27.6" thickTop="1" thickBot="1">
      <c r="A79" s="18"/>
      <c r="B79" s="18"/>
      <c r="C79" s="312" t="s">
        <v>742</v>
      </c>
      <c r="D79" s="61">
        <f>BIStaff*D78</f>
        <v>1.8933493627922595</v>
      </c>
      <c r="E79" s="61">
        <f>BIStaff*E78</f>
        <v>3.786698725584519</v>
      </c>
      <c r="F79" s="61">
        <f>BIStaff*F78</f>
        <v>9.4667468139612971</v>
      </c>
      <c r="G79" s="18"/>
      <c r="H79" s="18"/>
      <c r="O79" s="313"/>
      <c r="R79" s="445">
        <v>0.1</v>
      </c>
      <c r="S79" s="445">
        <f t="shared" ref="S79:S86" si="23">$S$89*(1-R79)^$S$88+$S$90</f>
        <v>0.88600000000000001</v>
      </c>
    </row>
    <row r="80" spans="1:20" ht="15" thickTop="1" thickBot="1">
      <c r="A80" s="18"/>
      <c r="B80" s="18"/>
      <c r="C80" s="312" t="s">
        <v>743</v>
      </c>
      <c r="D80" s="450">
        <f>$R$86*$S$86*40*5</f>
        <v>48.967422811332362</v>
      </c>
      <c r="E80" s="450">
        <f>$R$86*$S$86*40*3</f>
        <v>29.38045368679942</v>
      </c>
      <c r="F80" s="450">
        <f>$R$86*$S$86*40*6</f>
        <v>58.76090737359884</v>
      </c>
      <c r="G80" s="18"/>
      <c r="H80" s="18"/>
      <c r="O80" s="313"/>
      <c r="R80" s="445">
        <v>0.25</v>
      </c>
      <c r="S80" s="445">
        <f t="shared" si="23"/>
        <v>0.73750000000000004</v>
      </c>
    </row>
    <row r="81" spans="1:19" ht="15" thickTop="1" thickBot="1">
      <c r="A81" s="18"/>
      <c r="B81" s="18"/>
      <c r="C81" s="312" t="s">
        <v>744</v>
      </c>
      <c r="D81" s="469">
        <f>AVERAGE(Profile!H42:H45)</f>
        <v>69.755080872279621</v>
      </c>
      <c r="E81" s="469">
        <f>D81</f>
        <v>69.755080872279621</v>
      </c>
      <c r="F81" s="469">
        <f>E81</f>
        <v>69.755080872279621</v>
      </c>
      <c r="G81" s="18"/>
      <c r="H81" s="18"/>
      <c r="O81" s="313"/>
      <c r="R81" s="445">
        <v>0.5</v>
      </c>
      <c r="S81" s="445">
        <f t="shared" si="23"/>
        <v>0.55000000000000004</v>
      </c>
    </row>
    <row r="82" spans="1:19" ht="27.6" thickTop="1" thickBot="1">
      <c r="A82" s="18"/>
      <c r="B82" s="18"/>
      <c r="C82" s="312" t="s">
        <v>1046</v>
      </c>
      <c r="D82" s="49">
        <f>D80*D81</f>
        <v>3415.7265383115987</v>
      </c>
      <c r="E82" s="49">
        <f>E80*E81</f>
        <v>2049.4359229869597</v>
      </c>
      <c r="F82" s="49">
        <f>F80*F81</f>
        <v>4098.8718459739193</v>
      </c>
      <c r="G82" s="316"/>
      <c r="H82" s="18"/>
      <c r="O82" s="313"/>
      <c r="R82" s="445">
        <v>0.75</v>
      </c>
      <c r="S82" s="445">
        <f t="shared" si="23"/>
        <v>0.4375</v>
      </c>
    </row>
    <row r="83" spans="1:19" ht="27.6" thickTop="1" thickBot="1">
      <c r="A83" s="18"/>
      <c r="B83" s="18"/>
      <c r="C83" s="312" t="s">
        <v>1044</v>
      </c>
      <c r="D83" s="470">
        <v>50</v>
      </c>
      <c r="E83" s="470">
        <v>18.75</v>
      </c>
      <c r="F83" s="470">
        <v>1.875</v>
      </c>
      <c r="G83" s="18"/>
      <c r="H83" s="18"/>
      <c r="O83" s="313"/>
      <c r="R83" s="445">
        <v>0.9</v>
      </c>
      <c r="S83" s="445">
        <f t="shared" si="23"/>
        <v>0.40600000000000003</v>
      </c>
    </row>
    <row r="84" spans="1:19" s="409" customFormat="1" ht="27.6" thickTop="1" thickBot="1">
      <c r="A84" s="18"/>
      <c r="B84" s="18"/>
      <c r="C84" s="312" t="s">
        <v>1045</v>
      </c>
      <c r="D84" s="49">
        <f>D83*D80</f>
        <v>2448.3711405666181</v>
      </c>
      <c r="E84" s="49">
        <f t="shared" ref="E84:F84" si="24">E83*E80</f>
        <v>550.88350662748917</v>
      </c>
      <c r="F84" s="49">
        <f t="shared" si="24"/>
        <v>110.17670132549783</v>
      </c>
      <c r="G84" s="18"/>
      <c r="H84" s="18"/>
      <c r="O84" s="313"/>
      <c r="R84" s="445">
        <v>1</v>
      </c>
      <c r="S84" s="445">
        <f t="shared" si="23"/>
        <v>0.4</v>
      </c>
    </row>
    <row r="85" spans="1:19" ht="15" thickTop="1" thickBot="1">
      <c r="A85" s="18"/>
      <c r="B85" s="18"/>
      <c r="C85" s="307" t="s">
        <v>747</v>
      </c>
      <c r="D85" s="49">
        <f>D82+D84</f>
        <v>5864.0976788782173</v>
      </c>
      <c r="E85" s="49">
        <f t="shared" ref="E85" si="25">E82+E84</f>
        <v>2600.3194296144488</v>
      </c>
      <c r="F85" s="49">
        <f>F82+F84</f>
        <v>4209.0485472994169</v>
      </c>
      <c r="G85" s="18"/>
      <c r="H85" s="5"/>
      <c r="O85" s="313"/>
      <c r="R85" s="348" t="s">
        <v>1051</v>
      </c>
      <c r="S85" s="446" t="s">
        <v>1052</v>
      </c>
    </row>
    <row r="86" spans="1:19" ht="14.4" thickTop="1">
      <c r="A86" s="18"/>
      <c r="B86" s="18"/>
      <c r="C86" s="307" t="s">
        <v>748</v>
      </c>
      <c r="D86" s="49">
        <f>D85*D79</f>
        <v>11102.78560365564</v>
      </c>
      <c r="E86" s="49">
        <f>E85*E79</f>
        <v>9846.6262702336971</v>
      </c>
      <c r="F86" s="49">
        <f>F85*F79</f>
        <v>39845.99692495518</v>
      </c>
      <c r="G86" s="49">
        <f>SUM(D86:F86)</f>
        <v>60795.408798844517</v>
      </c>
      <c r="H86" s="18"/>
      <c r="O86" s="313"/>
      <c r="R86" s="445">
        <f>Initiatives!L196</f>
        <v>0.39526806526806518</v>
      </c>
      <c r="S86" s="445">
        <f t="shared" si="23"/>
        <v>0.61942042773077755</v>
      </c>
    </row>
    <row r="87" spans="1:19" ht="14.4" thickBot="1">
      <c r="A87" s="18"/>
      <c r="B87" s="18"/>
      <c r="C87" s="318"/>
      <c r="D87" s="319"/>
      <c r="E87" s="319"/>
      <c r="F87" s="319"/>
      <c r="G87" s="319"/>
      <c r="H87" s="319"/>
      <c r="O87" s="319"/>
    </row>
    <row r="88" spans="1:19" ht="22.2" thickTop="1" thickBot="1">
      <c r="A88" s="66" t="s">
        <v>749</v>
      </c>
      <c r="B88" s="66"/>
      <c r="C88" s="18"/>
      <c r="D88" s="319"/>
      <c r="E88" s="319"/>
      <c r="F88" s="319"/>
      <c r="G88" s="319"/>
      <c r="H88" s="319"/>
      <c r="O88" s="319"/>
      <c r="R88" s="387" t="s">
        <v>1048</v>
      </c>
      <c r="S88" s="387">
        <v>2</v>
      </c>
    </row>
    <row r="89" spans="1:19" ht="16.2" thickTop="1" thickBot="1">
      <c r="A89" s="18"/>
      <c r="B89" s="6" t="s">
        <v>750</v>
      </c>
      <c r="C89" s="18"/>
      <c r="D89" s="265"/>
      <c r="E89" s="18"/>
      <c r="F89" s="18"/>
      <c r="G89" s="18"/>
      <c r="H89" s="18"/>
      <c r="O89" s="18"/>
      <c r="R89" s="387" t="s">
        <v>1043</v>
      </c>
      <c r="S89" s="387">
        <v>0.6</v>
      </c>
    </row>
    <row r="90" spans="1:19" ht="29.25" customHeight="1" thickTop="1" thickBot="1">
      <c r="A90" s="18"/>
      <c r="B90" s="6"/>
      <c r="C90" s="18"/>
      <c r="D90" s="265"/>
      <c r="E90" s="18"/>
      <c r="F90" s="554" t="s">
        <v>751</v>
      </c>
      <c r="G90" s="555"/>
      <c r="H90" s="18"/>
      <c r="O90" s="18"/>
      <c r="R90" s="387" t="s">
        <v>1049</v>
      </c>
      <c r="S90" s="387">
        <v>0.4</v>
      </c>
    </row>
    <row r="91" spans="1:19" ht="40.799999999999997" thickTop="1" thickBot="1">
      <c r="A91" s="18"/>
      <c r="B91" s="6"/>
      <c r="C91" s="18"/>
      <c r="D91" s="301" t="s">
        <v>206</v>
      </c>
      <c r="E91" s="301" t="s">
        <v>752</v>
      </c>
      <c r="F91" s="301" t="s">
        <v>95</v>
      </c>
      <c r="G91" s="301" t="s">
        <v>258</v>
      </c>
      <c r="H91" s="406" t="s">
        <v>0</v>
      </c>
      <c r="O91" s="301" t="s">
        <v>6</v>
      </c>
    </row>
    <row r="92" spans="1:19" ht="15" thickTop="1" thickBot="1">
      <c r="A92" s="87"/>
      <c r="B92" s="87"/>
      <c r="C92" s="312" t="s">
        <v>753</v>
      </c>
      <c r="D92" s="320">
        <v>0.03</v>
      </c>
      <c r="E92" s="101">
        <f t="shared" ref="E92:E98" si="26">D92*BIs</f>
        <v>120</v>
      </c>
      <c r="F92" s="449">
        <f>$R$86*$S$86*8</f>
        <v>1.9586969124532947</v>
      </c>
      <c r="G92" s="314"/>
      <c r="H92" s="306">
        <f t="shared" ref="H92:H98" si="27">E92*(F92+Duration*G92)*UserRate</f>
        <v>12300.91151098352</v>
      </c>
      <c r="O92" s="313"/>
    </row>
    <row r="93" spans="1:19" ht="40.799999999999997" thickTop="1" thickBot="1">
      <c r="A93" s="87"/>
      <c r="B93" s="87"/>
      <c r="C93" s="312" t="s">
        <v>754</v>
      </c>
      <c r="D93" s="320">
        <v>0.2</v>
      </c>
      <c r="E93" s="101">
        <f t="shared" si="26"/>
        <v>800</v>
      </c>
      <c r="F93" s="449">
        <f>$R$86*$S$86*4</f>
        <v>0.97934845622664735</v>
      </c>
      <c r="G93" s="314"/>
      <c r="H93" s="306">
        <f t="shared" si="27"/>
        <v>41003.038369945069</v>
      </c>
      <c r="O93" s="313"/>
    </row>
    <row r="94" spans="1:19" ht="27.6" thickTop="1" thickBot="1">
      <c r="A94" s="87"/>
      <c r="B94" s="87"/>
      <c r="C94" s="312" t="s">
        <v>755</v>
      </c>
      <c r="D94" s="320">
        <v>0.1</v>
      </c>
      <c r="E94" s="101">
        <f t="shared" si="26"/>
        <v>400</v>
      </c>
      <c r="F94" s="449">
        <f>$R$86*$S$86*6</f>
        <v>1.469022684339971</v>
      </c>
      <c r="G94" s="314"/>
      <c r="H94" s="306">
        <f t="shared" si="27"/>
        <v>30752.278777458803</v>
      </c>
      <c r="O94" s="313"/>
    </row>
    <row r="95" spans="1:19" ht="15" thickTop="1" thickBot="1">
      <c r="A95" s="87"/>
      <c r="B95" s="87"/>
      <c r="C95" s="312" t="s">
        <v>756</v>
      </c>
      <c r="D95" s="320">
        <v>0.05</v>
      </c>
      <c r="E95" s="101">
        <f t="shared" si="26"/>
        <v>200</v>
      </c>
      <c r="F95" s="449">
        <f>$R$86*$S$86*6</f>
        <v>1.469022684339971</v>
      </c>
      <c r="G95" s="314"/>
      <c r="H95" s="306">
        <f t="shared" si="27"/>
        <v>15376.139388729402</v>
      </c>
      <c r="O95" s="313"/>
    </row>
    <row r="96" spans="1:19" ht="27.6" thickTop="1" thickBot="1">
      <c r="A96" s="87"/>
      <c r="B96" s="87"/>
      <c r="C96" s="312" t="s">
        <v>757</v>
      </c>
      <c r="D96" s="320"/>
      <c r="E96" s="101">
        <f t="shared" si="26"/>
        <v>0</v>
      </c>
      <c r="F96" s="314"/>
      <c r="G96" s="314"/>
      <c r="H96" s="306">
        <f t="shared" si="27"/>
        <v>0</v>
      </c>
      <c r="O96" s="313"/>
    </row>
    <row r="97" spans="1:15" ht="15" thickTop="1" thickBot="1">
      <c r="A97" s="87"/>
      <c r="B97" s="87"/>
      <c r="C97" s="312" t="s">
        <v>1</v>
      </c>
      <c r="D97" s="320"/>
      <c r="E97" s="101">
        <f t="shared" si="26"/>
        <v>0</v>
      </c>
      <c r="F97" s="314"/>
      <c r="G97" s="314"/>
      <c r="H97" s="306">
        <f t="shared" si="27"/>
        <v>0</v>
      </c>
      <c r="O97" s="313"/>
    </row>
    <row r="98" spans="1:15" ht="15" thickTop="1" thickBot="1">
      <c r="A98" s="87"/>
      <c r="B98" s="87"/>
      <c r="C98" s="312" t="s">
        <v>1</v>
      </c>
      <c r="D98" s="320"/>
      <c r="E98" s="101">
        <f t="shared" si="26"/>
        <v>0</v>
      </c>
      <c r="F98" s="314"/>
      <c r="G98" s="314"/>
      <c r="H98" s="306">
        <f t="shared" si="27"/>
        <v>0</v>
      </c>
      <c r="O98" s="313"/>
    </row>
    <row r="99" spans="1:15" ht="14.4" thickTop="1">
      <c r="A99" s="87"/>
      <c r="B99" s="87"/>
      <c r="C99" s="380" t="s">
        <v>0</v>
      </c>
      <c r="D99" s="18"/>
      <c r="E99" s="18"/>
      <c r="F99" s="118">
        <f>UserRate*SUMPRODUCT(F92:F98,E92:E98)</f>
        <v>99432.36804711679</v>
      </c>
      <c r="G99" s="118">
        <f>UserRate*SUMPRODUCT(G92:G98,E92:E98)</f>
        <v>0</v>
      </c>
      <c r="H99" s="118">
        <f>SUM(H92:H98)</f>
        <v>99432.36804711679</v>
      </c>
      <c r="O99" s="18"/>
    </row>
    <row r="100" spans="1:15" ht="13.8">
      <c r="A100" s="18"/>
      <c r="B100" s="18"/>
      <c r="C100" s="265"/>
      <c r="D100" s="18"/>
      <c r="E100" s="18"/>
      <c r="F100" s="18"/>
      <c r="G100" s="18"/>
      <c r="H100" s="18"/>
      <c r="O100" s="18"/>
    </row>
    <row r="101" spans="1:15" ht="15">
      <c r="A101" s="18"/>
      <c r="B101" s="6" t="s">
        <v>758</v>
      </c>
      <c r="C101" s="265"/>
      <c r="D101" s="18"/>
      <c r="E101" s="18"/>
      <c r="F101" s="18"/>
      <c r="G101" s="18"/>
      <c r="H101" s="18"/>
      <c r="O101" s="18"/>
    </row>
    <row r="102" spans="1:15" ht="53.4" thickBot="1">
      <c r="A102" s="18"/>
      <c r="B102" s="18"/>
      <c r="C102" s="18"/>
      <c r="D102" s="301" t="s">
        <v>759</v>
      </c>
      <c r="E102" s="301" t="s">
        <v>740</v>
      </c>
      <c r="F102" s="301" t="s">
        <v>741</v>
      </c>
      <c r="G102" s="301" t="s">
        <v>0</v>
      </c>
      <c r="H102" s="18"/>
      <c r="O102" s="301" t="s">
        <v>6</v>
      </c>
    </row>
    <row r="103" spans="1:15" ht="15" thickTop="1" thickBot="1">
      <c r="A103" s="18"/>
      <c r="B103" s="18"/>
      <c r="C103" s="312" t="s">
        <v>760</v>
      </c>
      <c r="D103" s="320">
        <v>0.05</v>
      </c>
      <c r="E103" s="320">
        <v>0.2</v>
      </c>
      <c r="F103" s="320">
        <v>0.4</v>
      </c>
      <c r="G103" s="18"/>
      <c r="H103" s="18"/>
      <c r="O103" s="313"/>
    </row>
    <row r="104" spans="1:15" ht="15" thickTop="1" thickBot="1">
      <c r="A104" s="18"/>
      <c r="B104" s="18"/>
      <c r="C104" s="312" t="s">
        <v>761</v>
      </c>
      <c r="D104" s="90">
        <f>D103*BIs</f>
        <v>200</v>
      </c>
      <c r="E104" s="90">
        <f>E103*BIs</f>
        <v>800</v>
      </c>
      <c r="F104" s="90">
        <f>F103*BIs</f>
        <v>1600</v>
      </c>
      <c r="G104" s="18"/>
      <c r="H104" s="18"/>
      <c r="O104" s="313"/>
    </row>
    <row r="105" spans="1:15" ht="15" thickTop="1" thickBot="1">
      <c r="A105" s="18"/>
      <c r="B105" s="18"/>
      <c r="C105" s="312" t="s">
        <v>762</v>
      </c>
      <c r="D105" s="449">
        <f>$R$86*$S$86*25</f>
        <v>6.1209278514165462</v>
      </c>
      <c r="E105" s="449">
        <f>$R$86*$S$86*25</f>
        <v>6.1209278514165462</v>
      </c>
      <c r="F105" s="449">
        <f>$R$86*$S$86*40</f>
        <v>9.7934845622664728</v>
      </c>
      <c r="G105" s="18"/>
      <c r="H105" s="18"/>
      <c r="O105" s="313"/>
    </row>
    <row r="106" spans="1:15" ht="15" thickTop="1" thickBot="1">
      <c r="A106" s="18"/>
      <c r="B106" s="18"/>
      <c r="C106" s="312" t="s">
        <v>744</v>
      </c>
      <c r="D106" s="306">
        <f>UserRate</f>
        <v>52.33458799731833</v>
      </c>
      <c r="E106" s="306">
        <f>UserRate</f>
        <v>52.33458799731833</v>
      </c>
      <c r="F106" s="306">
        <f>UserRate</f>
        <v>52.33458799731833</v>
      </c>
      <c r="G106" s="18"/>
      <c r="H106" s="18"/>
      <c r="O106" s="313"/>
    </row>
    <row r="107" spans="1:15" ht="15" thickTop="1" thickBot="1">
      <c r="A107" s="18"/>
      <c r="B107" s="18"/>
      <c r="C107" s="312" t="s">
        <v>745</v>
      </c>
      <c r="D107" s="49">
        <f>D105*D106</f>
        <v>320.33623726519585</v>
      </c>
      <c r="E107" s="49">
        <f>E105*E106</f>
        <v>320.33623726519585</v>
      </c>
      <c r="F107" s="49">
        <f>F105*F106</f>
        <v>512.53797962431327</v>
      </c>
      <c r="G107" s="316"/>
      <c r="H107" s="18"/>
      <c r="O107" s="313"/>
    </row>
    <row r="108" spans="1:15" s="409" customFormat="1" ht="27.6" thickTop="1" thickBot="1">
      <c r="A108" s="18"/>
      <c r="B108" s="18"/>
      <c r="C108" s="312" t="s">
        <v>1044</v>
      </c>
      <c r="D108" s="317">
        <v>30</v>
      </c>
      <c r="E108" s="317">
        <v>10</v>
      </c>
      <c r="F108" s="317">
        <v>1.875</v>
      </c>
      <c r="G108" s="316"/>
      <c r="H108" s="18"/>
      <c r="O108" s="313"/>
    </row>
    <row r="109" spans="1:15" ht="27.6" thickTop="1" thickBot="1">
      <c r="A109" s="18"/>
      <c r="B109" s="18"/>
      <c r="C109" s="312" t="s">
        <v>746</v>
      </c>
      <c r="D109" s="49">
        <f>D108*D105</f>
        <v>183.62783554249637</v>
      </c>
      <c r="E109" s="49">
        <f t="shared" ref="E109:F109" si="28">E108*E105</f>
        <v>61.209278514165462</v>
      </c>
      <c r="F109" s="49">
        <f t="shared" si="28"/>
        <v>18.362783554249635</v>
      </c>
      <c r="G109" s="18"/>
      <c r="H109" s="18"/>
      <c r="O109" s="313"/>
    </row>
    <row r="110" spans="1:15" ht="15" thickTop="1" thickBot="1">
      <c r="A110" s="18"/>
      <c r="B110" s="18"/>
      <c r="C110" s="307" t="s">
        <v>747</v>
      </c>
      <c r="D110" s="49">
        <f>D107+D109</f>
        <v>503.96407280769222</v>
      </c>
      <c r="E110" s="49">
        <f>E107+E109</f>
        <v>381.54551577936132</v>
      </c>
      <c r="F110" s="49">
        <f>F107+F109</f>
        <v>530.9007631785629</v>
      </c>
      <c r="G110" s="18"/>
      <c r="H110" s="5"/>
      <c r="O110" s="313"/>
    </row>
    <row r="111" spans="1:15" ht="14.4" thickTop="1">
      <c r="A111" s="18"/>
      <c r="B111" s="18"/>
      <c r="C111" s="307" t="s">
        <v>748</v>
      </c>
      <c r="D111" s="118">
        <f>D110*D104</f>
        <v>100792.81456153844</v>
      </c>
      <c r="E111" s="118">
        <f>E110*E104</f>
        <v>305236.41262348904</v>
      </c>
      <c r="F111" s="118">
        <f>F110*F104</f>
        <v>849441.22108570067</v>
      </c>
      <c r="G111" s="118">
        <f>SUM(D111:F111)</f>
        <v>1255470.4482707281</v>
      </c>
      <c r="H111" s="18"/>
      <c r="O111" s="313"/>
    </row>
    <row r="115" spans="1:20" ht="21">
      <c r="A115" s="66" t="s">
        <v>1063</v>
      </c>
    </row>
    <row r="116" spans="1:20">
      <c r="D116" s="556" t="s">
        <v>317</v>
      </c>
      <c r="E116" s="556"/>
      <c r="F116" s="556"/>
      <c r="G116" s="556" t="s">
        <v>318</v>
      </c>
      <c r="H116" s="556"/>
      <c r="I116" s="556"/>
    </row>
    <row r="117" spans="1:20" ht="52.8">
      <c r="B117" s="91"/>
      <c r="C117" s="349" t="s">
        <v>217</v>
      </c>
      <c r="D117" s="349" t="s">
        <v>95</v>
      </c>
      <c r="E117" s="408" t="s">
        <v>936</v>
      </c>
      <c r="F117" s="349" t="s">
        <v>258</v>
      </c>
      <c r="G117" s="349" t="str">
        <f>Duration&amp;"-Year Total"</f>
        <v>5-Year Total</v>
      </c>
      <c r="H117" s="349" t="s">
        <v>95</v>
      </c>
      <c r="I117" s="349" t="s">
        <v>258</v>
      </c>
      <c r="J117" s="349" t="str">
        <f>Duration&amp;"-Year Total"</f>
        <v>5-Year Total</v>
      </c>
      <c r="K117" s="408" t="s">
        <v>1065</v>
      </c>
      <c r="L117" s="408" t="s">
        <v>1064</v>
      </c>
      <c r="O117" s="406" t="s">
        <v>6</v>
      </c>
    </row>
    <row r="118" spans="1:20" s="343" customFormat="1" ht="13.8">
      <c r="B118" s="161" t="s">
        <v>876</v>
      </c>
      <c r="C118" s="167"/>
      <c r="L118" s="409"/>
      <c r="O118" s="313"/>
      <c r="T118" s="409"/>
    </row>
    <row r="119" spans="1:20" s="343" customFormat="1">
      <c r="B119" s="168"/>
      <c r="C119" s="355" t="str">
        <f>C38</f>
        <v>Project Management</v>
      </c>
      <c r="D119" s="255">
        <f>K38</f>
        <v>41.075598682975468</v>
      </c>
      <c r="E119" s="409"/>
      <c r="F119" s="409"/>
      <c r="G119" s="409"/>
      <c r="H119" s="123">
        <f t="shared" ref="H119:H128" si="29">D119*BIs/1000</f>
        <v>164.30239473190187</v>
      </c>
      <c r="I119" s="409"/>
      <c r="J119" s="409"/>
      <c r="L119" s="409"/>
      <c r="O119" s="313"/>
      <c r="T119" s="409"/>
    </row>
    <row r="120" spans="1:20" s="343" customFormat="1" ht="26.4">
      <c r="B120" s="168"/>
      <c r="C120" s="355" t="str">
        <f t="shared" ref="C120:C128" si="30">C39</f>
        <v>Planning, Evaluation, Needs Analysis, System Modeling</v>
      </c>
      <c r="D120" s="255">
        <f t="shared" ref="D120:D128" si="31">K39</f>
        <v>24.294473691203152</v>
      </c>
      <c r="E120" s="409"/>
      <c r="F120" s="409"/>
      <c r="G120" s="409"/>
      <c r="H120" s="123">
        <f t="shared" si="29"/>
        <v>97.177894764812606</v>
      </c>
      <c r="I120" s="409"/>
      <c r="J120" s="409"/>
      <c r="L120" s="409"/>
      <c r="O120" s="313"/>
      <c r="T120" s="409"/>
    </row>
    <row r="121" spans="1:20" s="343" customFormat="1" ht="26.4">
      <c r="B121" s="168"/>
      <c r="C121" s="355" t="str">
        <f t="shared" si="30"/>
        <v>Engineering, Development, Configuration, Tuning</v>
      </c>
      <c r="D121" s="255">
        <f t="shared" si="31"/>
        <v>34.724281222824033</v>
      </c>
      <c r="E121" s="409"/>
      <c r="F121" s="409"/>
      <c r="G121" s="409"/>
      <c r="H121" s="123">
        <f t="shared" si="29"/>
        <v>138.89712489129613</v>
      </c>
      <c r="I121" s="409"/>
      <c r="J121" s="409"/>
      <c r="L121" s="409"/>
      <c r="O121" s="313"/>
      <c r="T121" s="409"/>
    </row>
    <row r="122" spans="1:20" s="343" customFormat="1">
      <c r="B122" s="168"/>
      <c r="C122" s="355" t="str">
        <f t="shared" si="30"/>
        <v>Testing (lab / pilot)</v>
      </c>
      <c r="D122" s="255">
        <f t="shared" si="31"/>
        <v>22.577044377222457</v>
      </c>
      <c r="E122" s="409"/>
      <c r="F122" s="409"/>
      <c r="G122" s="409"/>
      <c r="H122" s="123">
        <f t="shared" si="29"/>
        <v>90.308177508889827</v>
      </c>
      <c r="I122" s="409"/>
      <c r="J122" s="409"/>
      <c r="L122" s="409"/>
      <c r="O122" s="313"/>
      <c r="T122" s="409"/>
    </row>
    <row r="123" spans="1:20" s="343" customFormat="1" ht="26.4">
      <c r="B123" s="91"/>
      <c r="C123" s="355" t="str">
        <f t="shared" si="30"/>
        <v>Documentation, Report Development</v>
      </c>
      <c r="D123" s="255">
        <f t="shared" si="31"/>
        <v>11.061783774915742</v>
      </c>
      <c r="E123" s="409"/>
      <c r="F123" s="409"/>
      <c r="G123" s="409"/>
      <c r="H123" s="123">
        <f t="shared" si="29"/>
        <v>44.24713509966297</v>
      </c>
      <c r="I123" s="409"/>
      <c r="J123" s="409"/>
      <c r="L123" s="409"/>
      <c r="O123" s="313"/>
      <c r="T123" s="409"/>
    </row>
    <row r="124" spans="1:20" s="343" customFormat="1">
      <c r="B124" s="91"/>
      <c r="C124" s="355" t="str">
        <f t="shared" si="30"/>
        <v>Deploy</v>
      </c>
      <c r="D124" s="255">
        <f t="shared" si="31"/>
        <v>16.246314434362123</v>
      </c>
      <c r="E124" s="409"/>
      <c r="F124" s="409"/>
      <c r="G124" s="409"/>
      <c r="H124" s="123">
        <f t="shared" si="29"/>
        <v>64.985257737448492</v>
      </c>
      <c r="I124" s="409"/>
      <c r="J124" s="409"/>
      <c r="L124" s="409"/>
      <c r="O124" s="313"/>
      <c r="T124" s="409"/>
    </row>
    <row r="125" spans="1:20" s="343" customFormat="1">
      <c r="B125" s="91"/>
      <c r="C125" s="355" t="str">
        <f t="shared" si="30"/>
        <v>Change management</v>
      </c>
      <c r="D125" s="255">
        <f t="shared" si="31"/>
        <v>15.48649728488204</v>
      </c>
      <c r="E125" s="409"/>
      <c r="F125" s="409"/>
      <c r="G125" s="409"/>
      <c r="H125" s="123">
        <f t="shared" si="29"/>
        <v>61.945989139528159</v>
      </c>
      <c r="I125" s="409"/>
      <c r="J125" s="409"/>
      <c r="L125" s="409"/>
      <c r="O125" s="313"/>
      <c r="T125" s="409"/>
    </row>
    <row r="126" spans="1:20" s="343" customFormat="1">
      <c r="B126" s="91"/>
      <c r="C126" s="355" t="str">
        <f t="shared" si="30"/>
        <v>User Support</v>
      </c>
      <c r="D126" s="255">
        <f t="shared" si="31"/>
        <v>13.274140529898888</v>
      </c>
      <c r="E126" s="409"/>
      <c r="F126" s="409"/>
      <c r="G126" s="409"/>
      <c r="H126" s="123">
        <f t="shared" si="29"/>
        <v>53.096562119595553</v>
      </c>
      <c r="I126" s="409"/>
      <c r="J126" s="409"/>
      <c r="L126" s="409"/>
      <c r="O126" s="313"/>
      <c r="T126" s="409"/>
    </row>
    <row r="127" spans="1:20" s="343" customFormat="1">
      <c r="B127" s="91"/>
      <c r="C127" s="355" t="str">
        <f t="shared" si="30"/>
        <v>Other Internal Labor</v>
      </c>
      <c r="D127" s="255">
        <f t="shared" si="31"/>
        <v>11.061783774915742</v>
      </c>
      <c r="E127" s="409"/>
      <c r="F127" s="409"/>
      <c r="G127" s="409"/>
      <c r="H127" s="123">
        <f t="shared" si="29"/>
        <v>44.24713509966297</v>
      </c>
      <c r="I127" s="409"/>
      <c r="J127" s="409"/>
      <c r="L127" s="409"/>
      <c r="O127" s="313"/>
      <c r="T127" s="409"/>
    </row>
    <row r="128" spans="1:20" s="343" customFormat="1" ht="13.8" thickBot="1">
      <c r="B128" s="91"/>
      <c r="C128" s="355" t="str">
        <f t="shared" si="30"/>
        <v>External Consultants/Services</v>
      </c>
      <c r="D128" s="255">
        <f t="shared" si="31"/>
        <v>158.300715948</v>
      </c>
      <c r="E128" s="409"/>
      <c r="F128" s="409"/>
      <c r="G128" s="409"/>
      <c r="H128" s="123">
        <f t="shared" si="29"/>
        <v>633.20286379200002</v>
      </c>
      <c r="I128" s="409"/>
      <c r="J128" s="409"/>
      <c r="L128" s="409"/>
      <c r="O128" s="313"/>
      <c r="T128" s="409"/>
    </row>
    <row r="129" spans="2:20" s="343" customFormat="1" ht="13.8" thickTop="1">
      <c r="B129" s="168"/>
      <c r="C129" s="124" t="s">
        <v>0</v>
      </c>
      <c r="D129" s="49">
        <f>SUM(D119:D128)</f>
        <v>348.1026337211996</v>
      </c>
      <c r="E129" s="409"/>
      <c r="F129" s="409"/>
      <c r="G129" s="409"/>
      <c r="H129" s="49">
        <f t="shared" ref="H129" si="32">SUM(H119:H128)</f>
        <v>1392.4105348847984</v>
      </c>
      <c r="I129" s="409"/>
      <c r="J129" s="409"/>
      <c r="L129" s="409"/>
      <c r="O129" s="313"/>
      <c r="T129" s="409"/>
    </row>
    <row r="130" spans="2:20" ht="14.4" thickBot="1">
      <c r="B130" s="161" t="s">
        <v>875</v>
      </c>
      <c r="C130" s="167"/>
      <c r="D130" s="343"/>
      <c r="F130" s="343"/>
      <c r="G130" s="343"/>
      <c r="J130" s="103"/>
      <c r="L130" s="409"/>
    </row>
    <row r="131" spans="2:20" ht="15" thickTop="1" thickBot="1">
      <c r="B131" s="168"/>
      <c r="C131" s="355" t="str">
        <f>B7</f>
        <v>BI Applications</v>
      </c>
      <c r="D131" s="255">
        <f>D50</f>
        <v>131.2914855712682</v>
      </c>
      <c r="E131" s="253">
        <v>0.15</v>
      </c>
      <c r="F131" s="123">
        <f t="shared" ref="F131:F134" si="33">D131*E131</f>
        <v>19.693722835690227</v>
      </c>
      <c r="G131" s="255">
        <f>D131+Duration*F131</f>
        <v>229.76009974971933</v>
      </c>
      <c r="H131" s="123">
        <f>D131*BIs/1000</f>
        <v>525.16594228507279</v>
      </c>
      <c r="I131" s="123">
        <f>F131*BIs/1000</f>
        <v>78.77489134276091</v>
      </c>
      <c r="J131" s="123">
        <f>H131+I131*Duration</f>
        <v>919.04039899887732</v>
      </c>
      <c r="K131" s="339">
        <f>I131*1000/Profile!$D$42</f>
        <v>0.84684166598856525</v>
      </c>
      <c r="L131" s="289">
        <f>K131/'IT Labor'!$F$22</f>
        <v>8.9454348218087607E-2</v>
      </c>
      <c r="O131" s="313"/>
    </row>
    <row r="132" spans="2:20" ht="27.6" thickTop="1" thickBot="1">
      <c r="B132" s="168"/>
      <c r="C132" s="355" t="str">
        <f>B13</f>
        <v>Source System Inclusion / Integration</v>
      </c>
      <c r="D132" s="255">
        <f>E50</f>
        <v>74.096120149518725</v>
      </c>
      <c r="E132" s="253">
        <v>0.08</v>
      </c>
      <c r="F132" s="123">
        <f t="shared" si="33"/>
        <v>5.9276896119614984</v>
      </c>
      <c r="G132" s="255">
        <f>D132+Duration*F132</f>
        <v>103.73456820932621</v>
      </c>
      <c r="H132" s="123">
        <f>D132*BIs/1000</f>
        <v>296.3844805980749</v>
      </c>
      <c r="I132" s="123">
        <f>F132*BIs/1000</f>
        <v>23.710758447845993</v>
      </c>
      <c r="J132" s="123">
        <f>H132+I132*Duration</f>
        <v>414.93827283730485</v>
      </c>
      <c r="K132" s="339">
        <f>I132*1000/Profile!$D$42</f>
        <v>0.2548941400434131</v>
      </c>
      <c r="L132" s="289">
        <f>K132/'IT Labor'!$F$22</f>
        <v>2.6925209372611746E-2</v>
      </c>
      <c r="O132" s="313"/>
    </row>
    <row r="133" spans="2:20" ht="15" thickTop="1" thickBot="1">
      <c r="B133" s="168"/>
      <c r="C133" s="355" t="str">
        <f>B19</f>
        <v>Enhance DW Platform</v>
      </c>
      <c r="D133" s="255">
        <f>F50</f>
        <v>21.897425032296006</v>
      </c>
      <c r="E133" s="253">
        <v>0.1</v>
      </c>
      <c r="F133" s="123">
        <f t="shared" si="33"/>
        <v>2.1897425032296005</v>
      </c>
      <c r="G133" s="255">
        <f>D133+Duration*F133</f>
        <v>32.846137548444005</v>
      </c>
      <c r="H133" s="123">
        <f>D133*BIs/1000</f>
        <v>87.589700129184024</v>
      </c>
      <c r="I133" s="123">
        <f>F133*BIs/1000</f>
        <v>8.758970012918402</v>
      </c>
      <c r="J133" s="123">
        <f>H133+I133*Duration</f>
        <v>131.38455019377602</v>
      </c>
      <c r="K133" s="339">
        <f>I133*1000/Profile!$D$42</f>
        <v>9.4160215668330965E-2</v>
      </c>
      <c r="L133" s="289">
        <f>K133/'IT Labor'!$F$22</f>
        <v>9.9464174461142314E-3</v>
      </c>
      <c r="O133" s="313"/>
    </row>
    <row r="134" spans="2:20" ht="15" thickTop="1" thickBot="1">
      <c r="B134" s="168"/>
      <c r="C134" s="355" t="str">
        <f>B26</f>
        <v>Enhance BI Platform</v>
      </c>
      <c r="D134" s="255">
        <f>G50</f>
        <v>120.81760296811673</v>
      </c>
      <c r="E134" s="253">
        <v>0.12</v>
      </c>
      <c r="F134" s="123">
        <f t="shared" si="33"/>
        <v>14.498112356174007</v>
      </c>
      <c r="G134" s="255">
        <f>D134+Duration*F134</f>
        <v>193.30816474898677</v>
      </c>
      <c r="H134" s="123">
        <f>D134*BIs/1000</f>
        <v>483.27041187246692</v>
      </c>
      <c r="I134" s="123">
        <f>F134*BIs/1000</f>
        <v>57.992449424696026</v>
      </c>
      <c r="J134" s="123">
        <f>H134+I134*Duration</f>
        <v>773.23265899594708</v>
      </c>
      <c r="K134" s="339">
        <f>I134*1000/Profile!$D$42</f>
        <v>0.62342735925690673</v>
      </c>
      <c r="L134" s="289">
        <f>K134/'IT Labor'!$F$22</f>
        <v>6.5854445197318812E-2</v>
      </c>
      <c r="O134" s="313"/>
    </row>
    <row r="135" spans="2:20" ht="13.8" thickTop="1">
      <c r="B135" s="168"/>
      <c r="C135" s="124" t="s">
        <v>0</v>
      </c>
      <c r="D135" s="49">
        <f>SUM(D131:D134)</f>
        <v>348.10263372119965</v>
      </c>
      <c r="E135" s="290">
        <f>F135/D135</f>
        <v>0.12154250846875644</v>
      </c>
      <c r="F135" s="49">
        <f>SUM(F131:F134)</f>
        <v>42.309267307055329</v>
      </c>
      <c r="G135" s="49">
        <f>SUM(G131:G134)</f>
        <v>559.64897025647633</v>
      </c>
      <c r="H135" s="49">
        <f t="shared" ref="H135:J135" si="34">SUM(H131:H134)</f>
        <v>1392.4105348847986</v>
      </c>
      <c r="I135" s="49">
        <f t="shared" si="34"/>
        <v>169.23706922822132</v>
      </c>
      <c r="J135" s="49">
        <f t="shared" si="34"/>
        <v>2238.5958810259053</v>
      </c>
      <c r="K135" s="340">
        <f t="shared" ref="K135" si="35">SUM(K131:K134)</f>
        <v>1.8193233809572162</v>
      </c>
      <c r="L135" s="290">
        <f>K135/'IT Labor'!$F$22</f>
        <v>0.19218042023413243</v>
      </c>
      <c r="O135" s="313"/>
    </row>
    <row r="136" spans="2:20" ht="14.4" thickBot="1">
      <c r="B136" s="161" t="s">
        <v>912</v>
      </c>
      <c r="C136" s="167"/>
      <c r="D136" s="343"/>
      <c r="F136" s="343"/>
      <c r="G136" s="343"/>
      <c r="H136" s="343"/>
      <c r="I136" s="343"/>
      <c r="J136" s="343"/>
      <c r="K136" s="455"/>
      <c r="L136" s="455"/>
    </row>
    <row r="137" spans="2:20" s="343" customFormat="1" ht="15" thickTop="1" thickBot="1">
      <c r="B137" s="168"/>
      <c r="C137" s="379" t="s">
        <v>738</v>
      </c>
      <c r="D137" s="255">
        <f>H137*1000/BIs</f>
        <v>15.19885219971113</v>
      </c>
      <c r="E137" s="253">
        <v>0.1</v>
      </c>
      <c r="F137" s="123">
        <f t="shared" ref="F137:F139" si="36">D137*E137</f>
        <v>1.519885219971113</v>
      </c>
      <c r="G137" s="255">
        <f>D137+Duration*F137</f>
        <v>22.798278299566697</v>
      </c>
      <c r="H137" s="123">
        <f>G86/1000</f>
        <v>60.79540879884452</v>
      </c>
      <c r="I137" s="123">
        <f>F137*BIs/1000</f>
        <v>6.0795408798844521</v>
      </c>
      <c r="J137" s="123">
        <f>H137+I137*Duration</f>
        <v>91.193113198266786</v>
      </c>
      <c r="K137" s="339">
        <f>I137*1000/Profile!$D$42</f>
        <v>6.535595847115129E-2</v>
      </c>
      <c r="L137" s="289">
        <f>K137/'IT Labor'!$F$22</f>
        <v>6.9037399811692568E-3</v>
      </c>
      <c r="O137" s="313"/>
      <c r="T137" s="409"/>
    </row>
    <row r="138" spans="2:20" ht="15" thickTop="1" thickBot="1">
      <c r="B138" s="168"/>
      <c r="C138" s="355" t="str">
        <f>B101</f>
        <v>End-User Training</v>
      </c>
      <c r="D138" s="255">
        <f>H138*1000/BIs</f>
        <v>313.86761206768205</v>
      </c>
      <c r="E138" s="253">
        <v>0.05</v>
      </c>
      <c r="F138" s="123">
        <f t="shared" si="36"/>
        <v>15.693380603384103</v>
      </c>
      <c r="G138" s="255">
        <f>D138+Duration*F138</f>
        <v>392.33451508460257</v>
      </c>
      <c r="H138" s="123">
        <f>G111/1000</f>
        <v>1255.4704482707282</v>
      </c>
      <c r="I138" s="123">
        <f>F138*BIs/1000</f>
        <v>62.773522413536412</v>
      </c>
      <c r="J138" s="123">
        <f>H138+I138*Duration</f>
        <v>1569.3380603384103</v>
      </c>
      <c r="K138" s="339">
        <f>I138*1000/Profile!$D$42</f>
        <v>0.67482459695623354</v>
      </c>
      <c r="L138" s="289">
        <f>K138/'IT Labor'!$F$22</f>
        <v>7.1283684904408853E-2</v>
      </c>
      <c r="O138" s="313"/>
    </row>
    <row r="139" spans="2:20" ht="15" thickTop="1" thickBot="1">
      <c r="B139" s="168"/>
      <c r="C139" s="355" t="str">
        <f>B89</f>
        <v>End-User Labor</v>
      </c>
      <c r="D139" s="255">
        <f>H139*1000/BIs</f>
        <v>24.858092011779199</v>
      </c>
      <c r="E139" s="253">
        <v>0</v>
      </c>
      <c r="F139" s="123">
        <f t="shared" si="36"/>
        <v>0</v>
      </c>
      <c r="G139" s="255">
        <f>D139+Duration*F139</f>
        <v>24.858092011779199</v>
      </c>
      <c r="H139" s="123">
        <f>F99/1000</f>
        <v>99.432368047116796</v>
      </c>
      <c r="I139" s="123">
        <f>F139*BIs/1000</f>
        <v>0</v>
      </c>
      <c r="J139" s="123">
        <f>H139+I139*Duration</f>
        <v>99.432368047116796</v>
      </c>
      <c r="K139" s="339">
        <f>I139*1000/Profile!$D$42</f>
        <v>0</v>
      </c>
      <c r="L139" s="289">
        <f>K139/'IT Labor'!$F$22</f>
        <v>0</v>
      </c>
      <c r="O139" s="313"/>
    </row>
    <row r="140" spans="2:20" ht="13.8" thickTop="1">
      <c r="B140" s="168"/>
      <c r="C140" s="124" t="s">
        <v>0</v>
      </c>
      <c r="D140" s="49">
        <f>SUM(D137:D139)</f>
        <v>353.92455627917241</v>
      </c>
      <c r="E140" s="290">
        <f>F140/D140</f>
        <v>4.8635409772973058E-2</v>
      </c>
      <c r="F140" s="49">
        <f t="shared" ref="F140:J140" si="37">SUM(F137:F139)</f>
        <v>17.213265823355215</v>
      </c>
      <c r="G140" s="49">
        <f t="shared" si="37"/>
        <v>439.99088539594845</v>
      </c>
      <c r="H140" s="49">
        <f t="shared" si="37"/>
        <v>1415.6982251166896</v>
      </c>
      <c r="I140" s="49">
        <f t="shared" si="37"/>
        <v>68.85306329342086</v>
      </c>
      <c r="J140" s="49">
        <f t="shared" si="37"/>
        <v>1759.9635415837938</v>
      </c>
      <c r="K140" s="340">
        <f t="shared" ref="K140" si="38">SUM(K137:K139)</f>
        <v>0.74018055542738481</v>
      </c>
      <c r="L140" s="290">
        <f>K140/'IT Labor'!$F$22</f>
        <v>7.8187424885578116E-2</v>
      </c>
      <c r="O140" s="313"/>
    </row>
    <row r="141" spans="2:20" ht="13.8" thickBot="1">
      <c r="B141" s="91"/>
      <c r="C141" s="91"/>
      <c r="H141" s="343"/>
      <c r="I141" s="343"/>
      <c r="J141" s="343"/>
      <c r="K141" s="455"/>
      <c r="L141" s="455"/>
    </row>
    <row r="142" spans="2:20" ht="13.8" thickTop="1">
      <c r="B142" s="168"/>
      <c r="C142" s="135" t="s">
        <v>0</v>
      </c>
      <c r="D142" s="49">
        <f t="shared" ref="D142" si="39">SUM(D135,D140)</f>
        <v>702.027190000372</v>
      </c>
      <c r="F142" s="49">
        <f t="shared" ref="F142:K142" si="40">SUM(F135,F140)</f>
        <v>59.522533130410544</v>
      </c>
      <c r="G142" s="49">
        <f t="shared" si="40"/>
        <v>999.63985565242479</v>
      </c>
      <c r="H142" s="49">
        <f t="shared" si="40"/>
        <v>2808.108760001488</v>
      </c>
      <c r="I142" s="49">
        <f t="shared" si="40"/>
        <v>238.09013252164218</v>
      </c>
      <c r="J142" s="49">
        <f t="shared" si="40"/>
        <v>3998.5594226096991</v>
      </c>
      <c r="K142" s="340">
        <f t="shared" si="40"/>
        <v>2.5595039363846013</v>
      </c>
      <c r="L142" s="290">
        <f>K142/'IT Labor'!$F$22</f>
        <v>0.27036784511971057</v>
      </c>
      <c r="O142" s="313"/>
    </row>
    <row r="145" spans="3:3">
      <c r="C145" s="397"/>
    </row>
  </sheetData>
  <sheetProtection selectLockedCells="1" selectUnlockedCells="1"/>
  <mergeCells count="6">
    <mergeCell ref="D5:M5"/>
    <mergeCell ref="F90:G90"/>
    <mergeCell ref="D116:F116"/>
    <mergeCell ref="G116:I116"/>
    <mergeCell ref="D36:H36"/>
    <mergeCell ref="I36:K36"/>
  </mergeCells>
  <pageMargins left="0.25" right="0.25" top="0.75" bottom="0.75" header="0.3" footer="0.3"/>
  <pageSetup scale="63" fitToHeight="10" orientation="portrait" horizontalDpi="300" verticalDpi="300" r:id="rId1"/>
  <headerFooter>
    <oddFooter>&amp;LTDWI Business Intelligence ROI Calculator&amp;C&amp;A Worksheet&amp;R&amp;P of &amp;N</oddFooter>
  </headerFooter>
  <drawing r:id="rId2"/>
</worksheet>
</file>

<file path=xl/worksheets/sheet6.xml><?xml version="1.0" encoding="utf-8"?>
<worksheet xmlns="http://schemas.openxmlformats.org/spreadsheetml/2006/main" xmlns:r="http://schemas.openxmlformats.org/officeDocument/2006/relationships">
  <sheetPr codeName="Sheet6">
    <tabColor rgb="FFFF0000"/>
    <pageSetUpPr fitToPage="1"/>
  </sheetPr>
  <dimension ref="A1:N197"/>
  <sheetViews>
    <sheetView showGridLines="0" workbookViewId="0">
      <pane xSplit="3" ySplit="4" topLeftCell="D187" activePane="bottomRight" state="frozen"/>
      <selection pane="topRight"/>
      <selection pane="bottomLeft"/>
      <selection pane="bottomRight" activeCell="G197" sqref="C197:G197"/>
    </sheetView>
  </sheetViews>
  <sheetFormatPr defaultRowHeight="13.2"/>
  <cols>
    <col min="1" max="2" width="3.109375" customWidth="1"/>
    <col min="3" max="3" width="35.33203125" customWidth="1"/>
    <col min="4" max="4" width="11.33203125" bestFit="1" customWidth="1"/>
    <col min="5" max="8" width="10.5546875" customWidth="1"/>
    <col min="9" max="10" width="10.5546875" style="103" customWidth="1"/>
    <col min="11" max="11" width="11.109375" style="103" customWidth="1"/>
    <col min="12" max="12" width="10.5546875" customWidth="1"/>
    <col min="13" max="13" width="11.5546875" customWidth="1"/>
    <col min="14" max="14" width="15.5546875" customWidth="1"/>
  </cols>
  <sheetData>
    <row r="1" spans="1:14" ht="27.6">
      <c r="A1" s="2" t="s">
        <v>583</v>
      </c>
    </row>
    <row r="2" spans="1:14" ht="47.25" customHeight="1"/>
    <row r="4" spans="1:14" ht="66" customHeight="1">
      <c r="A4" s="103"/>
      <c r="B4" s="103"/>
      <c r="C4" s="223" t="s">
        <v>572</v>
      </c>
      <c r="D4" s="406" t="s">
        <v>669</v>
      </c>
      <c r="E4" s="406" t="s">
        <v>829</v>
      </c>
      <c r="F4" s="406" t="s">
        <v>26</v>
      </c>
      <c r="G4" s="406" t="s">
        <v>830</v>
      </c>
      <c r="H4" s="406" t="s">
        <v>836</v>
      </c>
      <c r="I4" s="406" t="s">
        <v>659</v>
      </c>
      <c r="J4" s="406" t="s">
        <v>837</v>
      </c>
      <c r="K4" s="406" t="s">
        <v>831</v>
      </c>
      <c r="L4" s="406" t="s">
        <v>666</v>
      </c>
      <c r="M4" s="406" t="s">
        <v>0</v>
      </c>
      <c r="N4" s="406" t="s">
        <v>6</v>
      </c>
    </row>
    <row r="5" spans="1:14" s="409" customFormat="1" ht="58.8">
      <c r="C5" s="452" t="s">
        <v>1062</v>
      </c>
      <c r="D5" s="451" t="s">
        <v>1054</v>
      </c>
      <c r="E5" s="451" t="s">
        <v>658</v>
      </c>
      <c r="F5" s="451" t="s">
        <v>1055</v>
      </c>
      <c r="G5" s="451" t="s">
        <v>657</v>
      </c>
      <c r="H5" s="451" t="s">
        <v>1088</v>
      </c>
      <c r="I5" s="451" t="s">
        <v>1087</v>
      </c>
      <c r="J5" s="451"/>
      <c r="K5" s="451" t="s">
        <v>1089</v>
      </c>
      <c r="L5" s="451" t="s">
        <v>1104</v>
      </c>
      <c r="N5" s="137"/>
    </row>
    <row r="6" spans="1:14" s="441" customFormat="1" ht="21" hidden="1">
      <c r="A6" s="463" t="s">
        <v>1084</v>
      </c>
    </row>
    <row r="7" spans="1:14" s="441" customFormat="1" hidden="1">
      <c r="C7" s="464" t="s">
        <v>1083</v>
      </c>
      <c r="D7" s="43">
        <f ca="1">ImpCalc!$D176</f>
        <v>0.32991487453520019</v>
      </c>
      <c r="E7" s="43">
        <f ca="1">ImpCalc!$D177</f>
        <v>0.27733412524757572</v>
      </c>
      <c r="F7" s="43">
        <f ca="1">ImpCalc!$D178</f>
        <v>0.14179913144920542</v>
      </c>
      <c r="G7" s="43">
        <f ca="1">ImpCalc!$D179</f>
        <v>0.48212399094762876</v>
      </c>
      <c r="H7" s="43">
        <f ca="1">ImpCalc!$D180</f>
        <v>0.63586847395534485</v>
      </c>
      <c r="I7" s="43">
        <f ca="1">ImpCalc!$D181</f>
        <v>0.56388418985397337</v>
      </c>
      <c r="J7" s="43">
        <f ca="1">ImpCalc!$D182</f>
        <v>0.1952515954830229</v>
      </c>
      <c r="K7" s="43">
        <f ca="1">ImpCalc!$D183</f>
        <v>0.55981731639089116</v>
      </c>
      <c r="L7" s="43">
        <f ca="1">ImpCalc!$D184</f>
        <v>0.56850872716890699</v>
      </c>
      <c r="N7" s="137"/>
    </row>
    <row r="8" spans="1:14" s="441" customFormat="1" ht="14.4" hidden="1" thickBot="1">
      <c r="B8" s="9" t="s">
        <v>573</v>
      </c>
    </row>
    <row r="9" spans="1:14" s="441" customFormat="1" ht="15" hidden="1" thickTop="1" thickBot="1">
      <c r="C9" s="464" t="s">
        <v>1086</v>
      </c>
      <c r="D9" s="41">
        <v>1</v>
      </c>
      <c r="E9" s="438">
        <v>0.1</v>
      </c>
      <c r="F9" s="438">
        <v>0.15</v>
      </c>
      <c r="G9" s="438">
        <v>0.2</v>
      </c>
      <c r="H9" s="438">
        <v>0.2</v>
      </c>
      <c r="I9" s="438">
        <v>0.03</v>
      </c>
      <c r="J9" s="438">
        <v>0.05</v>
      </c>
      <c r="K9" s="438">
        <v>0</v>
      </c>
      <c r="L9" s="438">
        <v>0</v>
      </c>
      <c r="N9" s="137"/>
    </row>
    <row r="10" spans="1:14" ht="15" hidden="1" thickTop="1" thickBot="1">
      <c r="A10" s="103"/>
      <c r="B10" s="103"/>
      <c r="C10" s="464" t="s">
        <v>1095</v>
      </c>
      <c r="D10" s="41">
        <v>1</v>
      </c>
      <c r="E10" s="204">
        <f ca="1">E7</f>
        <v>0.27733412524757572</v>
      </c>
      <c r="F10" s="438">
        <f t="shared" ref="F10:L10" ca="1" si="0">F7</f>
        <v>0.14179913144920542</v>
      </c>
      <c r="G10" s="438">
        <f t="shared" ca="1" si="0"/>
        <v>0.48212399094762876</v>
      </c>
      <c r="H10" s="438">
        <f t="shared" ca="1" si="0"/>
        <v>0.63586847395534485</v>
      </c>
      <c r="I10" s="438">
        <f t="shared" ca="1" si="0"/>
        <v>0.56388418985397337</v>
      </c>
      <c r="J10" s="438">
        <f t="shared" ca="1" si="0"/>
        <v>0.1952515954830229</v>
      </c>
      <c r="K10" s="438">
        <f t="shared" ca="1" si="0"/>
        <v>0.55981731639089116</v>
      </c>
      <c r="L10" s="438">
        <f t="shared" ca="1" si="0"/>
        <v>0.56850872716890699</v>
      </c>
      <c r="M10" s="103"/>
      <c r="N10" s="137"/>
    </row>
    <row r="11" spans="1:14" s="441" customFormat="1" ht="14.4" hidden="1" thickTop="1" thickBot="1">
      <c r="C11" s="464" t="s">
        <v>1096</v>
      </c>
      <c r="D11" s="198">
        <f>D25</f>
        <v>571.42857142857156</v>
      </c>
      <c r="E11" s="220">
        <f t="shared" ref="E11:L11" ca="1" si="1">E10*E9*$D$26</f>
        <v>30.902945384729872</v>
      </c>
      <c r="F11" s="220">
        <f t="shared" ca="1" si="1"/>
        <v>23.700711970795766</v>
      </c>
      <c r="G11" s="220">
        <f t="shared" ca="1" si="1"/>
        <v>107.44477512547158</v>
      </c>
      <c r="H11" s="220">
        <f t="shared" ca="1" si="1"/>
        <v>141.70783133861971</v>
      </c>
      <c r="I11" s="220">
        <f t="shared" ca="1" si="1"/>
        <v>18.849842917975682</v>
      </c>
      <c r="J11" s="220">
        <f t="shared" ca="1" si="1"/>
        <v>10.878303176911279</v>
      </c>
      <c r="K11" s="220">
        <f t="shared" ca="1" si="1"/>
        <v>0</v>
      </c>
      <c r="L11" s="220">
        <f t="shared" ca="1" si="1"/>
        <v>0</v>
      </c>
      <c r="N11" s="137"/>
    </row>
    <row r="12" spans="1:14" s="441" customFormat="1" ht="15" hidden="1" thickTop="1" thickBot="1">
      <c r="C12" s="464" t="s">
        <v>1085</v>
      </c>
      <c r="D12" s="438">
        <v>2.75</v>
      </c>
      <c r="E12" s="438">
        <v>1.5</v>
      </c>
      <c r="F12" s="438">
        <f t="shared" ref="F12" si="2">E12</f>
        <v>1.5</v>
      </c>
      <c r="G12" s="438">
        <v>2.2999999999999998</v>
      </c>
      <c r="H12" s="438">
        <f t="shared" ref="H12" si="3">G12</f>
        <v>2.2999999999999998</v>
      </c>
      <c r="I12" s="438">
        <f t="shared" ref="I12" si="4">H12</f>
        <v>2.2999999999999998</v>
      </c>
      <c r="J12" s="438">
        <v>2</v>
      </c>
      <c r="K12" s="438"/>
      <c r="L12" s="438"/>
      <c r="N12" s="137"/>
    </row>
    <row r="13" spans="1:14" s="441" customFormat="1" ht="13.8" hidden="1" thickTop="1">
      <c r="C13" s="464" t="s">
        <v>1097</v>
      </c>
      <c r="D13" s="41">
        <f t="shared" ref="D13:L13" ca="1" si="5">1+D12*D7</f>
        <v>1.9072659049718004</v>
      </c>
      <c r="E13" s="41">
        <f t="shared" ca="1" si="5"/>
        <v>1.4160011878713636</v>
      </c>
      <c r="F13" s="41">
        <f t="shared" ca="1" si="5"/>
        <v>1.2126986971738081</v>
      </c>
      <c r="G13" s="41">
        <f t="shared" ca="1" si="5"/>
        <v>2.1088851791795458</v>
      </c>
      <c r="H13" s="41">
        <f t="shared" ca="1" si="5"/>
        <v>2.4624974900972934</v>
      </c>
      <c r="I13" s="41">
        <f t="shared" ca="1" si="5"/>
        <v>2.2969336366641384</v>
      </c>
      <c r="J13" s="41">
        <f t="shared" ca="1" si="5"/>
        <v>1.3905031909660459</v>
      </c>
      <c r="K13" s="41">
        <f t="shared" ca="1" si="5"/>
        <v>1</v>
      </c>
      <c r="L13" s="41">
        <f t="shared" ca="1" si="5"/>
        <v>1</v>
      </c>
      <c r="N13" s="137"/>
    </row>
    <row r="14" spans="1:14" s="441" customFormat="1" ht="14.4" hidden="1" thickBot="1">
      <c r="B14" s="9" t="s">
        <v>834</v>
      </c>
      <c r="N14" s="137"/>
    </row>
    <row r="15" spans="1:14" ht="15" hidden="1" thickTop="1" thickBot="1">
      <c r="A15" s="103"/>
      <c r="B15" s="103"/>
      <c r="C15" s="464" t="s">
        <v>575</v>
      </c>
      <c r="D15" s="41">
        <v>1</v>
      </c>
      <c r="E15" s="204">
        <v>0.4</v>
      </c>
      <c r="F15" s="204">
        <v>0.2</v>
      </c>
      <c r="G15" s="204">
        <v>0.5</v>
      </c>
      <c r="H15" s="204">
        <v>0.2</v>
      </c>
      <c r="I15" s="214">
        <v>0.15</v>
      </c>
      <c r="J15" s="214">
        <v>0.1</v>
      </c>
      <c r="K15" s="214">
        <v>0</v>
      </c>
      <c r="L15" s="204">
        <v>0</v>
      </c>
      <c r="M15" s="103"/>
      <c r="N15" s="137"/>
    </row>
    <row r="16" spans="1:14" s="441" customFormat="1" ht="15" hidden="1" thickTop="1" thickBot="1">
      <c r="C16" s="464" t="s">
        <v>1099</v>
      </c>
      <c r="D16" s="439">
        <v>200</v>
      </c>
      <c r="E16" s="198">
        <f>$D15/E15*$D16</f>
        <v>500</v>
      </c>
      <c r="F16" s="198">
        <f t="shared" ref="F16:L16" si="6">$D15/F15*$D16</f>
        <v>1000</v>
      </c>
      <c r="G16" s="198">
        <f t="shared" si="6"/>
        <v>400</v>
      </c>
      <c r="H16" s="198">
        <f t="shared" si="6"/>
        <v>1000</v>
      </c>
      <c r="I16" s="198">
        <f t="shared" si="6"/>
        <v>1333.3333333333335</v>
      </c>
      <c r="J16" s="198">
        <f t="shared" si="6"/>
        <v>2000</v>
      </c>
      <c r="K16" s="198" t="e">
        <f t="shared" si="6"/>
        <v>#DIV/0!</v>
      </c>
      <c r="L16" s="198" t="e">
        <f t="shared" si="6"/>
        <v>#DIV/0!</v>
      </c>
      <c r="N16" s="137"/>
    </row>
    <row r="17" spans="1:14" s="441" customFormat="1" ht="14.4" hidden="1" thickTop="1" thickBot="1">
      <c r="C17" s="464" t="s">
        <v>1100</v>
      </c>
      <c r="D17" s="220">
        <f ca="1">BIs/D16*D7</f>
        <v>6.5982974907040042</v>
      </c>
      <c r="E17" s="220">
        <f ca="1">$D$17*E15</f>
        <v>2.6393189962816019</v>
      </c>
      <c r="F17" s="220">
        <f t="shared" ref="F17:L17" ca="1" si="7">$D$17*F15</f>
        <v>1.319659498140801</v>
      </c>
      <c r="G17" s="220">
        <f t="shared" ca="1" si="7"/>
        <v>3.2991487453520021</v>
      </c>
      <c r="H17" s="220">
        <f t="shared" ca="1" si="7"/>
        <v>1.319659498140801</v>
      </c>
      <c r="I17" s="220">
        <f t="shared" ca="1" si="7"/>
        <v>0.98974462360560056</v>
      </c>
      <c r="J17" s="220">
        <f t="shared" ca="1" si="7"/>
        <v>0.65982974907040048</v>
      </c>
      <c r="K17" s="220">
        <f t="shared" ca="1" si="7"/>
        <v>0</v>
      </c>
      <c r="L17" s="220">
        <f t="shared" ca="1" si="7"/>
        <v>0</v>
      </c>
      <c r="N17" s="137"/>
    </row>
    <row r="18" spans="1:14" s="441" customFormat="1" ht="15" hidden="1" thickTop="1" thickBot="1">
      <c r="C18" s="464" t="s">
        <v>1101</v>
      </c>
      <c r="D18" s="438">
        <v>1.5</v>
      </c>
      <c r="E18" s="438">
        <v>1</v>
      </c>
      <c r="F18" s="438">
        <f t="shared" ref="F18:L18" si="8">E18</f>
        <v>1</v>
      </c>
      <c r="G18" s="438">
        <v>1.4</v>
      </c>
      <c r="H18" s="438">
        <f t="shared" si="8"/>
        <v>1.4</v>
      </c>
      <c r="I18" s="438">
        <f t="shared" si="8"/>
        <v>1.4</v>
      </c>
      <c r="J18" s="438">
        <v>1</v>
      </c>
      <c r="K18" s="438">
        <v>0</v>
      </c>
      <c r="L18" s="438">
        <f t="shared" si="8"/>
        <v>0</v>
      </c>
      <c r="N18" s="137"/>
    </row>
    <row r="19" spans="1:14" s="441" customFormat="1" ht="13.8" hidden="1" thickTop="1">
      <c r="C19" s="464" t="s">
        <v>1103</v>
      </c>
      <c r="D19" s="43">
        <f ca="1">1+D18*D7</f>
        <v>1.4948723118028002</v>
      </c>
      <c r="E19" s="43">
        <f t="shared" ref="E19:L19" ca="1" si="9">1+E18*E7</f>
        <v>1.2773341252475756</v>
      </c>
      <c r="F19" s="43">
        <f t="shared" ca="1" si="9"/>
        <v>1.1417991314492055</v>
      </c>
      <c r="G19" s="43">
        <f t="shared" ca="1" si="9"/>
        <v>1.6749735873266802</v>
      </c>
      <c r="H19" s="43">
        <f t="shared" ca="1" si="9"/>
        <v>1.8902158635374828</v>
      </c>
      <c r="I19" s="43">
        <f t="shared" ca="1" si="9"/>
        <v>1.7894378657955627</v>
      </c>
      <c r="J19" s="43">
        <f t="shared" ca="1" si="9"/>
        <v>1.195251595483023</v>
      </c>
      <c r="K19" s="43">
        <f t="shared" ca="1" si="9"/>
        <v>1</v>
      </c>
      <c r="L19" s="43">
        <f t="shared" ca="1" si="9"/>
        <v>1</v>
      </c>
      <c r="N19" s="137"/>
    </row>
    <row r="20" spans="1:14" s="441" customFormat="1" hidden="1">
      <c r="D20" s="462"/>
      <c r="E20" s="462"/>
      <c r="F20" s="462"/>
      <c r="G20" s="462"/>
      <c r="H20" s="462"/>
      <c r="I20" s="462"/>
      <c r="J20" s="462"/>
      <c r="K20" s="462"/>
      <c r="L20" s="462"/>
      <c r="N20" s="137"/>
    </row>
    <row r="21" spans="1:14" s="441" customFormat="1" hidden="1">
      <c r="C21" s="464"/>
      <c r="D21" s="462"/>
      <c r="E21" s="462"/>
      <c r="F21" s="462"/>
      <c r="G21" s="462"/>
      <c r="H21" s="462"/>
      <c r="I21" s="462"/>
      <c r="J21" s="462"/>
      <c r="K21" s="462"/>
      <c r="L21" s="462"/>
      <c r="N21" s="137"/>
    </row>
    <row r="22" spans="1:14" ht="21">
      <c r="A22" s="1" t="s">
        <v>571</v>
      </c>
      <c r="C22" s="103"/>
      <c r="D22" s="103"/>
      <c r="E22" s="103"/>
      <c r="F22" s="103"/>
      <c r="G22" s="103"/>
      <c r="H22" s="103"/>
      <c r="L22" s="103"/>
      <c r="M22" s="103"/>
    </row>
    <row r="23" spans="1:14" ht="13.8">
      <c r="A23" s="103"/>
      <c r="B23" s="9" t="s">
        <v>573</v>
      </c>
      <c r="D23" s="103"/>
      <c r="E23" s="103"/>
      <c r="F23" s="103"/>
      <c r="G23" s="103"/>
      <c r="H23" s="103"/>
      <c r="L23" s="103"/>
      <c r="M23" s="103"/>
    </row>
    <row r="24" spans="1:14" s="441" customFormat="1" ht="39.6">
      <c r="B24" s="9"/>
      <c r="C24" s="58" t="s">
        <v>1098</v>
      </c>
      <c r="D24" s="220">
        <f>Initiatives!H94</f>
        <v>542.85714285714289</v>
      </c>
    </row>
    <row r="25" spans="1:14" s="441" customFormat="1" ht="14.4" thickBot="1">
      <c r="B25" s="9"/>
      <c r="C25" s="58" t="s">
        <v>1091</v>
      </c>
      <c r="D25" s="220">
        <f>Initiatives!I94-Initiatives!H94</f>
        <v>571.42857142857156</v>
      </c>
    </row>
    <row r="26" spans="1:14" s="441" customFormat="1" ht="15" thickTop="1" thickBot="1">
      <c r="B26" s="9"/>
      <c r="C26" s="58" t="s">
        <v>1090</v>
      </c>
      <c r="D26" s="51">
        <f>Initiatives!I94</f>
        <v>1114.2857142857144</v>
      </c>
    </row>
    <row r="27" spans="1:14" ht="15" thickTop="1" thickBot="1">
      <c r="A27" s="103"/>
      <c r="B27" s="103"/>
      <c r="C27" s="58" t="s">
        <v>1092</v>
      </c>
      <c r="D27" s="203">
        <f>D11</f>
        <v>571.42857142857156</v>
      </c>
      <c r="E27" s="439">
        <f t="shared" ref="E27:L27" ca="1" si="10">E11</f>
        <v>30.902945384729872</v>
      </c>
      <c r="F27" s="439">
        <f t="shared" ca="1" si="10"/>
        <v>23.700711970795766</v>
      </c>
      <c r="G27" s="439">
        <f t="shared" ca="1" si="10"/>
        <v>107.44477512547158</v>
      </c>
      <c r="H27" s="439">
        <f t="shared" ca="1" si="10"/>
        <v>141.70783133861971</v>
      </c>
      <c r="I27" s="439">
        <f t="shared" ca="1" si="10"/>
        <v>18.849842917975682</v>
      </c>
      <c r="J27" s="439">
        <f t="shared" ca="1" si="10"/>
        <v>10.878303176911279</v>
      </c>
      <c r="K27" s="439">
        <f t="shared" ca="1" si="10"/>
        <v>0</v>
      </c>
      <c r="L27" s="439">
        <f t="shared" ca="1" si="10"/>
        <v>0</v>
      </c>
      <c r="M27" s="103"/>
      <c r="N27" s="137"/>
    </row>
    <row r="28" spans="1:14" ht="54" thickTop="1" thickBot="1">
      <c r="A28" s="103"/>
      <c r="B28" s="103"/>
      <c r="C28" s="58" t="s">
        <v>1105</v>
      </c>
      <c r="D28" s="214">
        <f ca="1">D13</f>
        <v>1.9072659049718004</v>
      </c>
      <c r="E28" s="438">
        <f t="shared" ref="E28:L28" ca="1" si="11">E13</f>
        <v>1.4160011878713636</v>
      </c>
      <c r="F28" s="438">
        <f t="shared" ca="1" si="11"/>
        <v>1.2126986971738081</v>
      </c>
      <c r="G28" s="438">
        <f t="shared" ca="1" si="11"/>
        <v>2.1088851791795458</v>
      </c>
      <c r="H28" s="438">
        <f t="shared" ca="1" si="11"/>
        <v>2.4624974900972934</v>
      </c>
      <c r="I28" s="438">
        <f t="shared" ca="1" si="11"/>
        <v>2.2969336366641384</v>
      </c>
      <c r="J28" s="438">
        <f t="shared" ca="1" si="11"/>
        <v>1.3905031909660459</v>
      </c>
      <c r="K28" s="438">
        <f t="shared" ca="1" si="11"/>
        <v>1</v>
      </c>
      <c r="L28" s="438">
        <f t="shared" ca="1" si="11"/>
        <v>1</v>
      </c>
      <c r="M28" s="103"/>
      <c r="N28" s="137"/>
    </row>
    <row r="29" spans="1:14" s="103" customFormat="1" ht="14.4" thickTop="1" thickBot="1">
      <c r="C29" s="223" t="s">
        <v>1093</v>
      </c>
      <c r="D29" s="334">
        <f ca="1">D27*D28</f>
        <v>1089.8662314124576</v>
      </c>
      <c r="E29" s="334">
        <f ca="1">E27*E28</f>
        <v>43.75860737350137</v>
      </c>
      <c r="F29" s="334">
        <f t="shared" ref="F29:L29" ca="1" si="12">F27*F28</f>
        <v>28.741822529075701</v>
      </c>
      <c r="G29" s="334">
        <f t="shared" ca="1" si="12"/>
        <v>226.58869384238614</v>
      </c>
      <c r="H29" s="334">
        <f t="shared" ca="1" si="12"/>
        <v>348.95517899848159</v>
      </c>
      <c r="I29" s="334">
        <f t="shared" ca="1" si="12"/>
        <v>43.296838244133639</v>
      </c>
      <c r="J29" s="334">
        <f t="shared" ca="1" si="12"/>
        <v>15.126315279791209</v>
      </c>
      <c r="K29" s="334">
        <f t="shared" ca="1" si="12"/>
        <v>0</v>
      </c>
      <c r="L29" s="334">
        <f t="shared" ca="1" si="12"/>
        <v>0</v>
      </c>
      <c r="N29" s="137"/>
    </row>
    <row r="30" spans="1:14" ht="27.6" thickTop="1" thickBot="1">
      <c r="A30" s="103"/>
      <c r="B30" s="103"/>
      <c r="C30" s="58" t="s">
        <v>1094</v>
      </c>
      <c r="D30" s="206">
        <v>45</v>
      </c>
      <c r="E30" s="207">
        <f>D30</f>
        <v>45</v>
      </c>
      <c r="F30" s="207">
        <f>E30</f>
        <v>45</v>
      </c>
      <c r="G30" s="207">
        <f>F30</f>
        <v>45</v>
      </c>
      <c r="H30" s="207">
        <f>G30</f>
        <v>45</v>
      </c>
      <c r="I30" s="216">
        <f>G30</f>
        <v>45</v>
      </c>
      <c r="J30" s="216">
        <f>I30</f>
        <v>45</v>
      </c>
      <c r="K30" s="216">
        <f>G30</f>
        <v>45</v>
      </c>
      <c r="L30" s="207">
        <f>H30</f>
        <v>45</v>
      </c>
      <c r="M30" s="103"/>
      <c r="N30" s="137"/>
    </row>
    <row r="31" spans="1:14" ht="13.8" thickTop="1">
      <c r="A31" s="103"/>
      <c r="B31" s="103"/>
      <c r="C31" s="81" t="s">
        <v>574</v>
      </c>
      <c r="D31" s="208">
        <f ca="1">D30*D29</f>
        <v>49043.980413560595</v>
      </c>
      <c r="E31" s="217">
        <f t="shared" ref="E31:L31" ca="1" si="13">E30*E29</f>
        <v>1969.1373318075616</v>
      </c>
      <c r="F31" s="217">
        <f t="shared" ca="1" si="13"/>
        <v>1293.3820138084066</v>
      </c>
      <c r="G31" s="217">
        <f t="shared" ca="1" si="13"/>
        <v>10196.491222907376</v>
      </c>
      <c r="H31" s="217">
        <f t="shared" ca="1" si="13"/>
        <v>15702.983054931672</v>
      </c>
      <c r="I31" s="217">
        <f t="shared" ca="1" si="13"/>
        <v>1948.3577209860136</v>
      </c>
      <c r="J31" s="217">
        <f t="shared" ca="1" si="13"/>
        <v>680.68418759060444</v>
      </c>
      <c r="K31" s="217">
        <f t="shared" ca="1" si="13"/>
        <v>0</v>
      </c>
      <c r="L31" s="217">
        <f t="shared" ca="1" si="13"/>
        <v>0</v>
      </c>
      <c r="M31" s="217">
        <f ca="1">SUM(D31:L31)</f>
        <v>80835.015945592226</v>
      </c>
      <c r="N31" s="137"/>
    </row>
    <row r="32" spans="1:14" ht="14.4" thickBot="1">
      <c r="A32" s="103"/>
      <c r="B32" s="9" t="s">
        <v>834</v>
      </c>
      <c r="D32" s="103"/>
      <c r="E32" s="103"/>
      <c r="F32" s="103"/>
      <c r="G32" s="103"/>
      <c r="H32" s="103"/>
      <c r="L32" s="103"/>
      <c r="M32" s="103"/>
      <c r="N32" s="137"/>
    </row>
    <row r="33" spans="1:14" ht="54" thickTop="1" thickBot="1">
      <c r="A33" s="103"/>
      <c r="B33" s="103"/>
      <c r="C33" s="58" t="s">
        <v>832</v>
      </c>
      <c r="D33" s="46">
        <f ca="1">D17</f>
        <v>6.5982974907040042</v>
      </c>
      <c r="E33" s="46">
        <f t="shared" ref="E33:L33" ca="1" si="14">E17</f>
        <v>2.6393189962816019</v>
      </c>
      <c r="F33" s="46">
        <f t="shared" ca="1" si="14"/>
        <v>1.319659498140801</v>
      </c>
      <c r="G33" s="46">
        <f t="shared" ca="1" si="14"/>
        <v>3.2991487453520021</v>
      </c>
      <c r="H33" s="46">
        <f t="shared" ca="1" si="14"/>
        <v>1.319659498140801</v>
      </c>
      <c r="I33" s="46">
        <f t="shared" ca="1" si="14"/>
        <v>0.98974462360560056</v>
      </c>
      <c r="J33" s="46">
        <f t="shared" ca="1" si="14"/>
        <v>0.65982974907040048</v>
      </c>
      <c r="K33" s="46">
        <f t="shared" ca="1" si="14"/>
        <v>0</v>
      </c>
      <c r="L33" s="46">
        <f t="shared" ca="1" si="14"/>
        <v>0</v>
      </c>
      <c r="M33" s="103"/>
      <c r="N33" s="137"/>
    </row>
    <row r="34" spans="1:14" ht="40.799999999999997" thickTop="1" thickBot="1">
      <c r="A34" s="103"/>
      <c r="B34" s="103"/>
      <c r="C34" s="58" t="s">
        <v>1102</v>
      </c>
      <c r="D34" s="214">
        <f ca="1">D19</f>
        <v>1.4948723118028002</v>
      </c>
      <c r="E34" s="438">
        <f t="shared" ref="E34:L34" ca="1" si="15">E19</f>
        <v>1.2773341252475756</v>
      </c>
      <c r="F34" s="438">
        <f t="shared" ca="1" si="15"/>
        <v>1.1417991314492055</v>
      </c>
      <c r="G34" s="438">
        <f t="shared" ca="1" si="15"/>
        <v>1.6749735873266802</v>
      </c>
      <c r="H34" s="438">
        <f t="shared" ca="1" si="15"/>
        <v>1.8902158635374828</v>
      </c>
      <c r="I34" s="438">
        <f t="shared" ca="1" si="15"/>
        <v>1.7894378657955627</v>
      </c>
      <c r="J34" s="438">
        <f t="shared" ca="1" si="15"/>
        <v>1.195251595483023</v>
      </c>
      <c r="K34" s="438">
        <f t="shared" ca="1" si="15"/>
        <v>1</v>
      </c>
      <c r="L34" s="438">
        <f t="shared" ca="1" si="15"/>
        <v>1</v>
      </c>
      <c r="M34" s="103"/>
      <c r="N34" s="137"/>
    </row>
    <row r="35" spans="1:14" s="103" customFormat="1" ht="14.4" thickTop="1" thickBot="1">
      <c r="C35" s="58" t="s">
        <v>668</v>
      </c>
      <c r="D35" s="181">
        <f ca="1">D34*D33</f>
        <v>9.8636122238913106</v>
      </c>
      <c r="E35" s="181">
        <f t="shared" ref="E35:L35" ca="1" si="16">E34*E33</f>
        <v>3.3712922213646692</v>
      </c>
      <c r="F35" s="181">
        <f t="shared" ca="1" si="16"/>
        <v>1.506786068785861</v>
      </c>
      <c r="G35" s="181">
        <f t="shared" ca="1" si="16"/>
        <v>5.5259870091265588</v>
      </c>
      <c r="H35" s="181">
        <f t="shared" ca="1" si="16"/>
        <v>2.4944413178536555</v>
      </c>
      <c r="I35" s="181">
        <f t="shared" ca="1" si="16"/>
        <v>1.7710865069474384</v>
      </c>
      <c r="J35" s="181">
        <f t="shared" ca="1" si="16"/>
        <v>0.78866256032355886</v>
      </c>
      <c r="K35" s="181">
        <f t="shared" ca="1" si="16"/>
        <v>0</v>
      </c>
      <c r="L35" s="181">
        <f t="shared" ca="1" si="16"/>
        <v>0</v>
      </c>
      <c r="N35" s="137"/>
    </row>
    <row r="36" spans="1:14" s="305" customFormat="1" ht="15" thickTop="1" thickBot="1">
      <c r="C36" s="223" t="s">
        <v>833</v>
      </c>
      <c r="D36" s="37">
        <f ca="1">IF(D35&gt;20,4,IF(D35&gt;8,2,1))</f>
        <v>2</v>
      </c>
      <c r="E36" s="37">
        <f t="shared" ref="E36:L36" ca="1" si="17">IF(E35&gt;20,4,IF(E35&gt;8,2,1))</f>
        <v>1</v>
      </c>
      <c r="F36" s="37">
        <f t="shared" ca="1" si="17"/>
        <v>1</v>
      </c>
      <c r="G36" s="37">
        <f t="shared" ca="1" si="17"/>
        <v>1</v>
      </c>
      <c r="H36" s="37">
        <f t="shared" ca="1" si="17"/>
        <v>1</v>
      </c>
      <c r="I36" s="37">
        <f t="shared" ca="1" si="17"/>
        <v>1</v>
      </c>
      <c r="J36" s="37">
        <f t="shared" ca="1" si="17"/>
        <v>1</v>
      </c>
      <c r="K36" s="37">
        <f t="shared" ca="1" si="17"/>
        <v>1</v>
      </c>
      <c r="L36" s="37">
        <f t="shared" ca="1" si="17"/>
        <v>1</v>
      </c>
      <c r="N36" s="137"/>
    </row>
    <row r="37" spans="1:14" ht="14.4" thickTop="1" thickBot="1">
      <c r="A37" s="103"/>
      <c r="B37" s="103"/>
      <c r="C37" s="223" t="s">
        <v>576</v>
      </c>
      <c r="D37" s="52">
        <f ca="1">ROUNDUP(D35/D36,0)</f>
        <v>5</v>
      </c>
      <c r="E37" s="52">
        <f t="shared" ref="E37:L37" ca="1" si="18">ROUNDUP(E35/E36,0)</f>
        <v>4</v>
      </c>
      <c r="F37" s="52">
        <f t="shared" ca="1" si="18"/>
        <v>2</v>
      </c>
      <c r="G37" s="52">
        <f t="shared" ca="1" si="18"/>
        <v>6</v>
      </c>
      <c r="H37" s="52">
        <f t="shared" ca="1" si="18"/>
        <v>3</v>
      </c>
      <c r="I37" s="52">
        <f t="shared" ca="1" si="18"/>
        <v>2</v>
      </c>
      <c r="J37" s="52">
        <f t="shared" ca="1" si="18"/>
        <v>1</v>
      </c>
      <c r="K37" s="52">
        <f t="shared" ca="1" si="18"/>
        <v>0</v>
      </c>
      <c r="L37" s="52">
        <f t="shared" ca="1" si="18"/>
        <v>0</v>
      </c>
      <c r="M37" s="103"/>
      <c r="N37" s="137"/>
    </row>
    <row r="38" spans="1:14" ht="40.799999999999997" thickTop="1" thickBot="1">
      <c r="A38" s="103"/>
      <c r="B38" s="103"/>
      <c r="C38" s="58" t="s">
        <v>835</v>
      </c>
      <c r="D38" s="302">
        <v>10000</v>
      </c>
      <c r="E38" s="302">
        <f>D38</f>
        <v>10000</v>
      </c>
      <c r="F38" s="302">
        <f>E38</f>
        <v>10000</v>
      </c>
      <c r="G38" s="302">
        <f t="shared" ref="G38:L38" si="19">F38</f>
        <v>10000</v>
      </c>
      <c r="H38" s="302">
        <f t="shared" si="19"/>
        <v>10000</v>
      </c>
      <c r="I38" s="302">
        <f t="shared" si="19"/>
        <v>10000</v>
      </c>
      <c r="J38" s="302">
        <f t="shared" si="19"/>
        <v>10000</v>
      </c>
      <c r="K38" s="302">
        <f t="shared" si="19"/>
        <v>10000</v>
      </c>
      <c r="L38" s="302">
        <f t="shared" si="19"/>
        <v>10000</v>
      </c>
      <c r="M38" s="103"/>
      <c r="N38" s="137"/>
    </row>
    <row r="39" spans="1:14" ht="13.8" thickTop="1">
      <c r="A39" s="103"/>
      <c r="B39" s="103"/>
      <c r="C39" s="81" t="s">
        <v>577</v>
      </c>
      <c r="D39" s="208">
        <f ca="1">D38*D35</f>
        <v>98636.1222389131</v>
      </c>
      <c r="E39" s="217">
        <f t="shared" ref="E39:L39" ca="1" si="20">E38*E35</f>
        <v>33712.922213646692</v>
      </c>
      <c r="F39" s="217">
        <f t="shared" ca="1" si="20"/>
        <v>15067.860687858609</v>
      </c>
      <c r="G39" s="217">
        <f t="shared" ca="1" si="20"/>
        <v>55259.870091265591</v>
      </c>
      <c r="H39" s="217">
        <f t="shared" ca="1" si="20"/>
        <v>24944.413178536553</v>
      </c>
      <c r="I39" s="217">
        <f t="shared" ca="1" si="20"/>
        <v>17710.865069474385</v>
      </c>
      <c r="J39" s="217">
        <f t="shared" ca="1" si="20"/>
        <v>7886.6256032355886</v>
      </c>
      <c r="K39" s="217">
        <f t="shared" ca="1" si="20"/>
        <v>0</v>
      </c>
      <c r="L39" s="217">
        <f t="shared" ca="1" si="20"/>
        <v>0</v>
      </c>
      <c r="M39" s="217">
        <f ca="1">SUM(D39:L39)</f>
        <v>253218.6790829305</v>
      </c>
      <c r="N39" s="137"/>
    </row>
    <row r="40" spans="1:14" s="409" customFormat="1" ht="14.4" thickBot="1">
      <c r="B40" s="9" t="s">
        <v>0</v>
      </c>
      <c r="N40" s="137"/>
    </row>
    <row r="41" spans="1:14" ht="13.8" thickTop="1">
      <c r="A41" s="103"/>
      <c r="B41" s="103"/>
      <c r="C41" s="81" t="s">
        <v>578</v>
      </c>
      <c r="D41" s="208">
        <f t="shared" ref="D41:L41" ca="1" si="21">D39+D31</f>
        <v>147680.1026524737</v>
      </c>
      <c r="E41" s="208">
        <f t="shared" ca="1" si="21"/>
        <v>35682.059545454256</v>
      </c>
      <c r="F41" s="208">
        <f t="shared" ca="1" si="21"/>
        <v>16361.242701667015</v>
      </c>
      <c r="G41" s="208">
        <f t="shared" ca="1" si="21"/>
        <v>65456.361314172966</v>
      </c>
      <c r="H41" s="208">
        <f t="shared" ca="1" si="21"/>
        <v>40647.396233468229</v>
      </c>
      <c r="I41" s="217">
        <f t="shared" ca="1" si="21"/>
        <v>19659.222790460397</v>
      </c>
      <c r="J41" s="217">
        <f t="shared" ca="1" si="21"/>
        <v>8567.3097908261934</v>
      </c>
      <c r="K41" s="217">
        <f t="shared" ca="1" si="21"/>
        <v>0</v>
      </c>
      <c r="L41" s="208">
        <f t="shared" ca="1" si="21"/>
        <v>0</v>
      </c>
      <c r="M41" s="208">
        <f ca="1">SUM(D41:L41)</f>
        <v>334053.69502852269</v>
      </c>
      <c r="N41" s="137"/>
    </row>
    <row r="42" spans="1:14">
      <c r="A42" s="103"/>
      <c r="B42" s="103"/>
      <c r="C42" s="103"/>
      <c r="D42" s="103"/>
      <c r="E42" s="103"/>
      <c r="F42" s="103"/>
      <c r="G42" s="103"/>
      <c r="H42" s="103"/>
      <c r="L42" s="103"/>
      <c r="M42" s="103"/>
    </row>
    <row r="43" spans="1:14" ht="21">
      <c r="A43" s="1" t="s">
        <v>579</v>
      </c>
      <c r="C43" s="103"/>
      <c r="D43" s="103"/>
      <c r="E43" s="103"/>
      <c r="F43" s="103"/>
      <c r="G43" s="103"/>
      <c r="H43" s="103"/>
      <c r="L43" s="103"/>
      <c r="M43" s="103"/>
    </row>
    <row r="44" spans="1:14" s="409" customFormat="1" ht="14.4" thickBot="1">
      <c r="B44" s="9" t="s">
        <v>1060</v>
      </c>
      <c r="N44" s="137"/>
    </row>
    <row r="45" spans="1:14" ht="27.6" thickTop="1" thickBot="1">
      <c r="A45" s="103"/>
      <c r="B45" s="103"/>
      <c r="C45" s="58" t="s">
        <v>1058</v>
      </c>
      <c r="D45" s="37">
        <f ca="1">D37</f>
        <v>5</v>
      </c>
      <c r="E45" s="37">
        <f t="shared" ref="E45:L45" ca="1" si="22">E37</f>
        <v>4</v>
      </c>
      <c r="F45" s="37">
        <f t="shared" ca="1" si="22"/>
        <v>2</v>
      </c>
      <c r="G45" s="37">
        <f t="shared" ca="1" si="22"/>
        <v>6</v>
      </c>
      <c r="H45" s="37">
        <f t="shared" ca="1" si="22"/>
        <v>3</v>
      </c>
      <c r="I45" s="37">
        <f t="shared" ca="1" si="22"/>
        <v>2</v>
      </c>
      <c r="J45" s="37">
        <f t="shared" ca="1" si="22"/>
        <v>1</v>
      </c>
      <c r="K45" s="37">
        <f t="shared" ca="1" si="22"/>
        <v>0</v>
      </c>
      <c r="L45" s="37">
        <f t="shared" ca="1" si="22"/>
        <v>0</v>
      </c>
      <c r="M45" s="103"/>
      <c r="N45" s="137"/>
    </row>
    <row r="46" spans="1:14" s="409" customFormat="1" ht="15" thickTop="1" thickBot="1">
      <c r="C46" s="81" t="s">
        <v>1056</v>
      </c>
      <c r="D46" s="407">
        <v>0</v>
      </c>
      <c r="E46" s="407">
        <v>20000</v>
      </c>
      <c r="F46" s="407">
        <v>20000</v>
      </c>
      <c r="G46" s="407">
        <v>20000</v>
      </c>
      <c r="H46" s="407">
        <v>20000</v>
      </c>
      <c r="I46" s="407">
        <v>10000</v>
      </c>
      <c r="J46" s="407">
        <v>25000</v>
      </c>
      <c r="K46" s="407">
        <v>25000</v>
      </c>
      <c r="L46" s="407">
        <v>25000</v>
      </c>
      <c r="N46" s="137"/>
    </row>
    <row r="47" spans="1:14" s="409" customFormat="1" ht="13.8" thickTop="1">
      <c r="C47" s="209" t="s">
        <v>243</v>
      </c>
      <c r="D47" s="347">
        <f ca="1">D46*D45</f>
        <v>0</v>
      </c>
      <c r="E47" s="347">
        <f t="shared" ref="E47:L47" ca="1" si="23">E46*E45</f>
        <v>80000</v>
      </c>
      <c r="F47" s="347">
        <f t="shared" ca="1" si="23"/>
        <v>40000</v>
      </c>
      <c r="G47" s="347">
        <f t="shared" ca="1" si="23"/>
        <v>120000</v>
      </c>
      <c r="H47" s="347">
        <f t="shared" ca="1" si="23"/>
        <v>60000</v>
      </c>
      <c r="I47" s="347">
        <f t="shared" ca="1" si="23"/>
        <v>20000</v>
      </c>
      <c r="J47" s="347">
        <f t="shared" ca="1" si="23"/>
        <v>25000</v>
      </c>
      <c r="K47" s="347">
        <f t="shared" ca="1" si="23"/>
        <v>0</v>
      </c>
      <c r="L47" s="347">
        <f t="shared" ca="1" si="23"/>
        <v>0</v>
      </c>
      <c r="M47" s="347">
        <f ca="1">SUM(D47:L47)</f>
        <v>345000</v>
      </c>
      <c r="N47" s="137"/>
    </row>
    <row r="48" spans="1:14" s="409" customFormat="1" ht="13.8">
      <c r="B48" s="9" t="s">
        <v>1059</v>
      </c>
      <c r="N48" s="137"/>
    </row>
    <row r="49" spans="1:14" s="409" customFormat="1" ht="25.8" thickBot="1">
      <c r="C49" s="453" t="s">
        <v>1062</v>
      </c>
      <c r="D49" s="451" t="s">
        <v>1054</v>
      </c>
      <c r="E49" s="451" t="s">
        <v>1054</v>
      </c>
      <c r="F49" s="451" t="s">
        <v>1054</v>
      </c>
      <c r="G49" s="451" t="s">
        <v>1054</v>
      </c>
      <c r="H49" s="451" t="s">
        <v>1054</v>
      </c>
      <c r="I49" s="451" t="s">
        <v>1054</v>
      </c>
      <c r="J49" s="451" t="s">
        <v>1054</v>
      </c>
      <c r="K49" s="451" t="s">
        <v>1054</v>
      </c>
      <c r="L49" s="451" t="s">
        <v>1054</v>
      </c>
      <c r="N49" s="137"/>
    </row>
    <row r="50" spans="1:14" s="409" customFormat="1" ht="27.6" thickTop="1" thickBot="1">
      <c r="C50" s="58" t="s">
        <v>1057</v>
      </c>
      <c r="D50" s="454">
        <f ca="1">ROUNDUP(D33,0)</f>
        <v>7</v>
      </c>
      <c r="E50" s="454">
        <f t="shared" ref="E50:L50" ca="1" si="24">ROUNDUP(E33,0)</f>
        <v>3</v>
      </c>
      <c r="F50" s="454">
        <f t="shared" ca="1" si="24"/>
        <v>2</v>
      </c>
      <c r="G50" s="454">
        <f t="shared" ca="1" si="24"/>
        <v>4</v>
      </c>
      <c r="H50" s="454">
        <f t="shared" ca="1" si="24"/>
        <v>2</v>
      </c>
      <c r="I50" s="454">
        <f t="shared" ca="1" si="24"/>
        <v>1</v>
      </c>
      <c r="J50" s="454">
        <f t="shared" ca="1" si="24"/>
        <v>1</v>
      </c>
      <c r="K50" s="454">
        <f t="shared" ca="1" si="24"/>
        <v>0</v>
      </c>
      <c r="L50" s="454">
        <f t="shared" ca="1" si="24"/>
        <v>0</v>
      </c>
      <c r="N50" s="137"/>
    </row>
    <row r="51" spans="1:14" s="409" customFormat="1" ht="15" thickTop="1" thickBot="1">
      <c r="C51" s="81" t="s">
        <v>1056</v>
      </c>
      <c r="D51" s="407">
        <v>20000</v>
      </c>
      <c r="E51" s="407">
        <v>20000</v>
      </c>
      <c r="F51" s="407">
        <v>20000</v>
      </c>
      <c r="G51" s="407">
        <v>20000</v>
      </c>
      <c r="H51" s="407">
        <v>20000</v>
      </c>
      <c r="I51" s="407">
        <v>20000</v>
      </c>
      <c r="J51" s="407">
        <v>20000</v>
      </c>
      <c r="K51" s="407">
        <v>20000</v>
      </c>
      <c r="L51" s="407">
        <v>20000</v>
      </c>
      <c r="N51" s="137"/>
    </row>
    <row r="52" spans="1:14" s="409" customFormat="1" ht="13.8" thickTop="1">
      <c r="C52" s="209" t="s">
        <v>243</v>
      </c>
      <c r="D52" s="347">
        <f ca="1">D51*D50</f>
        <v>140000</v>
      </c>
      <c r="E52" s="347">
        <f t="shared" ref="E52" ca="1" si="25">E51*E50</f>
        <v>60000</v>
      </c>
      <c r="F52" s="347">
        <f t="shared" ref="F52" ca="1" si="26">F51*F50</f>
        <v>40000</v>
      </c>
      <c r="G52" s="347">
        <f t="shared" ref="G52" ca="1" si="27">G51*G50</f>
        <v>80000</v>
      </c>
      <c r="H52" s="347">
        <f t="shared" ref="H52" ca="1" si="28">H51*H50</f>
        <v>40000</v>
      </c>
      <c r="I52" s="347">
        <f t="shared" ref="I52" ca="1" si="29">I51*I50</f>
        <v>20000</v>
      </c>
      <c r="J52" s="347">
        <f t="shared" ref="J52" ca="1" si="30">J51*J50</f>
        <v>20000</v>
      </c>
      <c r="K52" s="347">
        <f t="shared" ref="K52" ca="1" si="31">K51*K50</f>
        <v>0</v>
      </c>
      <c r="L52" s="347">
        <f t="shared" ref="L52" ca="1" si="32">L51*L50</f>
        <v>0</v>
      </c>
      <c r="M52" s="347">
        <f ca="1">SUM(D52:L52)</f>
        <v>400000</v>
      </c>
      <c r="N52" s="137"/>
    </row>
    <row r="53" spans="1:14" s="409" customFormat="1" ht="13.8">
      <c r="B53" s="9" t="s">
        <v>1061</v>
      </c>
      <c r="N53" s="137"/>
    </row>
    <row r="54" spans="1:14" s="409" customFormat="1" ht="13.8" thickBot="1">
      <c r="C54" s="453" t="s">
        <v>1062</v>
      </c>
      <c r="D54" s="451"/>
      <c r="E54" s="451"/>
      <c r="F54" s="451"/>
      <c r="G54" s="451"/>
      <c r="H54" s="451"/>
      <c r="I54" s="451"/>
      <c r="J54" s="451"/>
      <c r="K54" s="451"/>
      <c r="L54" s="451"/>
      <c r="N54" s="137"/>
    </row>
    <row r="55" spans="1:14" s="409" customFormat="1" ht="27.6" thickTop="1" thickBot="1">
      <c r="C55" s="58" t="s">
        <v>1057</v>
      </c>
      <c r="D55" s="454">
        <f ca="1">D37</f>
        <v>5</v>
      </c>
      <c r="E55" s="454">
        <f t="shared" ref="E55:L55" ca="1" si="33">E37</f>
        <v>4</v>
      </c>
      <c r="F55" s="454">
        <f t="shared" ca="1" si="33"/>
        <v>2</v>
      </c>
      <c r="G55" s="454">
        <f t="shared" ca="1" si="33"/>
        <v>6</v>
      </c>
      <c r="H55" s="454">
        <f t="shared" ca="1" si="33"/>
        <v>3</v>
      </c>
      <c r="I55" s="454">
        <f t="shared" ca="1" si="33"/>
        <v>2</v>
      </c>
      <c r="J55" s="454">
        <f t="shared" ca="1" si="33"/>
        <v>1</v>
      </c>
      <c r="K55" s="454">
        <f t="shared" ca="1" si="33"/>
        <v>0</v>
      </c>
      <c r="L55" s="454">
        <f t="shared" ca="1" si="33"/>
        <v>0</v>
      </c>
      <c r="N55" s="137"/>
    </row>
    <row r="56" spans="1:14" ht="15" thickTop="1" thickBot="1">
      <c r="A56" s="103"/>
      <c r="B56" s="103"/>
      <c r="C56" s="81" t="s">
        <v>1056</v>
      </c>
      <c r="D56" s="407">
        <f>D51*0.05</f>
        <v>1000</v>
      </c>
      <c r="E56" s="407">
        <f t="shared" ref="E56:L56" si="34">E51*0.05</f>
        <v>1000</v>
      </c>
      <c r="F56" s="407">
        <f t="shared" si="34"/>
        <v>1000</v>
      </c>
      <c r="G56" s="407">
        <f t="shared" si="34"/>
        <v>1000</v>
      </c>
      <c r="H56" s="407">
        <f t="shared" si="34"/>
        <v>1000</v>
      </c>
      <c r="I56" s="407">
        <f t="shared" si="34"/>
        <v>1000</v>
      </c>
      <c r="J56" s="407">
        <f t="shared" si="34"/>
        <v>1000</v>
      </c>
      <c r="K56" s="407">
        <f t="shared" si="34"/>
        <v>1000</v>
      </c>
      <c r="L56" s="407">
        <f t="shared" si="34"/>
        <v>1000</v>
      </c>
      <c r="M56" s="103"/>
      <c r="N56" s="137"/>
    </row>
    <row r="57" spans="1:14" s="409" customFormat="1" ht="13.8" thickTop="1">
      <c r="C57" s="209" t="s">
        <v>243</v>
      </c>
      <c r="D57" s="347">
        <f ca="1">D56*D55</f>
        <v>5000</v>
      </c>
      <c r="E57" s="347">
        <f t="shared" ref="E57" ca="1" si="35">E56*E55</f>
        <v>4000</v>
      </c>
      <c r="F57" s="347">
        <f t="shared" ref="F57" ca="1" si="36">F56*F55</f>
        <v>2000</v>
      </c>
      <c r="G57" s="347">
        <f t="shared" ref="G57" ca="1" si="37">G56*G55</f>
        <v>6000</v>
      </c>
      <c r="H57" s="347">
        <f t="shared" ref="H57" ca="1" si="38">H56*H55</f>
        <v>3000</v>
      </c>
      <c r="I57" s="347">
        <f t="shared" ref="I57" ca="1" si="39">I56*I55</f>
        <v>2000</v>
      </c>
      <c r="J57" s="347">
        <f t="shared" ref="J57" ca="1" si="40">J56*J55</f>
        <v>1000</v>
      </c>
      <c r="K57" s="347">
        <f t="shared" ref="K57" ca="1" si="41">K56*K55</f>
        <v>0</v>
      </c>
      <c r="L57" s="347">
        <f t="shared" ref="L57" ca="1" si="42">L56*L55</f>
        <v>0</v>
      </c>
      <c r="M57" s="347">
        <f ca="1">SUM(D57:L57)</f>
        <v>23000</v>
      </c>
      <c r="N57" s="137"/>
    </row>
    <row r="58" spans="1:14" s="409" customFormat="1" ht="14.4" thickBot="1">
      <c r="B58" s="9" t="s">
        <v>0</v>
      </c>
      <c r="N58" s="137"/>
    </row>
    <row r="59" spans="1:14" ht="14.4" thickTop="1" thickBot="1">
      <c r="A59" s="103"/>
      <c r="B59" s="103"/>
      <c r="C59" s="209" t="s">
        <v>580</v>
      </c>
      <c r="D59" s="208">
        <f ca="1">D47+D52+D57</f>
        <v>145000</v>
      </c>
      <c r="E59" s="347">
        <f t="shared" ref="E59:L59" ca="1" si="43">E47+E52+E57</f>
        <v>144000</v>
      </c>
      <c r="F59" s="347">
        <f t="shared" ca="1" si="43"/>
        <v>82000</v>
      </c>
      <c r="G59" s="347">
        <f t="shared" ca="1" si="43"/>
        <v>206000</v>
      </c>
      <c r="H59" s="347">
        <f t="shared" ca="1" si="43"/>
        <v>103000</v>
      </c>
      <c r="I59" s="347">
        <f t="shared" ca="1" si="43"/>
        <v>42000</v>
      </c>
      <c r="J59" s="347">
        <f t="shared" ca="1" si="43"/>
        <v>46000</v>
      </c>
      <c r="K59" s="347">
        <f t="shared" ca="1" si="43"/>
        <v>0</v>
      </c>
      <c r="L59" s="347">
        <f t="shared" ca="1" si="43"/>
        <v>0</v>
      </c>
      <c r="M59" s="208">
        <f ca="1">SUM(D59:L59)</f>
        <v>768000</v>
      </c>
      <c r="N59" s="137"/>
    </row>
    <row r="60" spans="1:14" ht="27" thickTop="1">
      <c r="A60" s="103"/>
      <c r="B60" s="103"/>
      <c r="C60" s="209" t="s">
        <v>581</v>
      </c>
      <c r="D60" s="208">
        <f t="shared" ref="D60:L60" ca="1" si="44">D41+D59</f>
        <v>292680.10265247372</v>
      </c>
      <c r="E60" s="208">
        <f t="shared" ca="1" si="44"/>
        <v>179682.05954545425</v>
      </c>
      <c r="F60" s="208">
        <f t="shared" ca="1" si="44"/>
        <v>98361.242701667012</v>
      </c>
      <c r="G60" s="208">
        <f t="shared" ca="1" si="44"/>
        <v>271456.36131417297</v>
      </c>
      <c r="H60" s="208">
        <f t="shared" ca="1" si="44"/>
        <v>143647.39623346823</v>
      </c>
      <c r="I60" s="217">
        <f t="shared" ca="1" si="44"/>
        <v>61659.222790460393</v>
      </c>
      <c r="J60" s="217">
        <f t="shared" ca="1" si="44"/>
        <v>54567.309790826192</v>
      </c>
      <c r="K60" s="217">
        <f t="shared" ca="1" si="44"/>
        <v>0</v>
      </c>
      <c r="L60" s="208">
        <f t="shared" ca="1" si="44"/>
        <v>0</v>
      </c>
      <c r="M60" s="208">
        <f ca="1">SUM(D60:L60)</f>
        <v>1102053.6950285228</v>
      </c>
      <c r="N60" s="137"/>
    </row>
    <row r="61" spans="1:14">
      <c r="A61" s="103"/>
      <c r="B61" s="103"/>
      <c r="C61" s="222"/>
      <c r="D61" s="103"/>
      <c r="E61" s="103"/>
      <c r="F61" s="103"/>
      <c r="G61" s="103"/>
      <c r="H61" s="103"/>
      <c r="L61" s="103"/>
      <c r="M61" s="103"/>
    </row>
    <row r="62" spans="1:14">
      <c r="A62" s="103"/>
      <c r="B62" s="103"/>
      <c r="C62" s="222"/>
      <c r="D62" s="103"/>
      <c r="E62" s="103"/>
      <c r="F62" s="103"/>
      <c r="G62" s="103"/>
      <c r="H62" s="103"/>
      <c r="L62" s="103"/>
      <c r="M62" s="103"/>
    </row>
    <row r="63" spans="1:14" s="409" customFormat="1">
      <c r="C63" s="222"/>
    </row>
    <row r="64" spans="1:14" s="103" customFormat="1">
      <c r="C64" s="222"/>
    </row>
    <row r="65" spans="1:14" s="103" customFormat="1" ht="21">
      <c r="A65" s="1" t="s">
        <v>660</v>
      </c>
      <c r="C65" s="222"/>
    </row>
    <row r="66" spans="1:14" s="409" customFormat="1" ht="14.4" thickBot="1">
      <c r="B66" s="9" t="s">
        <v>667</v>
      </c>
      <c r="N66" s="137"/>
    </row>
    <row r="67" spans="1:14" s="103" customFormat="1" ht="27.6" thickTop="1" thickBot="1">
      <c r="C67" s="58" t="s">
        <v>664</v>
      </c>
      <c r="D67" s="37"/>
      <c r="E67" s="37"/>
      <c r="F67" s="37"/>
      <c r="G67" s="37"/>
      <c r="H67" s="37"/>
      <c r="I67" s="37"/>
      <c r="J67" s="37"/>
      <c r="K67" s="465">
        <f ca="1">BIs*0.5*K7</f>
        <v>1119.6346327817823</v>
      </c>
      <c r="L67" s="465">
        <f ca="1">PowerUsers*L7</f>
        <v>426.38154537668026</v>
      </c>
      <c r="N67" s="137"/>
    </row>
    <row r="68" spans="1:14" s="103" customFormat="1" ht="15" thickTop="1" thickBot="1">
      <c r="C68" s="58" t="s">
        <v>665</v>
      </c>
      <c r="D68" s="256"/>
      <c r="E68" s="256"/>
      <c r="F68" s="256"/>
      <c r="G68" s="256"/>
      <c r="H68" s="256"/>
      <c r="I68" s="256"/>
      <c r="J68" s="256"/>
      <c r="K68" s="256">
        <v>250</v>
      </c>
      <c r="L68" s="256">
        <v>1000</v>
      </c>
      <c r="N68" s="137"/>
    </row>
    <row r="69" spans="1:14" s="103" customFormat="1" ht="13.8" thickTop="1">
      <c r="C69" s="81" t="s">
        <v>243</v>
      </c>
      <c r="D69" s="217">
        <f>D67*D68</f>
        <v>0</v>
      </c>
      <c r="E69" s="217">
        <f t="shared" ref="E69:L69" si="45">E67*E68</f>
        <v>0</v>
      </c>
      <c r="F69" s="217">
        <f t="shared" si="45"/>
        <v>0</v>
      </c>
      <c r="G69" s="217">
        <f t="shared" si="45"/>
        <v>0</v>
      </c>
      <c r="H69" s="217">
        <f>H67*H68</f>
        <v>0</v>
      </c>
      <c r="I69" s="217">
        <f t="shared" si="45"/>
        <v>0</v>
      </c>
      <c r="J69" s="217">
        <f t="shared" si="45"/>
        <v>0</v>
      </c>
      <c r="K69" s="217">
        <f t="shared" ca="1" si="45"/>
        <v>279908.65819544561</v>
      </c>
      <c r="L69" s="217">
        <f t="shared" ca="1" si="45"/>
        <v>426381.54537668027</v>
      </c>
      <c r="M69" s="217">
        <f ca="1">SUM(D69:L69)</f>
        <v>706290.20357212587</v>
      </c>
      <c r="N69" s="137"/>
    </row>
    <row r="70" spans="1:14" s="409" customFormat="1" ht="14.4" thickBot="1">
      <c r="B70" s="9" t="s">
        <v>661</v>
      </c>
      <c r="N70" s="137"/>
    </row>
    <row r="71" spans="1:14" s="103" customFormat="1" ht="27.6" thickTop="1" thickBot="1">
      <c r="C71" s="58" t="s">
        <v>664</v>
      </c>
      <c r="D71" s="37">
        <f t="shared" ref="D71:J71" ca="1" si="46">BIs*D7</f>
        <v>1319.6594981408007</v>
      </c>
      <c r="E71" s="37">
        <f t="shared" ca="1" si="46"/>
        <v>1109.336500990303</v>
      </c>
      <c r="F71" s="37">
        <f t="shared" ca="1" si="46"/>
        <v>567.19652579682167</v>
      </c>
      <c r="G71" s="37">
        <f t="shared" ca="1" si="46"/>
        <v>1928.4959637905151</v>
      </c>
      <c r="H71" s="37">
        <f t="shared" ca="1" si="46"/>
        <v>2543.4738958213793</v>
      </c>
      <c r="I71" s="37">
        <f t="shared" ca="1" si="46"/>
        <v>2255.5367594158934</v>
      </c>
      <c r="J71" s="37">
        <f t="shared" ca="1" si="46"/>
        <v>781.00638193209159</v>
      </c>
      <c r="K71" s="37"/>
      <c r="L71" s="37"/>
      <c r="N71" s="137"/>
    </row>
    <row r="72" spans="1:14" s="103" customFormat="1" ht="15" thickTop="1" thickBot="1">
      <c r="C72" s="58" t="s">
        <v>665</v>
      </c>
      <c r="D72" s="256"/>
      <c r="E72" s="256"/>
      <c r="F72" s="256"/>
      <c r="G72" s="256">
        <v>20</v>
      </c>
      <c r="H72" s="256">
        <v>50</v>
      </c>
      <c r="I72" s="256"/>
      <c r="J72" s="256"/>
      <c r="K72" s="256"/>
      <c r="L72" s="256"/>
      <c r="N72" s="137"/>
    </row>
    <row r="73" spans="1:14" s="103" customFormat="1" ht="13.8" thickTop="1">
      <c r="C73" s="81" t="s">
        <v>243</v>
      </c>
      <c r="D73" s="250">
        <f t="shared" ref="D73:L73" ca="1" si="47">D72*D71</f>
        <v>0</v>
      </c>
      <c r="E73" s="250">
        <f t="shared" ca="1" si="47"/>
        <v>0</v>
      </c>
      <c r="F73" s="250">
        <f t="shared" ca="1" si="47"/>
        <v>0</v>
      </c>
      <c r="G73" s="250">
        <f t="shared" ca="1" si="47"/>
        <v>38569.919275810302</v>
      </c>
      <c r="H73" s="217">
        <f t="shared" ca="1" si="47"/>
        <v>127173.69479106896</v>
      </c>
      <c r="I73" s="250">
        <f t="shared" ca="1" si="47"/>
        <v>0</v>
      </c>
      <c r="J73" s="250">
        <f t="shared" ca="1" si="47"/>
        <v>0</v>
      </c>
      <c r="K73" s="250">
        <f t="shared" si="47"/>
        <v>0</v>
      </c>
      <c r="L73" s="250">
        <f t="shared" si="47"/>
        <v>0</v>
      </c>
      <c r="M73" s="217">
        <f ca="1">SUM(D73:L73)</f>
        <v>165743.61406687927</v>
      </c>
      <c r="N73" s="137"/>
    </row>
    <row r="74" spans="1:14" s="409" customFormat="1" ht="14.4" thickBot="1">
      <c r="B74" s="9" t="s">
        <v>0</v>
      </c>
      <c r="N74" s="137"/>
    </row>
    <row r="75" spans="1:14" s="103" customFormat="1" ht="13.8" thickTop="1">
      <c r="C75" s="81" t="s">
        <v>0</v>
      </c>
      <c r="D75" s="217">
        <f ca="1">D73+D69</f>
        <v>0</v>
      </c>
      <c r="E75" s="217">
        <f t="shared" ref="E75:L75" ca="1" si="48">E73+E69</f>
        <v>0</v>
      </c>
      <c r="F75" s="217">
        <f t="shared" ca="1" si="48"/>
        <v>0</v>
      </c>
      <c r="G75" s="217">
        <f t="shared" ca="1" si="48"/>
        <v>38569.919275810302</v>
      </c>
      <c r="H75" s="217">
        <f t="shared" ca="1" si="48"/>
        <v>127173.69479106896</v>
      </c>
      <c r="I75" s="217">
        <f t="shared" ca="1" si="48"/>
        <v>0</v>
      </c>
      <c r="J75" s="217">
        <f ca="1">J73+J69</f>
        <v>0</v>
      </c>
      <c r="K75" s="217">
        <f ca="1">K73+K69</f>
        <v>279908.65819544561</v>
      </c>
      <c r="L75" s="217">
        <f t="shared" ca="1" si="48"/>
        <v>426381.54537668027</v>
      </c>
      <c r="M75" s="217">
        <f ca="1">SUM(D75:L75)</f>
        <v>872033.81763900514</v>
      </c>
      <c r="N75" s="137"/>
    </row>
    <row r="76" spans="1:14" s="103" customFormat="1">
      <c r="C76" s="222"/>
    </row>
    <row r="77" spans="1:14" s="441" customFormat="1" ht="21">
      <c r="A77" s="1" t="s">
        <v>1082</v>
      </c>
      <c r="C77" s="222"/>
    </row>
    <row r="78" spans="1:14" s="441" customFormat="1" ht="109.2">
      <c r="C78" s="81" t="s">
        <v>1081</v>
      </c>
      <c r="D78" s="462" t="str">
        <f ca="1">ImpCalc!$BP176</f>
        <v>Source System Inclusion / Integration (65%); BI Applications (32%)</v>
      </c>
      <c r="E78" s="462" t="str">
        <f ca="1">ImpCalc!$BP177</f>
        <v>Source System Inclusion / Integration (72%); Data Integration/ETL (18%); BI Applications (10%)</v>
      </c>
      <c r="F78" s="462" t="str">
        <f ca="1">ImpCalc!$BP178</f>
        <v>BI Applications (46%); Source System Inclusion / Integration (46%)</v>
      </c>
      <c r="G78" s="462" t="str">
        <f ca="1">ImpCalc!$BP179</f>
        <v>Reporting (47%); BI Applications (20%); Source System Inclusion / Integration (20%); Scorecards / Dashboards (13%)</v>
      </c>
      <c r="H78" s="462" t="str">
        <f ca="1">ImpCalc!$BP180</f>
        <v>Workflow and Collaboration (73%); BI Applications (20%); Scorecards / Dashboards (7%)</v>
      </c>
      <c r="I78" s="462" t="str">
        <f ca="1">ImpCalc!$BP181</f>
        <v>Scorecards / Dashboards (80%); BI Applications (20%)</v>
      </c>
      <c r="J78" s="462" t="str">
        <f ca="1">ImpCalc!$BP182</f>
        <v>BI Applications (33%); Source System Inclusion / Integration (33%); Data Management (22%); Architecture Standards &amp; Adherence (7%)</v>
      </c>
      <c r="K78" s="462" t="str">
        <f ca="1">ImpCalc!$BP183</f>
        <v>Broad-reach analytic tools (54%); BI Applications (18%); BI/DW platform integration with user tools (e.g. Excel) (18%); Advanced data visualization (6%)</v>
      </c>
      <c r="L78" s="462" t="str">
        <f ca="1">ImpCalc!$BP184</f>
        <v>Advanced analytics (41%); Advanced data visualization (18%); Predictive analysis (14%); BI Applications (10%); BI/DW platform integration with user tools (e.g. Excel) (9%); Source System Inclusion / Integration (7%)</v>
      </c>
      <c r="N78" s="137"/>
    </row>
    <row r="79" spans="1:14" s="441" customFormat="1"/>
    <row r="80" spans="1:14" ht="21">
      <c r="A80" s="1" t="s">
        <v>33</v>
      </c>
      <c r="C80" s="103"/>
      <c r="D80" s="103"/>
      <c r="E80" s="103"/>
      <c r="F80" s="103"/>
      <c r="G80" s="103"/>
      <c r="H80" s="103"/>
      <c r="L80" s="103"/>
      <c r="M80" s="103"/>
    </row>
    <row r="81" spans="2:14" s="103" customFormat="1" ht="13.8">
      <c r="B81" s="9" t="s">
        <v>246</v>
      </c>
    </row>
    <row r="82" spans="2:14">
      <c r="C82" s="81" t="s">
        <v>662</v>
      </c>
      <c r="D82" s="255">
        <f t="shared" ref="D82:L82" ca="1" si="49">D31</f>
        <v>49043.980413560595</v>
      </c>
      <c r="E82" s="255">
        <f t="shared" ca="1" si="49"/>
        <v>1969.1373318075616</v>
      </c>
      <c r="F82" s="255">
        <f t="shared" ca="1" si="49"/>
        <v>1293.3820138084066</v>
      </c>
      <c r="G82" s="255">
        <f t="shared" ca="1" si="49"/>
        <v>10196.491222907376</v>
      </c>
      <c r="H82" s="255">
        <f t="shared" ca="1" si="49"/>
        <v>15702.983054931672</v>
      </c>
      <c r="I82" s="255">
        <f t="shared" ca="1" si="49"/>
        <v>1948.3577209860136</v>
      </c>
      <c r="J82" s="255">
        <f t="shared" ca="1" si="49"/>
        <v>680.68418759060444</v>
      </c>
      <c r="K82" s="255">
        <f t="shared" ca="1" si="49"/>
        <v>0</v>
      </c>
      <c r="L82" s="255">
        <f t="shared" ca="1" si="49"/>
        <v>0</v>
      </c>
      <c r="M82" s="255">
        <f ca="1">SUM(D82:L82)</f>
        <v>80835.015945592226</v>
      </c>
      <c r="N82" s="137"/>
    </row>
    <row r="83" spans="2:14">
      <c r="C83" s="81" t="s">
        <v>242</v>
      </c>
      <c r="D83" s="255">
        <f ca="1">D39</f>
        <v>98636.1222389131</v>
      </c>
      <c r="E83" s="255">
        <f t="shared" ref="E83:L83" ca="1" si="50">E39</f>
        <v>33712.922213646692</v>
      </c>
      <c r="F83" s="255">
        <f t="shared" ca="1" si="50"/>
        <v>15067.860687858609</v>
      </c>
      <c r="G83" s="255">
        <f t="shared" ca="1" si="50"/>
        <v>55259.870091265591</v>
      </c>
      <c r="H83" s="255">
        <f t="shared" ca="1" si="50"/>
        <v>24944.413178536553</v>
      </c>
      <c r="I83" s="255">
        <f t="shared" ca="1" si="50"/>
        <v>17710.865069474385</v>
      </c>
      <c r="J83" s="255">
        <f ca="1">J39</f>
        <v>7886.6256032355886</v>
      </c>
      <c r="K83" s="255">
        <f ca="1">K39</f>
        <v>0</v>
      </c>
      <c r="L83" s="255">
        <f t="shared" ca="1" si="50"/>
        <v>0</v>
      </c>
      <c r="M83" s="255">
        <f ca="1">SUM(D83:L83)</f>
        <v>253218.6790829305</v>
      </c>
      <c r="N83" s="137"/>
    </row>
    <row r="84" spans="2:14">
      <c r="C84" s="81" t="s">
        <v>245</v>
      </c>
      <c r="D84" s="255">
        <f t="shared" ref="D84:L84" ca="1" si="51">D59</f>
        <v>145000</v>
      </c>
      <c r="E84" s="255">
        <f t="shared" ca="1" si="51"/>
        <v>144000</v>
      </c>
      <c r="F84" s="255">
        <f t="shared" ca="1" si="51"/>
        <v>82000</v>
      </c>
      <c r="G84" s="255">
        <f t="shared" ca="1" si="51"/>
        <v>206000</v>
      </c>
      <c r="H84" s="255">
        <f t="shared" ca="1" si="51"/>
        <v>103000</v>
      </c>
      <c r="I84" s="255">
        <f t="shared" ca="1" si="51"/>
        <v>42000</v>
      </c>
      <c r="J84" s="255">
        <f t="shared" ca="1" si="51"/>
        <v>46000</v>
      </c>
      <c r="K84" s="255">
        <f t="shared" ca="1" si="51"/>
        <v>0</v>
      </c>
      <c r="L84" s="255">
        <f t="shared" ca="1" si="51"/>
        <v>0</v>
      </c>
      <c r="M84" s="255">
        <f ca="1">SUM(D84:L84)</f>
        <v>768000</v>
      </c>
      <c r="N84" s="137"/>
    </row>
    <row r="85" spans="2:14" ht="13.8" thickBot="1">
      <c r="C85" s="81" t="s">
        <v>244</v>
      </c>
      <c r="D85" s="255">
        <f ca="1">D75</f>
        <v>0</v>
      </c>
      <c r="E85" s="255">
        <f t="shared" ref="E85:L85" ca="1" si="52">E75</f>
        <v>0</v>
      </c>
      <c r="F85" s="255">
        <f t="shared" ca="1" si="52"/>
        <v>0</v>
      </c>
      <c r="G85" s="255">
        <f t="shared" ca="1" si="52"/>
        <v>38569.919275810302</v>
      </c>
      <c r="H85" s="255">
        <f t="shared" ca="1" si="52"/>
        <v>127173.69479106896</v>
      </c>
      <c r="I85" s="255">
        <f t="shared" ca="1" si="52"/>
        <v>0</v>
      </c>
      <c r="J85" s="255">
        <f ca="1">J75</f>
        <v>0</v>
      </c>
      <c r="K85" s="255">
        <f ca="1">K75</f>
        <v>279908.65819544561</v>
      </c>
      <c r="L85" s="255">
        <f t="shared" ca="1" si="52"/>
        <v>426381.54537668027</v>
      </c>
      <c r="M85" s="255">
        <f ca="1">SUM(D85:L85)</f>
        <v>872033.81763900514</v>
      </c>
      <c r="N85" s="137"/>
    </row>
    <row r="86" spans="2:14" ht="13.8" thickTop="1">
      <c r="C86" s="81" t="s">
        <v>0</v>
      </c>
      <c r="D86" s="225">
        <f ca="1">SUM(D82:D85)</f>
        <v>292680.10265247372</v>
      </c>
      <c r="E86" s="225">
        <f t="shared" ref="E86:M86" ca="1" si="53">SUM(E82:E85)</f>
        <v>179682.05954545425</v>
      </c>
      <c r="F86" s="225">
        <f t="shared" ca="1" si="53"/>
        <v>98361.242701667012</v>
      </c>
      <c r="G86" s="225">
        <f t="shared" ca="1" si="53"/>
        <v>310026.28058998327</v>
      </c>
      <c r="H86" s="225">
        <f t="shared" ca="1" si="53"/>
        <v>270821.09102453722</v>
      </c>
      <c r="I86" s="225">
        <f t="shared" ca="1" si="53"/>
        <v>61659.222790460393</v>
      </c>
      <c r="J86" s="225">
        <f t="shared" ca="1" si="53"/>
        <v>54567.309790826192</v>
      </c>
      <c r="K86" s="225">
        <f t="shared" ca="1" si="53"/>
        <v>279908.65819544561</v>
      </c>
      <c r="L86" s="225">
        <f t="shared" ca="1" si="53"/>
        <v>426381.54537668027</v>
      </c>
      <c r="M86" s="225">
        <f t="shared" ca="1" si="53"/>
        <v>1974087.5126675279</v>
      </c>
      <c r="N86" s="137"/>
    </row>
    <row r="87" spans="2:14" s="103" customFormat="1" ht="13.8">
      <c r="B87" s="9" t="s">
        <v>663</v>
      </c>
    </row>
    <row r="88" spans="2:14" s="103" customFormat="1">
      <c r="C88" s="81" t="s">
        <v>662</v>
      </c>
      <c r="D88" s="255">
        <f t="shared" ref="D88:L88" ca="1" si="54">D82/BIs</f>
        <v>12.260995103390149</v>
      </c>
      <c r="E88" s="255">
        <f t="shared" ca="1" si="54"/>
        <v>0.49228433295189039</v>
      </c>
      <c r="F88" s="255">
        <f t="shared" ca="1" si="54"/>
        <v>0.32334550345210161</v>
      </c>
      <c r="G88" s="255">
        <f t="shared" ca="1" si="54"/>
        <v>2.549122805726844</v>
      </c>
      <c r="H88" s="255">
        <f t="shared" ca="1" si="54"/>
        <v>3.9257457637329178</v>
      </c>
      <c r="I88" s="255">
        <f t="shared" ca="1" si="54"/>
        <v>0.48708943024650342</v>
      </c>
      <c r="J88" s="255">
        <f t="shared" ca="1" si="54"/>
        <v>0.17017104689765111</v>
      </c>
      <c r="K88" s="255">
        <f t="shared" ca="1" si="54"/>
        <v>0</v>
      </c>
      <c r="L88" s="255">
        <f t="shared" ca="1" si="54"/>
        <v>0</v>
      </c>
      <c r="M88" s="255">
        <f ca="1">SUM(D88:L88)</f>
        <v>20.208753986398055</v>
      </c>
      <c r="N88" s="137"/>
    </row>
    <row r="89" spans="2:14" s="103" customFormat="1">
      <c r="C89" s="81" t="s">
        <v>242</v>
      </c>
      <c r="D89" s="255">
        <f t="shared" ref="D89:L89" ca="1" si="55">D83/BIs</f>
        <v>24.659030559728276</v>
      </c>
      <c r="E89" s="255">
        <f t="shared" ca="1" si="55"/>
        <v>8.428230553411673</v>
      </c>
      <c r="F89" s="255">
        <f t="shared" ca="1" si="55"/>
        <v>3.7669651719646522</v>
      </c>
      <c r="G89" s="255">
        <f t="shared" ca="1" si="55"/>
        <v>13.814967522816398</v>
      </c>
      <c r="H89" s="255">
        <f t="shared" ca="1" si="55"/>
        <v>6.2361032946341384</v>
      </c>
      <c r="I89" s="255">
        <f t="shared" ca="1" si="55"/>
        <v>4.4277162673685959</v>
      </c>
      <c r="J89" s="255">
        <f t="shared" ca="1" si="55"/>
        <v>1.9716564008088973</v>
      </c>
      <c r="K89" s="255">
        <f t="shared" ca="1" si="55"/>
        <v>0</v>
      </c>
      <c r="L89" s="255">
        <f t="shared" ca="1" si="55"/>
        <v>0</v>
      </c>
      <c r="M89" s="255">
        <f ca="1">SUM(D89:L89)</f>
        <v>63.304669770732623</v>
      </c>
      <c r="N89" s="137"/>
    </row>
    <row r="90" spans="2:14" s="103" customFormat="1">
      <c r="C90" s="81" t="s">
        <v>245</v>
      </c>
      <c r="D90" s="255">
        <f t="shared" ref="D90:L90" ca="1" si="56">D84/BIs</f>
        <v>36.25</v>
      </c>
      <c r="E90" s="255">
        <f t="shared" ca="1" si="56"/>
        <v>36</v>
      </c>
      <c r="F90" s="255">
        <f t="shared" ca="1" si="56"/>
        <v>20.5</v>
      </c>
      <c r="G90" s="255">
        <f t="shared" ca="1" si="56"/>
        <v>51.5</v>
      </c>
      <c r="H90" s="255">
        <f t="shared" ca="1" si="56"/>
        <v>25.75</v>
      </c>
      <c r="I90" s="255">
        <f t="shared" ca="1" si="56"/>
        <v>10.5</v>
      </c>
      <c r="J90" s="255">
        <f t="shared" ca="1" si="56"/>
        <v>11.5</v>
      </c>
      <c r="K90" s="255">
        <f t="shared" ca="1" si="56"/>
        <v>0</v>
      </c>
      <c r="L90" s="255">
        <f t="shared" ca="1" si="56"/>
        <v>0</v>
      </c>
      <c r="M90" s="255">
        <f ca="1">SUM(D90:L90)</f>
        <v>192</v>
      </c>
      <c r="N90" s="137"/>
    </row>
    <row r="91" spans="2:14" s="103" customFormat="1" ht="13.8" thickBot="1">
      <c r="C91" s="81" t="s">
        <v>244</v>
      </c>
      <c r="D91" s="255">
        <f t="shared" ref="D91:L91" ca="1" si="57">D85/BIs</f>
        <v>0</v>
      </c>
      <c r="E91" s="255">
        <f t="shared" ca="1" si="57"/>
        <v>0</v>
      </c>
      <c r="F91" s="255">
        <f t="shared" ca="1" si="57"/>
        <v>0</v>
      </c>
      <c r="G91" s="255">
        <f t="shared" ca="1" si="57"/>
        <v>9.6424798189525749</v>
      </c>
      <c r="H91" s="255">
        <f t="shared" ca="1" si="57"/>
        <v>31.793423697767242</v>
      </c>
      <c r="I91" s="255">
        <f t="shared" ca="1" si="57"/>
        <v>0</v>
      </c>
      <c r="J91" s="255">
        <f t="shared" ca="1" si="57"/>
        <v>0</v>
      </c>
      <c r="K91" s="255">
        <f t="shared" ca="1" si="57"/>
        <v>69.977164548861396</v>
      </c>
      <c r="L91" s="255">
        <f t="shared" ca="1" si="57"/>
        <v>106.59538634417007</v>
      </c>
      <c r="M91" s="255">
        <f ca="1">SUM(D91:L91)</f>
        <v>218.00845440975127</v>
      </c>
      <c r="N91" s="137"/>
    </row>
    <row r="92" spans="2:14" s="103" customFormat="1" ht="13.8" thickTop="1">
      <c r="C92" s="81" t="s">
        <v>0</v>
      </c>
      <c r="D92" s="225">
        <f t="shared" ref="D92:M92" ca="1" si="58">SUM(D88:D91)</f>
        <v>73.170025663118423</v>
      </c>
      <c r="E92" s="225">
        <f t="shared" ca="1" si="58"/>
        <v>44.920514886363563</v>
      </c>
      <c r="F92" s="225">
        <f t="shared" ca="1" si="58"/>
        <v>24.590310675416752</v>
      </c>
      <c r="G92" s="225">
        <f t="shared" ca="1" si="58"/>
        <v>77.506570147495822</v>
      </c>
      <c r="H92" s="225">
        <f t="shared" ca="1" si="58"/>
        <v>67.705272756134292</v>
      </c>
      <c r="I92" s="225">
        <f t="shared" ca="1" si="58"/>
        <v>15.414805697615099</v>
      </c>
      <c r="J92" s="225">
        <f t="shared" ca="1" si="58"/>
        <v>13.641827447706548</v>
      </c>
      <c r="K92" s="225">
        <f t="shared" ca="1" si="58"/>
        <v>69.977164548861396</v>
      </c>
      <c r="L92" s="225">
        <f t="shared" ca="1" si="58"/>
        <v>106.59538634417007</v>
      </c>
      <c r="M92" s="225">
        <f t="shared" ca="1" si="58"/>
        <v>493.52187816688195</v>
      </c>
      <c r="N92" s="137"/>
    </row>
    <row r="119" spans="1:10" ht="21">
      <c r="A119" s="1" t="s">
        <v>1053</v>
      </c>
      <c r="B119" s="343"/>
      <c r="C119" s="343"/>
    </row>
    <row r="120" spans="1:10" ht="12.75" customHeight="1">
      <c r="A120" s="343"/>
      <c r="B120" s="91"/>
      <c r="C120" s="91"/>
      <c r="D120" s="532" t="s">
        <v>317</v>
      </c>
      <c r="E120" s="532"/>
      <c r="F120" s="532"/>
      <c r="G120" s="532"/>
      <c r="H120" s="556" t="s">
        <v>318</v>
      </c>
      <c r="I120" s="556"/>
      <c r="J120" s="556"/>
    </row>
    <row r="121" spans="1:10" ht="39.6">
      <c r="A121" s="343"/>
      <c r="B121" s="91"/>
      <c r="C121" s="349" t="s">
        <v>217</v>
      </c>
      <c r="D121" s="349" t="s">
        <v>95</v>
      </c>
      <c r="E121" s="349" t="s">
        <v>936</v>
      </c>
      <c r="F121" s="349" t="s">
        <v>258</v>
      </c>
      <c r="G121" s="349" t="str">
        <f>Duration&amp;"-Year Total"</f>
        <v>5-Year Total</v>
      </c>
      <c r="H121" s="349" t="s">
        <v>95</v>
      </c>
      <c r="I121" s="349" t="s">
        <v>258</v>
      </c>
      <c r="J121" s="349" t="str">
        <f>Duration&amp;"-Year Total"</f>
        <v>5-Year Total</v>
      </c>
    </row>
    <row r="122" spans="1:10" ht="14.4" thickBot="1">
      <c r="A122" s="343"/>
      <c r="B122" s="161" t="s">
        <v>11</v>
      </c>
      <c r="C122" s="167"/>
      <c r="D122" s="167"/>
      <c r="E122" s="167"/>
      <c r="F122" s="167"/>
      <c r="G122" s="167"/>
      <c r="H122" s="167"/>
      <c r="I122" s="167"/>
      <c r="J122" s="167"/>
    </row>
    <row r="123" spans="1:10" ht="15" thickTop="1" thickBot="1">
      <c r="B123" s="168"/>
      <c r="C123" s="355" t="str">
        <f>C82</f>
        <v>Storage Hardware</v>
      </c>
      <c r="D123" s="123">
        <f ca="1">M88</f>
        <v>20.208753986398055</v>
      </c>
      <c r="E123" s="253">
        <v>0.08</v>
      </c>
      <c r="F123" s="123">
        <f ca="1">D123*E123</f>
        <v>1.6167003189118443</v>
      </c>
      <c r="G123" s="123">
        <f ca="1">D123+F123*Duration</f>
        <v>28.292255580957274</v>
      </c>
      <c r="H123" s="123">
        <f ca="1">D123*BIs/1000</f>
        <v>80.835015945592218</v>
      </c>
      <c r="I123" s="123">
        <f ca="1">F123*BIs/1000</f>
        <v>6.4668012756473772</v>
      </c>
      <c r="J123" s="123">
        <f ca="1">H123+I123*Duration</f>
        <v>113.1690223238291</v>
      </c>
    </row>
    <row r="124" spans="1:10" ht="15" thickTop="1" thickBot="1">
      <c r="B124" s="168"/>
      <c r="C124" s="355" t="str">
        <f>C83</f>
        <v>Server Hardware</v>
      </c>
      <c r="D124" s="123">
        <f ca="1">M89</f>
        <v>63.304669770732623</v>
      </c>
      <c r="E124" s="253">
        <v>0.08</v>
      </c>
      <c r="F124" s="123">
        <f ca="1">D124*E124</f>
        <v>5.06437358165861</v>
      </c>
      <c r="G124" s="123">
        <f ca="1">D124+F124*Duration</f>
        <v>88.626537679025674</v>
      </c>
      <c r="H124" s="123">
        <f ca="1">D124*BIs/1000</f>
        <v>253.21867908293049</v>
      </c>
      <c r="I124" s="123">
        <f ca="1">F124*BIs/1000</f>
        <v>20.257494326634436</v>
      </c>
      <c r="J124" s="123">
        <f ca="1">H124+I124*Duration</f>
        <v>354.50615071610264</v>
      </c>
    </row>
    <row r="125" spans="1:10" ht="13.8" thickTop="1">
      <c r="B125" s="168"/>
      <c r="C125" s="124" t="s">
        <v>0</v>
      </c>
      <c r="D125" s="125">
        <f t="shared" ref="D125" ca="1" si="59">SUM(D123:D124)</f>
        <v>83.513423757130681</v>
      </c>
      <c r="E125" s="290">
        <f ca="1">F125/D125</f>
        <v>0.08</v>
      </c>
      <c r="F125" s="125">
        <f ca="1">SUM(F123:F124)</f>
        <v>6.6810739005704542</v>
      </c>
      <c r="G125" s="125">
        <f ca="1">SUM(G123:G124)</f>
        <v>116.91879325998295</v>
      </c>
      <c r="H125" s="125">
        <f ca="1">SUM(H123:H124)</f>
        <v>334.05369502852272</v>
      </c>
      <c r="I125" s="125">
        <f ca="1">SUM(I123:I124)</f>
        <v>26.724295602281813</v>
      </c>
      <c r="J125" s="125">
        <f ca="1">SUM(J123:J124)</f>
        <v>467.67517303993174</v>
      </c>
    </row>
    <row r="126" spans="1:10" ht="14.4" thickBot="1">
      <c r="B126" s="161" t="s">
        <v>39</v>
      </c>
      <c r="C126" s="167"/>
      <c r="D126" s="169"/>
      <c r="E126" s="383"/>
      <c r="F126" s="169"/>
      <c r="G126" s="169"/>
      <c r="H126" s="169"/>
      <c r="I126" s="169"/>
      <c r="J126" s="169"/>
    </row>
    <row r="127" spans="1:10" ht="15" thickTop="1" thickBot="1">
      <c r="B127" s="168"/>
      <c r="C127" s="355" t="str">
        <f>C84</f>
        <v>Server Software</v>
      </c>
      <c r="D127" s="123">
        <f ca="1">M90</f>
        <v>192</v>
      </c>
      <c r="E127" s="253">
        <v>0.2</v>
      </c>
      <c r="F127" s="123">
        <f t="shared" ref="F127:F128" ca="1" si="60">D127*E127</f>
        <v>38.400000000000006</v>
      </c>
      <c r="G127" s="123">
        <f ca="1">D127+F127*Duration</f>
        <v>384</v>
      </c>
      <c r="H127" s="123">
        <f ca="1">D127*BIs/1000</f>
        <v>768</v>
      </c>
      <c r="I127" s="123">
        <f ca="1">F127*BIs/1000</f>
        <v>153.60000000000002</v>
      </c>
      <c r="J127" s="123">
        <f ca="1">H127+I127*Duration</f>
        <v>1536</v>
      </c>
    </row>
    <row r="128" spans="1:10" ht="15" thickTop="1" thickBot="1">
      <c r="B128" s="168"/>
      <c r="C128" s="355" t="str">
        <f>C85</f>
        <v>Client Software</v>
      </c>
      <c r="D128" s="123">
        <f ca="1">M91</f>
        <v>218.00845440975127</v>
      </c>
      <c r="E128" s="253">
        <v>0.2</v>
      </c>
      <c r="F128" s="123">
        <f t="shared" ca="1" si="60"/>
        <v>43.601690881950255</v>
      </c>
      <c r="G128" s="123">
        <f ca="1">D128+F128*Duration</f>
        <v>436.01690881950253</v>
      </c>
      <c r="H128" s="123">
        <f ca="1">D128*BIs/1000</f>
        <v>872.03381763900506</v>
      </c>
      <c r="I128" s="123">
        <f ca="1">F128*BIs/1000</f>
        <v>174.40676352780102</v>
      </c>
      <c r="J128" s="123">
        <f ca="1">H128+I128*Duration</f>
        <v>1744.0676352780101</v>
      </c>
    </row>
    <row r="129" spans="2:10" ht="13.8" thickTop="1">
      <c r="B129" s="168"/>
      <c r="C129" s="124" t="s">
        <v>0</v>
      </c>
      <c r="D129" s="125">
        <f t="shared" ref="D129" ca="1" si="61">SUM(D127:D128)</f>
        <v>410.00845440975127</v>
      </c>
      <c r="E129" s="290">
        <f ca="1">F129/D129</f>
        <v>0.2</v>
      </c>
      <c r="F129" s="125">
        <f ca="1">SUM(F127:F128)</f>
        <v>82.001690881950253</v>
      </c>
      <c r="G129" s="125">
        <f ca="1">SUM(G127:G128)</f>
        <v>820.01690881950253</v>
      </c>
      <c r="H129" s="125">
        <f ca="1">SUM(H127:H128)</f>
        <v>1640.0338176390051</v>
      </c>
      <c r="I129" s="125">
        <f ca="1">SUM(I127:I128)</f>
        <v>328.00676352780101</v>
      </c>
      <c r="J129" s="125">
        <f ca="1">SUM(J127:J128)</f>
        <v>3280.0676352780101</v>
      </c>
    </row>
    <row r="130" spans="2:10" ht="13.8">
      <c r="B130" s="161" t="s">
        <v>716</v>
      </c>
      <c r="C130" s="167"/>
      <c r="D130" s="169"/>
      <c r="E130" s="383"/>
      <c r="F130" s="169"/>
      <c r="G130" s="169"/>
      <c r="H130" s="169"/>
      <c r="I130" s="169"/>
      <c r="J130" s="169"/>
    </row>
    <row r="131" spans="2:10">
      <c r="B131" s="168"/>
      <c r="C131" s="379" t="s">
        <v>913</v>
      </c>
      <c r="D131" s="123">
        <f>'Costs - Labor'!D131</f>
        <v>131.2914855712682</v>
      </c>
      <c r="E131" s="41">
        <f>'Costs - Labor'!E131</f>
        <v>0.15</v>
      </c>
      <c r="F131" s="123">
        <f t="shared" ref="F131:F134" si="62">D131*E131</f>
        <v>19.693722835690227</v>
      </c>
      <c r="G131" s="123">
        <f>D131+F131*Duration</f>
        <v>229.76009974971933</v>
      </c>
      <c r="H131" s="123">
        <f>D131*BIs/1000</f>
        <v>525.16594228507279</v>
      </c>
      <c r="I131" s="123">
        <f>F131*BIs/1000</f>
        <v>78.77489134276091</v>
      </c>
      <c r="J131" s="123">
        <f>H131+I131*Duration</f>
        <v>919.04039899887732</v>
      </c>
    </row>
    <row r="132" spans="2:10" ht="26.4">
      <c r="B132" s="168"/>
      <c r="C132" s="379" t="s">
        <v>914</v>
      </c>
      <c r="D132" s="123">
        <f>'Costs - Labor'!D132</f>
        <v>74.096120149518725</v>
      </c>
      <c r="E132" s="41">
        <f>'Costs - Labor'!E132</f>
        <v>0.08</v>
      </c>
      <c r="F132" s="123">
        <f t="shared" si="62"/>
        <v>5.9276896119614984</v>
      </c>
      <c r="G132" s="123">
        <f>D132+F132*Duration</f>
        <v>103.73456820932621</v>
      </c>
      <c r="H132" s="123">
        <f>D132*BIs/1000</f>
        <v>296.3844805980749</v>
      </c>
      <c r="I132" s="123">
        <f>F132*BIs/1000</f>
        <v>23.710758447845993</v>
      </c>
      <c r="J132" s="123">
        <f>H132+I132*Duration</f>
        <v>414.93827283730485</v>
      </c>
    </row>
    <row r="133" spans="2:10">
      <c r="B133" s="168"/>
      <c r="C133" s="379" t="s">
        <v>915</v>
      </c>
      <c r="D133" s="123">
        <f>'Costs - Labor'!D133</f>
        <v>21.897425032296006</v>
      </c>
      <c r="E133" s="41">
        <f>'Costs - Labor'!E133</f>
        <v>0.1</v>
      </c>
      <c r="F133" s="123">
        <f t="shared" si="62"/>
        <v>2.1897425032296005</v>
      </c>
      <c r="G133" s="123">
        <f>D133+F133*Duration</f>
        <v>32.846137548444005</v>
      </c>
      <c r="H133" s="123">
        <f>D133*BIs/1000</f>
        <v>87.589700129184024</v>
      </c>
      <c r="I133" s="123">
        <f>F133*BIs/1000</f>
        <v>8.758970012918402</v>
      </c>
      <c r="J133" s="123">
        <f>H133+I133*Duration</f>
        <v>131.38455019377602</v>
      </c>
    </row>
    <row r="134" spans="2:10" ht="13.8" thickBot="1">
      <c r="B134" s="168"/>
      <c r="C134" s="379" t="s">
        <v>916</v>
      </c>
      <c r="D134" s="123">
        <f>'Costs - Labor'!D134</f>
        <v>120.81760296811673</v>
      </c>
      <c r="E134" s="41">
        <f>'Costs - Labor'!E134</f>
        <v>0.12</v>
      </c>
      <c r="F134" s="123">
        <f t="shared" si="62"/>
        <v>14.498112356174007</v>
      </c>
      <c r="G134" s="123">
        <f>D134+F134*Duration</f>
        <v>193.30816474898677</v>
      </c>
      <c r="H134" s="123">
        <f>D134*BIs/1000</f>
        <v>483.27041187246692</v>
      </c>
      <c r="I134" s="123">
        <f>F134*BIs/1000</f>
        <v>57.992449424696026</v>
      </c>
      <c r="J134" s="123">
        <f>H134+I134*Duration</f>
        <v>773.23265899594708</v>
      </c>
    </row>
    <row r="135" spans="2:10" ht="13.8" thickTop="1">
      <c r="B135" s="168"/>
      <c r="C135" s="124" t="s">
        <v>0</v>
      </c>
      <c r="D135" s="125">
        <f t="shared" ref="D135" si="63">SUM(D131:D134)</f>
        <v>348.10263372119965</v>
      </c>
      <c r="E135" s="290">
        <f>F135/D135</f>
        <v>0.12154250846875644</v>
      </c>
      <c r="F135" s="125">
        <f>SUM(F131:F134)</f>
        <v>42.309267307055329</v>
      </c>
      <c r="G135" s="125">
        <f>SUM(G131:G134)</f>
        <v>559.64897025647633</v>
      </c>
      <c r="H135" s="125">
        <f>SUM(H131:H134)</f>
        <v>1392.4105348847986</v>
      </c>
      <c r="I135" s="125">
        <f>SUM(I131:I134)</f>
        <v>169.23706922822132</v>
      </c>
      <c r="J135" s="125">
        <f>SUM(J131:J134)</f>
        <v>2238.5958810259053</v>
      </c>
    </row>
    <row r="136" spans="2:10" ht="13.8">
      <c r="B136" s="161" t="s">
        <v>917</v>
      </c>
      <c r="C136" s="167"/>
      <c r="D136" s="169"/>
      <c r="E136" s="383"/>
      <c r="F136" s="169"/>
      <c r="G136" s="169"/>
      <c r="H136" s="169"/>
      <c r="I136" s="169"/>
      <c r="J136" s="169"/>
    </row>
    <row r="137" spans="2:10">
      <c r="B137" s="168"/>
      <c r="C137" s="355" t="str">
        <f>'Costs - Labor'!C137</f>
        <v>IT Training</v>
      </c>
      <c r="D137" s="123">
        <f>'Costs - Labor'!D137</f>
        <v>15.19885219971113</v>
      </c>
      <c r="E137" s="41">
        <f>'Costs - Labor'!E137</f>
        <v>0.1</v>
      </c>
      <c r="F137" s="123">
        <f t="shared" ref="F137:F139" si="64">D137*E137</f>
        <v>1.519885219971113</v>
      </c>
      <c r="G137" s="123">
        <f>D137+F137*Duration</f>
        <v>22.798278299566697</v>
      </c>
      <c r="H137" s="123">
        <f>D137*BIs/1000</f>
        <v>60.79540879884452</v>
      </c>
      <c r="I137" s="123">
        <f>F137*BIs/1000</f>
        <v>6.0795408798844521</v>
      </c>
      <c r="J137" s="123">
        <f>H137+I137*Duration</f>
        <v>91.193113198266786</v>
      </c>
    </row>
    <row r="138" spans="2:10" s="343" customFormat="1">
      <c r="B138" s="168"/>
      <c r="C138" s="355" t="str">
        <f>'Costs - Labor'!C138</f>
        <v>End-User Training</v>
      </c>
      <c r="D138" s="123">
        <f>'Costs - Labor'!D138</f>
        <v>313.86761206768205</v>
      </c>
      <c r="E138" s="41">
        <f>'Costs - Labor'!E138</f>
        <v>0.05</v>
      </c>
      <c r="F138" s="123">
        <f t="shared" si="64"/>
        <v>15.693380603384103</v>
      </c>
      <c r="G138" s="123">
        <f>D138+F138*Duration</f>
        <v>392.33451508460257</v>
      </c>
      <c r="H138" s="123">
        <f>D138*BIs/1000</f>
        <v>1255.4704482707282</v>
      </c>
      <c r="I138" s="123">
        <f>F138*BIs/1000</f>
        <v>62.773522413536412</v>
      </c>
      <c r="J138" s="123">
        <f>H138+I138*Duration</f>
        <v>1569.3380603384103</v>
      </c>
    </row>
    <row r="139" spans="2:10" ht="13.8" thickBot="1">
      <c r="B139" s="168"/>
      <c r="C139" s="355" t="str">
        <f>'Costs - Labor'!C139</f>
        <v>End-User Labor</v>
      </c>
      <c r="D139" s="123">
        <f>'Costs - Labor'!D139</f>
        <v>24.858092011779199</v>
      </c>
      <c r="E139" s="41">
        <f>'Costs - Labor'!E139</f>
        <v>0</v>
      </c>
      <c r="F139" s="123">
        <f t="shared" si="64"/>
        <v>0</v>
      </c>
      <c r="G139" s="123">
        <f>D139+F139*Duration</f>
        <v>24.858092011779199</v>
      </c>
      <c r="H139" s="123">
        <f>D139*BIs/1000</f>
        <v>99.432368047116796</v>
      </c>
      <c r="I139" s="123">
        <f>F139*BIs/1000</f>
        <v>0</v>
      </c>
      <c r="J139" s="123">
        <f>H139+I139*Duration</f>
        <v>99.432368047116796</v>
      </c>
    </row>
    <row r="140" spans="2:10" ht="13.8" thickTop="1">
      <c r="B140" s="168"/>
      <c r="C140" s="124" t="s">
        <v>0</v>
      </c>
      <c r="D140" s="125">
        <f t="shared" ref="D140" si="65">SUM(D137:D139)</f>
        <v>353.92455627917241</v>
      </c>
      <c r="E140" s="290">
        <f>F140/D140</f>
        <v>4.8635409772973058E-2</v>
      </c>
      <c r="F140" s="125">
        <f>SUM(F137:F139)</f>
        <v>17.213265823355215</v>
      </c>
      <c r="G140" s="125">
        <f>SUM(G137:G139)</f>
        <v>439.99088539594845</v>
      </c>
      <c r="H140" s="125">
        <f>SUM(H137:H139)</f>
        <v>1415.6982251166896</v>
      </c>
      <c r="I140" s="125">
        <f>SUM(I137:I139)</f>
        <v>68.85306329342086</v>
      </c>
      <c r="J140" s="125">
        <f>SUM(J137:J139)</f>
        <v>1759.9635415837938</v>
      </c>
    </row>
    <row r="141" spans="2:10" ht="13.8" thickBot="1">
      <c r="B141" s="91"/>
      <c r="C141" s="91"/>
      <c r="D141" s="156"/>
      <c r="E141" s="384"/>
      <c r="F141" s="156"/>
      <c r="G141" s="156"/>
      <c r="H141" s="156"/>
      <c r="I141" s="156"/>
      <c r="J141" s="156"/>
    </row>
    <row r="142" spans="2:10" ht="13.8" thickTop="1">
      <c r="B142" s="168"/>
      <c r="C142" s="135" t="s">
        <v>282</v>
      </c>
      <c r="D142" s="125">
        <f ca="1">SUM(D125,D129,D135,D140)</f>
        <v>1195.5490681672541</v>
      </c>
      <c r="E142" s="290">
        <f ca="1">F142/D142</f>
        <v>0.1239642118078233</v>
      </c>
      <c r="F142" s="125">
        <f ca="1">SUM(F125,F129,F135,F140)</f>
        <v>148.20529791293126</v>
      </c>
      <c r="G142" s="125">
        <f ca="1">SUM(G125,G129,G135,G140)</f>
        <v>1936.5755577319103</v>
      </c>
      <c r="H142" s="125">
        <f ca="1">SUM(H125,H129,H135,H140)</f>
        <v>4782.1962726690163</v>
      </c>
      <c r="I142" s="125">
        <f ca="1">SUM(I125,I129,I135,I140)</f>
        <v>592.82119165172503</v>
      </c>
      <c r="J142" s="125">
        <f ca="1">SUM(J125,J129,J135,J140)</f>
        <v>7746.3022309276412</v>
      </c>
    </row>
    <row r="145" spans="2:10" s="343" customFormat="1" ht="12.75" customHeight="1">
      <c r="B145" s="91"/>
      <c r="C145" s="91"/>
      <c r="D145" s="532" t="s">
        <v>317</v>
      </c>
      <c r="E145" s="532"/>
      <c r="F145" s="532"/>
      <c r="G145" s="532"/>
      <c r="H145" s="556" t="s">
        <v>318</v>
      </c>
      <c r="I145" s="556"/>
      <c r="J145" s="556"/>
    </row>
    <row r="146" spans="2:10" s="343" customFormat="1" ht="39.6">
      <c r="B146" s="91"/>
      <c r="C146" s="349" t="s">
        <v>217</v>
      </c>
      <c r="D146" s="349" t="s">
        <v>95</v>
      </c>
      <c r="E146" s="349" t="s">
        <v>936</v>
      </c>
      <c r="F146" s="349" t="s">
        <v>258</v>
      </c>
      <c r="G146" s="349" t="str">
        <f>Duration&amp;"-Year Total"</f>
        <v>5-Year Total</v>
      </c>
      <c r="H146" s="349" t="s">
        <v>95</v>
      </c>
      <c r="I146" s="349" t="s">
        <v>258</v>
      </c>
      <c r="J146" s="349" t="str">
        <f>Duration&amp;"-Year Total"</f>
        <v>5-Year Total</v>
      </c>
    </row>
    <row r="147" spans="2:10" s="343" customFormat="1">
      <c r="B147" s="168"/>
      <c r="C147" s="355" t="str">
        <f>C123</f>
        <v>Storage Hardware</v>
      </c>
      <c r="D147" s="123">
        <f t="shared" ref="D147:J148" ca="1" si="66">D123</f>
        <v>20.208753986398055</v>
      </c>
      <c r="E147" s="41">
        <f t="shared" si="66"/>
        <v>0.08</v>
      </c>
      <c r="F147" s="123">
        <f t="shared" ca="1" si="66"/>
        <v>1.6167003189118443</v>
      </c>
      <c r="G147" s="123">
        <f t="shared" ca="1" si="66"/>
        <v>28.292255580957274</v>
      </c>
      <c r="H147" s="123">
        <f t="shared" ca="1" si="66"/>
        <v>80.835015945592218</v>
      </c>
      <c r="I147" s="123">
        <f t="shared" ca="1" si="66"/>
        <v>6.4668012756473772</v>
      </c>
      <c r="J147" s="123">
        <f t="shared" ca="1" si="66"/>
        <v>113.1690223238291</v>
      </c>
    </row>
    <row r="148" spans="2:10" s="343" customFormat="1">
      <c r="B148" s="168"/>
      <c r="C148" s="355" t="str">
        <f>C124</f>
        <v>Server Hardware</v>
      </c>
      <c r="D148" s="123">
        <f t="shared" ca="1" si="66"/>
        <v>63.304669770732623</v>
      </c>
      <c r="E148" s="41">
        <f t="shared" si="66"/>
        <v>0.08</v>
      </c>
      <c r="F148" s="123">
        <f t="shared" ca="1" si="66"/>
        <v>5.06437358165861</v>
      </c>
      <c r="G148" s="123">
        <f t="shared" ca="1" si="66"/>
        <v>88.626537679025674</v>
      </c>
      <c r="H148" s="123">
        <f t="shared" ca="1" si="66"/>
        <v>253.21867908293049</v>
      </c>
      <c r="I148" s="123">
        <f t="shared" ca="1" si="66"/>
        <v>20.257494326634436</v>
      </c>
      <c r="J148" s="123">
        <f t="shared" ca="1" si="66"/>
        <v>354.50615071610264</v>
      </c>
    </row>
    <row r="149" spans="2:10" s="343" customFormat="1">
      <c r="B149" s="168"/>
      <c r="C149" s="355" t="str">
        <f t="shared" ref="C149:J149" si="67">C127</f>
        <v>Server Software</v>
      </c>
      <c r="D149" s="123">
        <f t="shared" ca="1" si="67"/>
        <v>192</v>
      </c>
      <c r="E149" s="41">
        <f t="shared" si="67"/>
        <v>0.2</v>
      </c>
      <c r="F149" s="123">
        <f t="shared" ca="1" si="67"/>
        <v>38.400000000000006</v>
      </c>
      <c r="G149" s="123">
        <f t="shared" ca="1" si="67"/>
        <v>384</v>
      </c>
      <c r="H149" s="123">
        <f t="shared" ca="1" si="67"/>
        <v>768</v>
      </c>
      <c r="I149" s="123">
        <f t="shared" ca="1" si="67"/>
        <v>153.60000000000002</v>
      </c>
      <c r="J149" s="123">
        <f t="shared" ca="1" si="67"/>
        <v>1536</v>
      </c>
    </row>
    <row r="150" spans="2:10" s="343" customFormat="1">
      <c r="B150" s="168"/>
      <c r="C150" s="355" t="str">
        <f t="shared" ref="C150:J150" si="68">C128</f>
        <v>Client Software</v>
      </c>
      <c r="D150" s="123">
        <f t="shared" ca="1" si="68"/>
        <v>218.00845440975127</v>
      </c>
      <c r="E150" s="41">
        <f t="shared" si="68"/>
        <v>0.2</v>
      </c>
      <c r="F150" s="123">
        <f t="shared" ca="1" si="68"/>
        <v>43.601690881950255</v>
      </c>
      <c r="G150" s="123">
        <f t="shared" ca="1" si="68"/>
        <v>436.01690881950253</v>
      </c>
      <c r="H150" s="123">
        <f t="shared" ca="1" si="68"/>
        <v>872.03381763900506</v>
      </c>
      <c r="I150" s="123">
        <f t="shared" ca="1" si="68"/>
        <v>174.40676352780102</v>
      </c>
      <c r="J150" s="123">
        <f t="shared" ca="1" si="68"/>
        <v>1744.0676352780101</v>
      </c>
    </row>
    <row r="151" spans="2:10" s="343" customFormat="1">
      <c r="B151" s="168"/>
      <c r="C151" s="379" t="str">
        <f t="shared" ref="C151:J151" si="69">C131</f>
        <v>BI Applications IT Labor</v>
      </c>
      <c r="D151" s="123">
        <f t="shared" si="69"/>
        <v>131.2914855712682</v>
      </c>
      <c r="E151" s="41">
        <f t="shared" si="69"/>
        <v>0.15</v>
      </c>
      <c r="F151" s="123">
        <f t="shared" si="69"/>
        <v>19.693722835690227</v>
      </c>
      <c r="G151" s="123">
        <f t="shared" si="69"/>
        <v>229.76009974971933</v>
      </c>
      <c r="H151" s="123">
        <f t="shared" si="69"/>
        <v>525.16594228507279</v>
      </c>
      <c r="I151" s="123">
        <f t="shared" si="69"/>
        <v>78.77489134276091</v>
      </c>
      <c r="J151" s="123">
        <f t="shared" si="69"/>
        <v>919.04039899887732</v>
      </c>
    </row>
    <row r="152" spans="2:10" s="343" customFormat="1" ht="26.4">
      <c r="B152" s="168"/>
      <c r="C152" s="379" t="str">
        <f t="shared" ref="C152:J152" si="70">C132</f>
        <v>Source System Inclusion / Integration IT Labor</v>
      </c>
      <c r="D152" s="123">
        <f t="shared" si="70"/>
        <v>74.096120149518725</v>
      </c>
      <c r="E152" s="41">
        <f t="shared" si="70"/>
        <v>0.08</v>
      </c>
      <c r="F152" s="123">
        <f t="shared" si="70"/>
        <v>5.9276896119614984</v>
      </c>
      <c r="G152" s="123">
        <f t="shared" si="70"/>
        <v>103.73456820932621</v>
      </c>
      <c r="H152" s="123">
        <f t="shared" si="70"/>
        <v>296.3844805980749</v>
      </c>
      <c r="I152" s="123">
        <f t="shared" si="70"/>
        <v>23.710758447845993</v>
      </c>
      <c r="J152" s="123">
        <f t="shared" si="70"/>
        <v>414.93827283730485</v>
      </c>
    </row>
    <row r="153" spans="2:10" s="343" customFormat="1">
      <c r="B153" s="168"/>
      <c r="C153" s="379" t="str">
        <f t="shared" ref="C153:J153" si="71">C133</f>
        <v>Enhance DW Platform IT Labor</v>
      </c>
      <c r="D153" s="123">
        <f t="shared" si="71"/>
        <v>21.897425032296006</v>
      </c>
      <c r="E153" s="41">
        <f t="shared" si="71"/>
        <v>0.1</v>
      </c>
      <c r="F153" s="123">
        <f t="shared" si="71"/>
        <v>2.1897425032296005</v>
      </c>
      <c r="G153" s="123">
        <f t="shared" si="71"/>
        <v>32.846137548444005</v>
      </c>
      <c r="H153" s="123">
        <f t="shared" si="71"/>
        <v>87.589700129184024</v>
      </c>
      <c r="I153" s="123">
        <f t="shared" si="71"/>
        <v>8.758970012918402</v>
      </c>
      <c r="J153" s="123">
        <f t="shared" si="71"/>
        <v>131.38455019377602</v>
      </c>
    </row>
    <row r="154" spans="2:10" s="343" customFormat="1">
      <c r="B154" s="168"/>
      <c r="C154" s="379" t="str">
        <f t="shared" ref="C154:J154" si="72">C134</f>
        <v>Enhance BI Platform IT Labor</v>
      </c>
      <c r="D154" s="123">
        <f t="shared" si="72"/>
        <v>120.81760296811673</v>
      </c>
      <c r="E154" s="41">
        <f t="shared" si="72"/>
        <v>0.12</v>
      </c>
      <c r="F154" s="123">
        <f t="shared" si="72"/>
        <v>14.498112356174007</v>
      </c>
      <c r="G154" s="123">
        <f t="shared" si="72"/>
        <v>193.30816474898677</v>
      </c>
      <c r="H154" s="123">
        <f t="shared" si="72"/>
        <v>483.27041187246692</v>
      </c>
      <c r="I154" s="123">
        <f t="shared" si="72"/>
        <v>57.992449424696026</v>
      </c>
      <c r="J154" s="123">
        <f t="shared" si="72"/>
        <v>773.23265899594708</v>
      </c>
    </row>
    <row r="155" spans="2:10" s="343" customFormat="1">
      <c r="B155" s="168"/>
      <c r="C155" s="355" t="str">
        <f t="shared" ref="C155:J155" si="73">C137</f>
        <v>IT Training</v>
      </c>
      <c r="D155" s="123">
        <f t="shared" si="73"/>
        <v>15.19885219971113</v>
      </c>
      <c r="E155" s="41">
        <f t="shared" si="73"/>
        <v>0.1</v>
      </c>
      <c r="F155" s="123">
        <f t="shared" si="73"/>
        <v>1.519885219971113</v>
      </c>
      <c r="G155" s="123">
        <f t="shared" si="73"/>
        <v>22.798278299566697</v>
      </c>
      <c r="H155" s="123">
        <f t="shared" si="73"/>
        <v>60.79540879884452</v>
      </c>
      <c r="I155" s="123">
        <f t="shared" si="73"/>
        <v>6.0795408798844521</v>
      </c>
      <c r="J155" s="123">
        <f t="shared" si="73"/>
        <v>91.193113198266786</v>
      </c>
    </row>
    <row r="156" spans="2:10" s="343" customFormat="1">
      <c r="B156" s="168"/>
      <c r="C156" s="355" t="str">
        <f t="shared" ref="C156:J156" si="74">C138</f>
        <v>End-User Training</v>
      </c>
      <c r="D156" s="123">
        <f t="shared" si="74"/>
        <v>313.86761206768205</v>
      </c>
      <c r="E156" s="41">
        <f t="shared" si="74"/>
        <v>0.05</v>
      </c>
      <c r="F156" s="123">
        <f t="shared" si="74"/>
        <v>15.693380603384103</v>
      </c>
      <c r="G156" s="123">
        <f t="shared" si="74"/>
        <v>392.33451508460257</v>
      </c>
      <c r="H156" s="123">
        <f t="shared" si="74"/>
        <v>1255.4704482707282</v>
      </c>
      <c r="I156" s="123">
        <f t="shared" si="74"/>
        <v>62.773522413536412</v>
      </c>
      <c r="J156" s="123">
        <f t="shared" si="74"/>
        <v>1569.3380603384103</v>
      </c>
    </row>
    <row r="157" spans="2:10" s="343" customFormat="1">
      <c r="B157" s="168"/>
      <c r="C157" s="355" t="str">
        <f t="shared" ref="C157:J157" si="75">C139</f>
        <v>End-User Labor</v>
      </c>
      <c r="D157" s="123">
        <f t="shared" si="75"/>
        <v>24.858092011779199</v>
      </c>
      <c r="E157" s="41">
        <f t="shared" si="75"/>
        <v>0</v>
      </c>
      <c r="F157" s="123">
        <f t="shared" si="75"/>
        <v>0</v>
      </c>
      <c r="G157" s="123">
        <f t="shared" si="75"/>
        <v>24.858092011779199</v>
      </c>
      <c r="H157" s="123">
        <f t="shared" si="75"/>
        <v>99.432368047116796</v>
      </c>
      <c r="I157" s="123">
        <f t="shared" si="75"/>
        <v>0</v>
      </c>
      <c r="J157" s="123">
        <f t="shared" si="75"/>
        <v>99.432368047116796</v>
      </c>
    </row>
    <row r="158" spans="2:10" s="343" customFormat="1" ht="13.8" thickBot="1">
      <c r="B158" s="91"/>
      <c r="C158" s="91"/>
      <c r="D158" s="156"/>
      <c r="E158" s="384"/>
      <c r="F158" s="156"/>
      <c r="G158" s="156"/>
      <c r="H158" s="156"/>
      <c r="I158" s="156"/>
      <c r="J158" s="156"/>
    </row>
    <row r="159" spans="2:10" s="343" customFormat="1" ht="13.8" thickTop="1">
      <c r="B159" s="168"/>
      <c r="C159" s="135" t="s">
        <v>282</v>
      </c>
      <c r="D159" s="125">
        <f ca="1">SUM(D147:D158)</f>
        <v>1195.5490681672541</v>
      </c>
      <c r="E159" s="290">
        <f ca="1">F159/D159</f>
        <v>0.1239642118078233</v>
      </c>
      <c r="F159" s="125">
        <f t="shared" ref="F159:J159" ca="1" si="76">SUM(F147:F158)</f>
        <v>148.20529791293126</v>
      </c>
      <c r="G159" s="125">
        <f t="shared" ca="1" si="76"/>
        <v>1936.5755577319103</v>
      </c>
      <c r="H159" s="125">
        <f t="shared" ca="1" si="76"/>
        <v>4782.1962726690163</v>
      </c>
      <c r="I159" s="125">
        <f t="shared" ca="1" si="76"/>
        <v>592.82119165172503</v>
      </c>
      <c r="J159" s="125">
        <f t="shared" ca="1" si="76"/>
        <v>7746.3022309276412</v>
      </c>
    </row>
    <row r="197" spans="3:3">
      <c r="C197" s="397"/>
    </row>
  </sheetData>
  <sheetProtection selectLockedCells="1" selectUnlockedCells="1"/>
  <mergeCells count="4">
    <mergeCell ref="H120:J120"/>
    <mergeCell ref="D120:G120"/>
    <mergeCell ref="D145:G145"/>
    <mergeCell ref="H145:J145"/>
  </mergeCells>
  <pageMargins left="0.25" right="0.25" top="0.75" bottom="0.75" header="0.3" footer="0.3"/>
  <pageSetup scale="63" fitToHeight="10" orientation="portrait" horizontalDpi="300" verticalDpi="300" r:id="rId1"/>
  <headerFooter>
    <oddFooter>&amp;LTDWI Business Intelligence ROI Calculator&amp;C&amp;A Worksheet&amp;R&amp;P of &amp;N</oddFooter>
  </headerFooter>
  <drawing r:id="rId2"/>
</worksheet>
</file>

<file path=xl/worksheets/sheet7.xml><?xml version="1.0" encoding="utf-8"?>
<worksheet xmlns="http://schemas.openxmlformats.org/spreadsheetml/2006/main" xmlns:r="http://schemas.openxmlformats.org/officeDocument/2006/relationships">
  <sheetPr codeName="Sheet7">
    <tabColor rgb="FF00B050"/>
    <pageSetUpPr fitToPage="1"/>
  </sheetPr>
  <dimension ref="A1:L88"/>
  <sheetViews>
    <sheetView showGridLines="0" topLeftCell="A79" workbookViewId="0">
      <selection activeCell="G88" sqref="B88:G88"/>
    </sheetView>
  </sheetViews>
  <sheetFormatPr defaultColWidth="9.109375" defaultRowHeight="13.8"/>
  <cols>
    <col min="1" max="1" width="3.109375" style="18" customWidth="1"/>
    <col min="2" max="2" width="3.33203125" style="18" customWidth="1"/>
    <col min="3" max="3" width="22.6640625" style="18" bestFit="1" customWidth="1"/>
    <col min="4" max="4" width="29" style="18" customWidth="1"/>
    <col min="5" max="6" width="7.6640625" style="18" bestFit="1" customWidth="1"/>
    <col min="7" max="8" width="8.109375" style="18" bestFit="1" customWidth="1"/>
    <col min="9" max="9" width="42" style="18" customWidth="1"/>
    <col min="10" max="10" width="22.5546875" style="18" customWidth="1"/>
    <col min="11" max="11" width="8.109375" style="8" bestFit="1" customWidth="1"/>
    <col min="12" max="12" width="10.5546875" style="18" customWidth="1"/>
    <col min="13" max="13" width="9.33203125" style="18" bestFit="1" customWidth="1"/>
    <col min="14" max="19" width="9.109375" style="18"/>
    <col min="20" max="20" width="4.5546875" style="18" customWidth="1"/>
    <col min="21" max="16384" width="9.109375" style="18"/>
  </cols>
  <sheetData>
    <row r="1" spans="1:11" ht="27.6">
      <c r="A1" s="2" t="s">
        <v>722</v>
      </c>
    </row>
    <row r="2" spans="1:11" ht="60" customHeight="1"/>
    <row r="3" spans="1:11" ht="24" customHeight="1"/>
    <row r="4" spans="1:11" ht="21">
      <c r="A4" s="1" t="s">
        <v>1078</v>
      </c>
    </row>
    <row r="5" spans="1:11" ht="9" customHeight="1" thickBot="1">
      <c r="A5" s="1"/>
    </row>
    <row r="6" spans="1:11" s="62" customFormat="1" ht="15" customHeight="1" thickTop="1" thickBot="1">
      <c r="A6" s="103"/>
      <c r="B6" s="103"/>
      <c r="C6" s="558" t="s">
        <v>235</v>
      </c>
      <c r="D6" s="560"/>
      <c r="E6" s="65">
        <f>ITStaffMix*PCUsers</f>
        <v>157.77911356602164</v>
      </c>
      <c r="F6" s="310"/>
      <c r="H6" s="103"/>
      <c r="I6" s="103"/>
      <c r="J6" s="77"/>
      <c r="K6" s="103"/>
    </row>
    <row r="7" spans="1:11" s="62" customFormat="1" ht="13.5" customHeight="1" thickTop="1">
      <c r="A7" s="103"/>
      <c r="B7" s="103"/>
      <c r="C7" s="558" t="s">
        <v>725</v>
      </c>
      <c r="D7" s="559"/>
      <c r="E7" s="38">
        <f>ITStaff/PCUsers</f>
        <v>3.1555822713204326E-2</v>
      </c>
      <c r="F7" s="310"/>
      <c r="H7" s="103"/>
      <c r="I7" s="103"/>
      <c r="J7" s="77"/>
      <c r="K7" s="103"/>
    </row>
    <row r="8" spans="1:11" s="62" customFormat="1" ht="12.75" customHeight="1" thickBot="1">
      <c r="A8" s="103"/>
      <c r="B8" s="103"/>
      <c r="C8" s="558" t="s">
        <v>290</v>
      </c>
      <c r="D8" s="559"/>
      <c r="E8" s="84">
        <f>PCUsers/ITStaff</f>
        <v>31.689872550258578</v>
      </c>
      <c r="F8" s="310"/>
      <c r="H8" s="103"/>
      <c r="I8" s="103"/>
      <c r="J8" s="77"/>
      <c r="K8" s="103"/>
    </row>
    <row r="9" spans="1:11" s="287" customFormat="1" ht="25.5" customHeight="1" thickTop="1" thickBot="1">
      <c r="C9" s="558" t="s">
        <v>1107</v>
      </c>
      <c r="D9" s="560"/>
      <c r="E9" s="65">
        <f>ITStaff*0.06</f>
        <v>9.4667468139612971</v>
      </c>
      <c r="F9" s="310"/>
      <c r="J9" s="77"/>
    </row>
    <row r="10" spans="1:11" s="287" customFormat="1" ht="12.75" customHeight="1" thickTop="1">
      <c r="C10" s="558" t="s">
        <v>723</v>
      </c>
      <c r="D10" s="559"/>
      <c r="E10" s="296">
        <f>BIStaff/ITStaff</f>
        <v>5.9999999999999991E-2</v>
      </c>
      <c r="F10" s="310"/>
      <c r="J10" s="77"/>
    </row>
    <row r="11" spans="1:11" s="287" customFormat="1" ht="12.75" customHeight="1">
      <c r="C11" s="558" t="s">
        <v>724</v>
      </c>
      <c r="D11" s="559"/>
      <c r="E11" s="44">
        <f>PCUsers/BIStaff</f>
        <v>528.16454250430968</v>
      </c>
      <c r="F11" s="310"/>
      <c r="J11" s="77"/>
    </row>
    <row r="12" spans="1:11" s="62" customFormat="1" ht="22.5" customHeight="1">
      <c r="A12" s="103"/>
      <c r="B12" s="103"/>
      <c r="C12" s="561"/>
      <c r="D12" s="561"/>
      <c r="E12" s="561"/>
      <c r="F12" s="561"/>
      <c r="G12" s="561"/>
      <c r="H12" s="561"/>
      <c r="I12" s="103"/>
      <c r="J12" s="77"/>
      <c r="K12" s="103"/>
    </row>
    <row r="13" spans="1:11">
      <c r="I13" s="287"/>
    </row>
    <row r="14" spans="1:11" ht="39" customHeight="1" thickBot="1">
      <c r="C14" s="282" t="s">
        <v>728</v>
      </c>
      <c r="D14" s="205" t="s">
        <v>77</v>
      </c>
      <c r="E14" s="183" t="s">
        <v>230</v>
      </c>
      <c r="F14" s="282" t="s">
        <v>721</v>
      </c>
      <c r="G14" s="282" t="s">
        <v>727</v>
      </c>
      <c r="H14" s="282" t="s">
        <v>726</v>
      </c>
      <c r="I14" s="353" t="s">
        <v>976</v>
      </c>
      <c r="J14" s="282" t="s">
        <v>6</v>
      </c>
    </row>
    <row r="15" spans="1:11" ht="42" thickTop="1" thickBot="1">
      <c r="C15" s="81" t="s">
        <v>860</v>
      </c>
      <c r="D15" s="79" t="s">
        <v>870</v>
      </c>
      <c r="E15" s="186">
        <v>0.2</v>
      </c>
      <c r="F15" s="61">
        <f t="shared" ref="F15:F21" si="0">E15*BIStaff</f>
        <v>1.8933493627922595</v>
      </c>
      <c r="G15" s="61">
        <f t="shared" ref="G15:G21" ca="1" si="1">F15*(1-H15)</f>
        <v>1.4260307990889591</v>
      </c>
      <c r="H15" s="283">
        <f ca="1">ImpCalc!$D10*70%</f>
        <v>0.24682109540212469</v>
      </c>
      <c r="I15" s="395" t="str">
        <f ca="1">ImpCalc!BP10</f>
        <v>Centralized reporting (17%); User-empowered reporting (17%); Report scheduling, subscription, distribution (15%); Supports variety of report types (11%); Source System Inclusion / Integration (9%); BI Applications (7%)</v>
      </c>
      <c r="J15" s="137"/>
    </row>
    <row r="16" spans="1:11" ht="21.6" thickTop="1" thickBot="1">
      <c r="C16" s="81" t="s">
        <v>654</v>
      </c>
      <c r="D16" s="79" t="s">
        <v>869</v>
      </c>
      <c r="E16" s="276">
        <v>0.2</v>
      </c>
      <c r="F16" s="61">
        <f t="shared" si="0"/>
        <v>1.8933493627922595</v>
      </c>
      <c r="G16" s="61">
        <f t="shared" ca="1" si="1"/>
        <v>1.8011332705528549</v>
      </c>
      <c r="H16" s="385">
        <f ca="1">ImpCalc!$D11*50%</f>
        <v>4.8705270169160417E-2</v>
      </c>
      <c r="I16" s="395" t="str">
        <f ca="1">ImpCalc!BP11</f>
        <v>Enhance BI Platform (44%); Architecture Standards &amp; Adherence (23%)</v>
      </c>
      <c r="J16" s="137"/>
    </row>
    <row r="17" spans="3:12" ht="31.8" thickTop="1" thickBot="1">
      <c r="C17" s="81" t="s">
        <v>704</v>
      </c>
      <c r="D17" s="79" t="s">
        <v>867</v>
      </c>
      <c r="E17" s="276">
        <v>0.2</v>
      </c>
      <c r="F17" s="61">
        <f t="shared" si="0"/>
        <v>1.8933493627922595</v>
      </c>
      <c r="G17" s="61">
        <f t="shared" ca="1" si="1"/>
        <v>1.8218980776349567</v>
      </c>
      <c r="H17" s="385">
        <f ca="1">ImpCalc!$D12*50%</f>
        <v>3.7738035336451849E-2</v>
      </c>
      <c r="I17" s="395" t="str">
        <f ca="1">ImpCalc!BP12</f>
        <v>Metadata management (19%); High data quality (19%); Architecture Standards &amp; Adherence (18%); Metadata definitions (17%); Data Integration/ETL (15%)</v>
      </c>
      <c r="J17" s="137"/>
    </row>
    <row r="18" spans="3:12" ht="31.8" thickTop="1" thickBot="1">
      <c r="C18" s="81" t="s">
        <v>703</v>
      </c>
      <c r="D18" s="79" t="s">
        <v>866</v>
      </c>
      <c r="E18" s="276">
        <v>0.15</v>
      </c>
      <c r="F18" s="61">
        <f t="shared" si="0"/>
        <v>1.4200120220941945</v>
      </c>
      <c r="G18" s="61">
        <f t="shared" ca="1" si="1"/>
        <v>1.3413007601954443</v>
      </c>
      <c r="H18" s="385">
        <f ca="1">ImpCalc!$D13*50%</f>
        <v>5.5429996840920384E-2</v>
      </c>
      <c r="I18" s="395" t="str">
        <f ca="1">ImpCalc!BP13</f>
        <v>Source System Inclusion / Integration (29%); Data Integration/ETL (29%); Architecture Standards &amp; Adherence (23%); Data Management (13%)</v>
      </c>
      <c r="J18" s="137"/>
    </row>
    <row r="19" spans="3:12" ht="21.6" thickTop="1" thickBot="1">
      <c r="C19" s="81" t="s">
        <v>861</v>
      </c>
      <c r="D19" s="79" t="s">
        <v>977</v>
      </c>
      <c r="E19" s="276">
        <v>0.15</v>
      </c>
      <c r="F19" s="61">
        <f t="shared" si="0"/>
        <v>1.4200120220941945</v>
      </c>
      <c r="G19" s="61">
        <f t="shared" ca="1" si="1"/>
        <v>1.2356074502353982</v>
      </c>
      <c r="H19" s="385">
        <f ca="1">ImpCalc!$D14*70%</f>
        <v>0.12986127510867224</v>
      </c>
      <c r="I19" s="395" t="str">
        <f ca="1">ImpCalc!BP14</f>
        <v>Enhance BI Platform (51%); Source System Inclusion / Integration (28%); Architecture Standards &amp; Adherence (9%)</v>
      </c>
      <c r="J19" s="137"/>
    </row>
    <row r="20" spans="3:12" ht="31.8" thickTop="1" thickBot="1">
      <c r="C20" s="81" t="s">
        <v>218</v>
      </c>
      <c r="D20" s="79" t="s">
        <v>868</v>
      </c>
      <c r="E20" s="186">
        <v>0.08</v>
      </c>
      <c r="F20" s="61">
        <f t="shared" si="0"/>
        <v>0.75733974511690383</v>
      </c>
      <c r="G20" s="61">
        <f t="shared" ca="1" si="1"/>
        <v>0.72362937883663059</v>
      </c>
      <c r="H20" s="385">
        <f ca="1">ImpCalc!$D15*25%</f>
        <v>4.4511550460183028E-2</v>
      </c>
      <c r="I20" s="395" t="str">
        <f ca="1">ImpCalc!BP15</f>
        <v>Source System Inclusion / Integration (34%); Enhance BI Platform (27%); Architecture Standards &amp; Adherence (19%); Data Management (8%); Data Integration/ETL (8%)</v>
      </c>
      <c r="J20" s="137"/>
    </row>
    <row r="21" spans="3:12" ht="15" thickTop="1" thickBot="1">
      <c r="C21" s="81" t="s">
        <v>1</v>
      </c>
      <c r="D21" s="79"/>
      <c r="E21" s="43">
        <f>1-SUM(E15:E20)</f>
        <v>1.9999999999999907E-2</v>
      </c>
      <c r="F21" s="61">
        <f t="shared" si="0"/>
        <v>0.18933493627922507</v>
      </c>
      <c r="G21" s="61">
        <f t="shared" ca="1" si="1"/>
        <v>0.18933493627922507</v>
      </c>
      <c r="H21" s="385">
        <f ca="1">ImpCalc!$D16*25%</f>
        <v>0</v>
      </c>
      <c r="I21" s="395" t="str">
        <f ca="1">ImpCalc!BP16</f>
        <v/>
      </c>
      <c r="J21" s="137"/>
    </row>
    <row r="22" spans="3:12" ht="14.4" thickTop="1">
      <c r="C22" s="10" t="s">
        <v>14</v>
      </c>
      <c r="D22" s="103"/>
      <c r="E22" s="57">
        <f>SUM(E15:E21)</f>
        <v>1</v>
      </c>
      <c r="F22" s="181">
        <f>SUM(F15:F21)</f>
        <v>9.4667468139612971</v>
      </c>
      <c r="G22" s="181">
        <f ca="1">SUM(G15:G21)</f>
        <v>8.538934672823471</v>
      </c>
      <c r="H22" s="57">
        <f ca="1">(F22-G22)/F22</f>
        <v>9.8007495010800791E-2</v>
      </c>
      <c r="I22" s="287"/>
      <c r="L22" s="8"/>
    </row>
    <row r="23" spans="3:12" ht="14.25" customHeight="1">
      <c r="I23" s="287"/>
    </row>
    <row r="24" spans="3:12" ht="14.25" customHeight="1">
      <c r="E24" s="532" t="s">
        <v>862</v>
      </c>
      <c r="F24" s="532"/>
      <c r="G24" s="532"/>
      <c r="H24" s="532"/>
      <c r="I24" s="532" t="s">
        <v>323</v>
      </c>
      <c r="J24" s="532"/>
      <c r="K24" s="532"/>
    </row>
    <row r="25" spans="3:12" ht="26.4">
      <c r="C25" s="103"/>
      <c r="D25" s="308" t="s">
        <v>858</v>
      </c>
      <c r="E25" s="183" t="s">
        <v>74</v>
      </c>
      <c r="F25" s="183" t="s">
        <v>55</v>
      </c>
      <c r="G25" s="183" t="s">
        <v>70</v>
      </c>
      <c r="H25" s="183" t="s">
        <v>71</v>
      </c>
      <c r="I25" s="183" t="s">
        <v>73</v>
      </c>
      <c r="J25" s="183" t="s">
        <v>234</v>
      </c>
      <c r="K25" s="183" t="s">
        <v>70</v>
      </c>
    </row>
    <row r="26" spans="3:12">
      <c r="C26" s="60" t="str">
        <f>C15</f>
        <v>Report creation</v>
      </c>
      <c r="D26" s="85">
        <f>AnalystSalary</f>
        <v>116277.47917139062</v>
      </c>
      <c r="E26" s="297">
        <f t="shared" ref="E26:E32" si="2">D26*F15/BIs</f>
        <v>55.038472774060658</v>
      </c>
      <c r="F26" s="297">
        <f t="shared" ref="F26:F32" ca="1" si="3">D26*G15/BIs</f>
        <v>41.453816634706996</v>
      </c>
      <c r="G26" s="298">
        <f ca="1">E26-F26</f>
        <v>13.584656139353662</v>
      </c>
      <c r="H26" s="41">
        <f t="shared" ref="H26:H33" ca="1" si="4">G26/E26</f>
        <v>0.24682109540212457</v>
      </c>
      <c r="I26" s="61">
        <f>F15</f>
        <v>1.8933493627922595</v>
      </c>
      <c r="J26" s="61">
        <f ca="1">G15</f>
        <v>1.4260307990889591</v>
      </c>
      <c r="K26" s="61">
        <f ca="1">I26-J26</f>
        <v>0.46731856370330038</v>
      </c>
    </row>
    <row r="27" spans="3:12">
      <c r="C27" s="60" t="str">
        <f>C16</f>
        <v>Database administration</v>
      </c>
      <c r="D27" s="85">
        <f>DBASalary</f>
        <v>121044.26393455274</v>
      </c>
      <c r="E27" s="297">
        <f t="shared" si="2"/>
        <v>57.29476999753588</v>
      </c>
      <c r="F27" s="297">
        <f t="shared" ca="1" si="3"/>
        <v>54.50421274552599</v>
      </c>
      <c r="G27" s="298">
        <f t="shared" ref="G27:G32" ca="1" si="5">E27-F27</f>
        <v>2.79055725200989</v>
      </c>
      <c r="H27" s="41">
        <f t="shared" ca="1" si="4"/>
        <v>4.8705270169160389E-2</v>
      </c>
      <c r="I27" s="61">
        <f t="shared" ref="I27:J27" si="6">F16</f>
        <v>1.8933493627922595</v>
      </c>
      <c r="J27" s="61">
        <f t="shared" ca="1" si="6"/>
        <v>1.8011332705528549</v>
      </c>
      <c r="K27" s="61">
        <f t="shared" ref="K27:K32" ca="1" si="7">I27-J27</f>
        <v>9.2216092239404635E-2</v>
      </c>
    </row>
    <row r="28" spans="3:12">
      <c r="C28" s="60" t="s">
        <v>785</v>
      </c>
      <c r="D28" s="85">
        <f>AnalystSalary</f>
        <v>116277.47917139062</v>
      </c>
      <c r="E28" s="297">
        <f t="shared" si="2"/>
        <v>55.038472774060658</v>
      </c>
      <c r="F28" s="297">
        <f t="shared" ca="1" si="3"/>
        <v>52.961428943648819</v>
      </c>
      <c r="G28" s="298">
        <f t="shared" ca="1" si="5"/>
        <v>2.0770438304118386</v>
      </c>
      <c r="H28" s="41">
        <f t="shared" ca="1" si="4"/>
        <v>3.7738035336451752E-2</v>
      </c>
      <c r="I28" s="61">
        <f t="shared" ref="I28:J32" si="8">F17</f>
        <v>1.8933493627922595</v>
      </c>
      <c r="J28" s="61">
        <f t="shared" ca="1" si="8"/>
        <v>1.8218980776349567</v>
      </c>
      <c r="K28" s="61">
        <f t="shared" ca="1" si="7"/>
        <v>7.1451285157302813E-2</v>
      </c>
    </row>
    <row r="29" spans="3:12">
      <c r="C29" s="60" t="s">
        <v>863</v>
      </c>
      <c r="D29" s="85">
        <f>EngrSalary</f>
        <v>127687.37014253785</v>
      </c>
      <c r="E29" s="297">
        <f t="shared" si="2"/>
        <v>45.329400167998763</v>
      </c>
      <c r="F29" s="297">
        <f t="shared" ca="1" si="3"/>
        <v>42.81679165988578</v>
      </c>
      <c r="G29" s="298">
        <f t="shared" ca="1" si="5"/>
        <v>2.512608508112983</v>
      </c>
      <c r="H29" s="41">
        <f t="shared" ca="1" si="4"/>
        <v>5.5429996840920287E-2</v>
      </c>
      <c r="I29" s="61">
        <f t="shared" si="8"/>
        <v>1.4200120220941945</v>
      </c>
      <c r="J29" s="61">
        <f t="shared" ca="1" si="8"/>
        <v>1.3413007601954443</v>
      </c>
      <c r="K29" s="61">
        <f t="shared" ca="1" si="7"/>
        <v>7.8711261898750218E-2</v>
      </c>
    </row>
    <row r="30" spans="3:12">
      <c r="C30" s="60" t="str">
        <f>C19</f>
        <v>Application development</v>
      </c>
      <c r="D30" s="85">
        <f>EngrSalary</f>
        <v>127687.37014253785</v>
      </c>
      <c r="E30" s="297">
        <f t="shared" si="2"/>
        <v>45.329400167998763</v>
      </c>
      <c r="F30" s="297">
        <f t="shared" ca="1" si="3"/>
        <v>39.442866462271184</v>
      </c>
      <c r="G30" s="298">
        <f t="shared" ca="1" si="5"/>
        <v>5.8865337057275795</v>
      </c>
      <c r="H30" s="41">
        <f t="shared" ca="1" si="4"/>
        <v>0.12986127510867221</v>
      </c>
      <c r="I30" s="61">
        <f t="shared" si="8"/>
        <v>1.4200120220941945</v>
      </c>
      <c r="J30" s="61">
        <f t="shared" ca="1" si="8"/>
        <v>1.2356074502353982</v>
      </c>
      <c r="K30" s="61">
        <f t="shared" ca="1" si="7"/>
        <v>0.18440457185879633</v>
      </c>
    </row>
    <row r="31" spans="3:12">
      <c r="C31" s="60" t="str">
        <f>C20</f>
        <v>Administration</v>
      </c>
      <c r="D31" s="85">
        <f>DBASalary</f>
        <v>121044.26393455274</v>
      </c>
      <c r="E31" s="297">
        <f t="shared" si="2"/>
        <v>22.91790799901435</v>
      </c>
      <c r="F31" s="297">
        <f t="shared" ca="1" si="3"/>
        <v>21.897796380674389</v>
      </c>
      <c r="G31" s="298">
        <f t="shared" ca="1" si="5"/>
        <v>1.0201116183399606</v>
      </c>
      <c r="H31" s="41">
        <f t="shared" ca="1" si="4"/>
        <v>4.4511550460183076E-2</v>
      </c>
      <c r="I31" s="61">
        <f t="shared" si="8"/>
        <v>0.75733974511690383</v>
      </c>
      <c r="J31" s="61">
        <f t="shared" ca="1" si="8"/>
        <v>0.72362937883663059</v>
      </c>
      <c r="K31" s="61">
        <f t="shared" ca="1" si="7"/>
        <v>3.3710366280273241E-2</v>
      </c>
    </row>
    <row r="32" spans="3:12" ht="14.4" thickBot="1">
      <c r="C32" s="60" t="str">
        <f>C21</f>
        <v>Other</v>
      </c>
      <c r="D32" s="85">
        <f>D31</f>
        <v>121044.26393455274</v>
      </c>
      <c r="E32" s="297">
        <f t="shared" si="2"/>
        <v>5.7294769997535617</v>
      </c>
      <c r="F32" s="297">
        <f t="shared" ca="1" si="3"/>
        <v>5.7294769997535617</v>
      </c>
      <c r="G32" s="298">
        <f t="shared" ca="1" si="5"/>
        <v>0</v>
      </c>
      <c r="H32" s="41">
        <f t="shared" ca="1" si="4"/>
        <v>0</v>
      </c>
      <c r="I32" s="61">
        <f t="shared" si="8"/>
        <v>0.18933493627922507</v>
      </c>
      <c r="J32" s="61">
        <f t="shared" ca="1" si="8"/>
        <v>0.18933493627922507</v>
      </c>
      <c r="K32" s="61">
        <f t="shared" ca="1" si="7"/>
        <v>0</v>
      </c>
    </row>
    <row r="33" spans="3:11" ht="14.4" thickTop="1">
      <c r="C33" s="78" t="s">
        <v>0</v>
      </c>
      <c r="E33" s="299">
        <f>SUM(E26:E32)</f>
        <v>286.67790088042261</v>
      </c>
      <c r="F33" s="299">
        <f ca="1">SUM(F26:F32)</f>
        <v>258.80638982646673</v>
      </c>
      <c r="G33" s="299">
        <f ca="1">SUM(G26:G32)</f>
        <v>27.871511053955913</v>
      </c>
      <c r="H33" s="57">
        <f t="shared" ca="1" si="4"/>
        <v>9.7222391291268431E-2</v>
      </c>
      <c r="I33" s="181">
        <f>SUM(I26:I32)</f>
        <v>9.4667468139612971</v>
      </c>
      <c r="J33" s="181">
        <f ca="1">SUM(J26:J32)</f>
        <v>8.538934672823471</v>
      </c>
      <c r="K33" s="181">
        <f ca="1">SUM(K26:K32)</f>
        <v>0.92781214113782762</v>
      </c>
    </row>
    <row r="34" spans="3:11" ht="14.25" customHeight="1">
      <c r="C34" s="561" t="s">
        <v>859</v>
      </c>
      <c r="D34" s="561"/>
      <c r="E34" s="561"/>
      <c r="F34" s="561"/>
      <c r="G34" s="561"/>
      <c r="H34" s="561"/>
      <c r="I34" s="287"/>
    </row>
    <row r="53" spans="1:8">
      <c r="C53" s="73"/>
      <c r="D53" s="73"/>
    </row>
    <row r="59" spans="1:8" ht="21">
      <c r="A59" s="1" t="s">
        <v>1079</v>
      </c>
    </row>
    <row r="60" spans="1:8" ht="39.6">
      <c r="E60" s="406" t="s">
        <v>1066</v>
      </c>
      <c r="F60" s="406" t="s">
        <v>1067</v>
      </c>
      <c r="G60" s="406" t="s">
        <v>1073</v>
      </c>
      <c r="H60" s="436" t="s">
        <v>1075</v>
      </c>
    </row>
    <row r="61" spans="1:8">
      <c r="C61" s="558" t="s">
        <v>1068</v>
      </c>
      <c r="D61" s="560"/>
      <c r="E61" s="61">
        <f>F22</f>
        <v>9.4667468139612971</v>
      </c>
      <c r="F61" s="255">
        <f>E33</f>
        <v>286.67790088042261</v>
      </c>
      <c r="G61" s="255">
        <f>F61*BIs/1000</f>
        <v>1146.7116035216904</v>
      </c>
      <c r="H61" s="289">
        <f>G61/$G$61</f>
        <v>1</v>
      </c>
    </row>
    <row r="62" spans="1:8">
      <c r="C62" s="558" t="s">
        <v>1069</v>
      </c>
      <c r="D62" s="559"/>
      <c r="E62" s="61">
        <f ca="1">G22</f>
        <v>8.538934672823471</v>
      </c>
      <c r="F62" s="255">
        <f ca="1">F33</f>
        <v>258.80638982646673</v>
      </c>
      <c r="G62" s="255">
        <f ca="1">F62*BIs/1000</f>
        <v>1035.2255593058669</v>
      </c>
      <c r="H62" s="289">
        <f t="shared" ref="H62:H63" ca="1" si="9">G62/$G$61</f>
        <v>0.90277760870873169</v>
      </c>
    </row>
    <row r="63" spans="1:8">
      <c r="C63" s="558" t="s">
        <v>1071</v>
      </c>
      <c r="D63" s="560"/>
      <c r="E63" s="61">
        <f ca="1">E62+E66</f>
        <v>10.423614012251839</v>
      </c>
      <c r="F63" s="255">
        <f ca="1">F62+F66</f>
        <v>315.92909593761465</v>
      </c>
      <c r="G63" s="255">
        <f ca="1">G62+G66</f>
        <v>1263.7163837504586</v>
      </c>
      <c r="H63" s="289">
        <f t="shared" ca="1" si="9"/>
        <v>1.1020350538613477</v>
      </c>
    </row>
    <row r="65" spans="3:9">
      <c r="C65" s="558" t="s">
        <v>1072</v>
      </c>
      <c r="D65" s="559"/>
      <c r="E65" s="61">
        <f ca="1">E61-E62</f>
        <v>0.92781214113782617</v>
      </c>
      <c r="F65" s="255">
        <f ca="1">F61-F62</f>
        <v>27.871511053955885</v>
      </c>
      <c r="G65" s="255">
        <f ca="1">F65*BIs/1000</f>
        <v>111.48604421582354</v>
      </c>
      <c r="H65" s="289">
        <f t="shared" ref="H65:H66" ca="1" si="10">G65/$G$61</f>
        <v>9.7222391291268334E-2</v>
      </c>
      <c r="I65" s="40" t="s">
        <v>1076</v>
      </c>
    </row>
    <row r="66" spans="3:9" ht="14.4" thickBot="1">
      <c r="C66" s="558" t="s">
        <v>1070</v>
      </c>
      <c r="D66" s="559"/>
      <c r="E66" s="61">
        <f>'Costs - Labor'!K135+'Costs - Labor'!K137</f>
        <v>1.8846793394283676</v>
      </c>
      <c r="F66" s="255">
        <f ca="1">F62/E62*E66</f>
        <v>57.122706111147892</v>
      </c>
      <c r="G66" s="255">
        <f ca="1">F66*BIs/1000</f>
        <v>228.49082444459157</v>
      </c>
      <c r="H66" s="289">
        <f t="shared" ca="1" si="10"/>
        <v>0.19925744515261598</v>
      </c>
      <c r="I66" s="40" t="s">
        <v>1077</v>
      </c>
    </row>
    <row r="67" spans="3:9" ht="14.4" thickTop="1">
      <c r="C67" s="558" t="s">
        <v>1074</v>
      </c>
      <c r="D67" s="559"/>
      <c r="E67" s="181">
        <f ca="1">E63-E61</f>
        <v>0.95686719829054212</v>
      </c>
      <c r="F67" s="347">
        <f ca="1">F63-F61</f>
        <v>29.251195057192035</v>
      </c>
      <c r="G67" s="347">
        <f ca="1">G63-G61</f>
        <v>117.00478022876814</v>
      </c>
      <c r="H67" s="290">
        <f ca="1">G67/$G$61</f>
        <v>0.10203505386134776</v>
      </c>
    </row>
    <row r="88" spans="2:6">
      <c r="B88" s="403"/>
      <c r="C88" s="403"/>
      <c r="D88" s="403"/>
      <c r="E88" s="403"/>
      <c r="F88" s="403"/>
    </row>
  </sheetData>
  <sheetProtection selectLockedCells="1" selectUnlockedCells="1"/>
  <mergeCells count="16">
    <mergeCell ref="C62:D62"/>
    <mergeCell ref="C66:D66"/>
    <mergeCell ref="C63:D63"/>
    <mergeCell ref="C65:D65"/>
    <mergeCell ref="C67:D67"/>
    <mergeCell ref="I24:K24"/>
    <mergeCell ref="C12:H12"/>
    <mergeCell ref="C34:H34"/>
    <mergeCell ref="E24:H24"/>
    <mergeCell ref="C61:D61"/>
    <mergeCell ref="C10:D10"/>
    <mergeCell ref="C11:D11"/>
    <mergeCell ref="C6:D6"/>
    <mergeCell ref="C7:D7"/>
    <mergeCell ref="C8:D8"/>
    <mergeCell ref="C9:D9"/>
  </mergeCells>
  <pageMargins left="0.25" right="0.25" top="0.75" bottom="0.75" header="0.3" footer="0.3"/>
  <pageSetup scale="64" fitToHeight="10" orientation="portrait" horizontalDpi="300" verticalDpi="300" r:id="rId1"/>
  <headerFooter>
    <oddFooter>&amp;LTDWI Business Intelligence ROI Calculator&amp;C&amp;A Worksheet&amp;R&amp;P of &amp;N</oddFooter>
  </headerFooter>
  <drawing r:id="rId2"/>
</worksheet>
</file>

<file path=xl/worksheets/sheet8.xml><?xml version="1.0" encoding="utf-8"?>
<worksheet xmlns="http://schemas.openxmlformats.org/spreadsheetml/2006/main" xmlns:r="http://schemas.openxmlformats.org/officeDocument/2006/relationships">
  <sheetPr codeName="Sheet13">
    <tabColor rgb="FF00B050"/>
    <outlinePr summaryBelow="0" summaryRight="0"/>
    <pageSetUpPr fitToPage="1"/>
  </sheetPr>
  <dimension ref="A1:O133"/>
  <sheetViews>
    <sheetView showGridLines="0" topLeftCell="A127" workbookViewId="0">
      <selection activeCell="H133" sqref="B133:H133"/>
    </sheetView>
  </sheetViews>
  <sheetFormatPr defaultColWidth="9.109375" defaultRowHeight="13.2"/>
  <cols>
    <col min="1" max="1" width="1.6640625" style="103" customWidth="1"/>
    <col min="2" max="2" width="2.33203125" style="103" customWidth="1"/>
    <col min="3" max="3" width="2.44140625" style="103" customWidth="1"/>
    <col min="4" max="4" width="30.88671875" style="103" customWidth="1"/>
    <col min="5" max="5" width="11.33203125" style="103" customWidth="1"/>
    <col min="6" max="6" width="13.88671875" style="103" bestFit="1" customWidth="1"/>
    <col min="7" max="7" width="12.6640625" style="103" bestFit="1" customWidth="1"/>
    <col min="8" max="8" width="11.88671875" style="103" bestFit="1" customWidth="1"/>
    <col min="9" max="9" width="23.6640625" style="103" customWidth="1"/>
    <col min="10" max="10" width="36" style="103" customWidth="1"/>
    <col min="11" max="16384" width="9.109375" style="12"/>
  </cols>
  <sheetData>
    <row r="1" spans="1:10" ht="27.6">
      <c r="A1" s="2" t="s">
        <v>102</v>
      </c>
      <c r="B1" s="2"/>
    </row>
    <row r="2" spans="1:10" ht="22.8">
      <c r="A2" s="13"/>
      <c r="B2" s="13"/>
    </row>
    <row r="3" spans="1:10" ht="21">
      <c r="B3" s="1" t="s">
        <v>303</v>
      </c>
      <c r="G3" s="188"/>
      <c r="J3" s="15"/>
    </row>
    <row r="4" spans="1:10" ht="15">
      <c r="C4" s="6" t="s">
        <v>840</v>
      </c>
      <c r="G4" s="188"/>
      <c r="I4" s="265"/>
    </row>
    <row r="5" spans="1:10" ht="13.8">
      <c r="C5" s="14"/>
      <c r="D5" s="53" t="s">
        <v>989</v>
      </c>
      <c r="G5" s="188"/>
    </row>
    <row r="6" spans="1:10" ht="27" thickBot="1">
      <c r="C6" s="14"/>
      <c r="E6" s="308" t="s">
        <v>13</v>
      </c>
      <c r="F6" s="183" t="s">
        <v>261</v>
      </c>
      <c r="G6" s="183" t="s">
        <v>262</v>
      </c>
      <c r="H6" s="183" t="str">
        <f>Duration&amp;"-Year Total"</f>
        <v>5-Year Total</v>
      </c>
      <c r="I6" s="350" t="s">
        <v>6</v>
      </c>
      <c r="J6" s="401" t="s">
        <v>976</v>
      </c>
    </row>
    <row r="7" spans="1:10" ht="15" thickTop="1" thickBot="1">
      <c r="D7" s="23" t="s">
        <v>96</v>
      </c>
      <c r="E7" s="309">
        <f t="shared" ref="E7:E12" si="0">BIs</f>
        <v>4000</v>
      </c>
      <c r="F7" s="48">
        <f ca="1">G7/0.25</f>
        <v>18.407037482961179</v>
      </c>
      <c r="G7" s="48">
        <f ca="1">ImpCalc!$D$20*10</f>
        <v>4.6017593707402948</v>
      </c>
      <c r="H7" s="98">
        <f t="shared" ref="H7:H12" ca="1" si="1">(F7+G7*Duration)*E7</f>
        <v>165663.33734665063</v>
      </c>
      <c r="I7" s="354"/>
      <c r="J7" s="562" t="str">
        <f ca="1">ImpCalc!BP20</f>
        <v>BI Applications (32%); Analytical Tools (21%); Workflow and Collaboration (19%); Scorecards / Dashboards (16%); Reporting (13%)</v>
      </c>
    </row>
    <row r="8" spans="1:10" s="82" customFormat="1" ht="15" thickTop="1" thickBot="1">
      <c r="A8" s="103"/>
      <c r="B8" s="103"/>
      <c r="C8" s="103"/>
      <c r="D8" s="23" t="s">
        <v>97</v>
      </c>
      <c r="E8" s="309">
        <f t="shared" si="0"/>
        <v>4000</v>
      </c>
      <c r="F8" s="48"/>
      <c r="G8" s="48">
        <f ca="1">ImpCalc!$D$20*30</f>
        <v>13.805278112220885</v>
      </c>
      <c r="H8" s="98">
        <f t="shared" ca="1" si="1"/>
        <v>276105.56224441767</v>
      </c>
      <c r="I8" s="354"/>
      <c r="J8" s="563"/>
    </row>
    <row r="9" spans="1:10" ht="15" thickTop="1" thickBot="1">
      <c r="D9" s="23" t="s">
        <v>851</v>
      </c>
      <c r="E9" s="309">
        <f t="shared" si="0"/>
        <v>4000</v>
      </c>
      <c r="F9" s="48"/>
      <c r="G9" s="48">
        <f ca="1">ImpCalc!$D$20*50</f>
        <v>23.008796853701476</v>
      </c>
      <c r="H9" s="98">
        <f t="shared" ca="1" si="1"/>
        <v>460175.93707402953</v>
      </c>
      <c r="I9" s="354"/>
      <c r="J9" s="563"/>
    </row>
    <row r="10" spans="1:10" ht="15" thickTop="1" thickBot="1">
      <c r="D10" s="23" t="s">
        <v>852</v>
      </c>
      <c r="E10" s="309">
        <f t="shared" si="0"/>
        <v>4000</v>
      </c>
      <c r="F10" s="48"/>
      <c r="G10" s="48"/>
      <c r="H10" s="98">
        <f t="shared" si="1"/>
        <v>0</v>
      </c>
      <c r="I10" s="354"/>
      <c r="J10" s="563"/>
    </row>
    <row r="11" spans="1:10" ht="15" thickTop="1" thickBot="1">
      <c r="D11" s="23" t="s">
        <v>1</v>
      </c>
      <c r="E11" s="309">
        <f t="shared" si="0"/>
        <v>4000</v>
      </c>
      <c r="F11" s="48"/>
      <c r="G11" s="48"/>
      <c r="H11" s="98">
        <f t="shared" si="1"/>
        <v>0</v>
      </c>
      <c r="I11" s="354"/>
      <c r="J11" s="563"/>
    </row>
    <row r="12" spans="1:10" ht="15" thickTop="1" thickBot="1">
      <c r="D12" s="23" t="s">
        <v>1</v>
      </c>
      <c r="E12" s="309">
        <f t="shared" si="0"/>
        <v>4000</v>
      </c>
      <c r="F12" s="48"/>
      <c r="G12" s="48"/>
      <c r="H12" s="98">
        <f t="shared" si="1"/>
        <v>0</v>
      </c>
      <c r="I12" s="354"/>
      <c r="J12" s="563"/>
    </row>
    <row r="13" spans="1:10" ht="13.8" thickTop="1">
      <c r="D13" s="24" t="s">
        <v>0</v>
      </c>
      <c r="F13" s="49">
        <f ca="1">SUMPRODUCT($E7:$E12,F7:F12)</f>
        <v>73628.149931844717</v>
      </c>
      <c r="G13" s="49">
        <f ca="1">SUMPRODUCT($E7:$E12,G7:G12)</f>
        <v>165663.3373466506</v>
      </c>
      <c r="H13" s="49">
        <f ca="1">SUM(H7:H12)</f>
        <v>901944.83666509786</v>
      </c>
      <c r="J13" s="352"/>
    </row>
    <row r="14" spans="1:10" s="62" customFormat="1">
      <c r="A14" s="103"/>
      <c r="B14" s="103"/>
      <c r="C14" s="103"/>
      <c r="D14" s="103"/>
      <c r="E14" s="103"/>
      <c r="F14" s="103"/>
      <c r="G14" s="103"/>
      <c r="H14" s="103"/>
      <c r="I14" s="103"/>
      <c r="J14" s="352"/>
    </row>
    <row r="15" spans="1:10" s="62" customFormat="1" ht="15">
      <c r="A15" s="103"/>
      <c r="B15" s="103"/>
      <c r="C15" s="6" t="s">
        <v>850</v>
      </c>
      <c r="D15" s="103"/>
      <c r="E15" s="103"/>
      <c r="F15" s="103"/>
      <c r="G15" s="188"/>
      <c r="H15" s="103"/>
      <c r="I15" s="103"/>
      <c r="J15" s="352"/>
    </row>
    <row r="16" spans="1:10" s="62" customFormat="1" ht="13.8">
      <c r="A16" s="103"/>
      <c r="B16" s="103"/>
      <c r="C16" s="14"/>
      <c r="D16" s="53" t="s">
        <v>855</v>
      </c>
      <c r="E16" s="103"/>
      <c r="F16" s="103"/>
      <c r="G16" s="188"/>
      <c r="H16" s="103"/>
      <c r="I16" s="103"/>
      <c r="J16" s="352"/>
    </row>
    <row r="17" spans="1:10" s="82" customFormat="1" ht="13.8">
      <c r="A17" s="103"/>
      <c r="B17" s="103"/>
      <c r="C17" s="14"/>
      <c r="D17" s="53"/>
      <c r="E17" s="103"/>
      <c r="F17" s="103"/>
      <c r="G17" s="188"/>
      <c r="H17" s="103"/>
      <c r="I17" s="103"/>
      <c r="J17" s="352"/>
    </row>
    <row r="18" spans="1:10" s="62" customFormat="1" ht="27" thickBot="1">
      <c r="A18" s="103"/>
      <c r="B18" s="103"/>
      <c r="C18" s="14"/>
      <c r="D18" s="103"/>
      <c r="E18" s="183" t="s">
        <v>13</v>
      </c>
      <c r="F18" s="183" t="s">
        <v>261</v>
      </c>
      <c r="G18" s="183" t="s">
        <v>262</v>
      </c>
      <c r="H18" s="183" t="str">
        <f>Duration&amp;"-Year Total"</f>
        <v>5-Year Total</v>
      </c>
      <c r="I18" s="350" t="s">
        <v>6</v>
      </c>
      <c r="J18" s="350" t="str">
        <f>J$6</f>
        <v>Key Initiatives Enabling the Improvement</v>
      </c>
    </row>
    <row r="19" spans="1:10" s="62" customFormat="1" ht="15" customHeight="1" thickTop="1" thickBot="1">
      <c r="A19" s="103"/>
      <c r="B19" s="103"/>
      <c r="C19" s="103"/>
      <c r="D19" s="23" t="s">
        <v>853</v>
      </c>
      <c r="E19" s="187">
        <f>BIs/400</f>
        <v>10</v>
      </c>
      <c r="F19" s="48">
        <f ca="1">G19/0.25</f>
        <v>8721.7783967055275</v>
      </c>
      <c r="G19" s="48">
        <f ca="1">ImpCalc!$D$21*5000</f>
        <v>2180.4445991763819</v>
      </c>
      <c r="H19" s="98">
        <f ca="1">(F19+G19*Duration)*E19</f>
        <v>196240.01392587437</v>
      </c>
      <c r="I19" s="354"/>
      <c r="J19" s="562" t="str">
        <f ca="1">ImpCalc!BP21</f>
        <v>BI Applications (31%); Workflow and Collaboration (31%); Scorecards / Dashboards (15%); Reporting (12%); Analytical Tools (10%)</v>
      </c>
    </row>
    <row r="20" spans="1:10" s="62" customFormat="1" ht="15" thickTop="1" thickBot="1">
      <c r="A20" s="103"/>
      <c r="B20" s="103"/>
      <c r="C20" s="103"/>
      <c r="D20" s="23" t="s">
        <v>854</v>
      </c>
      <c r="E20" s="309">
        <f>E19</f>
        <v>10</v>
      </c>
      <c r="F20" s="48">
        <v>0</v>
      </c>
      <c r="G20" s="48">
        <f ca="1">ImpCalc!$D$21*2500</f>
        <v>1090.2222995881909</v>
      </c>
      <c r="H20" s="98">
        <f ca="1">(F20+G20*Duration)*E20</f>
        <v>54511.114979409547</v>
      </c>
      <c r="I20" s="354"/>
      <c r="J20" s="563"/>
    </row>
    <row r="21" spans="1:10" s="62" customFormat="1" ht="15" thickTop="1" thickBot="1">
      <c r="A21" s="103"/>
      <c r="B21" s="103"/>
      <c r="C21" s="103"/>
      <c r="D21" s="23" t="s">
        <v>1139</v>
      </c>
      <c r="E21" s="309">
        <f>E20</f>
        <v>10</v>
      </c>
      <c r="F21" s="48">
        <v>0</v>
      </c>
      <c r="G21" s="48">
        <f ca="1">ImpCalc!$D$21*800</f>
        <v>348.87113586822107</v>
      </c>
      <c r="H21" s="98">
        <f ca="1">(F21+G21*Duration)*E21</f>
        <v>17443.556793411051</v>
      </c>
      <c r="I21" s="354"/>
      <c r="J21" s="563"/>
    </row>
    <row r="22" spans="1:10" s="62" customFormat="1" ht="15" thickTop="1" thickBot="1">
      <c r="A22" s="103"/>
      <c r="B22" s="103"/>
      <c r="C22" s="103"/>
      <c r="D22" s="23" t="s">
        <v>1</v>
      </c>
      <c r="E22" s="309">
        <f>E21</f>
        <v>10</v>
      </c>
      <c r="F22" s="48">
        <v>0</v>
      </c>
      <c r="G22" s="48">
        <v>0</v>
      </c>
      <c r="H22" s="98">
        <f>(F22+G22*Duration)*E22</f>
        <v>0</v>
      </c>
      <c r="I22" s="354"/>
      <c r="J22" s="563"/>
    </row>
    <row r="23" spans="1:10" s="62" customFormat="1" ht="15" thickTop="1" thickBot="1">
      <c r="A23" s="103"/>
      <c r="B23" s="103"/>
      <c r="C23" s="103"/>
      <c r="D23" s="23" t="s">
        <v>1</v>
      </c>
      <c r="E23" s="309">
        <f>E22</f>
        <v>10</v>
      </c>
      <c r="F23" s="48">
        <v>0</v>
      </c>
      <c r="G23" s="48">
        <v>0</v>
      </c>
      <c r="H23" s="98">
        <f>(F23+G23*Duration)*E23</f>
        <v>0</v>
      </c>
      <c r="I23" s="354"/>
      <c r="J23" s="563"/>
    </row>
    <row r="24" spans="1:10" s="62" customFormat="1" ht="13.8" thickTop="1">
      <c r="A24" s="103"/>
      <c r="B24" s="103"/>
      <c r="C24" s="103"/>
      <c r="D24" s="25" t="s">
        <v>0</v>
      </c>
      <c r="E24" s="19"/>
      <c r="F24" s="49">
        <f ca="1">SUMPRODUCT($E19:$E23,F19:F23)</f>
        <v>87217.783967055278</v>
      </c>
      <c r="G24" s="49">
        <f ca="1">SUMPRODUCT($E19:$E23,G19:G23)</f>
        <v>36195.38034632794</v>
      </c>
      <c r="H24" s="49">
        <f ca="1">SUM(H19:H23)</f>
        <v>268194.68569869496</v>
      </c>
      <c r="I24" s="103"/>
      <c r="J24" s="352"/>
    </row>
    <row r="25" spans="1:10" s="62" customFormat="1">
      <c r="A25" s="103"/>
      <c r="B25" s="103"/>
      <c r="C25" s="103"/>
      <c r="D25" s="16"/>
      <c r="E25" s="103"/>
      <c r="F25" s="188"/>
      <c r="G25" s="103"/>
      <c r="H25" s="103"/>
      <c r="I25" s="103"/>
      <c r="J25" s="352"/>
    </row>
    <row r="26" spans="1:10" ht="15">
      <c r="C26" s="6" t="s">
        <v>841</v>
      </c>
      <c r="D26" s="16"/>
      <c r="F26" s="17"/>
      <c r="G26" s="188"/>
      <c r="J26" s="352"/>
    </row>
    <row r="27" spans="1:10" s="62" customFormat="1" ht="27" thickBot="1">
      <c r="A27" s="103"/>
      <c r="B27" s="103"/>
      <c r="C27" s="103"/>
      <c r="D27" s="16"/>
      <c r="E27" s="183" t="s">
        <v>13</v>
      </c>
      <c r="F27" s="183" t="s">
        <v>261</v>
      </c>
      <c r="G27" s="183" t="s">
        <v>262</v>
      </c>
      <c r="H27" s="183" t="str">
        <f>Duration&amp;"-Year Total"</f>
        <v>5-Year Total</v>
      </c>
      <c r="I27" s="350" t="s">
        <v>6</v>
      </c>
      <c r="J27" s="350" t="str">
        <f>J$6</f>
        <v>Key Initiatives Enabling the Improvement</v>
      </c>
    </row>
    <row r="28" spans="1:10" s="62" customFormat="1" ht="15" thickTop="1" thickBot="1">
      <c r="A28" s="103"/>
      <c r="B28" s="103"/>
      <c r="C28" s="103"/>
      <c r="D28" s="23" t="s">
        <v>856</v>
      </c>
      <c r="E28" s="309">
        <f>BIs/400</f>
        <v>10</v>
      </c>
      <c r="F28" s="48">
        <v>0</v>
      </c>
      <c r="G28" s="48">
        <f ca="1">ImpCalc!$D$22*10000*0.25</f>
        <v>157.49842501574997</v>
      </c>
      <c r="H28" s="98">
        <f ca="1">(F28+G28*Duration)*E28</f>
        <v>7874.9212507874981</v>
      </c>
      <c r="I28" s="354"/>
      <c r="J28" s="562" t="str">
        <f ca="1">ImpCalc!BP22</f>
        <v>Architecture Standards &amp; Adherence (67%); A single, central DW (33%)</v>
      </c>
    </row>
    <row r="29" spans="1:10" s="62" customFormat="1" ht="15" thickTop="1" thickBot="1">
      <c r="A29" s="103"/>
      <c r="B29" s="103"/>
      <c r="C29" s="103"/>
      <c r="D29" s="23" t="s">
        <v>857</v>
      </c>
      <c r="E29" s="309">
        <f>E28</f>
        <v>10</v>
      </c>
      <c r="F29" s="48">
        <v>0</v>
      </c>
      <c r="G29" s="48">
        <f ca="1">ImpCalc!$D$22*0</f>
        <v>0</v>
      </c>
      <c r="H29" s="98">
        <f ca="1">(F29+G29*Duration)*E29</f>
        <v>0</v>
      </c>
      <c r="I29" s="354"/>
      <c r="J29" s="563"/>
    </row>
    <row r="30" spans="1:10" s="62" customFormat="1" ht="15" thickTop="1" thickBot="1">
      <c r="A30" s="103"/>
      <c r="B30" s="103"/>
      <c r="C30" s="103"/>
      <c r="D30" s="23"/>
      <c r="E30" s="187">
        <f>E29</f>
        <v>10</v>
      </c>
      <c r="F30" s="48">
        <v>0</v>
      </c>
      <c r="G30" s="48">
        <f ca="1">ImpCalc!$D$22*0</f>
        <v>0</v>
      </c>
      <c r="H30" s="98">
        <f ca="1">(F30+G30*Duration)*E30</f>
        <v>0</v>
      </c>
      <c r="I30" s="354"/>
      <c r="J30" s="563"/>
    </row>
    <row r="31" spans="1:10" s="82" customFormat="1" ht="15" thickTop="1" thickBot="1">
      <c r="A31" s="103"/>
      <c r="B31" s="103"/>
      <c r="C31" s="103"/>
      <c r="D31" s="23"/>
      <c r="E31" s="187">
        <f>E30</f>
        <v>10</v>
      </c>
      <c r="F31" s="48">
        <v>0</v>
      </c>
      <c r="G31" s="48">
        <f ca="1">ImpCalc!$D$22*0</f>
        <v>0</v>
      </c>
      <c r="H31" s="98">
        <f ca="1">(F31+G31*Duration)*E31</f>
        <v>0</v>
      </c>
      <c r="I31" s="354"/>
      <c r="J31" s="563"/>
    </row>
    <row r="32" spans="1:10" s="62" customFormat="1" ht="15" thickTop="1" thickBot="1">
      <c r="A32" s="103"/>
      <c r="B32" s="103"/>
      <c r="C32" s="103"/>
      <c r="D32" s="23" t="s">
        <v>1</v>
      </c>
      <c r="E32" s="187">
        <f>E31</f>
        <v>10</v>
      </c>
      <c r="F32" s="48">
        <v>0</v>
      </c>
      <c r="G32" s="48">
        <f ca="1">ImpCalc!$D$22*0</f>
        <v>0</v>
      </c>
      <c r="H32" s="98">
        <f ca="1">(F32+G32*Duration)*E32</f>
        <v>0</v>
      </c>
      <c r="I32" s="354"/>
      <c r="J32" s="563"/>
    </row>
    <row r="33" spans="1:10" s="62" customFormat="1" ht="13.8" thickTop="1">
      <c r="A33" s="103"/>
      <c r="B33" s="103"/>
      <c r="C33" s="103"/>
      <c r="D33" s="24" t="s">
        <v>0</v>
      </c>
      <c r="E33" s="103"/>
      <c r="F33" s="49">
        <f>SUMPRODUCT($E28:$E32,F28:F32)</f>
        <v>0</v>
      </c>
      <c r="G33" s="49">
        <f ca="1">SUMPRODUCT($E28:$E32,G28:G32)</f>
        <v>1574.9842501574997</v>
      </c>
      <c r="H33" s="49">
        <f ca="1">SUM(H28:H32)</f>
        <v>7874.9212507874981</v>
      </c>
      <c r="I33" s="103"/>
      <c r="J33" s="352"/>
    </row>
    <row r="34" spans="1:10" s="62" customFormat="1">
      <c r="A34" s="103"/>
      <c r="B34" s="103"/>
      <c r="C34" s="103"/>
      <c r="D34" s="16"/>
      <c r="E34" s="103"/>
      <c r="F34" s="17"/>
      <c r="G34" s="188"/>
      <c r="H34" s="103"/>
      <c r="I34" s="103"/>
      <c r="J34" s="352"/>
    </row>
    <row r="35" spans="1:10" s="62" customFormat="1" ht="15">
      <c r="A35" s="103"/>
      <c r="B35" s="103"/>
      <c r="C35" s="6" t="s">
        <v>83</v>
      </c>
      <c r="D35" s="16"/>
      <c r="E35" s="103"/>
      <c r="F35" s="17"/>
      <c r="G35" s="188"/>
      <c r="H35" s="103"/>
      <c r="I35" s="103"/>
      <c r="J35" s="352"/>
    </row>
    <row r="36" spans="1:10" s="62" customFormat="1" ht="27" thickBot="1">
      <c r="A36" s="103"/>
      <c r="B36" s="103"/>
      <c r="C36" s="103"/>
      <c r="D36" s="16"/>
      <c r="E36" s="183" t="s">
        <v>13</v>
      </c>
      <c r="F36" s="183" t="s">
        <v>261</v>
      </c>
      <c r="G36" s="183" t="s">
        <v>262</v>
      </c>
      <c r="H36" s="183" t="str">
        <f>Duration&amp;"-Year Total"</f>
        <v>5-Year Total</v>
      </c>
      <c r="I36" s="350" t="s">
        <v>6</v>
      </c>
      <c r="J36" s="350" t="str">
        <f>J$6</f>
        <v>Key Initiatives Enabling the Improvement</v>
      </c>
    </row>
    <row r="37" spans="1:10" s="62" customFormat="1" ht="15" thickTop="1" thickBot="1">
      <c r="A37" s="103"/>
      <c r="B37" s="103"/>
      <c r="C37" s="103"/>
      <c r="D37" s="23" t="s">
        <v>263</v>
      </c>
      <c r="E37" s="187">
        <f>BIs/2500*200</f>
        <v>320</v>
      </c>
      <c r="F37" s="48">
        <v>0</v>
      </c>
      <c r="G37" s="48">
        <f ca="1">ImpCalc!$D$23*150</f>
        <v>56.676837827932069</v>
      </c>
      <c r="H37" s="98">
        <f ca="1">(F37+G37*Duration)*E37</f>
        <v>90682.940524691308</v>
      </c>
      <c r="I37" s="354"/>
      <c r="J37" s="562" t="str">
        <f ca="1">ImpCalc!BP23</f>
        <v>Enhance BI Platform (40%); Source System Inclusion / Integration (30%); BI Applications (24%); Enhance DW Platform (6%)</v>
      </c>
    </row>
    <row r="38" spans="1:10" s="62" customFormat="1" ht="15" thickTop="1" thickBot="1">
      <c r="A38" s="103"/>
      <c r="B38" s="103"/>
      <c r="C38" s="103"/>
      <c r="D38" s="23" t="s">
        <v>264</v>
      </c>
      <c r="E38" s="281">
        <f>BIs/2500*200</f>
        <v>320</v>
      </c>
      <c r="F38" s="48">
        <v>0</v>
      </c>
      <c r="G38" s="48">
        <f ca="1">ImpCalc!$D$23*150</f>
        <v>56.676837827932069</v>
      </c>
      <c r="H38" s="98">
        <f ca="1">(F38+G38*Duration)*E38</f>
        <v>90682.940524691308</v>
      </c>
      <c r="I38" s="354"/>
      <c r="J38" s="563"/>
    </row>
    <row r="39" spans="1:10" s="82" customFormat="1" ht="15" thickTop="1" thickBot="1">
      <c r="A39" s="103"/>
      <c r="B39" s="103"/>
      <c r="C39" s="103"/>
      <c r="D39" s="23" t="s">
        <v>1</v>
      </c>
      <c r="E39" s="281">
        <f>BIs/2500*200</f>
        <v>320</v>
      </c>
      <c r="F39" s="48">
        <v>0</v>
      </c>
      <c r="G39" s="48">
        <f ca="1">ImpCalc!$D$23*0</f>
        <v>0</v>
      </c>
      <c r="H39" s="98">
        <f ca="1">(F39+G39*Duration)*E39</f>
        <v>0</v>
      </c>
      <c r="I39" s="354"/>
      <c r="J39" s="563"/>
    </row>
    <row r="40" spans="1:10" s="82" customFormat="1" ht="15" thickTop="1" thickBot="1">
      <c r="A40" s="103"/>
      <c r="B40" s="103"/>
      <c r="C40" s="103"/>
      <c r="D40" s="23" t="s">
        <v>1</v>
      </c>
      <c r="E40" s="281">
        <f>BIs/2500*200</f>
        <v>320</v>
      </c>
      <c r="F40" s="48">
        <v>0</v>
      </c>
      <c r="G40" s="48">
        <f ca="1">ImpCalc!$D$23*0</f>
        <v>0</v>
      </c>
      <c r="H40" s="98">
        <f ca="1">(F40+G40*Duration)*E40</f>
        <v>0</v>
      </c>
      <c r="I40" s="354"/>
      <c r="J40" s="563"/>
    </row>
    <row r="41" spans="1:10" s="62" customFormat="1" ht="15" thickTop="1" thickBot="1">
      <c r="A41" s="103"/>
      <c r="B41" s="103"/>
      <c r="C41" s="103"/>
      <c r="D41" s="23" t="s">
        <v>1</v>
      </c>
      <c r="E41" s="281">
        <f>BIs/2500*200</f>
        <v>320</v>
      </c>
      <c r="F41" s="48">
        <v>0</v>
      </c>
      <c r="G41" s="48">
        <f ca="1">ImpCalc!$D$23*0</f>
        <v>0</v>
      </c>
      <c r="H41" s="98">
        <f ca="1">(F41+G41*Duration)*E41</f>
        <v>0</v>
      </c>
      <c r="I41" s="354"/>
      <c r="J41" s="563"/>
    </row>
    <row r="42" spans="1:10" s="62" customFormat="1" ht="13.8" thickTop="1">
      <c r="A42" s="103"/>
      <c r="B42" s="103"/>
      <c r="C42" s="103"/>
      <c r="D42" s="24" t="s">
        <v>0</v>
      </c>
      <c r="E42" s="103"/>
      <c r="F42" s="49">
        <f>SUMPRODUCT($E37:$E41,F37:F41)</f>
        <v>0</v>
      </c>
      <c r="G42" s="49">
        <f ca="1">SUMPRODUCT($E37:$E41,G37:G41)</f>
        <v>36273.176209876525</v>
      </c>
      <c r="H42" s="49">
        <f ca="1">SUM(H37:H41)</f>
        <v>181365.88104938262</v>
      </c>
      <c r="I42" s="103"/>
      <c r="J42" s="352"/>
    </row>
    <row r="43" spans="1:10" s="62" customFormat="1">
      <c r="A43" s="103"/>
      <c r="B43" s="103"/>
      <c r="C43" s="103"/>
      <c r="D43" s="16"/>
      <c r="E43" s="103"/>
      <c r="F43" s="17"/>
      <c r="G43" s="188"/>
      <c r="H43" s="103"/>
      <c r="I43" s="103"/>
      <c r="J43" s="352"/>
    </row>
    <row r="44" spans="1:10" s="62" customFormat="1" ht="15">
      <c r="A44" s="103"/>
      <c r="B44" s="103"/>
      <c r="C44" s="6" t="s">
        <v>86</v>
      </c>
      <c r="D44" s="16"/>
      <c r="E44" s="103"/>
      <c r="F44" s="17"/>
      <c r="G44" s="188"/>
      <c r="H44" s="103"/>
      <c r="I44" s="103"/>
      <c r="J44" s="352"/>
    </row>
    <row r="45" spans="1:10" s="62" customFormat="1" ht="27" thickBot="1">
      <c r="A45" s="103"/>
      <c r="B45" s="103"/>
      <c r="C45" s="103"/>
      <c r="D45" s="103"/>
      <c r="E45" s="183" t="s">
        <v>13</v>
      </c>
      <c r="F45" s="183" t="s">
        <v>261</v>
      </c>
      <c r="G45" s="183" t="s">
        <v>262</v>
      </c>
      <c r="H45" s="183" t="str">
        <f>Duration&amp;"-Year Total"</f>
        <v>5-Year Total</v>
      </c>
      <c r="I45" s="350" t="s">
        <v>6</v>
      </c>
      <c r="J45" s="350" t="str">
        <f>J$6</f>
        <v>Key Initiatives Enabling the Improvement</v>
      </c>
    </row>
    <row r="46" spans="1:10" s="62" customFormat="1" ht="15" thickTop="1" thickBot="1">
      <c r="A46" s="103"/>
      <c r="B46" s="103"/>
      <c r="C46" s="103"/>
      <c r="D46" s="23" t="s">
        <v>80</v>
      </c>
      <c r="E46" s="187">
        <f>BIs/100</f>
        <v>40</v>
      </c>
      <c r="F46" s="48">
        <v>0</v>
      </c>
      <c r="G46" s="48">
        <f ca="1">ImpCalc!$D$24*150</f>
        <v>4.499910001799968</v>
      </c>
      <c r="H46" s="98">
        <f ca="1">(F46+G46*Duration)*E46</f>
        <v>899.98200035999366</v>
      </c>
      <c r="I46" s="354"/>
      <c r="J46" s="562" t="str">
        <f ca="1">ImpCalc!BP24</f>
        <v>Data Warehouse / Data Marts (100%)</v>
      </c>
    </row>
    <row r="47" spans="1:10" s="62" customFormat="1" ht="15" thickTop="1" thickBot="1">
      <c r="A47" s="103"/>
      <c r="B47" s="103"/>
      <c r="C47" s="103"/>
      <c r="D47" s="23" t="s">
        <v>81</v>
      </c>
      <c r="E47" s="281">
        <f>BIs/100</f>
        <v>40</v>
      </c>
      <c r="F47" s="48">
        <v>0</v>
      </c>
      <c r="G47" s="48">
        <f ca="1">ImpCalc!$D$24*100*12</f>
        <v>35.999280014399744</v>
      </c>
      <c r="H47" s="98">
        <f ca="1">(F47+G47*Duration)*E47</f>
        <v>7199.8560028799493</v>
      </c>
      <c r="I47" s="354"/>
      <c r="J47" s="563"/>
    </row>
    <row r="48" spans="1:10" s="62" customFormat="1" ht="15" thickTop="1" thickBot="1">
      <c r="A48" s="103"/>
      <c r="B48" s="103"/>
      <c r="C48" s="103"/>
      <c r="D48" s="23" t="s">
        <v>82</v>
      </c>
      <c r="E48" s="281">
        <f>BIs/100</f>
        <v>40</v>
      </c>
      <c r="F48" s="48">
        <v>0</v>
      </c>
      <c r="G48" s="48">
        <f ca="1">ImpCalc!$D$24*0</f>
        <v>0</v>
      </c>
      <c r="H48" s="98">
        <f ca="1">(F48+G48*Duration)*E48</f>
        <v>0</v>
      </c>
      <c r="I48" s="354"/>
      <c r="J48" s="563"/>
    </row>
    <row r="49" spans="1:15" s="62" customFormat="1" ht="15" thickTop="1" thickBot="1">
      <c r="A49" s="103"/>
      <c r="B49" s="103"/>
      <c r="C49" s="103"/>
      <c r="D49" s="23" t="s">
        <v>1</v>
      </c>
      <c r="E49" s="281">
        <f>BIs/100</f>
        <v>40</v>
      </c>
      <c r="F49" s="48">
        <v>0</v>
      </c>
      <c r="G49" s="48">
        <f ca="1">ImpCalc!$D$24*0</f>
        <v>0</v>
      </c>
      <c r="H49" s="98">
        <f ca="1">(F49+G49*Duration)*E49</f>
        <v>0</v>
      </c>
      <c r="I49" s="354"/>
      <c r="J49" s="563"/>
    </row>
    <row r="50" spans="1:15" s="62" customFormat="1" ht="13.8" thickTop="1">
      <c r="A50" s="103"/>
      <c r="B50" s="103"/>
      <c r="C50" s="103"/>
      <c r="D50" s="24" t="s">
        <v>0</v>
      </c>
      <c r="E50" s="103"/>
      <c r="F50" s="49">
        <f>SUMPRODUCT($E46:$E49,F46:F49)</f>
        <v>0</v>
      </c>
      <c r="G50" s="49">
        <f ca="1">SUMPRODUCT($E46:$E49,G46:G49)</f>
        <v>1619.9676006479885</v>
      </c>
      <c r="H50" s="49">
        <f ca="1">SUM(H46:H49)</f>
        <v>8099.8380032399427</v>
      </c>
      <c r="I50" s="103"/>
      <c r="J50" s="352"/>
    </row>
    <row r="51" spans="1:15" s="62" customFormat="1">
      <c r="A51" s="103"/>
      <c r="B51" s="103"/>
      <c r="C51" s="103"/>
      <c r="D51" s="16"/>
      <c r="E51" s="103"/>
      <c r="F51" s="17"/>
      <c r="G51" s="188"/>
      <c r="H51" s="103"/>
      <c r="I51" s="103"/>
      <c r="J51" s="352"/>
    </row>
    <row r="52" spans="1:15" s="62" customFormat="1" ht="21">
      <c r="A52" s="103"/>
      <c r="B52" s="1" t="s">
        <v>304</v>
      </c>
      <c r="C52" s="103"/>
      <c r="D52" s="16"/>
      <c r="E52" s="103"/>
      <c r="F52" s="17"/>
      <c r="G52" s="188"/>
      <c r="H52" s="103"/>
      <c r="I52" s="103"/>
      <c r="J52" s="352"/>
      <c r="K52" s="310"/>
      <c r="L52" s="310"/>
      <c r="M52" s="310"/>
      <c r="N52" s="310"/>
      <c r="O52" s="310"/>
    </row>
    <row r="53" spans="1:15">
      <c r="D53" s="16"/>
      <c r="F53" s="17"/>
      <c r="J53" s="352"/>
      <c r="K53" s="310"/>
      <c r="L53" s="310"/>
      <c r="M53" s="310"/>
      <c r="N53" s="310"/>
      <c r="O53" s="310"/>
    </row>
    <row r="54" spans="1:15" s="310" customFormat="1" ht="15.75" customHeight="1" thickBot="1">
      <c r="C54" s="6" t="s">
        <v>842</v>
      </c>
      <c r="D54" s="16"/>
      <c r="F54" s="17"/>
      <c r="I54" s="350" t="s">
        <v>6</v>
      </c>
      <c r="J54" s="350" t="str">
        <f>J$6</f>
        <v>Key Initiatives Enabling the Improvement</v>
      </c>
    </row>
    <row r="55" spans="1:15" s="310" customFormat="1" ht="40.799999999999997" thickTop="1" thickBot="1">
      <c r="D55" s="58" t="s">
        <v>991</v>
      </c>
      <c r="E55" s="253">
        <f ca="1">ImpCalc!$D$28*5%</f>
        <v>2.515558388319853E-2</v>
      </c>
      <c r="F55" s="17"/>
      <c r="I55" s="354"/>
      <c r="J55" s="564" t="str">
        <f ca="1">ImpCalc!BP28</f>
        <v>Workflow and Collaboration (36%); BI Applications (18%); Scorecards / Dashboards (13%); Analytical Tools (13%); Source System Inclusion / Integration (10%); Reporting (8%)</v>
      </c>
    </row>
    <row r="56" spans="1:15" s="310" customFormat="1" ht="14.4" thickTop="1" thickBot="1">
      <c r="D56" s="58" t="s">
        <v>843</v>
      </c>
      <c r="E56" s="198">
        <f ca="1">E55*BIs</f>
        <v>100.62233553279412</v>
      </c>
      <c r="F56" s="17"/>
      <c r="I56" s="354"/>
      <c r="J56" s="565"/>
    </row>
    <row r="57" spans="1:15" s="310" customFormat="1" ht="27.6" thickTop="1" thickBot="1">
      <c r="D57" s="58" t="s">
        <v>844</v>
      </c>
      <c r="E57" s="314">
        <v>5</v>
      </c>
      <c r="F57" s="17"/>
      <c r="I57" s="354"/>
      <c r="J57" s="565"/>
    </row>
    <row r="58" spans="1:15" s="310" customFormat="1" ht="27.6" thickTop="1" thickBot="1">
      <c r="D58" s="58" t="s">
        <v>845</v>
      </c>
      <c r="E58" s="320">
        <v>0.03</v>
      </c>
      <c r="F58" s="17"/>
      <c r="I58" s="354"/>
      <c r="J58" s="565"/>
    </row>
    <row r="59" spans="1:15" s="310" customFormat="1" ht="14.4" thickTop="1" thickBot="1">
      <c r="D59" s="58" t="s">
        <v>846</v>
      </c>
      <c r="E59" s="90">
        <f ca="1">E56*E57*E58</f>
        <v>15.093350329919119</v>
      </c>
      <c r="F59" s="17"/>
      <c r="I59" s="354"/>
      <c r="J59" s="565"/>
    </row>
    <row r="60" spans="1:15" s="310" customFormat="1" ht="15" thickTop="1" thickBot="1">
      <c r="D60" s="58" t="s">
        <v>847</v>
      </c>
      <c r="E60" s="315">
        <v>1100</v>
      </c>
      <c r="F60" s="17"/>
      <c r="I60" s="354"/>
      <c r="J60" s="565"/>
    </row>
    <row r="61" spans="1:15" s="310" customFormat="1" ht="14.4" thickTop="1" thickBot="1">
      <c r="D61" s="58" t="s">
        <v>848</v>
      </c>
      <c r="E61" s="311">
        <f ca="1">E60*E59</f>
        <v>16602.68536291103</v>
      </c>
      <c r="F61" s="17"/>
      <c r="I61" s="354"/>
      <c r="J61" s="565"/>
    </row>
    <row r="62" spans="1:15" s="310" customFormat="1" ht="13.8" thickTop="1">
      <c r="D62" s="58" t="str">
        <f>Duration&amp;"-Year Total"</f>
        <v>5-Year Total</v>
      </c>
      <c r="E62" s="311">
        <f ca="1">E61*Duration</f>
        <v>83013.426814555147</v>
      </c>
      <c r="F62" s="17"/>
      <c r="I62" s="354"/>
      <c r="J62" s="566"/>
    </row>
    <row r="63" spans="1:15" s="62" customFormat="1">
      <c r="A63" s="103"/>
      <c r="B63" s="103"/>
      <c r="C63" s="103"/>
      <c r="D63" s="16"/>
      <c r="E63" s="103"/>
      <c r="F63" s="17"/>
      <c r="G63" s="103"/>
      <c r="H63" s="103"/>
      <c r="I63" s="103"/>
      <c r="J63" s="352"/>
      <c r="K63" s="310"/>
      <c r="L63" s="310"/>
      <c r="M63" s="310"/>
      <c r="N63" s="310"/>
      <c r="O63" s="310"/>
    </row>
    <row r="64" spans="1:15" s="62" customFormat="1" ht="15">
      <c r="A64" s="103"/>
      <c r="B64" s="103"/>
      <c r="C64" s="6" t="s">
        <v>959</v>
      </c>
      <c r="D64" s="16"/>
      <c r="E64" s="103"/>
      <c r="F64" s="17"/>
      <c r="G64" s="103"/>
      <c r="H64" s="103"/>
      <c r="I64" s="103"/>
      <c r="J64" s="352"/>
    </row>
    <row r="65" spans="1:10" s="62" customFormat="1" ht="27" thickBot="1">
      <c r="A65" s="103"/>
      <c r="B65" s="103"/>
      <c r="C65" s="103"/>
      <c r="D65" s="16"/>
      <c r="E65" s="183" t="s">
        <v>13</v>
      </c>
      <c r="F65" s="183" t="s">
        <v>261</v>
      </c>
      <c r="G65" s="183" t="s">
        <v>262</v>
      </c>
      <c r="H65" s="183" t="str">
        <f>Duration&amp;"-Year Total"</f>
        <v>5-Year Total</v>
      </c>
      <c r="I65" s="350" t="s">
        <v>6</v>
      </c>
      <c r="J65" s="350" t="str">
        <f>J$6</f>
        <v>Key Initiatives Enabling the Improvement</v>
      </c>
    </row>
    <row r="66" spans="1:10" s="62" customFormat="1" ht="18" thickTop="1" thickBot="1">
      <c r="A66" s="103"/>
      <c r="B66" s="103"/>
      <c r="C66" s="103"/>
      <c r="D66" s="81" t="s">
        <v>263</v>
      </c>
      <c r="E66" s="187">
        <f>BIs/2500*200</f>
        <v>320</v>
      </c>
      <c r="F66" s="48">
        <v>0</v>
      </c>
      <c r="G66" s="48">
        <f ca="1">ImpCalc!$D30*150</f>
        <v>61.302407303107302</v>
      </c>
      <c r="H66" s="98">
        <f t="shared" ref="H66:H72" ca="1" si="2">(F66+G66*Duration)*E66</f>
        <v>98083.851684971683</v>
      </c>
      <c r="I66" s="354"/>
      <c r="J66" s="405" t="str">
        <f ca="1">ImpCalc!BP30</f>
        <v>Enhance BI Platform (40%); BI Applications (30%); Source System Inclusion / Integration (25%)</v>
      </c>
    </row>
    <row r="67" spans="1:10" s="62" customFormat="1" ht="18" thickTop="1" thickBot="1">
      <c r="A67" s="103"/>
      <c r="B67" s="103"/>
      <c r="C67" s="103"/>
      <c r="D67" s="81" t="s">
        <v>264</v>
      </c>
      <c r="E67" s="281">
        <f>BIs/2500*200</f>
        <v>320</v>
      </c>
      <c r="F67" s="48">
        <v>0</v>
      </c>
      <c r="G67" s="48">
        <f ca="1">ImpCalc!$D31*150</f>
        <v>62.040502817130296</v>
      </c>
      <c r="H67" s="98">
        <f t="shared" ca="1" si="2"/>
        <v>99264.80450740848</v>
      </c>
      <c r="I67" s="354"/>
      <c r="J67" s="405" t="str">
        <f ca="1">ImpCalc!BP31</f>
        <v>Enhance BI Platform (38%); BI Applications (29%); Source System Inclusion / Integration (29%)</v>
      </c>
    </row>
    <row r="68" spans="1:10" s="82" customFormat="1" ht="27.6" thickTop="1" thickBot="1">
      <c r="A68" s="103"/>
      <c r="B68" s="103"/>
      <c r="C68" s="103"/>
      <c r="D68" s="81" t="s">
        <v>963</v>
      </c>
      <c r="E68" s="65">
        <f>BIs/2500</f>
        <v>1.6</v>
      </c>
      <c r="F68" s="48">
        <v>0</v>
      </c>
      <c r="G68" s="48">
        <f ca="1">ImpCalc!$D32*50000</f>
        <v>6115.3689349514498</v>
      </c>
      <c r="H68" s="98">
        <f t="shared" ca="1" si="2"/>
        <v>48922.951479611598</v>
      </c>
      <c r="I68" s="354"/>
      <c r="J68" s="405" t="str">
        <f ca="1">ImpCalc!BP32</f>
        <v>Robust security (26%); Enhance BI Platform (25%); Governance (18%); Architecture (18%)</v>
      </c>
    </row>
    <row r="69" spans="1:10" s="352" customFormat="1" ht="18" thickTop="1" thickBot="1">
      <c r="D69" s="81" t="s">
        <v>964</v>
      </c>
      <c r="E69" s="351">
        <f>BIs/2500*200</f>
        <v>320</v>
      </c>
      <c r="F69" s="48">
        <v>0</v>
      </c>
      <c r="G69" s="48">
        <f ca="1">ImpCalc!$D33*0</f>
        <v>0</v>
      </c>
      <c r="H69" s="98">
        <f t="shared" ca="1" si="2"/>
        <v>0</v>
      </c>
      <c r="I69" s="354"/>
      <c r="J69" s="405" t="str">
        <f ca="1">ImpCalc!BP33</f>
        <v>Enhance BI Platform (38%); BI Applications (29%); Source System Inclusion / Integration (29%)</v>
      </c>
    </row>
    <row r="70" spans="1:10" s="352" customFormat="1" ht="15" thickTop="1" thickBot="1">
      <c r="D70" s="23" t="s">
        <v>1</v>
      </c>
      <c r="E70" s="351">
        <f>BIs/2500*200</f>
        <v>320</v>
      </c>
      <c r="F70" s="48">
        <v>0</v>
      </c>
      <c r="G70" s="48"/>
      <c r="H70" s="98">
        <f t="shared" si="2"/>
        <v>0</v>
      </c>
      <c r="I70" s="354"/>
      <c r="J70" s="354"/>
    </row>
    <row r="71" spans="1:10" s="352" customFormat="1" ht="15" thickTop="1" thickBot="1">
      <c r="D71" s="23" t="s">
        <v>1</v>
      </c>
      <c r="E71" s="351">
        <f>BIs/2500*200</f>
        <v>320</v>
      </c>
      <c r="F71" s="48">
        <v>0</v>
      </c>
      <c r="G71" s="48"/>
      <c r="H71" s="98">
        <f t="shared" si="2"/>
        <v>0</v>
      </c>
      <c r="I71" s="354"/>
      <c r="J71" s="354"/>
    </row>
    <row r="72" spans="1:10" s="62" customFormat="1" ht="15" thickTop="1" thickBot="1">
      <c r="A72" s="103"/>
      <c r="B72" s="103"/>
      <c r="C72" s="103"/>
      <c r="D72" s="23" t="s">
        <v>1</v>
      </c>
      <c r="E72" s="281">
        <f>BIs/2500*200</f>
        <v>320</v>
      </c>
      <c r="F72" s="48">
        <v>0</v>
      </c>
      <c r="G72" s="48"/>
      <c r="H72" s="98">
        <f t="shared" si="2"/>
        <v>0</v>
      </c>
      <c r="I72" s="354"/>
      <c r="J72" s="354"/>
    </row>
    <row r="73" spans="1:10" s="62" customFormat="1" ht="13.8" thickTop="1">
      <c r="A73" s="103"/>
      <c r="B73" s="103"/>
      <c r="C73" s="103"/>
      <c r="D73" s="24" t="s">
        <v>0</v>
      </c>
      <c r="E73" s="103"/>
      <c r="F73" s="49">
        <f>SUMPRODUCT($E66:$E72,F66:F72)</f>
        <v>0</v>
      </c>
      <c r="G73" s="49">
        <f ca="1">SUMPRODUCT($E66:$E72,G66:G72)</f>
        <v>49254.321534398347</v>
      </c>
      <c r="H73" s="49">
        <f ca="1">SUM(H66:H72)</f>
        <v>246271.60767199178</v>
      </c>
      <c r="I73" s="103"/>
      <c r="J73" s="352"/>
    </row>
    <row r="74" spans="1:10" s="62" customFormat="1">
      <c r="A74" s="103"/>
      <c r="B74" s="103"/>
      <c r="C74" s="103"/>
      <c r="D74" s="16"/>
      <c r="E74" s="103"/>
      <c r="F74" s="17"/>
      <c r="G74" s="103"/>
      <c r="H74" s="103"/>
      <c r="I74" s="103"/>
      <c r="J74" s="352"/>
    </row>
    <row r="75" spans="1:10" s="62" customFormat="1" ht="15">
      <c r="A75" s="103"/>
      <c r="B75" s="103"/>
      <c r="C75" s="6" t="s">
        <v>960</v>
      </c>
      <c r="D75" s="16"/>
      <c r="E75" s="103"/>
      <c r="F75" s="17"/>
      <c r="G75" s="103"/>
      <c r="H75" s="103"/>
      <c r="I75" s="103"/>
      <c r="J75" s="352"/>
    </row>
    <row r="76" spans="1:10" s="62" customFormat="1" ht="27" thickBot="1">
      <c r="A76" s="103"/>
      <c r="B76" s="103"/>
      <c r="C76" s="103"/>
      <c r="D76" s="103"/>
      <c r="E76" s="183" t="s">
        <v>13</v>
      </c>
      <c r="F76" s="183" t="s">
        <v>261</v>
      </c>
      <c r="G76" s="183" t="s">
        <v>262</v>
      </c>
      <c r="H76" s="183" t="str">
        <f>Duration&amp;"-Year Total"</f>
        <v>5-Year Total</v>
      </c>
      <c r="I76" s="350" t="s">
        <v>6</v>
      </c>
      <c r="J76" s="350" t="str">
        <f>J$6</f>
        <v>Key Initiatives Enabling the Improvement</v>
      </c>
    </row>
    <row r="77" spans="1:10" s="62" customFormat="1" ht="43.2" thickTop="1" thickBot="1">
      <c r="A77" s="103"/>
      <c r="B77" s="103"/>
      <c r="C77" s="103"/>
      <c r="D77" s="81" t="s">
        <v>288</v>
      </c>
      <c r="E77" s="187">
        <f t="shared" ref="E77:E86" si="3">BIs</f>
        <v>4000</v>
      </c>
      <c r="F77" s="48">
        <v>0</v>
      </c>
      <c r="G77" s="48">
        <f ca="1">ImpCalc!$D39*10</f>
        <v>3.9760219506548617</v>
      </c>
      <c r="H77" s="98">
        <f t="shared" ref="H77:H86" ca="1" si="4">(F77+G77*Duration)*E77</f>
        <v>79520.439013097232</v>
      </c>
      <c r="I77" s="354"/>
      <c r="J77" s="405" t="str">
        <f ca="1">ImpCalc!BP39</f>
        <v>Supply Chain / Ops Data Integration (21%); Enhance BI Platform (10%); Demand forecasting/planning (10%); Fulfillment management analysis (10%); Activity-based costing (10%); Supply chain analytics/optimization (8%); Production and inventory analysis (8%)</v>
      </c>
    </row>
    <row r="78" spans="1:10" s="103" customFormat="1" ht="43.2" thickTop="1" thickBot="1">
      <c r="D78" s="81" t="s">
        <v>289</v>
      </c>
      <c r="E78" s="309">
        <f t="shared" si="3"/>
        <v>4000</v>
      </c>
      <c r="F78" s="48">
        <v>0</v>
      </c>
      <c r="G78" s="48">
        <f ca="1">ImpCalc!$D40*10</f>
        <v>4.1231281744355597</v>
      </c>
      <c r="H78" s="98">
        <f t="shared" ca="1" si="4"/>
        <v>82462.563488711196</v>
      </c>
      <c r="I78" s="354"/>
      <c r="J78" s="405" t="str">
        <f ca="1">ImpCalc!BP40</f>
        <v>Supply Chain / Ops Data Integration (20%); Enhance BI Platform (11%); Production and inventory analysis (10%); Demand forecasting/planning (9%); Fraud, waste, and abuse detection (7%); Fulfillment management analysis (7%); Other Data Integration (7%)</v>
      </c>
    </row>
    <row r="79" spans="1:10" s="352" customFormat="1" ht="43.2" thickTop="1" thickBot="1">
      <c r="D79" s="81" t="s">
        <v>972</v>
      </c>
      <c r="E79" s="351">
        <f t="shared" si="3"/>
        <v>4000</v>
      </c>
      <c r="F79" s="48">
        <v>0</v>
      </c>
      <c r="G79" s="48">
        <f ca="1">ImpCalc!$D41*10</f>
        <v>4.056661257784989</v>
      </c>
      <c r="H79" s="98">
        <f t="shared" ref="H79" ca="1" si="5">(F79+G79*Duration)*E79</f>
        <v>81133.22515569978</v>
      </c>
      <c r="I79" s="354"/>
      <c r="J79" s="405" t="str">
        <f ca="1">ImpCalc!BP41</f>
        <v>Supply Chain / Ops Data Integration (18%); Other Data Integration (10%); Enhance BI Platform (10%); Activity-based costing (9%); Business process/activity monitoring (BAM) (7%); Financial Data Integration (6%); Production and inventory analysis (6%)</v>
      </c>
    </row>
    <row r="80" spans="1:10" s="62" customFormat="1" ht="34.799999999999997" thickTop="1" thickBot="1">
      <c r="A80" s="103"/>
      <c r="B80" s="103"/>
      <c r="C80" s="103"/>
      <c r="D80" s="81" t="s">
        <v>962</v>
      </c>
      <c r="E80" s="309">
        <f t="shared" si="3"/>
        <v>4000</v>
      </c>
      <c r="F80" s="48">
        <v>0</v>
      </c>
      <c r="G80" s="48">
        <f ca="1">ImpCalc!$D42*10</f>
        <v>4.6741325584683233</v>
      </c>
      <c r="H80" s="98">
        <f t="shared" ca="1" si="4"/>
        <v>93482.651169366465</v>
      </c>
      <c r="I80" s="354"/>
      <c r="J80" s="405" t="str">
        <f ca="1">ImpCalc!BP42</f>
        <v>Supply Chain / Ops Data Integration (13%); HR/workforce analytics (12%); Other Data Integration (9%); Profitability management (8%); Activity-based costing (8%); Enhance BI Platform (7%); Fraud, waste, and abuse detection (7%)</v>
      </c>
    </row>
    <row r="81" spans="1:10" s="103" customFormat="1" ht="34.799999999999997" thickTop="1" thickBot="1">
      <c r="D81" s="81" t="s">
        <v>655</v>
      </c>
      <c r="E81" s="309">
        <f t="shared" si="3"/>
        <v>4000</v>
      </c>
      <c r="F81" s="48">
        <v>0</v>
      </c>
      <c r="G81" s="48">
        <f ca="1">ImpCalc!$D43*10</f>
        <v>5.1202259042240374</v>
      </c>
      <c r="H81" s="98">
        <f t="shared" ca="1" si="4"/>
        <v>102404.51808448075</v>
      </c>
      <c r="I81" s="354"/>
      <c r="J81" s="405" t="str">
        <f ca="1">ImpCalc!BP43</f>
        <v>Fraud, waste, and abuse detection (28%); Supply Chain / Ops Data Integration (25%); Enhance BI Platform (14%); Activity-based costing (10%); Other Data Integration (9%); Financial Data Integration (5%)</v>
      </c>
    </row>
    <row r="82" spans="1:10" s="103" customFormat="1" ht="43.2" thickTop="1" thickBot="1">
      <c r="D82" s="81" t="s">
        <v>958</v>
      </c>
      <c r="E82" s="309">
        <f t="shared" si="3"/>
        <v>4000</v>
      </c>
      <c r="F82" s="48">
        <v>0</v>
      </c>
      <c r="G82" s="48">
        <f ca="1">ImpCalc!$D44*10</f>
        <v>4.919377715555683</v>
      </c>
      <c r="H82" s="98">
        <f t="shared" ca="1" si="4"/>
        <v>98387.554311113665</v>
      </c>
      <c r="I82" s="354"/>
      <c r="J82" s="405" t="str">
        <f ca="1">ImpCalc!BP44</f>
        <v>Fraud, waste, and abuse detection (25%); Supply Chain / Ops Data Integration (20%); Other Data Integration (13%); Enhance BI Platform (12%); Activity-based costing (9%); Financial Data Integration (7%); Marketing / Sales Data Integration (6%)</v>
      </c>
    </row>
    <row r="83" spans="1:10" s="103" customFormat="1" ht="26.4" thickTop="1" thickBot="1">
      <c r="D83" s="81" t="s">
        <v>961</v>
      </c>
      <c r="E83" s="309">
        <f t="shared" si="3"/>
        <v>4000</v>
      </c>
      <c r="F83" s="48">
        <v>0</v>
      </c>
      <c r="G83" s="48">
        <f ca="1">ImpCalc!$D45*2</f>
        <v>0.8720796996679181</v>
      </c>
      <c r="H83" s="98">
        <f t="shared" ca="1" si="4"/>
        <v>17441.593993358361</v>
      </c>
      <c r="I83" s="354"/>
      <c r="J83" s="405" t="str">
        <f ca="1">ImpCalc!BP45</f>
        <v>Enhance BI Platform (40%); Supply Chain / Ops Data Integration (19%); Other Data Integration (18%); Marketing / Sales Data Integration (10%); Financial Data Integration (8%)</v>
      </c>
    </row>
    <row r="84" spans="1:10" s="352" customFormat="1" ht="15" thickTop="1" thickBot="1">
      <c r="D84" s="23" t="s">
        <v>1</v>
      </c>
      <c r="E84" s="351">
        <f t="shared" si="3"/>
        <v>4000</v>
      </c>
      <c r="F84" s="48">
        <v>0</v>
      </c>
      <c r="G84" s="48">
        <v>0</v>
      </c>
      <c r="H84" s="98">
        <f t="shared" ref="H84" si="6">(F84+G84*Duration)*E84</f>
        <v>0</v>
      </c>
      <c r="I84" s="354"/>
      <c r="J84" s="354"/>
    </row>
    <row r="85" spans="1:10" s="352" customFormat="1" ht="15" thickTop="1" thickBot="1">
      <c r="D85" s="23" t="s">
        <v>1</v>
      </c>
      <c r="E85" s="351">
        <f t="shared" si="3"/>
        <v>4000</v>
      </c>
      <c r="F85" s="48">
        <v>0</v>
      </c>
      <c r="G85" s="48">
        <v>0</v>
      </c>
      <c r="H85" s="98">
        <f t="shared" ref="H85" si="7">(F85+G85*Duration)*E85</f>
        <v>0</v>
      </c>
      <c r="I85" s="354"/>
      <c r="J85" s="354"/>
    </row>
    <row r="86" spans="1:10" s="62" customFormat="1" ht="15" thickTop="1" thickBot="1">
      <c r="A86" s="103"/>
      <c r="B86" s="103"/>
      <c r="C86" s="103"/>
      <c r="D86" s="23" t="s">
        <v>1</v>
      </c>
      <c r="E86" s="309">
        <f t="shared" si="3"/>
        <v>4000</v>
      </c>
      <c r="F86" s="48">
        <v>0</v>
      </c>
      <c r="G86" s="48">
        <v>0</v>
      </c>
      <c r="H86" s="98">
        <f t="shared" si="4"/>
        <v>0</v>
      </c>
      <c r="I86" s="354"/>
      <c r="J86" s="354"/>
    </row>
    <row r="87" spans="1:10" s="62" customFormat="1" ht="13.8" thickTop="1">
      <c r="A87" s="103"/>
      <c r="B87" s="103"/>
      <c r="C87" s="103"/>
      <c r="D87" s="24" t="s">
        <v>0</v>
      </c>
      <c r="E87" s="103"/>
      <c r="F87" s="49">
        <f>SUMPRODUCT($E77:$E86,F77:F86)</f>
        <v>0</v>
      </c>
      <c r="G87" s="49">
        <f ca="1">SUMPRODUCT($E77:$E86,G77:G86)</f>
        <v>110966.50904316548</v>
      </c>
      <c r="H87" s="49">
        <f ca="1">SUM(H77:H86)</f>
        <v>554832.54521582741</v>
      </c>
      <c r="I87" s="103"/>
      <c r="J87" s="352"/>
    </row>
    <row r="88" spans="1:10" s="62" customFormat="1">
      <c r="A88" s="103"/>
      <c r="B88" s="103"/>
      <c r="C88" s="103"/>
      <c r="D88" s="16"/>
      <c r="E88" s="103"/>
      <c r="F88" s="17"/>
      <c r="G88" s="103"/>
      <c r="H88" s="103"/>
      <c r="I88" s="103"/>
      <c r="J88" s="103"/>
    </row>
    <row r="89" spans="1:10" ht="21">
      <c r="B89" s="1" t="s">
        <v>33</v>
      </c>
    </row>
    <row r="90" spans="1:10" s="82" customFormat="1" ht="22.5" customHeight="1">
      <c r="A90" s="103"/>
      <c r="B90" s="1"/>
      <c r="C90" s="103"/>
      <c r="D90" s="103"/>
      <c r="E90" s="532" t="s">
        <v>246</v>
      </c>
      <c r="F90" s="532"/>
      <c r="G90" s="532"/>
      <c r="H90" s="532" t="s">
        <v>849</v>
      </c>
      <c r="I90" s="532"/>
      <c r="J90" s="532"/>
    </row>
    <row r="91" spans="1:10" ht="26.4">
      <c r="C91" s="6" t="s">
        <v>84</v>
      </c>
      <c r="E91" s="183" t="s">
        <v>79</v>
      </c>
      <c r="F91" s="183" t="s">
        <v>94</v>
      </c>
      <c r="G91" s="183" t="str">
        <f>Duration&amp;"-Year Total"</f>
        <v>5-Year Total</v>
      </c>
      <c r="H91" s="183" t="str">
        <f>E91</f>
        <v>One Time</v>
      </c>
      <c r="I91" s="183" t="str">
        <f>F91</f>
        <v>Annual Recurring</v>
      </c>
      <c r="J91" s="183" t="str">
        <f>G91</f>
        <v>5-Year Total</v>
      </c>
    </row>
    <row r="92" spans="1:10">
      <c r="D92" s="26" t="s">
        <v>286</v>
      </c>
      <c r="E92" s="98">
        <f ca="1">F13</f>
        <v>73628.149931844717</v>
      </c>
      <c r="F92" s="98">
        <f ca="1">G13</f>
        <v>165663.3373466506</v>
      </c>
      <c r="G92" s="98">
        <f ca="1">E92+F92*Duration</f>
        <v>901944.83666509774</v>
      </c>
      <c r="H92" s="98">
        <f t="shared" ref="H92:I96" ca="1" si="8">E92/BIs</f>
        <v>18.407037482961179</v>
      </c>
      <c r="I92" s="98">
        <f t="shared" ca="1" si="8"/>
        <v>41.415834336662648</v>
      </c>
      <c r="J92" s="98">
        <f ca="1">H92+I92*Duration</f>
        <v>225.48620916627442</v>
      </c>
    </row>
    <row r="93" spans="1:10">
      <c r="D93" s="26" t="s">
        <v>87</v>
      </c>
      <c r="E93" s="98">
        <f ca="1">F24</f>
        <v>87217.783967055278</v>
      </c>
      <c r="F93" s="98">
        <f ca="1">G24</f>
        <v>36195.38034632794</v>
      </c>
      <c r="G93" s="98">
        <f ca="1">E93+F93*Duration</f>
        <v>268194.68569869496</v>
      </c>
      <c r="H93" s="98">
        <f t="shared" ca="1" si="8"/>
        <v>21.804445991763821</v>
      </c>
      <c r="I93" s="98">
        <f t="shared" ca="1" si="8"/>
        <v>9.0488450865819843</v>
      </c>
      <c r="J93" s="98">
        <f ca="1">H93+I93*Duration</f>
        <v>67.048671424673742</v>
      </c>
    </row>
    <row r="94" spans="1:10" s="62" customFormat="1">
      <c r="A94" s="103"/>
      <c r="B94" s="103"/>
      <c r="C94" s="103"/>
      <c r="D94" s="26" t="s">
        <v>11</v>
      </c>
      <c r="E94" s="98">
        <f>F33</f>
        <v>0</v>
      </c>
      <c r="F94" s="98">
        <f ca="1">G33</f>
        <v>1574.9842501574997</v>
      </c>
      <c r="G94" s="98">
        <f ca="1">E94+F94*Duration</f>
        <v>7874.9212507874981</v>
      </c>
      <c r="H94" s="98">
        <f t="shared" si="8"/>
        <v>0</v>
      </c>
      <c r="I94" s="98">
        <f t="shared" ca="1" si="8"/>
        <v>0.39374606253937494</v>
      </c>
      <c r="J94" s="98">
        <f ca="1">H94+I94*Duration</f>
        <v>1.9687303126968747</v>
      </c>
    </row>
    <row r="95" spans="1:10" s="62" customFormat="1">
      <c r="A95" s="103"/>
      <c r="B95" s="103"/>
      <c r="C95" s="103"/>
      <c r="D95" s="26" t="s">
        <v>88</v>
      </c>
      <c r="E95" s="98">
        <f>F42</f>
        <v>0</v>
      </c>
      <c r="F95" s="98">
        <f ca="1">G42</f>
        <v>36273.176209876525</v>
      </c>
      <c r="G95" s="98">
        <f ca="1">E95+F95*Duration</f>
        <v>181365.88104938262</v>
      </c>
      <c r="H95" s="98">
        <f t="shared" si="8"/>
        <v>0</v>
      </c>
      <c r="I95" s="98">
        <f t="shared" ca="1" si="8"/>
        <v>9.0682940524691311</v>
      </c>
      <c r="J95" s="98">
        <f ca="1">H95+I95*Duration</f>
        <v>45.341470262345652</v>
      </c>
    </row>
    <row r="96" spans="1:10" s="62" customFormat="1" ht="13.8" thickBot="1">
      <c r="A96" s="103"/>
      <c r="B96" s="103"/>
      <c r="C96" s="103"/>
      <c r="D96" s="26" t="s">
        <v>89</v>
      </c>
      <c r="E96" s="98">
        <f>F50</f>
        <v>0</v>
      </c>
      <c r="F96" s="98">
        <f ca="1">G50</f>
        <v>1619.9676006479885</v>
      </c>
      <c r="G96" s="98">
        <f ca="1">E96+F96*Duration</f>
        <v>8099.8380032399427</v>
      </c>
      <c r="H96" s="98">
        <f t="shared" si="8"/>
        <v>0</v>
      </c>
      <c r="I96" s="98">
        <f t="shared" ca="1" si="8"/>
        <v>0.40499190016199715</v>
      </c>
      <c r="J96" s="98">
        <f ca="1">H96+I96*Duration</f>
        <v>2.0249595008099859</v>
      </c>
    </row>
    <row r="97" spans="1:10" ht="13.8" thickTop="1">
      <c r="D97" s="27" t="s">
        <v>0</v>
      </c>
      <c r="E97" s="49">
        <f t="shared" ref="E97:I97" ca="1" si="9">SUM(E92:E96)</f>
        <v>160845.9338989</v>
      </c>
      <c r="F97" s="49">
        <f t="shared" ca="1" si="9"/>
        <v>241326.84575366054</v>
      </c>
      <c r="G97" s="49">
        <f t="shared" ca="1" si="9"/>
        <v>1367480.1626672025</v>
      </c>
      <c r="H97" s="49">
        <f t="shared" ca="1" si="9"/>
        <v>40.211483474725</v>
      </c>
      <c r="I97" s="49">
        <f t="shared" ca="1" si="9"/>
        <v>60.331711438415134</v>
      </c>
      <c r="J97" s="49">
        <f ca="1">SUM(J92:J96)</f>
        <v>341.87004066680066</v>
      </c>
    </row>
    <row r="98" spans="1:10">
      <c r="D98" s="16"/>
      <c r="F98" s="17"/>
      <c r="G98" s="17"/>
      <c r="I98" s="17"/>
      <c r="J98" s="17"/>
    </row>
    <row r="99" spans="1:10" ht="15">
      <c r="C99" s="6" t="s">
        <v>85</v>
      </c>
      <c r="F99" s="17"/>
      <c r="G99" s="17"/>
      <c r="I99" s="17"/>
      <c r="J99" s="17"/>
    </row>
    <row r="100" spans="1:10" s="62" customFormat="1">
      <c r="A100" s="103"/>
      <c r="B100" s="103"/>
      <c r="C100" s="103"/>
      <c r="D100" s="26" t="s">
        <v>90</v>
      </c>
      <c r="E100" s="98"/>
      <c r="F100" s="98">
        <f ca="1">E61</f>
        <v>16602.68536291103</v>
      </c>
      <c r="G100" s="98">
        <f ca="1">E100+F100*Duration</f>
        <v>83013.426814555147</v>
      </c>
      <c r="H100" s="98">
        <f t="shared" ref="H100:I102" si="10">E100/BIs</f>
        <v>0</v>
      </c>
      <c r="I100" s="98">
        <f t="shared" ca="1" si="10"/>
        <v>4.1506713407277571</v>
      </c>
      <c r="J100" s="98">
        <f ca="1">H100+I100*Duration</f>
        <v>20.753356703638786</v>
      </c>
    </row>
    <row r="101" spans="1:10">
      <c r="D101" s="288" t="s">
        <v>966</v>
      </c>
      <c r="E101" s="98">
        <f>F73</f>
        <v>0</v>
      </c>
      <c r="F101" s="98">
        <f ca="1">G73</f>
        <v>49254.321534398347</v>
      </c>
      <c r="G101" s="98">
        <f ca="1">E101+F101*Duration</f>
        <v>246271.60767199175</v>
      </c>
      <c r="H101" s="98">
        <f t="shared" si="10"/>
        <v>0</v>
      </c>
      <c r="I101" s="98">
        <f t="shared" ca="1" si="10"/>
        <v>12.313580383599586</v>
      </c>
      <c r="J101" s="98">
        <f ca="1">H101+I101*Duration</f>
        <v>61.567901917997929</v>
      </c>
    </row>
    <row r="102" spans="1:10" ht="13.8" thickBot="1">
      <c r="D102" s="288" t="s">
        <v>965</v>
      </c>
      <c r="E102" s="98">
        <f>F87</f>
        <v>0</v>
      </c>
      <c r="F102" s="98">
        <f ca="1">G87</f>
        <v>110966.50904316548</v>
      </c>
      <c r="G102" s="98">
        <f ca="1">E102+F102*Duration</f>
        <v>554832.54521582741</v>
      </c>
      <c r="H102" s="98">
        <f t="shared" si="10"/>
        <v>0</v>
      </c>
      <c r="I102" s="98">
        <f t="shared" ca="1" si="10"/>
        <v>27.741627260791372</v>
      </c>
      <c r="J102" s="98">
        <f ca="1">H102+I102*Duration</f>
        <v>138.70813630395685</v>
      </c>
    </row>
    <row r="103" spans="1:10" ht="13.8" thickTop="1">
      <c r="D103" s="27" t="s">
        <v>0</v>
      </c>
      <c r="E103" s="49">
        <f t="shared" ref="E103:I103" si="11">SUM(E100:E102)</f>
        <v>0</v>
      </c>
      <c r="F103" s="49">
        <f t="shared" ca="1" si="11"/>
        <v>176823.51594047487</v>
      </c>
      <c r="G103" s="49">
        <f t="shared" ca="1" si="11"/>
        <v>884117.57970237429</v>
      </c>
      <c r="H103" s="49">
        <f t="shared" si="11"/>
        <v>0</v>
      </c>
      <c r="I103" s="49">
        <f t="shared" ca="1" si="11"/>
        <v>44.205878985118716</v>
      </c>
      <c r="J103" s="49">
        <f ca="1">SUM(J100:J102)</f>
        <v>221.02939492559358</v>
      </c>
    </row>
    <row r="104" spans="1:10" ht="13.8" thickBot="1"/>
    <row r="105" spans="1:10" s="82" customFormat="1" ht="13.8" thickTop="1">
      <c r="A105" s="103"/>
      <c r="B105" s="103"/>
      <c r="C105" s="103"/>
      <c r="D105" s="27" t="s">
        <v>0</v>
      </c>
      <c r="E105" s="49">
        <f t="shared" ref="E105:I105" ca="1" si="12">E103+E97</f>
        <v>160845.9338989</v>
      </c>
      <c r="F105" s="49">
        <f t="shared" ca="1" si="12"/>
        <v>418150.36169413541</v>
      </c>
      <c r="G105" s="49">
        <f t="shared" ca="1" si="12"/>
        <v>2251597.7423695768</v>
      </c>
      <c r="H105" s="49">
        <f t="shared" ca="1" si="12"/>
        <v>40.211483474725</v>
      </c>
      <c r="I105" s="49">
        <f t="shared" ca="1" si="12"/>
        <v>104.53759042353386</v>
      </c>
      <c r="J105" s="49">
        <f ca="1">J103+J97</f>
        <v>562.89943559239418</v>
      </c>
    </row>
    <row r="111" spans="1:10">
      <c r="G111" s="188"/>
    </row>
    <row r="133" spans="2:7">
      <c r="B133" s="403"/>
      <c r="C133" s="403"/>
      <c r="D133" s="403"/>
      <c r="E133" s="403"/>
      <c r="F133" s="403"/>
      <c r="G133" s="403"/>
    </row>
  </sheetData>
  <sheetProtection selectLockedCells="1" selectUnlockedCells="1"/>
  <mergeCells count="8">
    <mergeCell ref="E90:G90"/>
    <mergeCell ref="H90:J90"/>
    <mergeCell ref="J7:J12"/>
    <mergeCell ref="J19:J23"/>
    <mergeCell ref="J28:J32"/>
    <mergeCell ref="J37:J41"/>
    <mergeCell ref="J46:J49"/>
    <mergeCell ref="J55:J62"/>
  </mergeCells>
  <pageMargins left="0.25" right="0.25" top="0.75" bottom="0.75" header="0.3" footer="0.3"/>
  <pageSetup scale="71" fitToHeight="10" orientation="portrait" horizontalDpi="300" verticalDpi="300" r:id="rId1"/>
  <headerFooter>
    <oddFooter>&amp;LTDWI Business Intelligence ROI Calculator&amp;C&amp;A Worksheet&amp;R&amp;P of &amp;N</oddFooter>
  </headerFooter>
  <drawing r:id="rId2"/>
</worksheet>
</file>

<file path=xl/worksheets/sheet9.xml><?xml version="1.0" encoding="utf-8"?>
<worksheet xmlns="http://schemas.openxmlformats.org/spreadsheetml/2006/main" xmlns:r="http://schemas.openxmlformats.org/officeDocument/2006/relationships">
  <sheetPr codeName="Sheet9">
    <tabColor rgb="FF00B050"/>
    <pageSetUpPr fitToPage="1"/>
  </sheetPr>
  <dimension ref="A1:S101"/>
  <sheetViews>
    <sheetView showGridLines="0" workbookViewId="0">
      <pane xSplit="2" ySplit="4" topLeftCell="C99" activePane="bottomRight" state="frozen"/>
      <selection pane="topRight"/>
      <selection pane="bottomLeft"/>
      <selection pane="bottomRight" activeCell="J101" sqref="B101:J102"/>
    </sheetView>
  </sheetViews>
  <sheetFormatPr defaultRowHeight="13.2"/>
  <cols>
    <col min="1" max="1" width="3.33203125" style="103" customWidth="1"/>
    <col min="2" max="2" width="23.6640625" style="17" customWidth="1"/>
    <col min="3" max="3" width="23.33203125" style="17" customWidth="1"/>
    <col min="4" max="4" width="6" style="103" bestFit="1" customWidth="1"/>
    <col min="5" max="5" width="5.6640625" style="103" bestFit="1" customWidth="1"/>
    <col min="6" max="6" width="1" style="103" customWidth="1"/>
    <col min="7" max="7" width="5.6640625" style="103" bestFit="1" customWidth="1"/>
    <col min="8" max="8" width="6" style="103" bestFit="1" customWidth="1"/>
    <col min="9" max="9" width="0.5546875" style="103" customWidth="1"/>
    <col min="10" max="10" width="5.6640625" style="103" bestFit="1" customWidth="1"/>
    <col min="11" max="11" width="6.109375" style="103" customWidth="1" collapsed="1"/>
    <col min="12" max="12" width="8.33203125" style="103" customWidth="1"/>
    <col min="13" max="13" width="37.88671875" style="343" customWidth="1"/>
    <col min="14" max="14" width="25" style="103" customWidth="1"/>
    <col min="15" max="15" width="1" style="103" customWidth="1"/>
    <col min="16" max="16" width="8.5546875" style="103" hidden="1" customWidth="1"/>
    <col min="17" max="17" width="11" style="87" hidden="1" customWidth="1"/>
    <col min="18" max="19" width="0" style="103" hidden="1" customWidth="1"/>
    <col min="20" max="255" width="9.109375" style="103"/>
    <col min="256" max="256" width="42.33203125" style="103" customWidth="1"/>
    <col min="257" max="257" width="5.5546875" style="103" customWidth="1"/>
    <col min="258" max="258" width="6" style="103" bestFit="1" customWidth="1"/>
    <col min="259" max="259" width="5.6640625" style="103" bestFit="1" customWidth="1"/>
    <col min="260" max="260" width="1" style="103" customWidth="1"/>
    <col min="261" max="261" width="9.6640625" style="103" bestFit="1" customWidth="1"/>
    <col min="262" max="262" width="8.33203125" style="103" bestFit="1" customWidth="1"/>
    <col min="263" max="263" width="0.5546875" style="103" customWidth="1"/>
    <col min="264" max="264" width="9.109375" style="103"/>
    <col min="265" max="265" width="14.88671875" style="103" customWidth="1"/>
    <col min="266" max="268" width="0" style="103" hidden="1" customWidth="1"/>
    <col min="269" max="269" width="1" style="103" customWidth="1"/>
    <col min="270" max="270" width="9.109375" style="103"/>
    <col min="271" max="271" width="16.109375" style="103" customWidth="1"/>
    <col min="272" max="511" width="9.109375" style="103"/>
    <col min="512" max="512" width="42.33203125" style="103" customWidth="1"/>
    <col min="513" max="513" width="5.5546875" style="103" customWidth="1"/>
    <col min="514" max="514" width="6" style="103" bestFit="1" customWidth="1"/>
    <col min="515" max="515" width="5.6640625" style="103" bestFit="1" customWidth="1"/>
    <col min="516" max="516" width="1" style="103" customWidth="1"/>
    <col min="517" max="517" width="9.6640625" style="103" bestFit="1" customWidth="1"/>
    <col min="518" max="518" width="8.33203125" style="103" bestFit="1" customWidth="1"/>
    <col min="519" max="519" width="0.5546875" style="103" customWidth="1"/>
    <col min="520" max="520" width="9.109375" style="103"/>
    <col min="521" max="521" width="14.88671875" style="103" customWidth="1"/>
    <col min="522" max="524" width="0" style="103" hidden="1" customWidth="1"/>
    <col min="525" max="525" width="1" style="103" customWidth="1"/>
    <col min="526" max="526" width="9.109375" style="103"/>
    <col min="527" max="527" width="16.109375" style="103" customWidth="1"/>
    <col min="528" max="767" width="9.109375" style="103"/>
    <col min="768" max="768" width="42.33203125" style="103" customWidth="1"/>
    <col min="769" max="769" width="5.5546875" style="103" customWidth="1"/>
    <col min="770" max="770" width="6" style="103" bestFit="1" customWidth="1"/>
    <col min="771" max="771" width="5.6640625" style="103" bestFit="1" customWidth="1"/>
    <col min="772" max="772" width="1" style="103" customWidth="1"/>
    <col min="773" max="773" width="9.6640625" style="103" bestFit="1" customWidth="1"/>
    <col min="774" max="774" width="8.33203125" style="103" bestFit="1" customWidth="1"/>
    <col min="775" max="775" width="0.5546875" style="103" customWidth="1"/>
    <col min="776" max="776" width="9.109375" style="103"/>
    <col min="777" max="777" width="14.88671875" style="103" customWidth="1"/>
    <col min="778" max="780" width="0" style="103" hidden="1" customWidth="1"/>
    <col min="781" max="781" width="1" style="103" customWidth="1"/>
    <col min="782" max="782" width="9.109375" style="103"/>
    <col min="783" max="783" width="16.109375" style="103" customWidth="1"/>
    <col min="784" max="1023" width="9.109375" style="103"/>
    <col min="1024" max="1024" width="42.33203125" style="103" customWidth="1"/>
    <col min="1025" max="1025" width="5.5546875" style="103" customWidth="1"/>
    <col min="1026" max="1026" width="6" style="103" bestFit="1" customWidth="1"/>
    <col min="1027" max="1027" width="5.6640625" style="103" bestFit="1" customWidth="1"/>
    <col min="1028" max="1028" width="1" style="103" customWidth="1"/>
    <col min="1029" max="1029" width="9.6640625" style="103" bestFit="1" customWidth="1"/>
    <col min="1030" max="1030" width="8.33203125" style="103" bestFit="1" customWidth="1"/>
    <col min="1031" max="1031" width="0.5546875" style="103" customWidth="1"/>
    <col min="1032" max="1032" width="9.109375" style="103"/>
    <col min="1033" max="1033" width="14.88671875" style="103" customWidth="1"/>
    <col min="1034" max="1036" width="0" style="103" hidden="1" customWidth="1"/>
    <col min="1037" max="1037" width="1" style="103" customWidth="1"/>
    <col min="1038" max="1038" width="9.109375" style="103"/>
    <col min="1039" max="1039" width="16.109375" style="103" customWidth="1"/>
    <col min="1040" max="1279" width="9.109375" style="103"/>
    <col min="1280" max="1280" width="42.33203125" style="103" customWidth="1"/>
    <col min="1281" max="1281" width="5.5546875" style="103" customWidth="1"/>
    <col min="1282" max="1282" width="6" style="103" bestFit="1" customWidth="1"/>
    <col min="1283" max="1283" width="5.6640625" style="103" bestFit="1" customWidth="1"/>
    <col min="1284" max="1284" width="1" style="103" customWidth="1"/>
    <col min="1285" max="1285" width="9.6640625" style="103" bestFit="1" customWidth="1"/>
    <col min="1286" max="1286" width="8.33203125" style="103" bestFit="1" customWidth="1"/>
    <col min="1287" max="1287" width="0.5546875" style="103" customWidth="1"/>
    <col min="1288" max="1288" width="9.109375" style="103"/>
    <col min="1289" max="1289" width="14.88671875" style="103" customWidth="1"/>
    <col min="1290" max="1292" width="0" style="103" hidden="1" customWidth="1"/>
    <col min="1293" max="1293" width="1" style="103" customWidth="1"/>
    <col min="1294" max="1294" width="9.109375" style="103"/>
    <col min="1295" max="1295" width="16.109375" style="103" customWidth="1"/>
    <col min="1296" max="1535" width="9.109375" style="103"/>
    <col min="1536" max="1536" width="42.33203125" style="103" customWidth="1"/>
    <col min="1537" max="1537" width="5.5546875" style="103" customWidth="1"/>
    <col min="1538" max="1538" width="6" style="103" bestFit="1" customWidth="1"/>
    <col min="1539" max="1539" width="5.6640625" style="103" bestFit="1" customWidth="1"/>
    <col min="1540" max="1540" width="1" style="103" customWidth="1"/>
    <col min="1541" max="1541" width="9.6640625" style="103" bestFit="1" customWidth="1"/>
    <col min="1542" max="1542" width="8.33203125" style="103" bestFit="1" customWidth="1"/>
    <col min="1543" max="1543" width="0.5546875" style="103" customWidth="1"/>
    <col min="1544" max="1544" width="9.109375" style="103"/>
    <col min="1545" max="1545" width="14.88671875" style="103" customWidth="1"/>
    <col min="1546" max="1548" width="0" style="103" hidden="1" customWidth="1"/>
    <col min="1549" max="1549" width="1" style="103" customWidth="1"/>
    <col min="1550" max="1550" width="9.109375" style="103"/>
    <col min="1551" max="1551" width="16.109375" style="103" customWidth="1"/>
    <col min="1552" max="1791" width="9.109375" style="103"/>
    <col min="1792" max="1792" width="42.33203125" style="103" customWidth="1"/>
    <col min="1793" max="1793" width="5.5546875" style="103" customWidth="1"/>
    <col min="1794" max="1794" width="6" style="103" bestFit="1" customWidth="1"/>
    <col min="1795" max="1795" width="5.6640625" style="103" bestFit="1" customWidth="1"/>
    <col min="1796" max="1796" width="1" style="103" customWidth="1"/>
    <col min="1797" max="1797" width="9.6640625" style="103" bestFit="1" customWidth="1"/>
    <col min="1798" max="1798" width="8.33203125" style="103" bestFit="1" customWidth="1"/>
    <col min="1799" max="1799" width="0.5546875" style="103" customWidth="1"/>
    <col min="1800" max="1800" width="9.109375" style="103"/>
    <col min="1801" max="1801" width="14.88671875" style="103" customWidth="1"/>
    <col min="1802" max="1804" width="0" style="103" hidden="1" customWidth="1"/>
    <col min="1805" max="1805" width="1" style="103" customWidth="1"/>
    <col min="1806" max="1806" width="9.109375" style="103"/>
    <col min="1807" max="1807" width="16.109375" style="103" customWidth="1"/>
    <col min="1808" max="2047" width="9.109375" style="103"/>
    <col min="2048" max="2048" width="42.33203125" style="103" customWidth="1"/>
    <col min="2049" max="2049" width="5.5546875" style="103" customWidth="1"/>
    <col min="2050" max="2050" width="6" style="103" bestFit="1" customWidth="1"/>
    <col min="2051" max="2051" width="5.6640625" style="103" bestFit="1" customWidth="1"/>
    <col min="2052" max="2052" width="1" style="103" customWidth="1"/>
    <col min="2053" max="2053" width="9.6640625" style="103" bestFit="1" customWidth="1"/>
    <col min="2054" max="2054" width="8.33203125" style="103" bestFit="1" customWidth="1"/>
    <col min="2055" max="2055" width="0.5546875" style="103" customWidth="1"/>
    <col min="2056" max="2056" width="9.109375" style="103"/>
    <col min="2057" max="2057" width="14.88671875" style="103" customWidth="1"/>
    <col min="2058" max="2060" width="0" style="103" hidden="1" customWidth="1"/>
    <col min="2061" max="2061" width="1" style="103" customWidth="1"/>
    <col min="2062" max="2062" width="9.109375" style="103"/>
    <col min="2063" max="2063" width="16.109375" style="103" customWidth="1"/>
    <col min="2064" max="2303" width="9.109375" style="103"/>
    <col min="2304" max="2304" width="42.33203125" style="103" customWidth="1"/>
    <col min="2305" max="2305" width="5.5546875" style="103" customWidth="1"/>
    <col min="2306" max="2306" width="6" style="103" bestFit="1" customWidth="1"/>
    <col min="2307" max="2307" width="5.6640625" style="103" bestFit="1" customWidth="1"/>
    <col min="2308" max="2308" width="1" style="103" customWidth="1"/>
    <col min="2309" max="2309" width="9.6640625" style="103" bestFit="1" customWidth="1"/>
    <col min="2310" max="2310" width="8.33203125" style="103" bestFit="1" customWidth="1"/>
    <col min="2311" max="2311" width="0.5546875" style="103" customWidth="1"/>
    <col min="2312" max="2312" width="9.109375" style="103"/>
    <col min="2313" max="2313" width="14.88671875" style="103" customWidth="1"/>
    <col min="2314" max="2316" width="0" style="103" hidden="1" customWidth="1"/>
    <col min="2317" max="2317" width="1" style="103" customWidth="1"/>
    <col min="2318" max="2318" width="9.109375" style="103"/>
    <col min="2319" max="2319" width="16.109375" style="103" customWidth="1"/>
    <col min="2320" max="2559" width="9.109375" style="103"/>
    <col min="2560" max="2560" width="42.33203125" style="103" customWidth="1"/>
    <col min="2561" max="2561" width="5.5546875" style="103" customWidth="1"/>
    <col min="2562" max="2562" width="6" style="103" bestFit="1" customWidth="1"/>
    <col min="2563" max="2563" width="5.6640625" style="103" bestFit="1" customWidth="1"/>
    <col min="2564" max="2564" width="1" style="103" customWidth="1"/>
    <col min="2565" max="2565" width="9.6640625" style="103" bestFit="1" customWidth="1"/>
    <col min="2566" max="2566" width="8.33203125" style="103" bestFit="1" customWidth="1"/>
    <col min="2567" max="2567" width="0.5546875" style="103" customWidth="1"/>
    <col min="2568" max="2568" width="9.109375" style="103"/>
    <col min="2569" max="2569" width="14.88671875" style="103" customWidth="1"/>
    <col min="2570" max="2572" width="0" style="103" hidden="1" customWidth="1"/>
    <col min="2573" max="2573" width="1" style="103" customWidth="1"/>
    <col min="2574" max="2574" width="9.109375" style="103"/>
    <col min="2575" max="2575" width="16.109375" style="103" customWidth="1"/>
    <col min="2576" max="2815" width="9.109375" style="103"/>
    <col min="2816" max="2816" width="42.33203125" style="103" customWidth="1"/>
    <col min="2817" max="2817" width="5.5546875" style="103" customWidth="1"/>
    <col min="2818" max="2818" width="6" style="103" bestFit="1" customWidth="1"/>
    <col min="2819" max="2819" width="5.6640625" style="103" bestFit="1" customWidth="1"/>
    <col min="2820" max="2820" width="1" style="103" customWidth="1"/>
    <col min="2821" max="2821" width="9.6640625" style="103" bestFit="1" customWidth="1"/>
    <col min="2822" max="2822" width="8.33203125" style="103" bestFit="1" customWidth="1"/>
    <col min="2823" max="2823" width="0.5546875" style="103" customWidth="1"/>
    <col min="2824" max="2824" width="9.109375" style="103"/>
    <col min="2825" max="2825" width="14.88671875" style="103" customWidth="1"/>
    <col min="2826" max="2828" width="0" style="103" hidden="1" customWidth="1"/>
    <col min="2829" max="2829" width="1" style="103" customWidth="1"/>
    <col min="2830" max="2830" width="9.109375" style="103"/>
    <col min="2831" max="2831" width="16.109375" style="103" customWidth="1"/>
    <col min="2832" max="3071" width="9.109375" style="103"/>
    <col min="3072" max="3072" width="42.33203125" style="103" customWidth="1"/>
    <col min="3073" max="3073" width="5.5546875" style="103" customWidth="1"/>
    <col min="3074" max="3074" width="6" style="103" bestFit="1" customWidth="1"/>
    <col min="3075" max="3075" width="5.6640625" style="103" bestFit="1" customWidth="1"/>
    <col min="3076" max="3076" width="1" style="103" customWidth="1"/>
    <col min="3077" max="3077" width="9.6640625" style="103" bestFit="1" customWidth="1"/>
    <col min="3078" max="3078" width="8.33203125" style="103" bestFit="1" customWidth="1"/>
    <col min="3079" max="3079" width="0.5546875" style="103" customWidth="1"/>
    <col min="3080" max="3080" width="9.109375" style="103"/>
    <col min="3081" max="3081" width="14.88671875" style="103" customWidth="1"/>
    <col min="3082" max="3084" width="0" style="103" hidden="1" customWidth="1"/>
    <col min="3085" max="3085" width="1" style="103" customWidth="1"/>
    <col min="3086" max="3086" width="9.109375" style="103"/>
    <col min="3087" max="3087" width="16.109375" style="103" customWidth="1"/>
    <col min="3088" max="3327" width="9.109375" style="103"/>
    <col min="3328" max="3328" width="42.33203125" style="103" customWidth="1"/>
    <col min="3329" max="3329" width="5.5546875" style="103" customWidth="1"/>
    <col min="3330" max="3330" width="6" style="103" bestFit="1" customWidth="1"/>
    <col min="3331" max="3331" width="5.6640625" style="103" bestFit="1" customWidth="1"/>
    <col min="3332" max="3332" width="1" style="103" customWidth="1"/>
    <col min="3333" max="3333" width="9.6640625" style="103" bestFit="1" customWidth="1"/>
    <col min="3334" max="3334" width="8.33203125" style="103" bestFit="1" customWidth="1"/>
    <col min="3335" max="3335" width="0.5546875" style="103" customWidth="1"/>
    <col min="3336" max="3336" width="9.109375" style="103"/>
    <col min="3337" max="3337" width="14.88671875" style="103" customWidth="1"/>
    <col min="3338" max="3340" width="0" style="103" hidden="1" customWidth="1"/>
    <col min="3341" max="3341" width="1" style="103" customWidth="1"/>
    <col min="3342" max="3342" width="9.109375" style="103"/>
    <col min="3343" max="3343" width="16.109375" style="103" customWidth="1"/>
    <col min="3344" max="3583" width="9.109375" style="103"/>
    <col min="3584" max="3584" width="42.33203125" style="103" customWidth="1"/>
    <col min="3585" max="3585" width="5.5546875" style="103" customWidth="1"/>
    <col min="3586" max="3586" width="6" style="103" bestFit="1" customWidth="1"/>
    <col min="3587" max="3587" width="5.6640625" style="103" bestFit="1" customWidth="1"/>
    <col min="3588" max="3588" width="1" style="103" customWidth="1"/>
    <col min="3589" max="3589" width="9.6640625" style="103" bestFit="1" customWidth="1"/>
    <col min="3590" max="3590" width="8.33203125" style="103" bestFit="1" customWidth="1"/>
    <col min="3591" max="3591" width="0.5546875" style="103" customWidth="1"/>
    <col min="3592" max="3592" width="9.109375" style="103"/>
    <col min="3593" max="3593" width="14.88671875" style="103" customWidth="1"/>
    <col min="3594" max="3596" width="0" style="103" hidden="1" customWidth="1"/>
    <col min="3597" max="3597" width="1" style="103" customWidth="1"/>
    <col min="3598" max="3598" width="9.109375" style="103"/>
    <col min="3599" max="3599" width="16.109375" style="103" customWidth="1"/>
    <col min="3600" max="3839" width="9.109375" style="103"/>
    <col min="3840" max="3840" width="42.33203125" style="103" customWidth="1"/>
    <col min="3841" max="3841" width="5.5546875" style="103" customWidth="1"/>
    <col min="3842" max="3842" width="6" style="103" bestFit="1" customWidth="1"/>
    <col min="3843" max="3843" width="5.6640625" style="103" bestFit="1" customWidth="1"/>
    <col min="3844" max="3844" width="1" style="103" customWidth="1"/>
    <col min="3845" max="3845" width="9.6640625" style="103" bestFit="1" customWidth="1"/>
    <col min="3846" max="3846" width="8.33203125" style="103" bestFit="1" customWidth="1"/>
    <col min="3847" max="3847" width="0.5546875" style="103" customWidth="1"/>
    <col min="3848" max="3848" width="9.109375" style="103"/>
    <col min="3849" max="3849" width="14.88671875" style="103" customWidth="1"/>
    <col min="3850" max="3852" width="0" style="103" hidden="1" customWidth="1"/>
    <col min="3853" max="3853" width="1" style="103" customWidth="1"/>
    <col min="3854" max="3854" width="9.109375" style="103"/>
    <col min="3855" max="3855" width="16.109375" style="103" customWidth="1"/>
    <col min="3856" max="4095" width="9.109375" style="103"/>
    <col min="4096" max="4096" width="42.33203125" style="103" customWidth="1"/>
    <col min="4097" max="4097" width="5.5546875" style="103" customWidth="1"/>
    <col min="4098" max="4098" width="6" style="103" bestFit="1" customWidth="1"/>
    <col min="4099" max="4099" width="5.6640625" style="103" bestFit="1" customWidth="1"/>
    <col min="4100" max="4100" width="1" style="103" customWidth="1"/>
    <col min="4101" max="4101" width="9.6640625" style="103" bestFit="1" customWidth="1"/>
    <col min="4102" max="4102" width="8.33203125" style="103" bestFit="1" customWidth="1"/>
    <col min="4103" max="4103" width="0.5546875" style="103" customWidth="1"/>
    <col min="4104" max="4104" width="9.109375" style="103"/>
    <col min="4105" max="4105" width="14.88671875" style="103" customWidth="1"/>
    <col min="4106" max="4108" width="0" style="103" hidden="1" customWidth="1"/>
    <col min="4109" max="4109" width="1" style="103" customWidth="1"/>
    <col min="4110" max="4110" width="9.109375" style="103"/>
    <col min="4111" max="4111" width="16.109375" style="103" customWidth="1"/>
    <col min="4112" max="4351" width="9.109375" style="103"/>
    <col min="4352" max="4352" width="42.33203125" style="103" customWidth="1"/>
    <col min="4353" max="4353" width="5.5546875" style="103" customWidth="1"/>
    <col min="4354" max="4354" width="6" style="103" bestFit="1" customWidth="1"/>
    <col min="4355" max="4355" width="5.6640625" style="103" bestFit="1" customWidth="1"/>
    <col min="4356" max="4356" width="1" style="103" customWidth="1"/>
    <col min="4357" max="4357" width="9.6640625" style="103" bestFit="1" customWidth="1"/>
    <col min="4358" max="4358" width="8.33203125" style="103" bestFit="1" customWidth="1"/>
    <col min="4359" max="4359" width="0.5546875" style="103" customWidth="1"/>
    <col min="4360" max="4360" width="9.109375" style="103"/>
    <col min="4361" max="4361" width="14.88671875" style="103" customWidth="1"/>
    <col min="4362" max="4364" width="0" style="103" hidden="1" customWidth="1"/>
    <col min="4365" max="4365" width="1" style="103" customWidth="1"/>
    <col min="4366" max="4366" width="9.109375" style="103"/>
    <col min="4367" max="4367" width="16.109375" style="103" customWidth="1"/>
    <col min="4368" max="4607" width="9.109375" style="103"/>
    <col min="4608" max="4608" width="42.33203125" style="103" customWidth="1"/>
    <col min="4609" max="4609" width="5.5546875" style="103" customWidth="1"/>
    <col min="4610" max="4610" width="6" style="103" bestFit="1" customWidth="1"/>
    <col min="4611" max="4611" width="5.6640625" style="103" bestFit="1" customWidth="1"/>
    <col min="4612" max="4612" width="1" style="103" customWidth="1"/>
    <col min="4613" max="4613" width="9.6640625" style="103" bestFit="1" customWidth="1"/>
    <col min="4614" max="4614" width="8.33203125" style="103" bestFit="1" customWidth="1"/>
    <col min="4615" max="4615" width="0.5546875" style="103" customWidth="1"/>
    <col min="4616" max="4616" width="9.109375" style="103"/>
    <col min="4617" max="4617" width="14.88671875" style="103" customWidth="1"/>
    <col min="4618" max="4620" width="0" style="103" hidden="1" customWidth="1"/>
    <col min="4621" max="4621" width="1" style="103" customWidth="1"/>
    <col min="4622" max="4622" width="9.109375" style="103"/>
    <col min="4623" max="4623" width="16.109375" style="103" customWidth="1"/>
    <col min="4624" max="4863" width="9.109375" style="103"/>
    <col min="4864" max="4864" width="42.33203125" style="103" customWidth="1"/>
    <col min="4865" max="4865" width="5.5546875" style="103" customWidth="1"/>
    <col min="4866" max="4866" width="6" style="103" bestFit="1" customWidth="1"/>
    <col min="4867" max="4867" width="5.6640625" style="103" bestFit="1" customWidth="1"/>
    <col min="4868" max="4868" width="1" style="103" customWidth="1"/>
    <col min="4869" max="4869" width="9.6640625" style="103" bestFit="1" customWidth="1"/>
    <col min="4870" max="4870" width="8.33203125" style="103" bestFit="1" customWidth="1"/>
    <col min="4871" max="4871" width="0.5546875" style="103" customWidth="1"/>
    <col min="4872" max="4872" width="9.109375" style="103"/>
    <col min="4873" max="4873" width="14.88671875" style="103" customWidth="1"/>
    <col min="4874" max="4876" width="0" style="103" hidden="1" customWidth="1"/>
    <col min="4877" max="4877" width="1" style="103" customWidth="1"/>
    <col min="4878" max="4878" width="9.109375" style="103"/>
    <col min="4879" max="4879" width="16.109375" style="103" customWidth="1"/>
    <col min="4880" max="5119" width="9.109375" style="103"/>
    <col min="5120" max="5120" width="42.33203125" style="103" customWidth="1"/>
    <col min="5121" max="5121" width="5.5546875" style="103" customWidth="1"/>
    <col min="5122" max="5122" width="6" style="103" bestFit="1" customWidth="1"/>
    <col min="5123" max="5123" width="5.6640625" style="103" bestFit="1" customWidth="1"/>
    <col min="5124" max="5124" width="1" style="103" customWidth="1"/>
    <col min="5125" max="5125" width="9.6640625" style="103" bestFit="1" customWidth="1"/>
    <col min="5126" max="5126" width="8.33203125" style="103" bestFit="1" customWidth="1"/>
    <col min="5127" max="5127" width="0.5546875" style="103" customWidth="1"/>
    <col min="5128" max="5128" width="9.109375" style="103"/>
    <col min="5129" max="5129" width="14.88671875" style="103" customWidth="1"/>
    <col min="5130" max="5132" width="0" style="103" hidden="1" customWidth="1"/>
    <col min="5133" max="5133" width="1" style="103" customWidth="1"/>
    <col min="5134" max="5134" width="9.109375" style="103"/>
    <col min="5135" max="5135" width="16.109375" style="103" customWidth="1"/>
    <col min="5136" max="5375" width="9.109375" style="103"/>
    <col min="5376" max="5376" width="42.33203125" style="103" customWidth="1"/>
    <col min="5377" max="5377" width="5.5546875" style="103" customWidth="1"/>
    <col min="5378" max="5378" width="6" style="103" bestFit="1" customWidth="1"/>
    <col min="5379" max="5379" width="5.6640625" style="103" bestFit="1" customWidth="1"/>
    <col min="5380" max="5380" width="1" style="103" customWidth="1"/>
    <col min="5381" max="5381" width="9.6640625" style="103" bestFit="1" customWidth="1"/>
    <col min="5382" max="5382" width="8.33203125" style="103" bestFit="1" customWidth="1"/>
    <col min="5383" max="5383" width="0.5546875" style="103" customWidth="1"/>
    <col min="5384" max="5384" width="9.109375" style="103"/>
    <col min="5385" max="5385" width="14.88671875" style="103" customWidth="1"/>
    <col min="5386" max="5388" width="0" style="103" hidden="1" customWidth="1"/>
    <col min="5389" max="5389" width="1" style="103" customWidth="1"/>
    <col min="5390" max="5390" width="9.109375" style="103"/>
    <col min="5391" max="5391" width="16.109375" style="103" customWidth="1"/>
    <col min="5392" max="5631" width="9.109375" style="103"/>
    <col min="5632" max="5632" width="42.33203125" style="103" customWidth="1"/>
    <col min="5633" max="5633" width="5.5546875" style="103" customWidth="1"/>
    <col min="5634" max="5634" width="6" style="103" bestFit="1" customWidth="1"/>
    <col min="5635" max="5635" width="5.6640625" style="103" bestFit="1" customWidth="1"/>
    <col min="5636" max="5636" width="1" style="103" customWidth="1"/>
    <col min="5637" max="5637" width="9.6640625" style="103" bestFit="1" customWidth="1"/>
    <col min="5638" max="5638" width="8.33203125" style="103" bestFit="1" customWidth="1"/>
    <col min="5639" max="5639" width="0.5546875" style="103" customWidth="1"/>
    <col min="5640" max="5640" width="9.109375" style="103"/>
    <col min="5641" max="5641" width="14.88671875" style="103" customWidth="1"/>
    <col min="5642" max="5644" width="0" style="103" hidden="1" customWidth="1"/>
    <col min="5645" max="5645" width="1" style="103" customWidth="1"/>
    <col min="5646" max="5646" width="9.109375" style="103"/>
    <col min="5647" max="5647" width="16.109375" style="103" customWidth="1"/>
    <col min="5648" max="5887" width="9.109375" style="103"/>
    <col min="5888" max="5888" width="42.33203125" style="103" customWidth="1"/>
    <col min="5889" max="5889" width="5.5546875" style="103" customWidth="1"/>
    <col min="5890" max="5890" width="6" style="103" bestFit="1" customWidth="1"/>
    <col min="5891" max="5891" width="5.6640625" style="103" bestFit="1" customWidth="1"/>
    <col min="5892" max="5892" width="1" style="103" customWidth="1"/>
    <col min="5893" max="5893" width="9.6640625" style="103" bestFit="1" customWidth="1"/>
    <col min="5894" max="5894" width="8.33203125" style="103" bestFit="1" customWidth="1"/>
    <col min="5895" max="5895" width="0.5546875" style="103" customWidth="1"/>
    <col min="5896" max="5896" width="9.109375" style="103"/>
    <col min="5897" max="5897" width="14.88671875" style="103" customWidth="1"/>
    <col min="5898" max="5900" width="0" style="103" hidden="1" customWidth="1"/>
    <col min="5901" max="5901" width="1" style="103" customWidth="1"/>
    <col min="5902" max="5902" width="9.109375" style="103"/>
    <col min="5903" max="5903" width="16.109375" style="103" customWidth="1"/>
    <col min="5904" max="6143" width="9.109375" style="103"/>
    <col min="6144" max="6144" width="42.33203125" style="103" customWidth="1"/>
    <col min="6145" max="6145" width="5.5546875" style="103" customWidth="1"/>
    <col min="6146" max="6146" width="6" style="103" bestFit="1" customWidth="1"/>
    <col min="6147" max="6147" width="5.6640625" style="103" bestFit="1" customWidth="1"/>
    <col min="6148" max="6148" width="1" style="103" customWidth="1"/>
    <col min="6149" max="6149" width="9.6640625" style="103" bestFit="1" customWidth="1"/>
    <col min="6150" max="6150" width="8.33203125" style="103" bestFit="1" customWidth="1"/>
    <col min="6151" max="6151" width="0.5546875" style="103" customWidth="1"/>
    <col min="6152" max="6152" width="9.109375" style="103"/>
    <col min="6153" max="6153" width="14.88671875" style="103" customWidth="1"/>
    <col min="6154" max="6156" width="0" style="103" hidden="1" customWidth="1"/>
    <col min="6157" max="6157" width="1" style="103" customWidth="1"/>
    <col min="6158" max="6158" width="9.109375" style="103"/>
    <col min="6159" max="6159" width="16.109375" style="103" customWidth="1"/>
    <col min="6160" max="6399" width="9.109375" style="103"/>
    <col min="6400" max="6400" width="42.33203125" style="103" customWidth="1"/>
    <col min="6401" max="6401" width="5.5546875" style="103" customWidth="1"/>
    <col min="6402" max="6402" width="6" style="103" bestFit="1" customWidth="1"/>
    <col min="6403" max="6403" width="5.6640625" style="103" bestFit="1" customWidth="1"/>
    <col min="6404" max="6404" width="1" style="103" customWidth="1"/>
    <col min="6405" max="6405" width="9.6640625" style="103" bestFit="1" customWidth="1"/>
    <col min="6406" max="6406" width="8.33203125" style="103" bestFit="1" customWidth="1"/>
    <col min="6407" max="6407" width="0.5546875" style="103" customWidth="1"/>
    <col min="6408" max="6408" width="9.109375" style="103"/>
    <col min="6409" max="6409" width="14.88671875" style="103" customWidth="1"/>
    <col min="6410" max="6412" width="0" style="103" hidden="1" customWidth="1"/>
    <col min="6413" max="6413" width="1" style="103" customWidth="1"/>
    <col min="6414" max="6414" width="9.109375" style="103"/>
    <col min="6415" max="6415" width="16.109375" style="103" customWidth="1"/>
    <col min="6416" max="6655" width="9.109375" style="103"/>
    <col min="6656" max="6656" width="42.33203125" style="103" customWidth="1"/>
    <col min="6657" max="6657" width="5.5546875" style="103" customWidth="1"/>
    <col min="6658" max="6658" width="6" style="103" bestFit="1" customWidth="1"/>
    <col min="6659" max="6659" width="5.6640625" style="103" bestFit="1" customWidth="1"/>
    <col min="6660" max="6660" width="1" style="103" customWidth="1"/>
    <col min="6661" max="6661" width="9.6640625" style="103" bestFit="1" customWidth="1"/>
    <col min="6662" max="6662" width="8.33203125" style="103" bestFit="1" customWidth="1"/>
    <col min="6663" max="6663" width="0.5546875" style="103" customWidth="1"/>
    <col min="6664" max="6664" width="9.109375" style="103"/>
    <col min="6665" max="6665" width="14.88671875" style="103" customWidth="1"/>
    <col min="6666" max="6668" width="0" style="103" hidden="1" customWidth="1"/>
    <col min="6669" max="6669" width="1" style="103" customWidth="1"/>
    <col min="6670" max="6670" width="9.109375" style="103"/>
    <col min="6671" max="6671" width="16.109375" style="103" customWidth="1"/>
    <col min="6672" max="6911" width="9.109375" style="103"/>
    <col min="6912" max="6912" width="42.33203125" style="103" customWidth="1"/>
    <col min="6913" max="6913" width="5.5546875" style="103" customWidth="1"/>
    <col min="6914" max="6914" width="6" style="103" bestFit="1" customWidth="1"/>
    <col min="6915" max="6915" width="5.6640625" style="103" bestFit="1" customWidth="1"/>
    <col min="6916" max="6916" width="1" style="103" customWidth="1"/>
    <col min="6917" max="6917" width="9.6640625" style="103" bestFit="1" customWidth="1"/>
    <col min="6918" max="6918" width="8.33203125" style="103" bestFit="1" customWidth="1"/>
    <col min="6919" max="6919" width="0.5546875" style="103" customWidth="1"/>
    <col min="6920" max="6920" width="9.109375" style="103"/>
    <col min="6921" max="6921" width="14.88671875" style="103" customWidth="1"/>
    <col min="6922" max="6924" width="0" style="103" hidden="1" customWidth="1"/>
    <col min="6925" max="6925" width="1" style="103" customWidth="1"/>
    <col min="6926" max="6926" width="9.109375" style="103"/>
    <col min="6927" max="6927" width="16.109375" style="103" customWidth="1"/>
    <col min="6928" max="7167" width="9.109375" style="103"/>
    <col min="7168" max="7168" width="42.33203125" style="103" customWidth="1"/>
    <col min="7169" max="7169" width="5.5546875" style="103" customWidth="1"/>
    <col min="7170" max="7170" width="6" style="103" bestFit="1" customWidth="1"/>
    <col min="7171" max="7171" width="5.6640625" style="103" bestFit="1" customWidth="1"/>
    <col min="7172" max="7172" width="1" style="103" customWidth="1"/>
    <col min="7173" max="7173" width="9.6640625" style="103" bestFit="1" customWidth="1"/>
    <col min="7174" max="7174" width="8.33203125" style="103" bestFit="1" customWidth="1"/>
    <col min="7175" max="7175" width="0.5546875" style="103" customWidth="1"/>
    <col min="7176" max="7176" width="9.109375" style="103"/>
    <col min="7177" max="7177" width="14.88671875" style="103" customWidth="1"/>
    <col min="7178" max="7180" width="0" style="103" hidden="1" customWidth="1"/>
    <col min="7181" max="7181" width="1" style="103" customWidth="1"/>
    <col min="7182" max="7182" width="9.109375" style="103"/>
    <col min="7183" max="7183" width="16.109375" style="103" customWidth="1"/>
    <col min="7184" max="7423" width="9.109375" style="103"/>
    <col min="7424" max="7424" width="42.33203125" style="103" customWidth="1"/>
    <col min="7425" max="7425" width="5.5546875" style="103" customWidth="1"/>
    <col min="7426" max="7426" width="6" style="103" bestFit="1" customWidth="1"/>
    <col min="7427" max="7427" width="5.6640625" style="103" bestFit="1" customWidth="1"/>
    <col min="7428" max="7428" width="1" style="103" customWidth="1"/>
    <col min="7429" max="7429" width="9.6640625" style="103" bestFit="1" customWidth="1"/>
    <col min="7430" max="7430" width="8.33203125" style="103" bestFit="1" customWidth="1"/>
    <col min="7431" max="7431" width="0.5546875" style="103" customWidth="1"/>
    <col min="7432" max="7432" width="9.109375" style="103"/>
    <col min="7433" max="7433" width="14.88671875" style="103" customWidth="1"/>
    <col min="7434" max="7436" width="0" style="103" hidden="1" customWidth="1"/>
    <col min="7437" max="7437" width="1" style="103" customWidth="1"/>
    <col min="7438" max="7438" width="9.109375" style="103"/>
    <col min="7439" max="7439" width="16.109375" style="103" customWidth="1"/>
    <col min="7440" max="7679" width="9.109375" style="103"/>
    <col min="7680" max="7680" width="42.33203125" style="103" customWidth="1"/>
    <col min="7681" max="7681" width="5.5546875" style="103" customWidth="1"/>
    <col min="7682" max="7682" width="6" style="103" bestFit="1" customWidth="1"/>
    <col min="7683" max="7683" width="5.6640625" style="103" bestFit="1" customWidth="1"/>
    <col min="7684" max="7684" width="1" style="103" customWidth="1"/>
    <col min="7685" max="7685" width="9.6640625" style="103" bestFit="1" customWidth="1"/>
    <col min="7686" max="7686" width="8.33203125" style="103" bestFit="1" customWidth="1"/>
    <col min="7687" max="7687" width="0.5546875" style="103" customWidth="1"/>
    <col min="7688" max="7688" width="9.109375" style="103"/>
    <col min="7689" max="7689" width="14.88671875" style="103" customWidth="1"/>
    <col min="7690" max="7692" width="0" style="103" hidden="1" customWidth="1"/>
    <col min="7693" max="7693" width="1" style="103" customWidth="1"/>
    <col min="7694" max="7694" width="9.109375" style="103"/>
    <col min="7695" max="7695" width="16.109375" style="103" customWidth="1"/>
    <col min="7696" max="7935" width="9.109375" style="103"/>
    <col min="7936" max="7936" width="42.33203125" style="103" customWidth="1"/>
    <col min="7937" max="7937" width="5.5546875" style="103" customWidth="1"/>
    <col min="7938" max="7938" width="6" style="103" bestFit="1" customWidth="1"/>
    <col min="7939" max="7939" width="5.6640625" style="103" bestFit="1" customWidth="1"/>
    <col min="7940" max="7940" width="1" style="103" customWidth="1"/>
    <col min="7941" max="7941" width="9.6640625" style="103" bestFit="1" customWidth="1"/>
    <col min="7942" max="7942" width="8.33203125" style="103" bestFit="1" customWidth="1"/>
    <col min="7943" max="7943" width="0.5546875" style="103" customWidth="1"/>
    <col min="7944" max="7944" width="9.109375" style="103"/>
    <col min="7945" max="7945" width="14.88671875" style="103" customWidth="1"/>
    <col min="7946" max="7948" width="0" style="103" hidden="1" customWidth="1"/>
    <col min="7949" max="7949" width="1" style="103" customWidth="1"/>
    <col min="7950" max="7950" width="9.109375" style="103"/>
    <col min="7951" max="7951" width="16.109375" style="103" customWidth="1"/>
    <col min="7952" max="8191" width="9.109375" style="103"/>
    <col min="8192" max="8192" width="42.33203125" style="103" customWidth="1"/>
    <col min="8193" max="8193" width="5.5546875" style="103" customWidth="1"/>
    <col min="8194" max="8194" width="6" style="103" bestFit="1" customWidth="1"/>
    <col min="8195" max="8195" width="5.6640625" style="103" bestFit="1" customWidth="1"/>
    <col min="8196" max="8196" width="1" style="103" customWidth="1"/>
    <col min="8197" max="8197" width="9.6640625" style="103" bestFit="1" customWidth="1"/>
    <col min="8198" max="8198" width="8.33203125" style="103" bestFit="1" customWidth="1"/>
    <col min="8199" max="8199" width="0.5546875" style="103" customWidth="1"/>
    <col min="8200" max="8200" width="9.109375" style="103"/>
    <col min="8201" max="8201" width="14.88671875" style="103" customWidth="1"/>
    <col min="8202" max="8204" width="0" style="103" hidden="1" customWidth="1"/>
    <col min="8205" max="8205" width="1" style="103" customWidth="1"/>
    <col min="8206" max="8206" width="9.109375" style="103"/>
    <col min="8207" max="8207" width="16.109375" style="103" customWidth="1"/>
    <col min="8208" max="8447" width="9.109375" style="103"/>
    <col min="8448" max="8448" width="42.33203125" style="103" customWidth="1"/>
    <col min="8449" max="8449" width="5.5546875" style="103" customWidth="1"/>
    <col min="8450" max="8450" width="6" style="103" bestFit="1" customWidth="1"/>
    <col min="8451" max="8451" width="5.6640625" style="103" bestFit="1" customWidth="1"/>
    <col min="8452" max="8452" width="1" style="103" customWidth="1"/>
    <col min="8453" max="8453" width="9.6640625" style="103" bestFit="1" customWidth="1"/>
    <col min="8454" max="8454" width="8.33203125" style="103" bestFit="1" customWidth="1"/>
    <col min="8455" max="8455" width="0.5546875" style="103" customWidth="1"/>
    <col min="8456" max="8456" width="9.109375" style="103"/>
    <col min="8457" max="8457" width="14.88671875" style="103" customWidth="1"/>
    <col min="8458" max="8460" width="0" style="103" hidden="1" customWidth="1"/>
    <col min="8461" max="8461" width="1" style="103" customWidth="1"/>
    <col min="8462" max="8462" width="9.109375" style="103"/>
    <col min="8463" max="8463" width="16.109375" style="103" customWidth="1"/>
    <col min="8464" max="8703" width="9.109375" style="103"/>
    <col min="8704" max="8704" width="42.33203125" style="103" customWidth="1"/>
    <col min="8705" max="8705" width="5.5546875" style="103" customWidth="1"/>
    <col min="8706" max="8706" width="6" style="103" bestFit="1" customWidth="1"/>
    <col min="8707" max="8707" width="5.6640625" style="103" bestFit="1" customWidth="1"/>
    <col min="8708" max="8708" width="1" style="103" customWidth="1"/>
    <col min="8709" max="8709" width="9.6640625" style="103" bestFit="1" customWidth="1"/>
    <col min="8710" max="8710" width="8.33203125" style="103" bestFit="1" customWidth="1"/>
    <col min="8711" max="8711" width="0.5546875" style="103" customWidth="1"/>
    <col min="8712" max="8712" width="9.109375" style="103"/>
    <col min="8713" max="8713" width="14.88671875" style="103" customWidth="1"/>
    <col min="8714" max="8716" width="0" style="103" hidden="1" customWidth="1"/>
    <col min="8717" max="8717" width="1" style="103" customWidth="1"/>
    <col min="8718" max="8718" width="9.109375" style="103"/>
    <col min="8719" max="8719" width="16.109375" style="103" customWidth="1"/>
    <col min="8720" max="8959" width="9.109375" style="103"/>
    <col min="8960" max="8960" width="42.33203125" style="103" customWidth="1"/>
    <col min="8961" max="8961" width="5.5546875" style="103" customWidth="1"/>
    <col min="8962" max="8962" width="6" style="103" bestFit="1" customWidth="1"/>
    <col min="8963" max="8963" width="5.6640625" style="103" bestFit="1" customWidth="1"/>
    <col min="8964" max="8964" width="1" style="103" customWidth="1"/>
    <col min="8965" max="8965" width="9.6640625" style="103" bestFit="1" customWidth="1"/>
    <col min="8966" max="8966" width="8.33203125" style="103" bestFit="1" customWidth="1"/>
    <col min="8967" max="8967" width="0.5546875" style="103" customWidth="1"/>
    <col min="8968" max="8968" width="9.109375" style="103"/>
    <col min="8969" max="8969" width="14.88671875" style="103" customWidth="1"/>
    <col min="8970" max="8972" width="0" style="103" hidden="1" customWidth="1"/>
    <col min="8973" max="8973" width="1" style="103" customWidth="1"/>
    <col min="8974" max="8974" width="9.109375" style="103"/>
    <col min="8975" max="8975" width="16.109375" style="103" customWidth="1"/>
    <col min="8976" max="9215" width="9.109375" style="103"/>
    <col min="9216" max="9216" width="42.33203125" style="103" customWidth="1"/>
    <col min="9217" max="9217" width="5.5546875" style="103" customWidth="1"/>
    <col min="9218" max="9218" width="6" style="103" bestFit="1" customWidth="1"/>
    <col min="9219" max="9219" width="5.6640625" style="103" bestFit="1" customWidth="1"/>
    <col min="9220" max="9220" width="1" style="103" customWidth="1"/>
    <col min="9221" max="9221" width="9.6640625" style="103" bestFit="1" customWidth="1"/>
    <col min="9222" max="9222" width="8.33203125" style="103" bestFit="1" customWidth="1"/>
    <col min="9223" max="9223" width="0.5546875" style="103" customWidth="1"/>
    <col min="9224" max="9224" width="9.109375" style="103"/>
    <col min="9225" max="9225" width="14.88671875" style="103" customWidth="1"/>
    <col min="9226" max="9228" width="0" style="103" hidden="1" customWidth="1"/>
    <col min="9229" max="9229" width="1" style="103" customWidth="1"/>
    <col min="9230" max="9230" width="9.109375" style="103"/>
    <col min="9231" max="9231" width="16.109375" style="103" customWidth="1"/>
    <col min="9232" max="9471" width="9.109375" style="103"/>
    <col min="9472" max="9472" width="42.33203125" style="103" customWidth="1"/>
    <col min="9473" max="9473" width="5.5546875" style="103" customWidth="1"/>
    <col min="9474" max="9474" width="6" style="103" bestFit="1" customWidth="1"/>
    <col min="9475" max="9475" width="5.6640625" style="103" bestFit="1" customWidth="1"/>
    <col min="9476" max="9476" width="1" style="103" customWidth="1"/>
    <col min="9477" max="9477" width="9.6640625" style="103" bestFit="1" customWidth="1"/>
    <col min="9478" max="9478" width="8.33203125" style="103" bestFit="1" customWidth="1"/>
    <col min="9479" max="9479" width="0.5546875" style="103" customWidth="1"/>
    <col min="9480" max="9480" width="9.109375" style="103"/>
    <col min="9481" max="9481" width="14.88671875" style="103" customWidth="1"/>
    <col min="9482" max="9484" width="0" style="103" hidden="1" customWidth="1"/>
    <col min="9485" max="9485" width="1" style="103" customWidth="1"/>
    <col min="9486" max="9486" width="9.109375" style="103"/>
    <col min="9487" max="9487" width="16.109375" style="103" customWidth="1"/>
    <col min="9488" max="9727" width="9.109375" style="103"/>
    <col min="9728" max="9728" width="42.33203125" style="103" customWidth="1"/>
    <col min="9729" max="9729" width="5.5546875" style="103" customWidth="1"/>
    <col min="9730" max="9730" width="6" style="103" bestFit="1" customWidth="1"/>
    <col min="9731" max="9731" width="5.6640625" style="103" bestFit="1" customWidth="1"/>
    <col min="9732" max="9732" width="1" style="103" customWidth="1"/>
    <col min="9733" max="9733" width="9.6640625" style="103" bestFit="1" customWidth="1"/>
    <col min="9734" max="9734" width="8.33203125" style="103" bestFit="1" customWidth="1"/>
    <col min="9735" max="9735" width="0.5546875" style="103" customWidth="1"/>
    <col min="9736" max="9736" width="9.109375" style="103"/>
    <col min="9737" max="9737" width="14.88671875" style="103" customWidth="1"/>
    <col min="9738" max="9740" width="0" style="103" hidden="1" customWidth="1"/>
    <col min="9741" max="9741" width="1" style="103" customWidth="1"/>
    <col min="9742" max="9742" width="9.109375" style="103"/>
    <col min="9743" max="9743" width="16.109375" style="103" customWidth="1"/>
    <col min="9744" max="9983" width="9.109375" style="103"/>
    <col min="9984" max="9984" width="42.33203125" style="103" customWidth="1"/>
    <col min="9985" max="9985" width="5.5546875" style="103" customWidth="1"/>
    <col min="9986" max="9986" width="6" style="103" bestFit="1" customWidth="1"/>
    <col min="9987" max="9987" width="5.6640625" style="103" bestFit="1" customWidth="1"/>
    <col min="9988" max="9988" width="1" style="103" customWidth="1"/>
    <col min="9989" max="9989" width="9.6640625" style="103" bestFit="1" customWidth="1"/>
    <col min="9990" max="9990" width="8.33203125" style="103" bestFit="1" customWidth="1"/>
    <col min="9991" max="9991" width="0.5546875" style="103" customWidth="1"/>
    <col min="9992" max="9992" width="9.109375" style="103"/>
    <col min="9993" max="9993" width="14.88671875" style="103" customWidth="1"/>
    <col min="9994" max="9996" width="0" style="103" hidden="1" customWidth="1"/>
    <col min="9997" max="9997" width="1" style="103" customWidth="1"/>
    <col min="9998" max="9998" width="9.109375" style="103"/>
    <col min="9999" max="9999" width="16.109375" style="103" customWidth="1"/>
    <col min="10000" max="10239" width="9.109375" style="103"/>
    <col min="10240" max="10240" width="42.33203125" style="103" customWidth="1"/>
    <col min="10241" max="10241" width="5.5546875" style="103" customWidth="1"/>
    <col min="10242" max="10242" width="6" style="103" bestFit="1" customWidth="1"/>
    <col min="10243" max="10243" width="5.6640625" style="103" bestFit="1" customWidth="1"/>
    <col min="10244" max="10244" width="1" style="103" customWidth="1"/>
    <col min="10245" max="10245" width="9.6640625" style="103" bestFit="1" customWidth="1"/>
    <col min="10246" max="10246" width="8.33203125" style="103" bestFit="1" customWidth="1"/>
    <col min="10247" max="10247" width="0.5546875" style="103" customWidth="1"/>
    <col min="10248" max="10248" width="9.109375" style="103"/>
    <col min="10249" max="10249" width="14.88671875" style="103" customWidth="1"/>
    <col min="10250" max="10252" width="0" style="103" hidden="1" customWidth="1"/>
    <col min="10253" max="10253" width="1" style="103" customWidth="1"/>
    <col min="10254" max="10254" width="9.109375" style="103"/>
    <col min="10255" max="10255" width="16.109375" style="103" customWidth="1"/>
    <col min="10256" max="10495" width="9.109375" style="103"/>
    <col min="10496" max="10496" width="42.33203125" style="103" customWidth="1"/>
    <col min="10497" max="10497" width="5.5546875" style="103" customWidth="1"/>
    <col min="10498" max="10498" width="6" style="103" bestFit="1" customWidth="1"/>
    <col min="10499" max="10499" width="5.6640625" style="103" bestFit="1" customWidth="1"/>
    <col min="10500" max="10500" width="1" style="103" customWidth="1"/>
    <col min="10501" max="10501" width="9.6640625" style="103" bestFit="1" customWidth="1"/>
    <col min="10502" max="10502" width="8.33203125" style="103" bestFit="1" customWidth="1"/>
    <col min="10503" max="10503" width="0.5546875" style="103" customWidth="1"/>
    <col min="10504" max="10504" width="9.109375" style="103"/>
    <col min="10505" max="10505" width="14.88671875" style="103" customWidth="1"/>
    <col min="10506" max="10508" width="0" style="103" hidden="1" customWidth="1"/>
    <col min="10509" max="10509" width="1" style="103" customWidth="1"/>
    <col min="10510" max="10510" width="9.109375" style="103"/>
    <col min="10511" max="10511" width="16.109375" style="103" customWidth="1"/>
    <col min="10512" max="10751" width="9.109375" style="103"/>
    <col min="10752" max="10752" width="42.33203125" style="103" customWidth="1"/>
    <col min="10753" max="10753" width="5.5546875" style="103" customWidth="1"/>
    <col min="10754" max="10754" width="6" style="103" bestFit="1" customWidth="1"/>
    <col min="10755" max="10755" width="5.6640625" style="103" bestFit="1" customWidth="1"/>
    <col min="10756" max="10756" width="1" style="103" customWidth="1"/>
    <col min="10757" max="10757" width="9.6640625" style="103" bestFit="1" customWidth="1"/>
    <col min="10758" max="10758" width="8.33203125" style="103" bestFit="1" customWidth="1"/>
    <col min="10759" max="10759" width="0.5546875" style="103" customWidth="1"/>
    <col min="10760" max="10760" width="9.109375" style="103"/>
    <col min="10761" max="10761" width="14.88671875" style="103" customWidth="1"/>
    <col min="10762" max="10764" width="0" style="103" hidden="1" customWidth="1"/>
    <col min="10765" max="10765" width="1" style="103" customWidth="1"/>
    <col min="10766" max="10766" width="9.109375" style="103"/>
    <col min="10767" max="10767" width="16.109375" style="103" customWidth="1"/>
    <col min="10768" max="11007" width="9.109375" style="103"/>
    <col min="11008" max="11008" width="42.33203125" style="103" customWidth="1"/>
    <col min="11009" max="11009" width="5.5546875" style="103" customWidth="1"/>
    <col min="11010" max="11010" width="6" style="103" bestFit="1" customWidth="1"/>
    <col min="11011" max="11011" width="5.6640625" style="103" bestFit="1" customWidth="1"/>
    <col min="11012" max="11012" width="1" style="103" customWidth="1"/>
    <col min="11013" max="11013" width="9.6640625" style="103" bestFit="1" customWidth="1"/>
    <col min="11014" max="11014" width="8.33203125" style="103" bestFit="1" customWidth="1"/>
    <col min="11015" max="11015" width="0.5546875" style="103" customWidth="1"/>
    <col min="11016" max="11016" width="9.109375" style="103"/>
    <col min="11017" max="11017" width="14.88671875" style="103" customWidth="1"/>
    <col min="11018" max="11020" width="0" style="103" hidden="1" customWidth="1"/>
    <col min="11021" max="11021" width="1" style="103" customWidth="1"/>
    <col min="11022" max="11022" width="9.109375" style="103"/>
    <col min="11023" max="11023" width="16.109375" style="103" customWidth="1"/>
    <col min="11024" max="11263" width="9.109375" style="103"/>
    <col min="11264" max="11264" width="42.33203125" style="103" customWidth="1"/>
    <col min="11265" max="11265" width="5.5546875" style="103" customWidth="1"/>
    <col min="11266" max="11266" width="6" style="103" bestFit="1" customWidth="1"/>
    <col min="11267" max="11267" width="5.6640625" style="103" bestFit="1" customWidth="1"/>
    <col min="11268" max="11268" width="1" style="103" customWidth="1"/>
    <col min="11269" max="11269" width="9.6640625" style="103" bestFit="1" customWidth="1"/>
    <col min="11270" max="11270" width="8.33203125" style="103" bestFit="1" customWidth="1"/>
    <col min="11271" max="11271" width="0.5546875" style="103" customWidth="1"/>
    <col min="11272" max="11272" width="9.109375" style="103"/>
    <col min="11273" max="11273" width="14.88671875" style="103" customWidth="1"/>
    <col min="11274" max="11276" width="0" style="103" hidden="1" customWidth="1"/>
    <col min="11277" max="11277" width="1" style="103" customWidth="1"/>
    <col min="11278" max="11278" width="9.109375" style="103"/>
    <col min="11279" max="11279" width="16.109375" style="103" customWidth="1"/>
    <col min="11280" max="11519" width="9.109375" style="103"/>
    <col min="11520" max="11520" width="42.33203125" style="103" customWidth="1"/>
    <col min="11521" max="11521" width="5.5546875" style="103" customWidth="1"/>
    <col min="11522" max="11522" width="6" style="103" bestFit="1" customWidth="1"/>
    <col min="11523" max="11523" width="5.6640625" style="103" bestFit="1" customWidth="1"/>
    <col min="11524" max="11524" width="1" style="103" customWidth="1"/>
    <col min="11525" max="11525" width="9.6640625" style="103" bestFit="1" customWidth="1"/>
    <col min="11526" max="11526" width="8.33203125" style="103" bestFit="1" customWidth="1"/>
    <col min="11527" max="11527" width="0.5546875" style="103" customWidth="1"/>
    <col min="11528" max="11528" width="9.109375" style="103"/>
    <col min="11529" max="11529" width="14.88671875" style="103" customWidth="1"/>
    <col min="11530" max="11532" width="0" style="103" hidden="1" customWidth="1"/>
    <col min="11533" max="11533" width="1" style="103" customWidth="1"/>
    <col min="11534" max="11534" width="9.109375" style="103"/>
    <col min="11535" max="11535" width="16.109375" style="103" customWidth="1"/>
    <col min="11536" max="11775" width="9.109375" style="103"/>
    <col min="11776" max="11776" width="42.33203125" style="103" customWidth="1"/>
    <col min="11777" max="11777" width="5.5546875" style="103" customWidth="1"/>
    <col min="11778" max="11778" width="6" style="103" bestFit="1" customWidth="1"/>
    <col min="11779" max="11779" width="5.6640625" style="103" bestFit="1" customWidth="1"/>
    <col min="11780" max="11780" width="1" style="103" customWidth="1"/>
    <col min="11781" max="11781" width="9.6640625" style="103" bestFit="1" customWidth="1"/>
    <col min="11782" max="11782" width="8.33203125" style="103" bestFit="1" customWidth="1"/>
    <col min="11783" max="11783" width="0.5546875" style="103" customWidth="1"/>
    <col min="11784" max="11784" width="9.109375" style="103"/>
    <col min="11785" max="11785" width="14.88671875" style="103" customWidth="1"/>
    <col min="11786" max="11788" width="0" style="103" hidden="1" customWidth="1"/>
    <col min="11789" max="11789" width="1" style="103" customWidth="1"/>
    <col min="11790" max="11790" width="9.109375" style="103"/>
    <col min="11791" max="11791" width="16.109375" style="103" customWidth="1"/>
    <col min="11792" max="12031" width="9.109375" style="103"/>
    <col min="12032" max="12032" width="42.33203125" style="103" customWidth="1"/>
    <col min="12033" max="12033" width="5.5546875" style="103" customWidth="1"/>
    <col min="12034" max="12034" width="6" style="103" bestFit="1" customWidth="1"/>
    <col min="12035" max="12035" width="5.6640625" style="103" bestFit="1" customWidth="1"/>
    <col min="12036" max="12036" width="1" style="103" customWidth="1"/>
    <col min="12037" max="12037" width="9.6640625" style="103" bestFit="1" customWidth="1"/>
    <col min="12038" max="12038" width="8.33203125" style="103" bestFit="1" customWidth="1"/>
    <col min="12039" max="12039" width="0.5546875" style="103" customWidth="1"/>
    <col min="12040" max="12040" width="9.109375" style="103"/>
    <col min="12041" max="12041" width="14.88671875" style="103" customWidth="1"/>
    <col min="12042" max="12044" width="0" style="103" hidden="1" customWidth="1"/>
    <col min="12045" max="12045" width="1" style="103" customWidth="1"/>
    <col min="12046" max="12046" width="9.109375" style="103"/>
    <col min="12047" max="12047" width="16.109375" style="103" customWidth="1"/>
    <col min="12048" max="12287" width="9.109375" style="103"/>
    <col min="12288" max="12288" width="42.33203125" style="103" customWidth="1"/>
    <col min="12289" max="12289" width="5.5546875" style="103" customWidth="1"/>
    <col min="12290" max="12290" width="6" style="103" bestFit="1" customWidth="1"/>
    <col min="12291" max="12291" width="5.6640625" style="103" bestFit="1" customWidth="1"/>
    <col min="12292" max="12292" width="1" style="103" customWidth="1"/>
    <col min="12293" max="12293" width="9.6640625" style="103" bestFit="1" customWidth="1"/>
    <col min="12294" max="12294" width="8.33203125" style="103" bestFit="1" customWidth="1"/>
    <col min="12295" max="12295" width="0.5546875" style="103" customWidth="1"/>
    <col min="12296" max="12296" width="9.109375" style="103"/>
    <col min="12297" max="12297" width="14.88671875" style="103" customWidth="1"/>
    <col min="12298" max="12300" width="0" style="103" hidden="1" customWidth="1"/>
    <col min="12301" max="12301" width="1" style="103" customWidth="1"/>
    <col min="12302" max="12302" width="9.109375" style="103"/>
    <col min="12303" max="12303" width="16.109375" style="103" customWidth="1"/>
    <col min="12304" max="12543" width="9.109375" style="103"/>
    <col min="12544" max="12544" width="42.33203125" style="103" customWidth="1"/>
    <col min="12545" max="12545" width="5.5546875" style="103" customWidth="1"/>
    <col min="12546" max="12546" width="6" style="103" bestFit="1" customWidth="1"/>
    <col min="12547" max="12547" width="5.6640625" style="103" bestFit="1" customWidth="1"/>
    <col min="12548" max="12548" width="1" style="103" customWidth="1"/>
    <col min="12549" max="12549" width="9.6640625" style="103" bestFit="1" customWidth="1"/>
    <col min="12550" max="12550" width="8.33203125" style="103" bestFit="1" customWidth="1"/>
    <col min="12551" max="12551" width="0.5546875" style="103" customWidth="1"/>
    <col min="12552" max="12552" width="9.109375" style="103"/>
    <col min="12553" max="12553" width="14.88671875" style="103" customWidth="1"/>
    <col min="12554" max="12556" width="0" style="103" hidden="1" customWidth="1"/>
    <col min="12557" max="12557" width="1" style="103" customWidth="1"/>
    <col min="12558" max="12558" width="9.109375" style="103"/>
    <col min="12559" max="12559" width="16.109375" style="103" customWidth="1"/>
    <col min="12560" max="12799" width="9.109375" style="103"/>
    <col min="12800" max="12800" width="42.33203125" style="103" customWidth="1"/>
    <col min="12801" max="12801" width="5.5546875" style="103" customWidth="1"/>
    <col min="12802" max="12802" width="6" style="103" bestFit="1" customWidth="1"/>
    <col min="12803" max="12803" width="5.6640625" style="103" bestFit="1" customWidth="1"/>
    <col min="12804" max="12804" width="1" style="103" customWidth="1"/>
    <col min="12805" max="12805" width="9.6640625" style="103" bestFit="1" customWidth="1"/>
    <col min="12806" max="12806" width="8.33203125" style="103" bestFit="1" customWidth="1"/>
    <col min="12807" max="12807" width="0.5546875" style="103" customWidth="1"/>
    <col min="12808" max="12808" width="9.109375" style="103"/>
    <col min="12809" max="12809" width="14.88671875" style="103" customWidth="1"/>
    <col min="12810" max="12812" width="0" style="103" hidden="1" customWidth="1"/>
    <col min="12813" max="12813" width="1" style="103" customWidth="1"/>
    <col min="12814" max="12814" width="9.109375" style="103"/>
    <col min="12815" max="12815" width="16.109375" style="103" customWidth="1"/>
    <col min="12816" max="13055" width="9.109375" style="103"/>
    <col min="13056" max="13056" width="42.33203125" style="103" customWidth="1"/>
    <col min="13057" max="13057" width="5.5546875" style="103" customWidth="1"/>
    <col min="13058" max="13058" width="6" style="103" bestFit="1" customWidth="1"/>
    <col min="13059" max="13059" width="5.6640625" style="103" bestFit="1" customWidth="1"/>
    <col min="13060" max="13060" width="1" style="103" customWidth="1"/>
    <col min="13061" max="13061" width="9.6640625" style="103" bestFit="1" customWidth="1"/>
    <col min="13062" max="13062" width="8.33203125" style="103" bestFit="1" customWidth="1"/>
    <col min="13063" max="13063" width="0.5546875" style="103" customWidth="1"/>
    <col min="13064" max="13064" width="9.109375" style="103"/>
    <col min="13065" max="13065" width="14.88671875" style="103" customWidth="1"/>
    <col min="13066" max="13068" width="0" style="103" hidden="1" customWidth="1"/>
    <col min="13069" max="13069" width="1" style="103" customWidth="1"/>
    <col min="13070" max="13070" width="9.109375" style="103"/>
    <col min="13071" max="13071" width="16.109375" style="103" customWidth="1"/>
    <col min="13072" max="13311" width="9.109375" style="103"/>
    <col min="13312" max="13312" width="42.33203125" style="103" customWidth="1"/>
    <col min="13313" max="13313" width="5.5546875" style="103" customWidth="1"/>
    <col min="13314" max="13314" width="6" style="103" bestFit="1" customWidth="1"/>
    <col min="13315" max="13315" width="5.6640625" style="103" bestFit="1" customWidth="1"/>
    <col min="13316" max="13316" width="1" style="103" customWidth="1"/>
    <col min="13317" max="13317" width="9.6640625" style="103" bestFit="1" customWidth="1"/>
    <col min="13318" max="13318" width="8.33203125" style="103" bestFit="1" customWidth="1"/>
    <col min="13319" max="13319" width="0.5546875" style="103" customWidth="1"/>
    <col min="13320" max="13320" width="9.109375" style="103"/>
    <col min="13321" max="13321" width="14.88671875" style="103" customWidth="1"/>
    <col min="13322" max="13324" width="0" style="103" hidden="1" customWidth="1"/>
    <col min="13325" max="13325" width="1" style="103" customWidth="1"/>
    <col min="13326" max="13326" width="9.109375" style="103"/>
    <col min="13327" max="13327" width="16.109375" style="103" customWidth="1"/>
    <col min="13328" max="13567" width="9.109375" style="103"/>
    <col min="13568" max="13568" width="42.33203125" style="103" customWidth="1"/>
    <col min="13569" max="13569" width="5.5546875" style="103" customWidth="1"/>
    <col min="13570" max="13570" width="6" style="103" bestFit="1" customWidth="1"/>
    <col min="13571" max="13571" width="5.6640625" style="103" bestFit="1" customWidth="1"/>
    <col min="13572" max="13572" width="1" style="103" customWidth="1"/>
    <col min="13573" max="13573" width="9.6640625" style="103" bestFit="1" customWidth="1"/>
    <col min="13574" max="13574" width="8.33203125" style="103" bestFit="1" customWidth="1"/>
    <col min="13575" max="13575" width="0.5546875" style="103" customWidth="1"/>
    <col min="13576" max="13576" width="9.109375" style="103"/>
    <col min="13577" max="13577" width="14.88671875" style="103" customWidth="1"/>
    <col min="13578" max="13580" width="0" style="103" hidden="1" customWidth="1"/>
    <col min="13581" max="13581" width="1" style="103" customWidth="1"/>
    <col min="13582" max="13582" width="9.109375" style="103"/>
    <col min="13583" max="13583" width="16.109375" style="103" customWidth="1"/>
    <col min="13584" max="13823" width="9.109375" style="103"/>
    <col min="13824" max="13824" width="42.33203125" style="103" customWidth="1"/>
    <col min="13825" max="13825" width="5.5546875" style="103" customWidth="1"/>
    <col min="13826" max="13826" width="6" style="103" bestFit="1" customWidth="1"/>
    <col min="13827" max="13827" width="5.6640625" style="103" bestFit="1" customWidth="1"/>
    <col min="13828" max="13828" width="1" style="103" customWidth="1"/>
    <col min="13829" max="13829" width="9.6640625" style="103" bestFit="1" customWidth="1"/>
    <col min="13830" max="13830" width="8.33203125" style="103" bestFit="1" customWidth="1"/>
    <col min="13831" max="13831" width="0.5546875" style="103" customWidth="1"/>
    <col min="13832" max="13832" width="9.109375" style="103"/>
    <col min="13833" max="13833" width="14.88671875" style="103" customWidth="1"/>
    <col min="13834" max="13836" width="0" style="103" hidden="1" customWidth="1"/>
    <col min="13837" max="13837" width="1" style="103" customWidth="1"/>
    <col min="13838" max="13838" width="9.109375" style="103"/>
    <col min="13839" max="13839" width="16.109375" style="103" customWidth="1"/>
    <col min="13840" max="14079" width="9.109375" style="103"/>
    <col min="14080" max="14080" width="42.33203125" style="103" customWidth="1"/>
    <col min="14081" max="14081" width="5.5546875" style="103" customWidth="1"/>
    <col min="14082" max="14082" width="6" style="103" bestFit="1" customWidth="1"/>
    <col min="14083" max="14083" width="5.6640625" style="103" bestFit="1" customWidth="1"/>
    <col min="14084" max="14084" width="1" style="103" customWidth="1"/>
    <col min="14085" max="14085" width="9.6640625" style="103" bestFit="1" customWidth="1"/>
    <col min="14086" max="14086" width="8.33203125" style="103" bestFit="1" customWidth="1"/>
    <col min="14087" max="14087" width="0.5546875" style="103" customWidth="1"/>
    <col min="14088" max="14088" width="9.109375" style="103"/>
    <col min="14089" max="14089" width="14.88671875" style="103" customWidth="1"/>
    <col min="14090" max="14092" width="0" style="103" hidden="1" customWidth="1"/>
    <col min="14093" max="14093" width="1" style="103" customWidth="1"/>
    <col min="14094" max="14094" width="9.109375" style="103"/>
    <col min="14095" max="14095" width="16.109375" style="103" customWidth="1"/>
    <col min="14096" max="14335" width="9.109375" style="103"/>
    <col min="14336" max="14336" width="42.33203125" style="103" customWidth="1"/>
    <col min="14337" max="14337" width="5.5546875" style="103" customWidth="1"/>
    <col min="14338" max="14338" width="6" style="103" bestFit="1" customWidth="1"/>
    <col min="14339" max="14339" width="5.6640625" style="103" bestFit="1" customWidth="1"/>
    <col min="14340" max="14340" width="1" style="103" customWidth="1"/>
    <col min="14341" max="14341" width="9.6640625" style="103" bestFit="1" customWidth="1"/>
    <col min="14342" max="14342" width="8.33203125" style="103" bestFit="1" customWidth="1"/>
    <col min="14343" max="14343" width="0.5546875" style="103" customWidth="1"/>
    <col min="14344" max="14344" width="9.109375" style="103"/>
    <col min="14345" max="14345" width="14.88671875" style="103" customWidth="1"/>
    <col min="14346" max="14348" width="0" style="103" hidden="1" customWidth="1"/>
    <col min="14349" max="14349" width="1" style="103" customWidth="1"/>
    <col min="14350" max="14350" width="9.109375" style="103"/>
    <col min="14351" max="14351" width="16.109375" style="103" customWidth="1"/>
    <col min="14352" max="14591" width="9.109375" style="103"/>
    <col min="14592" max="14592" width="42.33203125" style="103" customWidth="1"/>
    <col min="14593" max="14593" width="5.5546875" style="103" customWidth="1"/>
    <col min="14594" max="14594" width="6" style="103" bestFit="1" customWidth="1"/>
    <col min="14595" max="14595" width="5.6640625" style="103" bestFit="1" customWidth="1"/>
    <col min="14596" max="14596" width="1" style="103" customWidth="1"/>
    <col min="14597" max="14597" width="9.6640625" style="103" bestFit="1" customWidth="1"/>
    <col min="14598" max="14598" width="8.33203125" style="103" bestFit="1" customWidth="1"/>
    <col min="14599" max="14599" width="0.5546875" style="103" customWidth="1"/>
    <col min="14600" max="14600" width="9.109375" style="103"/>
    <col min="14601" max="14601" width="14.88671875" style="103" customWidth="1"/>
    <col min="14602" max="14604" width="0" style="103" hidden="1" customWidth="1"/>
    <col min="14605" max="14605" width="1" style="103" customWidth="1"/>
    <col min="14606" max="14606" width="9.109375" style="103"/>
    <col min="14607" max="14607" width="16.109375" style="103" customWidth="1"/>
    <col min="14608" max="14847" width="9.109375" style="103"/>
    <col min="14848" max="14848" width="42.33203125" style="103" customWidth="1"/>
    <col min="14849" max="14849" width="5.5546875" style="103" customWidth="1"/>
    <col min="14850" max="14850" width="6" style="103" bestFit="1" customWidth="1"/>
    <col min="14851" max="14851" width="5.6640625" style="103" bestFit="1" customWidth="1"/>
    <col min="14852" max="14852" width="1" style="103" customWidth="1"/>
    <col min="14853" max="14853" width="9.6640625" style="103" bestFit="1" customWidth="1"/>
    <col min="14854" max="14854" width="8.33203125" style="103" bestFit="1" customWidth="1"/>
    <col min="14855" max="14855" width="0.5546875" style="103" customWidth="1"/>
    <col min="14856" max="14856" width="9.109375" style="103"/>
    <col min="14857" max="14857" width="14.88671875" style="103" customWidth="1"/>
    <col min="14858" max="14860" width="0" style="103" hidden="1" customWidth="1"/>
    <col min="14861" max="14861" width="1" style="103" customWidth="1"/>
    <col min="14862" max="14862" width="9.109375" style="103"/>
    <col min="14863" max="14863" width="16.109375" style="103" customWidth="1"/>
    <col min="14864" max="15103" width="9.109375" style="103"/>
    <col min="15104" max="15104" width="42.33203125" style="103" customWidth="1"/>
    <col min="15105" max="15105" width="5.5546875" style="103" customWidth="1"/>
    <col min="15106" max="15106" width="6" style="103" bestFit="1" customWidth="1"/>
    <col min="15107" max="15107" width="5.6640625" style="103" bestFit="1" customWidth="1"/>
    <col min="15108" max="15108" width="1" style="103" customWidth="1"/>
    <col min="15109" max="15109" width="9.6640625" style="103" bestFit="1" customWidth="1"/>
    <col min="15110" max="15110" width="8.33203125" style="103" bestFit="1" customWidth="1"/>
    <col min="15111" max="15111" width="0.5546875" style="103" customWidth="1"/>
    <col min="15112" max="15112" width="9.109375" style="103"/>
    <col min="15113" max="15113" width="14.88671875" style="103" customWidth="1"/>
    <col min="15114" max="15116" width="0" style="103" hidden="1" customWidth="1"/>
    <col min="15117" max="15117" width="1" style="103" customWidth="1"/>
    <col min="15118" max="15118" width="9.109375" style="103"/>
    <col min="15119" max="15119" width="16.109375" style="103" customWidth="1"/>
    <col min="15120" max="15359" width="9.109375" style="103"/>
    <col min="15360" max="15360" width="42.33203125" style="103" customWidth="1"/>
    <col min="15361" max="15361" width="5.5546875" style="103" customWidth="1"/>
    <col min="15362" max="15362" width="6" style="103" bestFit="1" customWidth="1"/>
    <col min="15363" max="15363" width="5.6640625" style="103" bestFit="1" customWidth="1"/>
    <col min="15364" max="15364" width="1" style="103" customWidth="1"/>
    <col min="15365" max="15365" width="9.6640625" style="103" bestFit="1" customWidth="1"/>
    <col min="15366" max="15366" width="8.33203125" style="103" bestFit="1" customWidth="1"/>
    <col min="15367" max="15367" width="0.5546875" style="103" customWidth="1"/>
    <col min="15368" max="15368" width="9.109375" style="103"/>
    <col min="15369" max="15369" width="14.88671875" style="103" customWidth="1"/>
    <col min="15370" max="15372" width="0" style="103" hidden="1" customWidth="1"/>
    <col min="15373" max="15373" width="1" style="103" customWidth="1"/>
    <col min="15374" max="15374" width="9.109375" style="103"/>
    <col min="15375" max="15375" width="16.109375" style="103" customWidth="1"/>
    <col min="15376" max="15615" width="9.109375" style="103"/>
    <col min="15616" max="15616" width="42.33203125" style="103" customWidth="1"/>
    <col min="15617" max="15617" width="5.5546875" style="103" customWidth="1"/>
    <col min="15618" max="15618" width="6" style="103" bestFit="1" customWidth="1"/>
    <col min="15619" max="15619" width="5.6640625" style="103" bestFit="1" customWidth="1"/>
    <col min="15620" max="15620" width="1" style="103" customWidth="1"/>
    <col min="15621" max="15621" width="9.6640625" style="103" bestFit="1" customWidth="1"/>
    <col min="15622" max="15622" width="8.33203125" style="103" bestFit="1" customWidth="1"/>
    <col min="15623" max="15623" width="0.5546875" style="103" customWidth="1"/>
    <col min="15624" max="15624" width="9.109375" style="103"/>
    <col min="15625" max="15625" width="14.88671875" style="103" customWidth="1"/>
    <col min="15626" max="15628" width="0" style="103" hidden="1" customWidth="1"/>
    <col min="15629" max="15629" width="1" style="103" customWidth="1"/>
    <col min="15630" max="15630" width="9.109375" style="103"/>
    <col min="15631" max="15631" width="16.109375" style="103" customWidth="1"/>
    <col min="15632" max="15871" width="9.109375" style="103"/>
    <col min="15872" max="15872" width="42.33203125" style="103" customWidth="1"/>
    <col min="15873" max="15873" width="5.5546875" style="103" customWidth="1"/>
    <col min="15874" max="15874" width="6" style="103" bestFit="1" customWidth="1"/>
    <col min="15875" max="15875" width="5.6640625" style="103" bestFit="1" customWidth="1"/>
    <col min="15876" max="15876" width="1" style="103" customWidth="1"/>
    <col min="15877" max="15877" width="9.6640625" style="103" bestFit="1" customWidth="1"/>
    <col min="15878" max="15878" width="8.33203125" style="103" bestFit="1" customWidth="1"/>
    <col min="15879" max="15879" width="0.5546875" style="103" customWidth="1"/>
    <col min="15880" max="15880" width="9.109375" style="103"/>
    <col min="15881" max="15881" width="14.88671875" style="103" customWidth="1"/>
    <col min="15882" max="15884" width="0" style="103" hidden="1" customWidth="1"/>
    <col min="15885" max="15885" width="1" style="103" customWidth="1"/>
    <col min="15886" max="15886" width="9.109375" style="103"/>
    <col min="15887" max="15887" width="16.109375" style="103" customWidth="1"/>
    <col min="15888" max="16127" width="9.109375" style="103"/>
    <col min="16128" max="16128" width="42.33203125" style="103" customWidth="1"/>
    <col min="16129" max="16129" width="5.5546875" style="103" customWidth="1"/>
    <col min="16130" max="16130" width="6" style="103" bestFit="1" customWidth="1"/>
    <col min="16131" max="16131" width="5.6640625" style="103" bestFit="1" customWidth="1"/>
    <col min="16132" max="16132" width="1" style="103" customWidth="1"/>
    <col min="16133" max="16133" width="9.6640625" style="103" bestFit="1" customWidth="1"/>
    <col min="16134" max="16134" width="8.33203125" style="103" bestFit="1" customWidth="1"/>
    <col min="16135" max="16135" width="0.5546875" style="103" customWidth="1"/>
    <col min="16136" max="16136" width="9.109375" style="103"/>
    <col min="16137" max="16137" width="14.88671875" style="103" customWidth="1"/>
    <col min="16138" max="16140" width="0" style="103" hidden="1" customWidth="1"/>
    <col min="16141" max="16141" width="1" style="103" customWidth="1"/>
    <col min="16142" max="16142" width="9.109375" style="103"/>
    <col min="16143" max="16143" width="16.109375" style="103" customWidth="1"/>
    <col min="16144" max="16384" width="9.109375" style="103"/>
  </cols>
  <sheetData>
    <row r="1" spans="1:19" ht="30">
      <c r="A1" s="254" t="s">
        <v>607</v>
      </c>
      <c r="C1" s="227"/>
      <c r="D1" s="22"/>
      <c r="E1" s="22"/>
      <c r="F1" s="22"/>
      <c r="G1" s="22"/>
      <c r="H1" s="22"/>
      <c r="I1" s="22"/>
      <c r="J1" s="22"/>
      <c r="K1" s="22"/>
      <c r="P1" s="22"/>
    </row>
    <row r="2" spans="1:19" s="74" customFormat="1">
      <c r="B2" s="412" t="s">
        <v>1022</v>
      </c>
      <c r="D2" s="229"/>
      <c r="E2" s="229"/>
      <c r="F2" s="229"/>
      <c r="G2" s="229"/>
      <c r="H2" s="229"/>
      <c r="I2" s="229"/>
      <c r="J2" s="229"/>
      <c r="K2" s="413" t="s">
        <v>1021</v>
      </c>
      <c r="M2" s="265"/>
    </row>
    <row r="3" spans="1:19" ht="27" customHeight="1">
      <c r="B3" s="228"/>
      <c r="C3" s="228"/>
      <c r="D3" s="532" t="s">
        <v>206</v>
      </c>
      <c r="E3" s="532"/>
      <c r="F3" s="19"/>
      <c r="G3" s="532" t="s">
        <v>535</v>
      </c>
      <c r="H3" s="532"/>
      <c r="I3" s="19"/>
      <c r="J3" s="569" t="s">
        <v>536</v>
      </c>
      <c r="K3" s="569" t="s">
        <v>587</v>
      </c>
      <c r="L3" s="569" t="s">
        <v>606</v>
      </c>
      <c r="M3" s="532" t="s">
        <v>976</v>
      </c>
      <c r="N3" s="532" t="s">
        <v>6</v>
      </c>
      <c r="P3" s="568" t="s">
        <v>588</v>
      </c>
      <c r="Q3" s="568" t="s">
        <v>589</v>
      </c>
      <c r="R3" s="568" t="s">
        <v>1019</v>
      </c>
      <c r="S3" s="568" t="s">
        <v>1020</v>
      </c>
    </row>
    <row r="4" spans="1:19" ht="74.25" customHeight="1">
      <c r="B4" s="282" t="s">
        <v>733</v>
      </c>
      <c r="C4" s="282" t="s">
        <v>77</v>
      </c>
      <c r="D4" s="364" t="s">
        <v>604</v>
      </c>
      <c r="E4" s="364" t="s">
        <v>605</v>
      </c>
      <c r="F4" s="365"/>
      <c r="G4" s="364" t="s">
        <v>590</v>
      </c>
      <c r="H4" s="364" t="s">
        <v>591</v>
      </c>
      <c r="I4" s="365"/>
      <c r="J4" s="569"/>
      <c r="K4" s="569"/>
      <c r="L4" s="569"/>
      <c r="M4" s="532"/>
      <c r="N4" s="532"/>
      <c r="P4" s="568"/>
      <c r="Q4" s="568"/>
      <c r="R4" s="568"/>
      <c r="S4" s="568"/>
    </row>
    <row r="5" spans="1:19" s="230" customFormat="1" ht="14.25" customHeight="1" thickBot="1">
      <c r="A5" s="363" t="s">
        <v>897</v>
      </c>
      <c r="B5" s="300"/>
      <c r="C5" s="234"/>
      <c r="D5" s="229"/>
      <c r="E5" s="229"/>
      <c r="F5" s="229"/>
      <c r="G5" s="236"/>
      <c r="H5" s="236"/>
      <c r="I5" s="229"/>
      <c r="J5" s="236"/>
      <c r="K5" s="237"/>
      <c r="P5" s="229"/>
      <c r="Q5" s="229"/>
      <c r="R5" s="229"/>
      <c r="S5" s="229"/>
    </row>
    <row r="6" spans="1:19" s="230" customFormat="1" ht="42" thickTop="1" thickBot="1">
      <c r="B6" s="81" t="s">
        <v>992</v>
      </c>
      <c r="C6" s="360" t="s">
        <v>895</v>
      </c>
      <c r="D6" s="232">
        <v>1</v>
      </c>
      <c r="E6" s="232">
        <v>0.6</v>
      </c>
      <c r="F6" s="229"/>
      <c r="G6" s="233">
        <v>10</v>
      </c>
      <c r="H6" s="233">
        <v>15</v>
      </c>
      <c r="I6" s="229"/>
      <c r="J6" s="232">
        <f ca="1">S6</f>
        <v>0.27993778303323186</v>
      </c>
      <c r="K6" s="101">
        <f ca="1">G6*H6*J6</f>
        <v>41.990667454984781</v>
      </c>
      <c r="L6" s="98">
        <f ca="1">Q6*$D$45*12</f>
        <v>296.67117793351929</v>
      </c>
      <c r="M6" s="112" t="str">
        <f ca="1">ImpCalc!BP52</f>
        <v>Analytical Tools (22%); Workflow and Collaboration (20%); Scorecards / Dashboards (16%); Source System Inclusion / Integration (14%); BI Applications (12%); Reporting (9%)</v>
      </c>
      <c r="N6" s="210"/>
      <c r="P6" s="43">
        <f>$D$46*D6+$D$47*E6</f>
        <v>0.67500000000000004</v>
      </c>
      <c r="Q6" s="90">
        <f ca="1">P6*K6</f>
        <v>28.343700532114728</v>
      </c>
      <c r="R6" s="399">
        <v>0.7</v>
      </c>
      <c r="S6" s="289">
        <f ca="1">ImpCalc!D52*R6</f>
        <v>0.27993778303323186</v>
      </c>
    </row>
    <row r="7" spans="1:19" s="230" customFormat="1" ht="42" thickTop="1" thickBot="1">
      <c r="B7" s="81" t="s">
        <v>609</v>
      </c>
      <c r="C7" s="360" t="s">
        <v>902</v>
      </c>
      <c r="D7" s="232">
        <v>1</v>
      </c>
      <c r="E7" s="232">
        <v>0.6</v>
      </c>
      <c r="F7" s="229"/>
      <c r="G7" s="233">
        <v>10</v>
      </c>
      <c r="H7" s="233">
        <v>15</v>
      </c>
      <c r="I7" s="229"/>
      <c r="J7" s="232">
        <f t="shared" ref="J7:J10" ca="1" si="0">S7</f>
        <v>0.15662237543984181</v>
      </c>
      <c r="K7" s="101">
        <f ca="1">G7*H7*J7</f>
        <v>23.493356315976271</v>
      </c>
      <c r="L7" s="98">
        <f ca="1">Q7*$D$45*12</f>
        <v>165.98454166855996</v>
      </c>
      <c r="M7" s="112" t="str">
        <f ca="1">ImpCalc!BP53</f>
        <v>Analytical Tools (25%); BI Applications (17%); Workflow and Collaboration (16%); Scorecards / Dashboards (14%); Reporting (11%); Source System Inclusion / Integration (10%)</v>
      </c>
      <c r="N7" s="210"/>
      <c r="P7" s="43">
        <f>$D$46*D7+$D$47*E7</f>
        <v>0.67500000000000004</v>
      </c>
      <c r="Q7" s="90">
        <f ca="1">P7*K7</f>
        <v>15.858015513283984</v>
      </c>
      <c r="R7" s="399">
        <v>0.4</v>
      </c>
      <c r="S7" s="289">
        <f ca="1">ImpCalc!D53*R7</f>
        <v>0.15662237543984181</v>
      </c>
    </row>
    <row r="8" spans="1:19" s="230" customFormat="1" ht="42" thickTop="1" thickBot="1">
      <c r="B8" s="81" t="s">
        <v>610</v>
      </c>
      <c r="C8" s="360" t="s">
        <v>596</v>
      </c>
      <c r="D8" s="232">
        <v>0.8</v>
      </c>
      <c r="E8" s="232">
        <v>0.4</v>
      </c>
      <c r="F8" s="229"/>
      <c r="G8" s="233">
        <v>15</v>
      </c>
      <c r="H8" s="233">
        <v>15</v>
      </c>
      <c r="I8" s="229"/>
      <c r="J8" s="232">
        <f t="shared" ca="1" si="0"/>
        <v>0.25412972018626451</v>
      </c>
      <c r="K8" s="101">
        <f ca="1">G8*H8*J8</f>
        <v>57.179187041909515</v>
      </c>
      <c r="L8" s="98">
        <f ca="1">Q8*$D$45*12</f>
        <v>284.28267360669406</v>
      </c>
      <c r="M8" s="112" t="str">
        <f ca="1">ImpCalc!BP54</f>
        <v>Analytical Tools (24%); BI Applications (16%); Workflow and Collaboration (16%); Reporting (15%); Scorecards / Dashboards (13%); Source System Inclusion / Integration (12%)</v>
      </c>
      <c r="N8" s="210"/>
      <c r="P8" s="43">
        <f>$D$46*D8+$D$47*E8</f>
        <v>0.47500000000000003</v>
      </c>
      <c r="Q8" s="90">
        <f ca="1">P8*K8</f>
        <v>27.16011384490702</v>
      </c>
      <c r="R8" s="399">
        <v>0.6</v>
      </c>
      <c r="S8" s="289">
        <f ca="1">ImpCalc!D54*R8</f>
        <v>0.25412972018626451</v>
      </c>
    </row>
    <row r="9" spans="1:19" s="230" customFormat="1" ht="42" thickTop="1" thickBot="1">
      <c r="B9" s="81" t="s">
        <v>901</v>
      </c>
      <c r="C9" s="360" t="s">
        <v>611</v>
      </c>
      <c r="D9" s="232">
        <v>0.75</v>
      </c>
      <c r="E9" s="232">
        <v>0.5</v>
      </c>
      <c r="F9" s="229"/>
      <c r="G9" s="233">
        <v>5</v>
      </c>
      <c r="H9" s="233">
        <v>60</v>
      </c>
      <c r="I9" s="229"/>
      <c r="J9" s="232">
        <f t="shared" ca="1" si="0"/>
        <v>0.11156465584619811</v>
      </c>
      <c r="K9" s="101">
        <f ca="1">G9*H9*J9</f>
        <v>33.469396753859435</v>
      </c>
      <c r="L9" s="98">
        <f ca="1">Q9*$D$45*12</f>
        <v>191.58202542850185</v>
      </c>
      <c r="M9" s="112" t="str">
        <f ca="1">ImpCalc!BP55</f>
        <v>Analytical Tools (25%); Workflow and Collaboration (20%); BI Applications (17%); Scorecards / Dashboards (14%); Source System Inclusion / Integration (12%); Reporting (9%)</v>
      </c>
      <c r="N9" s="210"/>
      <c r="P9" s="43">
        <f>$D$46*D9+$D$47*E9</f>
        <v>0.546875</v>
      </c>
      <c r="Q9" s="90">
        <f ca="1">P9*K9</f>
        <v>18.303576349766878</v>
      </c>
      <c r="R9" s="399">
        <v>0.25</v>
      </c>
      <c r="S9" s="289">
        <f ca="1">ImpCalc!D55*R9</f>
        <v>0.11156465584619811</v>
      </c>
    </row>
    <row r="10" spans="1:19" s="230" customFormat="1" ht="42" thickTop="1" thickBot="1">
      <c r="B10" s="81" t="s">
        <v>903</v>
      </c>
      <c r="C10" s="360" t="s">
        <v>993</v>
      </c>
      <c r="D10" s="232">
        <v>0.2</v>
      </c>
      <c r="E10" s="232">
        <v>0.05</v>
      </c>
      <c r="F10" s="229"/>
      <c r="G10" s="233">
        <v>5</v>
      </c>
      <c r="H10" s="233">
        <v>60</v>
      </c>
      <c r="I10" s="229"/>
      <c r="J10" s="232">
        <f t="shared" ca="1" si="0"/>
        <v>0.32408575089289782</v>
      </c>
      <c r="K10" s="101">
        <f ca="1">G10*H10*J10</f>
        <v>97.22572526786935</v>
      </c>
      <c r="L10" s="98">
        <f ca="1">Q10*$D$45*12</f>
        <v>79.504191791162569</v>
      </c>
      <c r="M10" s="112" t="str">
        <f ca="1">ImpCalc!BP56</f>
        <v>Reporting (23%); Scorecards / Dashboards (19%); Analytical Tools (16%); Workflow and Collaboration (15%); BI Applications (12%); Source System Inclusion / Integration (10%)</v>
      </c>
      <c r="N10" s="210"/>
      <c r="P10" s="43">
        <f>$D$46*D10+$D$47*E10</f>
        <v>7.8125E-2</v>
      </c>
      <c r="Q10" s="90">
        <f ca="1">P10*K10</f>
        <v>7.5957597865522928</v>
      </c>
      <c r="R10" s="399">
        <v>0.75</v>
      </c>
      <c r="S10" s="289">
        <f ca="1">ImpCalc!D56*R10</f>
        <v>0.32408575089289782</v>
      </c>
    </row>
    <row r="11" spans="1:19" s="230" customFormat="1" ht="13.8" thickTop="1">
      <c r="B11" s="366" t="s">
        <v>0</v>
      </c>
      <c r="C11" s="361"/>
      <c r="D11" s="229"/>
      <c r="E11" s="229"/>
      <c r="F11" s="229"/>
      <c r="G11" s="229"/>
      <c r="H11" s="229"/>
      <c r="I11" s="229"/>
      <c r="J11" s="229"/>
      <c r="K11" s="229"/>
      <c r="L11" s="49">
        <f ca="1">SUM(L6:L10)</f>
        <v>1018.0246104284378</v>
      </c>
      <c r="N11" s="210"/>
      <c r="P11" s="229"/>
      <c r="Q11" s="229"/>
      <c r="R11" s="229"/>
      <c r="S11" s="229"/>
    </row>
    <row r="12" spans="1:19" s="230" customFormat="1" ht="14.25" customHeight="1" thickBot="1">
      <c r="A12" s="363" t="s">
        <v>608</v>
      </c>
      <c r="B12" s="363"/>
      <c r="C12" s="234"/>
      <c r="D12" s="229"/>
      <c r="E12" s="229"/>
      <c r="F12" s="229"/>
      <c r="G12" s="236"/>
      <c r="H12" s="236"/>
      <c r="I12" s="229"/>
      <c r="J12" s="236"/>
      <c r="K12" s="237"/>
      <c r="P12" s="229"/>
      <c r="Q12" s="229"/>
      <c r="R12" s="229"/>
      <c r="S12" s="229"/>
    </row>
    <row r="13" spans="1:19" s="230" customFormat="1" ht="52.2" thickTop="1" thickBot="1">
      <c r="B13" s="81" t="s">
        <v>891</v>
      </c>
      <c r="C13" s="360" t="s">
        <v>892</v>
      </c>
      <c r="D13" s="232">
        <v>0.05</v>
      </c>
      <c r="E13" s="232">
        <v>0.1</v>
      </c>
      <c r="F13" s="229"/>
      <c r="G13" s="233">
        <v>10</v>
      </c>
      <c r="H13" s="233">
        <v>20</v>
      </c>
      <c r="I13" s="229"/>
      <c r="J13" s="232">
        <f t="shared" ref="J13:J15" ca="1" si="1">S13</f>
        <v>0.13115080494090198</v>
      </c>
      <c r="K13" s="101">
        <f ca="1">G13*H13*J13</f>
        <v>26.230160988180394</v>
      </c>
      <c r="L13" s="98">
        <f ca="1">Q13*$D$45*12</f>
        <v>24.880997115108027</v>
      </c>
      <c r="M13" s="112" t="str">
        <f ca="1">ImpCalc!BP64</f>
        <v>BI Applications (27%); Workflow and Collaboration (24%); Source System Inclusion / Integration (19%); Scorecards / Dashboards (15%); Analytical Tools (10%)</v>
      </c>
      <c r="N13" s="210"/>
      <c r="P13" s="43">
        <f>$D$46*D13+$D$47*E13</f>
        <v>9.0625000000000011E-2</v>
      </c>
      <c r="Q13" s="90">
        <f ca="1">P13*K13</f>
        <v>2.3771083395538484</v>
      </c>
      <c r="R13" s="399">
        <v>0.3</v>
      </c>
      <c r="S13" s="289">
        <f ca="1">ImpCalc!D64*R13</f>
        <v>0.13115080494090198</v>
      </c>
    </row>
    <row r="14" spans="1:19" s="230" customFormat="1" ht="31.8" thickTop="1" thickBot="1">
      <c r="B14" s="81" t="s">
        <v>889</v>
      </c>
      <c r="C14" s="360" t="s">
        <v>890</v>
      </c>
      <c r="D14" s="232">
        <v>0.2</v>
      </c>
      <c r="E14" s="232">
        <v>0.15</v>
      </c>
      <c r="F14" s="229"/>
      <c r="G14" s="233">
        <v>10</v>
      </c>
      <c r="H14" s="233">
        <v>20</v>
      </c>
      <c r="I14" s="229"/>
      <c r="J14" s="232">
        <f t="shared" ca="1" si="1"/>
        <v>0.30335128949578521</v>
      </c>
      <c r="K14" s="101">
        <f ca="1">G14*H14*J14</f>
        <v>60.670257899157043</v>
      </c>
      <c r="L14" s="98">
        <f ca="1">Q14*$D$45*12</f>
        <v>101.20800030813437</v>
      </c>
      <c r="M14" s="112" t="str">
        <f ca="1">ImpCalc!BP65</f>
        <v>Workflow and Collaboration (47%); Scorecards / Dashboards (26%); BI Applications (13%); Source System Inclusion / Integration (10%)</v>
      </c>
      <c r="N14" s="284"/>
      <c r="P14" s="43">
        <f>$D$46*D14+$D$47*E14</f>
        <v>0.15937499999999999</v>
      </c>
      <c r="Q14" s="90">
        <f ca="1">P14*K14</f>
        <v>9.6693223526781527</v>
      </c>
      <c r="R14" s="399">
        <v>0.6</v>
      </c>
      <c r="S14" s="289">
        <f ca="1">ImpCalc!D65*R14</f>
        <v>0.30335128949578521</v>
      </c>
    </row>
    <row r="15" spans="1:19" s="230" customFormat="1" ht="27.6" thickTop="1" thickBot="1">
      <c r="B15" s="81" t="s">
        <v>597</v>
      </c>
      <c r="C15" s="360" t="s">
        <v>900</v>
      </c>
      <c r="D15" s="232">
        <v>0.25</v>
      </c>
      <c r="E15" s="232">
        <v>0.05</v>
      </c>
      <c r="F15" s="229"/>
      <c r="G15" s="233">
        <v>10</v>
      </c>
      <c r="H15" s="233">
        <v>30</v>
      </c>
      <c r="I15" s="229"/>
      <c r="J15" s="232">
        <f t="shared" ca="1" si="1"/>
        <v>0.19567565754475452</v>
      </c>
      <c r="K15" s="101">
        <f ca="1">G15*H15*J15</f>
        <v>58.702697263426359</v>
      </c>
      <c r="L15" s="98">
        <f ca="1">Q15*$D$45*12</f>
        <v>53.763175823222682</v>
      </c>
      <c r="M15" s="112" t="str">
        <f ca="1">ImpCalc!BP66</f>
        <v>Enhance BI Platform (43%); Source System Inclusion / Integration (29%); BI Applications (25%)</v>
      </c>
      <c r="N15" s="210"/>
      <c r="P15" s="43">
        <f>$D$46*D15+$D$47*E15</f>
        <v>8.7499999999999994E-2</v>
      </c>
      <c r="Q15" s="90">
        <f ca="1">P15*K15</f>
        <v>5.136486010549806</v>
      </c>
      <c r="R15" s="399">
        <v>0.45</v>
      </c>
      <c r="S15" s="289">
        <f ca="1">ImpCalc!D66*R15</f>
        <v>0.19567565754475452</v>
      </c>
    </row>
    <row r="16" spans="1:19" s="230" customFormat="1" ht="13.8" thickTop="1">
      <c r="B16" s="366" t="s">
        <v>0</v>
      </c>
      <c r="C16" s="362"/>
      <c r="D16" s="229"/>
      <c r="E16" s="229"/>
      <c r="F16" s="229"/>
      <c r="G16" s="229"/>
      <c r="H16" s="229"/>
      <c r="I16" s="229"/>
      <c r="J16" s="229"/>
      <c r="K16" s="229"/>
      <c r="L16" s="49">
        <f ca="1">SUM(L13:L15)</f>
        <v>179.8521732464651</v>
      </c>
      <c r="N16" s="210"/>
      <c r="P16" s="229"/>
      <c r="Q16" s="229"/>
      <c r="R16" s="229"/>
      <c r="S16" s="229"/>
    </row>
    <row r="17" spans="1:19" s="230" customFormat="1" ht="15.6" thickBot="1">
      <c r="A17" s="363" t="s">
        <v>594</v>
      </c>
      <c r="B17" s="363"/>
      <c r="C17" s="234"/>
      <c r="D17" s="229"/>
      <c r="E17" s="229"/>
      <c r="F17" s="229"/>
      <c r="G17" s="236"/>
      <c r="H17" s="236"/>
      <c r="I17" s="229"/>
      <c r="J17" s="236"/>
      <c r="K17" s="237"/>
      <c r="P17" s="229"/>
      <c r="Q17" s="229"/>
      <c r="R17" s="229"/>
      <c r="S17" s="229"/>
    </row>
    <row r="18" spans="1:19" s="230" customFormat="1" ht="42" thickTop="1" thickBot="1">
      <c r="B18" s="81" t="s">
        <v>887</v>
      </c>
      <c r="C18" s="360" t="s">
        <v>888</v>
      </c>
      <c r="D18" s="232">
        <v>0.3</v>
      </c>
      <c r="E18" s="232">
        <v>0.15</v>
      </c>
      <c r="F18" s="229"/>
      <c r="G18" s="233">
        <v>5</v>
      </c>
      <c r="H18" s="233">
        <v>15</v>
      </c>
      <c r="I18" s="229"/>
      <c r="J18" s="232">
        <f t="shared" ref="J18:J19" ca="1" si="2">S18</f>
        <v>0.39868344641803605</v>
      </c>
      <c r="K18" s="101">
        <f ca="1">G18*H18*J18</f>
        <v>29.901258481352702</v>
      </c>
      <c r="L18" s="98">
        <f ca="1">Q18*$D$45*12</f>
        <v>55.748495289816304</v>
      </c>
      <c r="M18" s="112" t="str">
        <f ca="1">ImpCalc!BP69</f>
        <v>Workflow and Collaboration (30%); Scorecards / Dashboards (28%); Reporting (18%); BI Applications (10%); Source System Inclusion / Integration (7%); Analytical Tools (6%)</v>
      </c>
      <c r="N18" s="210"/>
      <c r="P18" s="43">
        <f>$D$46*D18+$D$47*E18</f>
        <v>0.17812499999999998</v>
      </c>
      <c r="Q18" s="90">
        <f ca="1">P18*K18</f>
        <v>5.3261616669909495</v>
      </c>
      <c r="R18" s="399">
        <v>0.75</v>
      </c>
      <c r="S18" s="289">
        <f ca="1">ImpCalc!D69*R18</f>
        <v>0.39868344641803605</v>
      </c>
    </row>
    <row r="19" spans="1:19" s="230" customFormat="1" ht="42" thickTop="1" thickBot="1">
      <c r="B19" s="81" t="s">
        <v>717</v>
      </c>
      <c r="C19" s="360" t="s">
        <v>595</v>
      </c>
      <c r="D19" s="232">
        <v>0.4</v>
      </c>
      <c r="E19" s="232">
        <v>0.15</v>
      </c>
      <c r="F19" s="229"/>
      <c r="G19" s="233">
        <v>4</v>
      </c>
      <c r="H19" s="233">
        <v>30</v>
      </c>
      <c r="I19" s="229"/>
      <c r="J19" s="232">
        <f t="shared" ca="1" si="2"/>
        <v>0.21625756322317846</v>
      </c>
      <c r="K19" s="101">
        <f ca="1">G19*H19*J19</f>
        <v>25.950907586781415</v>
      </c>
      <c r="L19" s="98">
        <f ca="1">Q19*$D$45*12</f>
        <v>53.47637098298334</v>
      </c>
      <c r="M19" s="112" t="str">
        <f ca="1">ImpCalc!BP70</f>
        <v>Workflow and Collaboration (36%); Scorecards / Dashboards (20%); Reporting (13%); Analytical Tools (13%); BI Applications (8%); Source System Inclusion / Integration (8%)</v>
      </c>
      <c r="N19" s="210"/>
      <c r="P19" s="43">
        <f>$D$46*D19+$D$47*E19</f>
        <v>0.19687500000000002</v>
      </c>
      <c r="Q19" s="90">
        <f ca="1">P19*K19</f>
        <v>5.1090849311475921</v>
      </c>
      <c r="R19" s="399">
        <v>0.4</v>
      </c>
      <c r="S19" s="289">
        <f ca="1">ImpCalc!D70*R19</f>
        <v>0.21625756322317846</v>
      </c>
    </row>
    <row r="20" spans="1:19" s="230" customFormat="1" ht="13.8" thickTop="1">
      <c r="B20" s="366" t="s">
        <v>0</v>
      </c>
      <c r="C20" s="359"/>
      <c r="D20" s="229"/>
      <c r="E20" s="229"/>
      <c r="F20" s="229"/>
      <c r="G20" s="229"/>
      <c r="H20" s="229"/>
      <c r="I20" s="229"/>
      <c r="J20" s="229"/>
      <c r="K20" s="229"/>
      <c r="L20" s="49">
        <f ca="1">SUM(L18:L19)</f>
        <v>109.22486627279964</v>
      </c>
      <c r="N20" s="210"/>
      <c r="P20" s="229"/>
      <c r="Q20" s="229"/>
      <c r="R20" s="229"/>
      <c r="S20" s="229"/>
    </row>
    <row r="21" spans="1:19" s="230" customFormat="1" ht="15.6" thickBot="1">
      <c r="A21" s="363" t="s">
        <v>720</v>
      </c>
      <c r="B21" s="363"/>
      <c r="C21" s="234"/>
      <c r="D21" s="229"/>
      <c r="E21" s="229"/>
      <c r="F21" s="229"/>
      <c r="G21" s="229"/>
      <c r="H21" s="229"/>
      <c r="I21" s="229"/>
      <c r="J21" s="229"/>
      <c r="K21" s="235"/>
      <c r="P21" s="229"/>
      <c r="Q21" s="229"/>
      <c r="R21" s="229"/>
      <c r="S21" s="229"/>
    </row>
    <row r="22" spans="1:19" s="230" customFormat="1" ht="42" thickTop="1" thickBot="1">
      <c r="B22" s="81" t="s">
        <v>719</v>
      </c>
      <c r="C22" s="360" t="s">
        <v>904</v>
      </c>
      <c r="D22" s="232">
        <v>0.2</v>
      </c>
      <c r="E22" s="232">
        <v>0.12</v>
      </c>
      <c r="F22" s="229"/>
      <c r="G22" s="367">
        <f>1/4</f>
        <v>0.25</v>
      </c>
      <c r="H22" s="238">
        <f>60*3</f>
        <v>180</v>
      </c>
      <c r="I22" s="229"/>
      <c r="J22" s="232">
        <f t="shared" ref="J22:J24" ca="1" si="3">S22</f>
        <v>0.19099964629695132</v>
      </c>
      <c r="K22" s="101">
        <f ca="1">G22*H22*J22</f>
        <v>8.5949840833628102</v>
      </c>
      <c r="L22" s="98">
        <f ca="1">Q22*$D$45*12</f>
        <v>12.145003672850137</v>
      </c>
      <c r="M22" s="112" t="str">
        <f ca="1">ImpCalc!BP59</f>
        <v>Financial planning (20%); Enhance BI Platform (12%); Supply Chain / Ops Data Integration (11%); Other Data Integration (10%); Financial Data Integration (9%); Financial analysis (7%); Profitability management (7%)</v>
      </c>
      <c r="N22" s="210"/>
      <c r="P22" s="43">
        <f>$D$46*D22+$D$47*E22</f>
        <v>0.13500000000000001</v>
      </c>
      <c r="Q22" s="90">
        <f ca="1">P22*K22</f>
        <v>1.1603228512539794</v>
      </c>
      <c r="R22" s="399">
        <v>0.4</v>
      </c>
      <c r="S22" s="289">
        <f ca="1">ImpCalc!D59*R22</f>
        <v>0.19099964629695132</v>
      </c>
    </row>
    <row r="23" spans="1:19" s="230" customFormat="1" ht="42" thickTop="1" thickBot="1">
      <c r="B23" s="81" t="s">
        <v>718</v>
      </c>
      <c r="C23" s="360" t="s">
        <v>894</v>
      </c>
      <c r="D23" s="232">
        <v>0.2</v>
      </c>
      <c r="E23" s="232">
        <v>0.12</v>
      </c>
      <c r="F23" s="229"/>
      <c r="G23" s="367">
        <f>1/4</f>
        <v>0.25</v>
      </c>
      <c r="H23" s="238">
        <f>60*3</f>
        <v>180</v>
      </c>
      <c r="I23" s="229"/>
      <c r="J23" s="232">
        <f t="shared" ca="1" si="3"/>
        <v>0.16815594972151832</v>
      </c>
      <c r="K23" s="101">
        <f ca="1">G23*H23*J23</f>
        <v>7.5670177374683245</v>
      </c>
      <c r="L23" s="98">
        <f ca="1">Q23*$D$45*12</f>
        <v>10.692452402787726</v>
      </c>
      <c r="M23" s="112" t="str">
        <f ca="1">ImpCalc!BP60</f>
        <v>Financial planning (17%); Enhance BI Platform (11%); Supply Chain / Ops Data Integration (10%); Other Data Integration (10%); Financial analysis (8%); Profitability management (8%); Activity-based costing (8%)</v>
      </c>
      <c r="N23" s="210"/>
      <c r="P23" s="43">
        <f>$D$46*D23+$D$47*E23</f>
        <v>0.13500000000000001</v>
      </c>
      <c r="Q23" s="90">
        <f ca="1">P23*K23</f>
        <v>1.0215473945582239</v>
      </c>
      <c r="R23" s="399">
        <v>0.35</v>
      </c>
      <c r="S23" s="289">
        <f ca="1">ImpCalc!D60*R23</f>
        <v>0.16815594972151832</v>
      </c>
    </row>
    <row r="24" spans="1:19" s="230" customFormat="1" ht="52.2" thickTop="1" thickBot="1">
      <c r="B24" s="81" t="s">
        <v>631</v>
      </c>
      <c r="C24" s="360" t="s">
        <v>893</v>
      </c>
      <c r="D24" s="232">
        <v>0.01</v>
      </c>
      <c r="E24" s="232">
        <v>0.02</v>
      </c>
      <c r="F24" s="229"/>
      <c r="G24" s="233">
        <v>1</v>
      </c>
      <c r="H24" s="238">
        <f>60*10</f>
        <v>600</v>
      </c>
      <c r="I24" s="229"/>
      <c r="J24" s="232">
        <f t="shared" ca="1" si="3"/>
        <v>0.3955042089915819</v>
      </c>
      <c r="K24" s="101">
        <f ca="1">G24*H24*J24</f>
        <v>237.30252539494913</v>
      </c>
      <c r="L24" s="98">
        <f ca="1">Q24*$D$45*12</f>
        <v>45.019345877595896</v>
      </c>
      <c r="M24" s="112" t="str">
        <f ca="1">ImpCalc!BP61</f>
        <v>Financial consolidation (22%); Financial reporting (14%); Enhance BI Platform (13%); Financial Data Integration (11%); Financial planning (10%); Supply Chain / Ops Data Integration (9%); Other Data Integration (8%)</v>
      </c>
      <c r="N24" s="210"/>
      <c r="P24" s="43">
        <f>$D$46*D24+$D$47*E24</f>
        <v>1.8125000000000002E-2</v>
      </c>
      <c r="Q24" s="90">
        <f ca="1">P24*K24</f>
        <v>4.3011082727834538</v>
      </c>
      <c r="R24" s="399">
        <v>0.85</v>
      </c>
      <c r="S24" s="289">
        <f ca="1">ImpCalc!D61*R24</f>
        <v>0.3955042089915819</v>
      </c>
    </row>
    <row r="25" spans="1:19" s="230" customFormat="1" ht="13.8" thickTop="1">
      <c r="B25" s="366" t="s">
        <v>0</v>
      </c>
      <c r="C25" s="362"/>
      <c r="D25" s="229"/>
      <c r="E25" s="229"/>
      <c r="F25" s="229"/>
      <c r="G25" s="229"/>
      <c r="H25" s="229"/>
      <c r="I25" s="229"/>
      <c r="J25" s="229"/>
      <c r="K25" s="229"/>
      <c r="L25" s="49">
        <f ca="1">SUM(L22:L24)</f>
        <v>67.856801953233756</v>
      </c>
      <c r="N25" s="210"/>
      <c r="P25" s="229"/>
      <c r="Q25" s="229"/>
      <c r="R25" s="229"/>
      <c r="S25" s="229"/>
    </row>
    <row r="26" spans="1:19" s="230" customFormat="1" ht="15.6" thickBot="1">
      <c r="A26" s="363" t="s">
        <v>598</v>
      </c>
      <c r="B26" s="363"/>
      <c r="C26" s="234"/>
      <c r="D26" s="229"/>
      <c r="E26" s="229"/>
      <c r="F26" s="229"/>
      <c r="G26" s="236"/>
      <c r="H26" s="236"/>
      <c r="I26" s="229"/>
      <c r="J26" s="236"/>
      <c r="K26" s="237"/>
      <c r="P26" s="229"/>
      <c r="Q26" s="229"/>
      <c r="R26" s="229"/>
      <c r="S26" s="229"/>
    </row>
    <row r="27" spans="1:19" s="230" customFormat="1" ht="27.6" thickTop="1" thickBot="1">
      <c r="B27" s="81" t="s">
        <v>882</v>
      </c>
      <c r="C27" s="360" t="s">
        <v>886</v>
      </c>
      <c r="D27" s="232">
        <v>0.5</v>
      </c>
      <c r="E27" s="232">
        <v>0.03</v>
      </c>
      <c r="F27" s="229"/>
      <c r="G27" s="233">
        <f>3/12</f>
        <v>0.25</v>
      </c>
      <c r="H27" s="233">
        <v>180</v>
      </c>
      <c r="I27" s="229"/>
      <c r="J27" s="232">
        <f t="shared" ref="J27:J28" ca="1" si="4">S27</f>
        <v>0.14651049365735608</v>
      </c>
      <c r="K27" s="101">
        <f ca="1">G27*H27*J27</f>
        <v>6.5929722145810237</v>
      </c>
      <c r="L27" s="98">
        <f ca="1">Q27*$D$45*12</f>
        <v>8.1515814469708161</v>
      </c>
      <c r="M27" s="112" t="str">
        <f ca="1">ImpCalc!BP80</f>
        <v>Enhance BI Platform (49%); Source System Inclusion / Integration (28%); BI Applications (18%)</v>
      </c>
      <c r="N27" s="210"/>
      <c r="P27" s="43">
        <f>$D$46*D27+$D$47*E27</f>
        <v>0.11812500000000001</v>
      </c>
      <c r="Q27" s="90">
        <f ca="1">P27*K27</f>
        <v>0.77879484284738343</v>
      </c>
      <c r="R27" s="399">
        <v>0.8</v>
      </c>
      <c r="S27" s="289">
        <f ca="1">ImpCalc!D80*R27</f>
        <v>0.14651049365735608</v>
      </c>
    </row>
    <row r="28" spans="1:19" s="230" customFormat="1" ht="31.8" thickTop="1" thickBot="1">
      <c r="B28" s="81" t="s">
        <v>599</v>
      </c>
      <c r="C28" s="360" t="s">
        <v>881</v>
      </c>
      <c r="D28" s="232">
        <v>0.5</v>
      </c>
      <c r="E28" s="232">
        <v>0.2</v>
      </c>
      <c r="F28" s="229"/>
      <c r="G28" s="233">
        <v>5</v>
      </c>
      <c r="H28" s="233">
        <v>20</v>
      </c>
      <c r="I28" s="229"/>
      <c r="J28" s="232">
        <f t="shared" ca="1" si="4"/>
        <v>0.10988287024301704</v>
      </c>
      <c r="K28" s="101">
        <f ca="1">G28*H28*J28</f>
        <v>10.988287024301705</v>
      </c>
      <c r="L28" s="98">
        <f ca="1">Q28*$D$45*12</f>
        <v>29.472208053421824</v>
      </c>
      <c r="M28" s="112" t="str">
        <f ca="1">ImpCalc!BP81</f>
        <v>Enhance BI Platform (49%); Source System Inclusion / Integration (28%); BI Applications (18%)</v>
      </c>
      <c r="N28" s="210"/>
      <c r="P28" s="43">
        <f>$D$46*D28+$D$47*E28</f>
        <v>0.25624999999999998</v>
      </c>
      <c r="Q28" s="90">
        <f ca="1">P28*K28</f>
        <v>2.8157485499773118</v>
      </c>
      <c r="R28" s="399">
        <v>0.6</v>
      </c>
      <c r="S28" s="289">
        <f ca="1">ImpCalc!D81*R28</f>
        <v>0.10988287024301704</v>
      </c>
    </row>
    <row r="29" spans="1:19" s="230" customFormat="1" ht="13.8" thickTop="1">
      <c r="B29" s="366" t="s">
        <v>0</v>
      </c>
      <c r="C29" s="359"/>
      <c r="D29" s="229"/>
      <c r="E29" s="229"/>
      <c r="F29" s="229"/>
      <c r="G29" s="229"/>
      <c r="H29" s="229"/>
      <c r="I29" s="229"/>
      <c r="J29" s="229"/>
      <c r="K29" s="229"/>
      <c r="L29" s="49">
        <f ca="1">SUM(L27:L28)</f>
        <v>37.62378950039264</v>
      </c>
      <c r="N29" s="210"/>
      <c r="P29" s="229"/>
      <c r="Q29" s="229"/>
    </row>
    <row r="30" spans="1:19" s="230" customFormat="1" ht="14.25" customHeight="1" thickBot="1">
      <c r="A30" s="363" t="s">
        <v>896</v>
      </c>
      <c r="B30" s="363"/>
      <c r="C30" s="234"/>
      <c r="D30" s="229"/>
      <c r="E30" s="229"/>
      <c r="F30" s="229"/>
      <c r="G30" s="229"/>
      <c r="H30" s="229"/>
      <c r="I30" s="229"/>
      <c r="J30" s="229"/>
      <c r="K30" s="235"/>
      <c r="P30" s="229"/>
      <c r="Q30" s="229"/>
      <c r="R30" s="229"/>
      <c r="S30" s="229"/>
    </row>
    <row r="31" spans="1:19" s="230" customFormat="1" ht="31.8" thickTop="1" thickBot="1">
      <c r="B31" s="81" t="s">
        <v>899</v>
      </c>
      <c r="C31" s="360" t="s">
        <v>898</v>
      </c>
      <c r="D31" s="232">
        <v>0.5</v>
      </c>
      <c r="E31" s="232">
        <v>0.04</v>
      </c>
      <c r="F31" s="229"/>
      <c r="G31" s="233">
        <v>20</v>
      </c>
      <c r="H31" s="233">
        <v>3</v>
      </c>
      <c r="I31" s="229"/>
      <c r="J31" s="232">
        <f t="shared" ref="J31:J35" ca="1" si="5">S31</f>
        <v>4.4530971681427008E-2</v>
      </c>
      <c r="K31" s="101">
        <f ca="1">G31*H31*J31</f>
        <v>2.6718583008856203</v>
      </c>
      <c r="L31" s="98">
        <f ca="1">Q31*$D$45*12</f>
        <v>3.5307227349426142</v>
      </c>
      <c r="M31" s="112" t="str">
        <f ca="1">ImpCalc!BP73</f>
        <v>Architecture (29%); High performance/reliability infrastructure (28%); DW refresh rate (21%)</v>
      </c>
      <c r="N31" s="210"/>
      <c r="P31" s="43">
        <f>$D$46*D31+$D$47*E31</f>
        <v>0.12625</v>
      </c>
      <c r="Q31" s="90">
        <f ca="1">P31*K31</f>
        <v>0.33732211048680955</v>
      </c>
      <c r="R31" s="399">
        <v>0.75</v>
      </c>
      <c r="S31" s="289">
        <f ca="1">ImpCalc!D73*R31</f>
        <v>4.4530971681427008E-2</v>
      </c>
    </row>
    <row r="32" spans="1:19" s="230" customFormat="1" ht="40.799999999999997" thickTop="1" thickBot="1">
      <c r="B32" s="81" t="s">
        <v>734</v>
      </c>
      <c r="C32" s="360" t="s">
        <v>884</v>
      </c>
      <c r="D32" s="232">
        <v>0.5</v>
      </c>
      <c r="E32" s="232">
        <v>0.05</v>
      </c>
      <c r="F32" s="229"/>
      <c r="G32" s="233">
        <v>1</v>
      </c>
      <c r="H32" s="233">
        <v>20</v>
      </c>
      <c r="I32" s="229"/>
      <c r="J32" s="232">
        <f t="shared" ca="1" si="5"/>
        <v>3.218729882938233E-2</v>
      </c>
      <c r="K32" s="101">
        <f ca="1">G32*H32*J32</f>
        <v>0.64374597658764654</v>
      </c>
      <c r="L32" s="98">
        <f ca="1">Q32*$D$45*12</f>
        <v>0.90542359985298115</v>
      </c>
      <c r="M32" s="112" t="str">
        <f ca="1">ImpCalc!BP74</f>
        <v>Architecture (41%); Governance (27%); High performance/reliability infrastructure (26%)</v>
      </c>
      <c r="N32" s="210"/>
      <c r="P32" s="43">
        <f>$D$46*D32+$D$47*E32</f>
        <v>0.13437499999999999</v>
      </c>
      <c r="Q32" s="90">
        <f ca="1">P32*K32</f>
        <v>8.6503365603965002E-2</v>
      </c>
      <c r="R32" s="399">
        <v>0.5</v>
      </c>
      <c r="S32" s="289">
        <f ca="1">ImpCalc!D74*R32</f>
        <v>3.218729882938233E-2</v>
      </c>
    </row>
    <row r="33" spans="2:19" s="230" customFormat="1" ht="27.6" thickTop="1" thickBot="1">
      <c r="B33" s="81" t="s">
        <v>883</v>
      </c>
      <c r="C33" s="360" t="s">
        <v>1026</v>
      </c>
      <c r="D33" s="232">
        <v>0.15</v>
      </c>
      <c r="E33" s="232">
        <v>0.03</v>
      </c>
      <c r="F33" s="229"/>
      <c r="G33" s="367">
        <f>1/12</f>
        <v>8.3333333333333329E-2</v>
      </c>
      <c r="H33" s="238">
        <f>60*4</f>
        <v>240</v>
      </c>
      <c r="I33" s="229"/>
      <c r="J33" s="232">
        <f t="shared" ca="1" si="5"/>
        <v>4.1533056446290371E-2</v>
      </c>
      <c r="K33" s="101">
        <f ca="1">G33*H33*J33</f>
        <v>0.83066112892580746</v>
      </c>
      <c r="L33" s="98">
        <f ca="1">Q33*$D$45*12</f>
        <v>0.45645923345105427</v>
      </c>
      <c r="M33" s="112" t="str">
        <f ca="1">ImpCalc!BP75</f>
        <v>Architecture (47%); High performance/reliability infrastructure (30%)</v>
      </c>
      <c r="N33" s="210"/>
      <c r="P33" s="43">
        <f>$D$46*D33+$D$47*E33</f>
        <v>5.2499999999999998E-2</v>
      </c>
      <c r="Q33" s="90">
        <f ca="1">P33*K33</f>
        <v>4.3609709268604892E-2</v>
      </c>
      <c r="R33" s="399">
        <v>0.7</v>
      </c>
      <c r="S33" s="289">
        <f ca="1">ImpCalc!D75*R33</f>
        <v>4.1533056446290371E-2</v>
      </c>
    </row>
    <row r="34" spans="2:19" s="230" customFormat="1" ht="31.8" thickTop="1" thickBot="1">
      <c r="B34" s="81" t="s">
        <v>75</v>
      </c>
      <c r="C34" s="360" t="s">
        <v>592</v>
      </c>
      <c r="D34" s="414">
        <f>4/2500</f>
        <v>1.6000000000000001E-3</v>
      </c>
      <c r="E34" s="414">
        <f>4/2500</f>
        <v>1.6000000000000001E-3</v>
      </c>
      <c r="F34" s="229"/>
      <c r="G34" s="367">
        <f>1/12</f>
        <v>8.3333333333333329E-2</v>
      </c>
      <c r="H34" s="238">
        <f>60*32</f>
        <v>1920</v>
      </c>
      <c r="I34" s="229"/>
      <c r="J34" s="232">
        <f t="shared" ca="1" si="5"/>
        <v>9.7999183340138837E-2</v>
      </c>
      <c r="K34" s="101">
        <f ca="1">G34*H34*J34</f>
        <v>15.679869334422214</v>
      </c>
      <c r="L34" s="98">
        <f ca="1">Q34*$D$45*12</f>
        <v>0.26259184047000728</v>
      </c>
      <c r="M34" s="112" t="str">
        <f ca="1">ImpCalc!BP76</f>
        <v>Robust security (75%); Architecture (17%); Governance (8%)</v>
      </c>
      <c r="N34" s="210"/>
      <c r="P34" s="43">
        <f>$D$46*D34+$D$47*E34</f>
        <v>1.6000000000000003E-3</v>
      </c>
      <c r="Q34" s="90">
        <f ca="1">P34*K34</f>
        <v>2.5087790935075547E-2</v>
      </c>
      <c r="R34" s="399">
        <v>0.7</v>
      </c>
      <c r="S34" s="289">
        <f ca="1">ImpCalc!D76*R34</f>
        <v>9.7999183340138837E-2</v>
      </c>
    </row>
    <row r="35" spans="2:19" s="230" customFormat="1" ht="31.8" thickTop="1" thickBot="1">
      <c r="B35" s="81" t="s">
        <v>593</v>
      </c>
      <c r="C35" s="360" t="s">
        <v>880</v>
      </c>
      <c r="D35" s="232">
        <v>1</v>
      </c>
      <c r="E35" s="232">
        <v>0.3</v>
      </c>
      <c r="F35" s="229"/>
      <c r="G35" s="233">
        <v>10</v>
      </c>
      <c r="H35" s="233">
        <v>2</v>
      </c>
      <c r="I35" s="229"/>
      <c r="J35" s="232">
        <f t="shared" ca="1" si="5"/>
        <v>6.9999416671527745E-2</v>
      </c>
      <c r="K35" s="101">
        <f ca="1">G35*H35*J35</f>
        <v>1.399988333430555</v>
      </c>
      <c r="L35" s="98">
        <f ca="1">Q35*$D$45*12</f>
        <v>6.319348839435861</v>
      </c>
      <c r="M35" s="112" t="str">
        <f ca="1">ImpCalc!BP77</f>
        <v>Robust security (75%); Architecture (17%); Governance (8%)</v>
      </c>
      <c r="N35" s="210"/>
      <c r="P35" s="43">
        <f>$D$46*D35+$D$47*E35</f>
        <v>0.43125000000000002</v>
      </c>
      <c r="Q35" s="90">
        <f ca="1">P35*K35</f>
        <v>0.60374496879192685</v>
      </c>
      <c r="R35" s="399">
        <v>0.5</v>
      </c>
      <c r="S35" s="289">
        <f ca="1">ImpCalc!D77*R35</f>
        <v>6.9999416671527745E-2</v>
      </c>
    </row>
    <row r="36" spans="2:19" s="230" customFormat="1" ht="13.8" thickTop="1">
      <c r="B36" s="366" t="s">
        <v>0</v>
      </c>
      <c r="C36" s="359"/>
      <c r="D36" s="229"/>
      <c r="E36" s="229"/>
      <c r="F36" s="229"/>
      <c r="G36" s="229"/>
      <c r="H36" s="229"/>
      <c r="I36" s="229"/>
      <c r="J36" s="229"/>
      <c r="K36" s="229"/>
      <c r="L36" s="49">
        <f ca="1">SUM(L31:L35)</f>
        <v>11.474546248152517</v>
      </c>
      <c r="N36" s="210"/>
      <c r="P36" s="229"/>
      <c r="Q36" s="229"/>
      <c r="R36" s="229"/>
      <c r="S36" s="229"/>
    </row>
    <row r="37" spans="2:19" ht="13.8" thickBot="1">
      <c r="C37" s="240"/>
      <c r="Q37" s="103"/>
    </row>
    <row r="38" spans="2:19" s="74" customFormat="1" ht="13.8" thickTop="1">
      <c r="B38" s="366" t="s">
        <v>0</v>
      </c>
      <c r="C38" s="242"/>
      <c r="D38" s="229"/>
      <c r="E38" s="229"/>
      <c r="F38" s="229"/>
      <c r="G38" s="229"/>
      <c r="H38" s="229"/>
      <c r="I38" s="229"/>
      <c r="J38" s="229"/>
      <c r="L38" s="49">
        <f ca="1">SUM(L6:L10,L22:L24,L13:L15,L31:L35,L18:L19,L27:L28)</f>
        <v>1424.0567876494813</v>
      </c>
      <c r="M38" s="230"/>
      <c r="Q38" s="343"/>
    </row>
    <row r="39" spans="2:19" ht="13.8" thickBot="1">
      <c r="C39" s="240"/>
      <c r="Q39" s="103"/>
    </row>
    <row r="40" spans="2:19" ht="39.75" customHeight="1" thickTop="1" thickBot="1">
      <c r="B40" s="567" t="s">
        <v>885</v>
      </c>
      <c r="C40" s="567"/>
      <c r="D40" s="342">
        <v>0.5</v>
      </c>
      <c r="E40" s="245"/>
      <c r="F40" s="245"/>
      <c r="G40" s="245"/>
      <c r="H40" s="245"/>
      <c r="I40" s="245"/>
      <c r="J40" s="245"/>
      <c r="K40" s="246"/>
      <c r="P40" s="246"/>
      <c r="Q40" s="245"/>
    </row>
    <row r="41" spans="2:19" s="74" customFormat="1" ht="13.8" hidden="1" thickTop="1">
      <c r="B41" s="81" t="s">
        <v>600</v>
      </c>
      <c r="C41" s="17"/>
      <c r="D41" s="40">
        <f>D42/8</f>
        <v>228</v>
      </c>
      <c r="F41" s="229"/>
      <c r="G41" s="229"/>
      <c r="H41" s="229"/>
      <c r="I41" s="229"/>
      <c r="J41" s="229"/>
      <c r="K41" s="239"/>
      <c r="M41" s="265"/>
      <c r="P41" s="239"/>
      <c r="Q41" s="229"/>
    </row>
    <row r="42" spans="2:19" s="74" customFormat="1" hidden="1">
      <c r="B42" s="81" t="s">
        <v>601</v>
      </c>
      <c r="C42" s="17"/>
      <c r="D42" s="40">
        <f>WorkHrs</f>
        <v>1824</v>
      </c>
      <c r="F42" s="229"/>
      <c r="G42" s="229"/>
      <c r="H42" s="229"/>
      <c r="I42" s="229"/>
      <c r="J42" s="229"/>
      <c r="K42" s="239"/>
      <c r="M42" s="265"/>
      <c r="P42" s="239"/>
      <c r="Q42" s="229"/>
    </row>
    <row r="43" spans="2:19" s="74" customFormat="1" hidden="1">
      <c r="B43" s="81" t="s">
        <v>1027</v>
      </c>
      <c r="C43" s="17"/>
      <c r="D43" s="40">
        <f>D42/12*60</f>
        <v>9120</v>
      </c>
      <c r="F43" s="229"/>
      <c r="G43" s="229"/>
      <c r="H43" s="229"/>
      <c r="I43" s="229"/>
      <c r="J43" s="229"/>
      <c r="K43" s="239"/>
      <c r="M43" s="265"/>
      <c r="P43" s="239"/>
      <c r="Q43" s="229"/>
    </row>
    <row r="44" spans="2:19" s="74" customFormat="1" hidden="1">
      <c r="B44" s="81" t="s">
        <v>602</v>
      </c>
      <c r="C44" s="17"/>
      <c r="D44" s="98">
        <f>UserRate</f>
        <v>52.33458799731833</v>
      </c>
      <c r="F44" s="229"/>
      <c r="G44" s="229"/>
      <c r="H44" s="229"/>
      <c r="I44" s="229"/>
      <c r="J44" s="229"/>
      <c r="K44" s="239"/>
      <c r="M44" s="265"/>
      <c r="P44" s="239"/>
      <c r="Q44" s="229"/>
    </row>
    <row r="45" spans="2:19" s="74" customFormat="1" hidden="1">
      <c r="B45" s="81" t="s">
        <v>603</v>
      </c>
      <c r="C45" s="17"/>
      <c r="D45" s="247">
        <f>D44/60</f>
        <v>0.87224313328863878</v>
      </c>
      <c r="F45" s="229"/>
      <c r="G45" s="229"/>
      <c r="H45" s="229"/>
      <c r="I45" s="229"/>
      <c r="J45" s="229"/>
      <c r="K45" s="239"/>
      <c r="M45" s="265"/>
      <c r="P45" s="239"/>
      <c r="Q45" s="229"/>
    </row>
    <row r="46" spans="2:19" s="74" customFormat="1" hidden="1">
      <c r="B46" s="81" t="s">
        <v>905</v>
      </c>
      <c r="C46" s="17"/>
      <c r="D46" s="43">
        <f>PwrUserMix</f>
        <v>0.1875</v>
      </c>
      <c r="F46" s="229"/>
      <c r="G46" s="229"/>
      <c r="H46" s="229"/>
      <c r="I46" s="229"/>
      <c r="J46" s="229"/>
      <c r="K46" s="239"/>
      <c r="M46" s="265"/>
      <c r="P46" s="239"/>
      <c r="Q46" s="229"/>
    </row>
    <row r="47" spans="2:19" s="74" customFormat="1" hidden="1">
      <c r="B47" s="81" t="s">
        <v>906</v>
      </c>
      <c r="C47" s="17"/>
      <c r="D47" s="43">
        <f>IWMix</f>
        <v>0.8125</v>
      </c>
      <c r="F47" s="248"/>
      <c r="G47" s="229"/>
      <c r="H47" s="229"/>
      <c r="I47" s="229"/>
      <c r="J47" s="229"/>
      <c r="K47" s="239"/>
      <c r="M47" s="265"/>
      <c r="P47" s="239"/>
      <c r="Q47" s="229"/>
    </row>
    <row r="48" spans="2:19" s="74" customFormat="1" ht="13.8" thickTop="1">
      <c r="B48" s="229"/>
      <c r="C48" s="17"/>
      <c r="D48" s="229"/>
      <c r="E48" s="229"/>
      <c r="F48" s="229"/>
      <c r="G48" s="229"/>
      <c r="H48" s="229"/>
      <c r="I48" s="229"/>
      <c r="J48" s="229"/>
      <c r="M48" s="265"/>
    </row>
    <row r="49" spans="1:17" ht="57.75" customHeight="1">
      <c r="A49" s="571" t="s">
        <v>33</v>
      </c>
      <c r="B49" s="571"/>
      <c r="C49" s="243"/>
      <c r="L49" s="364" t="s">
        <v>614</v>
      </c>
      <c r="M49" s="364" t="s">
        <v>1029</v>
      </c>
      <c r="P49" s="343"/>
      <c r="Q49" s="103"/>
    </row>
    <row r="50" spans="1:17" ht="26.4">
      <c r="B50" s="241" t="str">
        <f>A5</f>
        <v>Information Access &amp; Analysis</v>
      </c>
      <c r="C50" s="244"/>
      <c r="F50" s="76"/>
      <c r="G50" s="76"/>
      <c r="H50" s="76"/>
      <c r="I50" s="76"/>
      <c r="J50" s="76"/>
      <c r="L50" s="98">
        <f ca="1">L11</f>
        <v>1018.0246104284378</v>
      </c>
      <c r="M50" s="98">
        <f t="shared" ref="M50:M55" ca="1" si="6">L50*$D$40</f>
        <v>509.01230521421888</v>
      </c>
      <c r="P50" s="343"/>
      <c r="Q50" s="76"/>
    </row>
    <row r="51" spans="1:17" ht="26.4">
      <c r="B51" s="241" t="str">
        <f>A12</f>
        <v>Business Process Automation</v>
      </c>
      <c r="C51" s="244"/>
      <c r="F51" s="76"/>
      <c r="G51" s="76"/>
      <c r="H51" s="76"/>
      <c r="I51" s="76"/>
      <c r="J51" s="76"/>
      <c r="L51" s="98">
        <f ca="1">L16</f>
        <v>179.8521732464651</v>
      </c>
      <c r="M51" s="98">
        <f t="shared" ca="1" si="6"/>
        <v>89.92608662323255</v>
      </c>
      <c r="P51" s="343"/>
      <c r="Q51" s="76"/>
    </row>
    <row r="52" spans="1:17" ht="26.4">
      <c r="B52" s="241" t="str">
        <f>A17</f>
        <v>Communication &amp; Collaboration</v>
      </c>
      <c r="C52" s="244"/>
      <c r="F52" s="76"/>
      <c r="G52" s="76"/>
      <c r="H52" s="76"/>
      <c r="I52" s="76"/>
      <c r="J52" s="76"/>
      <c r="L52" s="98">
        <f ca="1">L20</f>
        <v>109.22486627279964</v>
      </c>
      <c r="M52" s="98">
        <f t="shared" ca="1" si="6"/>
        <v>54.612433136399822</v>
      </c>
      <c r="P52" s="343"/>
      <c r="Q52" s="76"/>
    </row>
    <row r="53" spans="1:17" ht="26.4">
      <c r="B53" s="241" t="str">
        <f>A26</f>
        <v>User Application Development</v>
      </c>
      <c r="C53" s="244"/>
      <c r="F53" s="76"/>
      <c r="G53" s="76"/>
      <c r="H53" s="76"/>
      <c r="I53" s="76"/>
      <c r="J53" s="76"/>
      <c r="L53" s="98">
        <f ca="1">L29</f>
        <v>37.62378950039264</v>
      </c>
      <c r="M53" s="98">
        <f t="shared" ca="1" si="6"/>
        <v>18.81189475019632</v>
      </c>
      <c r="P53" s="343"/>
      <c r="Q53" s="76"/>
    </row>
    <row r="54" spans="1:17">
      <c r="B54" s="241" t="str">
        <f>A21</f>
        <v xml:space="preserve">Performance Management </v>
      </c>
      <c r="C54" s="244"/>
      <c r="F54" s="76"/>
      <c r="G54" s="76"/>
      <c r="H54" s="76"/>
      <c r="I54" s="76"/>
      <c r="J54" s="76"/>
      <c r="L54" s="98">
        <f ca="1">L25</f>
        <v>67.856801953233756</v>
      </c>
      <c r="M54" s="98">
        <f t="shared" ca="1" si="6"/>
        <v>33.928400976616878</v>
      </c>
      <c r="P54" s="343"/>
      <c r="Q54" s="76"/>
    </row>
    <row r="55" spans="1:17" ht="27" thickBot="1">
      <c r="B55" s="241" t="str">
        <f>A30</f>
        <v>Performance, Reliability, and Security</v>
      </c>
      <c r="C55" s="244"/>
      <c r="F55" s="76"/>
      <c r="G55" s="76"/>
      <c r="H55" s="76"/>
      <c r="I55" s="76"/>
      <c r="J55" s="76"/>
      <c r="L55" s="98">
        <f ca="1">L36</f>
        <v>11.474546248152517</v>
      </c>
      <c r="M55" s="98">
        <f t="shared" ca="1" si="6"/>
        <v>5.7372731240762587</v>
      </c>
      <c r="P55" s="343"/>
      <c r="Q55" s="76"/>
    </row>
    <row r="56" spans="1:17" ht="13.8" thickTop="1">
      <c r="B56" s="366" t="s">
        <v>0</v>
      </c>
      <c r="C56" s="91"/>
      <c r="F56" s="76"/>
      <c r="G56" s="76"/>
      <c r="H56" s="76"/>
      <c r="I56" s="76"/>
      <c r="J56" s="76"/>
      <c r="L56" s="49">
        <f ca="1">SUM(L50:L55)</f>
        <v>1424.0567876494815</v>
      </c>
      <c r="M56" s="49">
        <f ca="1">SUM(M50:M55)</f>
        <v>712.02839382474076</v>
      </c>
      <c r="P56" s="76"/>
      <c r="Q56" s="76"/>
    </row>
    <row r="58" spans="1:17" ht="13.8">
      <c r="A58" s="570"/>
      <c r="B58" s="570"/>
      <c r="D58" s="245"/>
      <c r="E58" s="245"/>
      <c r="F58" s="245"/>
      <c r="G58" s="245"/>
      <c r="H58" s="245"/>
      <c r="I58" s="245"/>
      <c r="J58" s="245"/>
      <c r="K58" s="246"/>
      <c r="P58" s="246"/>
      <c r="Q58" s="245"/>
    </row>
    <row r="86" spans="1:2" ht="13.8">
      <c r="A86" s="570" t="s">
        <v>100</v>
      </c>
      <c r="B86" s="570"/>
    </row>
    <row r="101" spans="2:2">
      <c r="B101" s="403"/>
    </row>
  </sheetData>
  <sheetProtection selectLockedCells="1" selectUnlockedCells="1"/>
  <mergeCells count="15">
    <mergeCell ref="B40:C40"/>
    <mergeCell ref="R3:R4"/>
    <mergeCell ref="S3:S4"/>
    <mergeCell ref="J3:J4"/>
    <mergeCell ref="A86:B86"/>
    <mergeCell ref="A49:B49"/>
    <mergeCell ref="A58:B58"/>
    <mergeCell ref="L3:L4"/>
    <mergeCell ref="N3:N4"/>
    <mergeCell ref="D3:E3"/>
    <mergeCell ref="G3:H3"/>
    <mergeCell ref="K3:K4"/>
    <mergeCell ref="P3:P4"/>
    <mergeCell ref="Q3:Q4"/>
    <mergeCell ref="M3:M4"/>
  </mergeCells>
  <hyperlinks>
    <hyperlink ref="K2" location="Productivity!A86" display="See instructions below"/>
  </hyperlinks>
  <pageMargins left="0.25" right="0.25" top="0.75" bottom="0.75" header="0.3" footer="0.3"/>
  <pageSetup scale="65" fitToHeight="10" orientation="portrait" horizontalDpi="300" verticalDpi="300" r:id="rId1"/>
  <headerFooter>
    <oddFooter>&amp;LTDWI Business Intelligence ROI Calculator&amp;C&amp;A Worksheet&amp;R&amp;P of &amp;N</oddFooter>
  </headerFooter>
  <drawing r:id="rId2"/>
</worksheet>
</file>

<file path=customXml/_rels/item1.xml.rels><?xml version="1.0" encoding="UTF-8" standalone="no"?>
<Relationships xmlns="http://schemas.openxmlformats.org/package/2006/relationships">
<Relationship Id="rId1" Target="itemProps1.xml" Type="http://schemas.openxmlformats.org/officeDocument/2006/relationships/customXmlProps"/>
</Relationships>

</file>

<file path=customXml/_rels/item2.xml.rels><?xml version="1.0" encoding="UTF-8" standalone="no"?>
<Relationships xmlns="http://schemas.openxmlformats.org/package/2006/relationships">
<Relationship Id="rId1" Target="itemProps2.xml" Type="http://schemas.openxmlformats.org/officeDocument/2006/relationships/customXmlProps"/>
</Relationships>

</file>

<file path=customXml/_rels/item3.xml.rels><?xml version="1.0" encoding="UTF-8" standalone="no"?>
<Relationships xmlns="http://schemas.openxmlformats.org/package/2006/relationships">
<Relationship Id="rId1" Target="itemProps3.xml" Type="http://schemas.openxmlformats.org/officeDocument/2006/relationships/customXmlProps"/>
</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279c20c3caf3300dae6b438536eb8c56">
  <xsd:schema xmlns:xsd="http://www.w3.org/2001/XMLSchema" xmlns:p="http://schemas.microsoft.com/office/2006/metadata/properties" targetNamespace="http://schemas.microsoft.com/office/2006/metadata/properties" ma:root="true" ma:fieldsID="0d2e1ca116041f9e11471c52c4c9d60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6E1E08D0-FA6B-4CF0-A972-43E2DFD70B95}">
  <ds:schemaRefs>
    <ds:schemaRef ds:uri="http://schemas.microsoft.com/office/2006/metadata/properties"/>
  </ds:schemaRefs>
</ds:datastoreItem>
</file>

<file path=customXml/itemProps2.xml><?xml version="1.0" encoding="utf-8"?>
<ds:datastoreItem xmlns:ds="http://schemas.openxmlformats.org/officeDocument/2006/customXml" ds:itemID="{FB85C55E-3B96-4A55-B10B-FFF394EA4F7A}">
  <ds:schemaRefs>
    <ds:schemaRef ds:uri="http://schemas.microsoft.com/sharepoint/v3/contenttype/forms"/>
  </ds:schemaRefs>
</ds:datastoreItem>
</file>

<file path=customXml/itemProps3.xml><?xml version="1.0" encoding="utf-8"?>
<ds:datastoreItem xmlns:ds="http://schemas.openxmlformats.org/officeDocument/2006/customXml" ds:itemID="{FEE28E83-4F1D-4344-8D31-3661B795C7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14</vt:i4>
      </vt:variant>
      <vt:variant>
        <vt:lpstr>Named Ranges</vt:lpstr>
      </vt:variant>
      <vt:variant>
        <vt:i4>85</vt:i4>
      </vt:variant>
    </vt:vector>
  </HeadingPairs>
  <TitlesOfParts>
    <vt:vector baseType="lpstr" size="99">
      <vt:lpstr>User Guide</vt:lpstr>
      <vt:lpstr>Profile</vt:lpstr>
      <vt:lpstr>Initiatives</vt:lpstr>
      <vt:lpstr>Maturity</vt:lpstr>
      <vt:lpstr>Costs - Labor</vt:lpstr>
      <vt:lpstr>Costs - HWSW</vt:lpstr>
      <vt:lpstr>IT Labor</vt:lpstr>
      <vt:lpstr>Direct Savings</vt:lpstr>
      <vt:lpstr>Productivity</vt:lpstr>
      <vt:lpstr>Revenue</vt:lpstr>
      <vt:lpstr>KPIs</vt:lpstr>
      <vt:lpstr>ROI</vt:lpstr>
      <vt:lpstr>ImpCalc</vt:lpstr>
      <vt:lpstr>Reference</vt:lpstr>
      <vt:lpstr>AnalystRate</vt:lpstr>
      <vt:lpstr>AnalystSalary</vt:lpstr>
      <vt:lpstr>AnalystWRate</vt:lpstr>
      <vt:lpstr>BaseLaborComp</vt:lpstr>
      <vt:lpstr>BIs</vt:lpstr>
      <vt:lpstr>BIStaff</vt:lpstr>
      <vt:lpstr>BurdenRate</vt:lpstr>
      <vt:lpstr>Country</vt:lpstr>
      <vt:lpstr>CountryLaborCostScalar</vt:lpstr>
      <vt:lpstr>CountryList</vt:lpstr>
      <vt:lpstr>DBARate</vt:lpstr>
      <vt:lpstr>DBASalary</vt:lpstr>
      <vt:lpstr>DBAWRate</vt:lpstr>
      <vt:lpstr>Duration</vt:lpstr>
      <vt:lpstr>EngrRate</vt:lpstr>
      <vt:lpstr>EngrSalary</vt:lpstr>
      <vt:lpstr>EngrWRate</vt:lpstr>
      <vt:lpstr>Industry</vt:lpstr>
      <vt:lpstr>IndustryList</vt:lpstr>
      <vt:lpstr>Initiatives</vt:lpstr>
      <vt:lpstr>ITStaff</vt:lpstr>
      <vt:lpstr>ITStaffMix</vt:lpstr>
      <vt:lpstr>IWLaborCostScalar</vt:lpstr>
      <vt:lpstr>IWMix</vt:lpstr>
      <vt:lpstr>IWMixDefault</vt:lpstr>
      <vt:lpstr>IWRate</vt:lpstr>
      <vt:lpstr>IWs</vt:lpstr>
      <vt:lpstr>IWSalary</vt:lpstr>
      <vt:lpstr>IWWRate</vt:lpstr>
      <vt:lpstr>Margin</vt:lpstr>
      <vt:lpstr>Maturity</vt:lpstr>
      <vt:lpstr>MgmtRate</vt:lpstr>
      <vt:lpstr>MgmtSalary</vt:lpstr>
      <vt:lpstr>MgmtWRate</vt:lpstr>
      <vt:lpstr>OrgSizeLaborCostScalar</vt:lpstr>
      <vt:lpstr>PCUserMix</vt:lpstr>
      <vt:lpstr>PCUsers</vt:lpstr>
      <vt:lpstr>PMRate</vt:lpstr>
      <vt:lpstr>PMSalary</vt:lpstr>
      <vt:lpstr>PMWRate</vt:lpstr>
      <vt:lpstr>PowerUserLaborCostScalar</vt:lpstr>
      <vt:lpstr>PowerUserMix</vt:lpstr>
      <vt:lpstr>PowerUsers</vt:lpstr>
      <vt:lpstr>PreTaxMarginDefault</vt:lpstr>
      <vt:lpstr>PriceScalar</vt:lpstr>
      <vt:lpstr>'Costs - HWSW'!Print_Area</vt:lpstr>
      <vt:lpstr>'Costs - Labor'!Print_Area</vt:lpstr>
      <vt:lpstr>'Direct Savings'!Print_Area</vt:lpstr>
      <vt:lpstr>Initiatives!Print_Area</vt:lpstr>
      <vt:lpstr>'IT Labor'!Print_Area</vt:lpstr>
      <vt:lpstr>KPIs!Print_Area</vt:lpstr>
      <vt:lpstr>Maturity!Print_Area</vt:lpstr>
      <vt:lpstr>Productivity!Print_Area</vt:lpstr>
      <vt:lpstr>Profile!Print_Area</vt:lpstr>
      <vt:lpstr>Revenue!Print_Area</vt:lpstr>
      <vt:lpstr>ROI!Print_Area</vt:lpstr>
      <vt:lpstr>'User Guide'!Print_Area</vt:lpstr>
      <vt:lpstr>'Costs - HWSW'!Print_Titles</vt:lpstr>
      <vt:lpstr>'Costs - Labor'!Print_Titles</vt:lpstr>
      <vt:lpstr>'Direct Savings'!Print_Titles</vt:lpstr>
      <vt:lpstr>Initiatives!Print_Titles</vt:lpstr>
      <vt:lpstr>'IT Labor'!Print_Titles</vt:lpstr>
      <vt:lpstr>KPIs!Print_Titles</vt:lpstr>
      <vt:lpstr>Maturity!Print_Titles</vt:lpstr>
      <vt:lpstr>Productivity!Print_Titles</vt:lpstr>
      <vt:lpstr>Profile!Print_Titles</vt:lpstr>
      <vt:lpstr>Revenue!Print_Titles</vt:lpstr>
      <vt:lpstr>ROI!Print_Titles</vt:lpstr>
      <vt:lpstr>'User Guide'!Print_Titles</vt:lpstr>
      <vt:lpstr>PwrUserMix</vt:lpstr>
      <vt:lpstr>RestoreStatus</vt:lpstr>
      <vt:lpstr>Revenue</vt:lpstr>
      <vt:lpstr>RevPerEmployee</vt:lpstr>
      <vt:lpstr>SiteLocation</vt:lpstr>
      <vt:lpstr>SiteLocationList</vt:lpstr>
      <vt:lpstr>SiteScalar</vt:lpstr>
      <vt:lpstr>SizeLaborScalar</vt:lpstr>
      <vt:lpstr>TWLaborCostScalar</vt:lpstr>
      <vt:lpstr>TWMix</vt:lpstr>
      <vt:lpstr>TWs</vt:lpstr>
      <vt:lpstr>UserRate</vt:lpstr>
      <vt:lpstr>UserSalary</vt:lpstr>
      <vt:lpstr>UserWRate</vt:lpstr>
      <vt:lpstr>WACC</vt:lpstr>
      <vt:lpstr>WorkHrs</vt:lpstr>
    </vt:vector>
  </TitlesOfParts>
  <LinksUpToDate>false</LinksUpToDate>
  <SharedDoc>false</SharedDoc>
  <HyperlinkBase/>
  <HyperlinksChanged>false</HyperlinksChanged>
  <AppVersion>12.0000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