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576" windowHeight="11748" tabRatio="634"/>
  </bookViews>
  <sheets>
    <sheet name="Main calculation" sheetId="2" r:id="rId1"/>
    <sheet name="Construction Investment" sheetId="22" r:id="rId2"/>
    <sheet name="Time" sheetId="3" r:id="rId3"/>
    <sheet name="Op cost New Public Vehicles" sheetId="4" r:id="rId4"/>
    <sheet name="Op cost NO New Vehicles" sheetId="31" r:id="rId5"/>
    <sheet name="Pollutants New Vehicles" sheetId="5" r:id="rId6"/>
    <sheet name="Pollutants Public Transport" sheetId="34" r:id="rId7"/>
    <sheet name="Pollutants Private Cars" sheetId="35" r:id="rId8"/>
    <sheet name="Safety" sheetId="23" r:id="rId9"/>
    <sheet name="Noise" sheetId="8" r:id="rId10"/>
    <sheet name="Health" sheetId="10" r:id="rId11"/>
    <sheet name="Ticket income and user charges" sheetId="33" r:id="rId12"/>
    <sheet name="Monetary Values" sheetId="11" r:id="rId13"/>
  </sheets>
  <definedNames>
    <definedName name="Country">'Monetary Values'!$D$4:$G$4</definedName>
  </definedNames>
  <calcPr calcId="124519"/>
</workbook>
</file>

<file path=xl/calcChain.xml><?xml version="1.0" encoding="utf-8"?>
<calcChain xmlns="http://schemas.openxmlformats.org/spreadsheetml/2006/main">
  <c r="A10" i="31"/>
  <c r="H22" i="22"/>
  <c r="H23"/>
  <c r="H24"/>
  <c r="H25"/>
  <c r="H26"/>
  <c r="H27"/>
  <c r="H28"/>
  <c r="H29"/>
  <c r="H30"/>
  <c r="H31"/>
  <c r="H32"/>
  <c r="H33"/>
  <c r="H34"/>
  <c r="H35"/>
  <c r="H21"/>
  <c r="G20"/>
  <c r="D22"/>
  <c r="D23"/>
  <c r="D24"/>
  <c r="V30" i="2"/>
  <c r="D25" i="22"/>
  <c r="V31" i="2"/>
  <c r="D26" i="22"/>
  <c r="D27"/>
  <c r="D28"/>
  <c r="V34" i="2"/>
  <c r="D29" i="22"/>
  <c r="V35" i="2"/>
  <c r="D30" i="22"/>
  <c r="D31"/>
  <c r="D32"/>
  <c r="V38" i="2"/>
  <c r="D33" i="22"/>
  <c r="V39" i="2"/>
  <c r="D34" i="22"/>
  <c r="D35"/>
  <c r="D21"/>
  <c r="C20"/>
  <c r="E22" i="5"/>
  <c r="E21"/>
  <c r="E19"/>
  <c r="E18"/>
  <c r="D22"/>
  <c r="D21"/>
  <c r="D23" s="1"/>
  <c r="D19"/>
  <c r="D18"/>
  <c r="C22"/>
  <c r="C21"/>
  <c r="C23" s="1"/>
  <c r="C19"/>
  <c r="C18"/>
  <c r="B22"/>
  <c r="B21"/>
  <c r="B19"/>
  <c r="B18"/>
  <c r="B20" i="2"/>
  <c r="A30" i="4" s="1"/>
  <c r="X26" i="2"/>
  <c r="X27"/>
  <c r="X28"/>
  <c r="X29"/>
  <c r="X30"/>
  <c r="X31"/>
  <c r="X32"/>
  <c r="X33"/>
  <c r="X34"/>
  <c r="X35"/>
  <c r="X36"/>
  <c r="X37"/>
  <c r="X38"/>
  <c r="X39"/>
  <c r="X40"/>
  <c r="X41"/>
  <c r="X42"/>
  <c r="X43"/>
  <c r="V26"/>
  <c r="V27"/>
  <c r="V28"/>
  <c r="V29"/>
  <c r="V32"/>
  <c r="V33"/>
  <c r="V36"/>
  <c r="V37"/>
  <c r="V40"/>
  <c r="V41"/>
  <c r="V42"/>
  <c r="V43"/>
  <c r="U27"/>
  <c r="U28"/>
  <c r="U29"/>
  <c r="U30"/>
  <c r="U31"/>
  <c r="U32"/>
  <c r="U33"/>
  <c r="U34"/>
  <c r="U35"/>
  <c r="U36"/>
  <c r="U37"/>
  <c r="U38"/>
  <c r="U39"/>
  <c r="U40"/>
  <c r="U41"/>
  <c r="U42"/>
  <c r="U43"/>
  <c r="A23" i="33"/>
  <c r="A22"/>
  <c r="A21"/>
  <c r="A20"/>
  <c r="A19"/>
  <c r="A18"/>
  <c r="A17"/>
  <c r="A16"/>
  <c r="A15"/>
  <c r="A14"/>
  <c r="A13"/>
  <c r="A12"/>
  <c r="A11"/>
  <c r="A10"/>
  <c r="A9"/>
  <c r="A20" i="10"/>
  <c r="A19"/>
  <c r="A18"/>
  <c r="A17"/>
  <c r="A16"/>
  <c r="A15"/>
  <c r="A14"/>
  <c r="A13"/>
  <c r="A12"/>
  <c r="A11"/>
  <c r="A10"/>
  <c r="A9"/>
  <c r="A8"/>
  <c r="A7"/>
  <c r="A6"/>
  <c r="A24" i="8"/>
  <c r="A23"/>
  <c r="A22"/>
  <c r="A21"/>
  <c r="A20"/>
  <c r="A19"/>
  <c r="A18"/>
  <c r="A17"/>
  <c r="A16"/>
  <c r="A15"/>
  <c r="A14"/>
  <c r="A13"/>
  <c r="A12"/>
  <c r="A11"/>
  <c r="A10"/>
  <c r="A28" i="23"/>
  <c r="A27"/>
  <c r="A26"/>
  <c r="A25"/>
  <c r="A24"/>
  <c r="A23"/>
  <c r="A22"/>
  <c r="A21"/>
  <c r="A20"/>
  <c r="A19"/>
  <c r="A18"/>
  <c r="A17"/>
  <c r="A16"/>
  <c r="A15"/>
  <c r="A14"/>
  <c r="A27" i="35"/>
  <c r="A26"/>
  <c r="A25"/>
  <c r="A24"/>
  <c r="A23"/>
  <c r="A22"/>
  <c r="A21"/>
  <c r="A20"/>
  <c r="A19"/>
  <c r="A18"/>
  <c r="A17"/>
  <c r="A16"/>
  <c r="A15"/>
  <c r="A14"/>
  <c r="A13"/>
  <c r="A30" i="34"/>
  <c r="A29"/>
  <c r="A28"/>
  <c r="A27"/>
  <c r="A26"/>
  <c r="A25"/>
  <c r="A24"/>
  <c r="A23"/>
  <c r="A22"/>
  <c r="A21"/>
  <c r="A20"/>
  <c r="A19"/>
  <c r="A18"/>
  <c r="A17"/>
  <c r="A16"/>
  <c r="A43" i="5"/>
  <c r="A42"/>
  <c r="A41"/>
  <c r="A40"/>
  <c r="A39"/>
  <c r="A38"/>
  <c r="A37"/>
  <c r="A36"/>
  <c r="A35"/>
  <c r="A34"/>
  <c r="A33"/>
  <c r="A32"/>
  <c r="A31"/>
  <c r="A30"/>
  <c r="A29"/>
  <c r="A28" i="31"/>
  <c r="A27"/>
  <c r="A26"/>
  <c r="A25"/>
  <c r="A24"/>
  <c r="A23"/>
  <c r="A22"/>
  <c r="A21"/>
  <c r="A20"/>
  <c r="A19"/>
  <c r="A18"/>
  <c r="A17"/>
  <c r="A16"/>
  <c r="A15"/>
  <c r="A14"/>
  <c r="A29" i="4"/>
  <c r="A28"/>
  <c r="A27"/>
  <c r="A26"/>
  <c r="A25"/>
  <c r="A24"/>
  <c r="A23"/>
  <c r="A22"/>
  <c r="A21"/>
  <c r="A20"/>
  <c r="A19"/>
  <c r="A18"/>
  <c r="A17"/>
  <c r="A16"/>
  <c r="A15"/>
  <c r="A40" i="3"/>
  <c r="A39"/>
  <c r="A38"/>
  <c r="A37"/>
  <c r="A36"/>
  <c r="A35"/>
  <c r="A34"/>
  <c r="A33"/>
  <c r="A32"/>
  <c r="A31"/>
  <c r="A30"/>
  <c r="A29"/>
  <c r="A28"/>
  <c r="A27"/>
  <c r="A26"/>
  <c r="A34" i="22"/>
  <c r="A33"/>
  <c r="A32"/>
  <c r="A31"/>
  <c r="A30"/>
  <c r="A29"/>
  <c r="A28"/>
  <c r="A27"/>
  <c r="A26"/>
  <c r="A24"/>
  <c r="A23"/>
  <c r="A22"/>
  <c r="A21"/>
  <c r="A20"/>
  <c r="B30" i="2"/>
  <c r="B31"/>
  <c r="A25" i="22"/>
  <c r="B20"/>
  <c r="F20" s="1"/>
  <c r="B21"/>
  <c r="F21" s="1"/>
  <c r="B22"/>
  <c r="F22" s="1"/>
  <c r="B23"/>
  <c r="F23" s="1"/>
  <c r="B24"/>
  <c r="F24" s="1"/>
  <c r="B25"/>
  <c r="F25" s="1"/>
  <c r="B26"/>
  <c r="F26" s="1"/>
  <c r="B27"/>
  <c r="F27" s="1"/>
  <c r="B28"/>
  <c r="F28" s="1"/>
  <c r="B29"/>
  <c r="F29" s="1"/>
  <c r="B30"/>
  <c r="F30" s="1"/>
  <c r="B31"/>
  <c r="F31" s="1"/>
  <c r="B32"/>
  <c r="F32" s="1"/>
  <c r="B33"/>
  <c r="F33" s="1"/>
  <c r="B34"/>
  <c r="F34" s="1"/>
  <c r="B35"/>
  <c r="F35" s="1"/>
  <c r="B39" i="2"/>
  <c r="B38"/>
  <c r="B37"/>
  <c r="B36"/>
  <c r="B35"/>
  <c r="B34"/>
  <c r="B33"/>
  <c r="B32"/>
  <c r="B29"/>
  <c r="B27"/>
  <c r="B26"/>
  <c r="B28"/>
  <c r="T15" i="4"/>
  <c r="T16"/>
  <c r="J15"/>
  <c r="J16"/>
  <c r="U26" i="2"/>
  <c r="W26"/>
  <c r="W27"/>
  <c r="A40" i="22"/>
  <c r="AA26" i="3"/>
  <c r="M26"/>
  <c r="M27"/>
  <c r="M28"/>
  <c r="M29"/>
  <c r="M31"/>
  <c r="M32"/>
  <c r="M33"/>
  <c r="M34"/>
  <c r="M35"/>
  <c r="M36"/>
  <c r="M37"/>
  <c r="M38"/>
  <c r="M39"/>
  <c r="M40"/>
  <c r="M41"/>
  <c r="M42"/>
  <c r="M43"/>
  <c r="M30"/>
  <c r="P26"/>
  <c r="P27"/>
  <c r="AA27"/>
  <c r="P28"/>
  <c r="AA28"/>
  <c r="B6" i="10"/>
  <c r="D6"/>
  <c r="G6"/>
  <c r="I6"/>
  <c r="B7"/>
  <c r="D7"/>
  <c r="G7"/>
  <c r="I7"/>
  <c r="B10" i="8"/>
  <c r="D10"/>
  <c r="G10"/>
  <c r="I10"/>
  <c r="B11"/>
  <c r="D11"/>
  <c r="G11"/>
  <c r="I11"/>
  <c r="B14" i="23"/>
  <c r="F14"/>
  <c r="B15"/>
  <c r="F15"/>
  <c r="B13" i="35"/>
  <c r="D13"/>
  <c r="G13"/>
  <c r="B14"/>
  <c r="D14"/>
  <c r="G14"/>
  <c r="E16" i="34"/>
  <c r="K16"/>
  <c r="E17"/>
  <c r="K17" s="1"/>
  <c r="H16"/>
  <c r="H17"/>
  <c r="B16"/>
  <c r="B17"/>
  <c r="K29" i="5"/>
  <c r="K30"/>
  <c r="B29"/>
  <c r="B30"/>
  <c r="I14" i="31"/>
  <c r="I15"/>
  <c r="D15"/>
  <c r="D14"/>
  <c r="D16"/>
  <c r="G14"/>
  <c r="G15"/>
  <c r="G16"/>
  <c r="G17"/>
  <c r="G18"/>
  <c r="G19"/>
  <c r="G20"/>
  <c r="G21"/>
  <c r="G22"/>
  <c r="G23"/>
  <c r="G24"/>
  <c r="G25"/>
  <c r="G26"/>
  <c r="G27"/>
  <c r="G28"/>
  <c r="G29"/>
  <c r="G30"/>
  <c r="B14"/>
  <c r="B15"/>
  <c r="B16"/>
  <c r="B17"/>
  <c r="B18"/>
  <c r="B19"/>
  <c r="B20"/>
  <c r="B21"/>
  <c r="B22"/>
  <c r="B23"/>
  <c r="B24"/>
  <c r="B25"/>
  <c r="B26"/>
  <c r="B27"/>
  <c r="B28"/>
  <c r="B29"/>
  <c r="B30"/>
  <c r="L15" i="4"/>
  <c r="L16"/>
  <c r="B15"/>
  <c r="B16"/>
  <c r="B26" i="3"/>
  <c r="B27"/>
  <c r="K26" i="2"/>
  <c r="K27"/>
  <c r="W29"/>
  <c r="W30"/>
  <c r="Y30" s="1"/>
  <c r="W31"/>
  <c r="W32"/>
  <c r="W33"/>
  <c r="Y33" s="1"/>
  <c r="W34"/>
  <c r="W35"/>
  <c r="W36"/>
  <c r="W37"/>
  <c r="Y37" s="1"/>
  <c r="W38"/>
  <c r="W39"/>
  <c r="Y39" s="1"/>
  <c r="W40"/>
  <c r="Y40"/>
  <c r="W41"/>
  <c r="W42"/>
  <c r="W43"/>
  <c r="W28"/>
  <c r="Y28" s="1"/>
  <c r="B16" i="23"/>
  <c r="J31" i="11"/>
  <c r="D75"/>
  <c r="E10" i="31"/>
  <c r="F75" i="11"/>
  <c r="G75"/>
  <c r="C75"/>
  <c r="K31"/>
  <c r="L31"/>
  <c r="M31"/>
  <c r="N31"/>
  <c r="L24"/>
  <c r="K20"/>
  <c r="J29"/>
  <c r="J22"/>
  <c r="K29"/>
  <c r="J23"/>
  <c r="E12" i="34"/>
  <c r="C38" i="11"/>
  <c r="E10" i="34"/>
  <c r="E11"/>
  <c r="C74" i="11"/>
  <c r="D74"/>
  <c r="E74"/>
  <c r="F74"/>
  <c r="G74"/>
  <c r="B74"/>
  <c r="L17"/>
  <c r="M17"/>
  <c r="N17"/>
  <c r="K17"/>
  <c r="J17"/>
  <c r="S8"/>
  <c r="S9"/>
  <c r="T8"/>
  <c r="U8"/>
  <c r="R8"/>
  <c r="R9"/>
  <c r="U9"/>
  <c r="T9"/>
  <c r="I31" i="31"/>
  <c r="D31"/>
  <c r="I30"/>
  <c r="D30"/>
  <c r="I29"/>
  <c r="D29"/>
  <c r="I28"/>
  <c r="D28"/>
  <c r="I27"/>
  <c r="D27"/>
  <c r="I26"/>
  <c r="D26"/>
  <c r="I25"/>
  <c r="D25"/>
  <c r="I24"/>
  <c r="D24"/>
  <c r="I23"/>
  <c r="D23"/>
  <c r="I22"/>
  <c r="D22"/>
  <c r="I21"/>
  <c r="D21"/>
  <c r="I20"/>
  <c r="D20"/>
  <c r="I19"/>
  <c r="D19"/>
  <c r="I18"/>
  <c r="D18"/>
  <c r="I17"/>
  <c r="D17"/>
  <c r="I16"/>
  <c r="B12" i="3"/>
  <c r="D12"/>
  <c r="B72" i="11"/>
  <c r="B73"/>
  <c r="C73"/>
  <c r="D73"/>
  <c r="E73"/>
  <c r="F73"/>
  <c r="G73"/>
  <c r="L15"/>
  <c r="M15"/>
  <c r="N15"/>
  <c r="L14"/>
  <c r="M14"/>
  <c r="N14"/>
  <c r="G72"/>
  <c r="E72"/>
  <c r="K15"/>
  <c r="D15" i="35"/>
  <c r="D16"/>
  <c r="I16" s="1"/>
  <c r="D17"/>
  <c r="I17" s="1"/>
  <c r="D18"/>
  <c r="I18"/>
  <c r="D19"/>
  <c r="I19"/>
  <c r="D20"/>
  <c r="I20"/>
  <c r="D21"/>
  <c r="D22"/>
  <c r="I22" s="1"/>
  <c r="D23"/>
  <c r="I23" s="1"/>
  <c r="D24"/>
  <c r="D25"/>
  <c r="I25"/>
  <c r="D26"/>
  <c r="I26"/>
  <c r="D27"/>
  <c r="I27"/>
  <c r="D28"/>
  <c r="I28" s="1"/>
  <c r="D29"/>
  <c r="I29" s="1"/>
  <c r="D30"/>
  <c r="I30" s="1"/>
  <c r="D9"/>
  <c r="J27" s="1"/>
  <c r="F23" i="5"/>
  <c r="B16"/>
  <c r="D72" i="11"/>
  <c r="F72"/>
  <c r="C72"/>
  <c r="K14"/>
  <c r="D71"/>
  <c r="E71"/>
  <c r="F71"/>
  <c r="G71"/>
  <c r="C71"/>
  <c r="L13"/>
  <c r="M13"/>
  <c r="N13"/>
  <c r="K13"/>
  <c r="K12"/>
  <c r="E19" i="34"/>
  <c r="K19"/>
  <c r="E20"/>
  <c r="K20"/>
  <c r="E21"/>
  <c r="K21"/>
  <c r="E22"/>
  <c r="K22"/>
  <c r="E23"/>
  <c r="K23"/>
  <c r="E24"/>
  <c r="K24"/>
  <c r="E25"/>
  <c r="K25"/>
  <c r="E26"/>
  <c r="K26"/>
  <c r="E27"/>
  <c r="K27"/>
  <c r="E28"/>
  <c r="K28"/>
  <c r="E29"/>
  <c r="K29"/>
  <c r="E30"/>
  <c r="K30"/>
  <c r="E31"/>
  <c r="K31"/>
  <c r="E32"/>
  <c r="K32"/>
  <c r="E33"/>
  <c r="K33"/>
  <c r="E18"/>
  <c r="K18"/>
  <c r="I13" i="8"/>
  <c r="I14"/>
  <c r="I15"/>
  <c r="I16"/>
  <c r="I17"/>
  <c r="I18"/>
  <c r="I19"/>
  <c r="I20"/>
  <c r="I21"/>
  <c r="I22"/>
  <c r="I23"/>
  <c r="I24"/>
  <c r="I25"/>
  <c r="I26"/>
  <c r="I27"/>
  <c r="I12"/>
  <c r="D13"/>
  <c r="D14"/>
  <c r="D15"/>
  <c r="D16"/>
  <c r="D17"/>
  <c r="D18"/>
  <c r="D19"/>
  <c r="D20"/>
  <c r="D21"/>
  <c r="D22"/>
  <c r="D23"/>
  <c r="D24"/>
  <c r="D25"/>
  <c r="D26"/>
  <c r="D27"/>
  <c r="D12"/>
  <c r="B5"/>
  <c r="J19"/>
  <c r="O35" i="2" s="1"/>
  <c r="B4" i="8"/>
  <c r="E48" i="11"/>
  <c r="F48"/>
  <c r="G48"/>
  <c r="D48"/>
  <c r="C48"/>
  <c r="T18" i="4"/>
  <c r="T19"/>
  <c r="T20"/>
  <c r="T21"/>
  <c r="T22"/>
  <c r="T23"/>
  <c r="T24"/>
  <c r="T25"/>
  <c r="T26"/>
  <c r="T27"/>
  <c r="T28"/>
  <c r="T29"/>
  <c r="T30"/>
  <c r="T31"/>
  <c r="T32"/>
  <c r="T17"/>
  <c r="J18"/>
  <c r="J19"/>
  <c r="J20"/>
  <c r="J21"/>
  <c r="J22"/>
  <c r="J23"/>
  <c r="J24"/>
  <c r="J25"/>
  <c r="J26"/>
  <c r="J27"/>
  <c r="J28"/>
  <c r="J29"/>
  <c r="J30"/>
  <c r="J31"/>
  <c r="J32"/>
  <c r="J17"/>
  <c r="D38" i="11"/>
  <c r="L12"/>
  <c r="E38"/>
  <c r="D10" i="23"/>
  <c r="M12" i="11"/>
  <c r="F38"/>
  <c r="N12"/>
  <c r="G38"/>
  <c r="L8"/>
  <c r="L9"/>
  <c r="M8"/>
  <c r="M9"/>
  <c r="N8"/>
  <c r="N9"/>
  <c r="K8"/>
  <c r="K9"/>
  <c r="AA29" i="3"/>
  <c r="AA30"/>
  <c r="AA31"/>
  <c r="AA32"/>
  <c r="AA33"/>
  <c r="AA34"/>
  <c r="AA35"/>
  <c r="AA36"/>
  <c r="AA37"/>
  <c r="AA38"/>
  <c r="AA39"/>
  <c r="AA40"/>
  <c r="AA41"/>
  <c r="AA42"/>
  <c r="AA43"/>
  <c r="B14"/>
  <c r="D14" s="1"/>
  <c r="G9" i="11"/>
  <c r="G68"/>
  <c r="F9"/>
  <c r="F68"/>
  <c r="E9"/>
  <c r="E68"/>
  <c r="D9"/>
  <c r="D68"/>
  <c r="D18"/>
  <c r="D19"/>
  <c r="D20"/>
  <c r="D21"/>
  <c r="D22"/>
  <c r="D23"/>
  <c r="D24"/>
  <c r="D25"/>
  <c r="D28"/>
  <c r="D29"/>
  <c r="D30"/>
  <c r="D31"/>
  <c r="D32"/>
  <c r="D35"/>
  <c r="D40"/>
  <c r="D41"/>
  <c r="D42"/>
  <c r="D43"/>
  <c r="D44"/>
  <c r="D45"/>
  <c r="D46"/>
  <c r="D51"/>
  <c r="D52"/>
  <c r="D53"/>
  <c r="D54"/>
  <c r="D55"/>
  <c r="D56"/>
  <c r="D57"/>
  <c r="D58"/>
  <c r="D59"/>
  <c r="D60"/>
  <c r="D61"/>
  <c r="D62"/>
  <c r="D63"/>
  <c r="D64"/>
  <c r="D65"/>
  <c r="D66"/>
  <c r="D67"/>
  <c r="E18"/>
  <c r="E19"/>
  <c r="B15" i="3"/>
  <c r="D15" s="1"/>
  <c r="E20" i="11"/>
  <c r="B16" i="3"/>
  <c r="E21" i="11"/>
  <c r="B17" i="3"/>
  <c r="E22" i="11"/>
  <c r="B18" i="3"/>
  <c r="E23" i="11"/>
  <c r="B19" i="3"/>
  <c r="E24" i="11"/>
  <c r="B20" i="3"/>
  <c r="E25" i="11"/>
  <c r="B21" i="3"/>
  <c r="D20" s="1"/>
  <c r="E28" i="11"/>
  <c r="E29"/>
  <c r="E30"/>
  <c r="E31"/>
  <c r="E32"/>
  <c r="E35"/>
  <c r="E40"/>
  <c r="E41"/>
  <c r="E42"/>
  <c r="E43"/>
  <c r="E44"/>
  <c r="E45"/>
  <c r="E46"/>
  <c r="E51"/>
  <c r="E52"/>
  <c r="E53"/>
  <c r="E54"/>
  <c r="E55"/>
  <c r="E56"/>
  <c r="E57"/>
  <c r="E58"/>
  <c r="E59"/>
  <c r="E60"/>
  <c r="E61"/>
  <c r="E62"/>
  <c r="E63"/>
  <c r="E64"/>
  <c r="E65"/>
  <c r="E66"/>
  <c r="E67"/>
  <c r="F18"/>
  <c r="F19"/>
  <c r="F20"/>
  <c r="F21"/>
  <c r="F22"/>
  <c r="F23"/>
  <c r="F24"/>
  <c r="F25"/>
  <c r="F28"/>
  <c r="F29"/>
  <c r="F30"/>
  <c r="F31"/>
  <c r="F32"/>
  <c r="F35"/>
  <c r="F40"/>
  <c r="F41"/>
  <c r="F42"/>
  <c r="F43"/>
  <c r="F44"/>
  <c r="F45"/>
  <c r="F46"/>
  <c r="F51"/>
  <c r="F52"/>
  <c r="F53"/>
  <c r="F54"/>
  <c r="F55"/>
  <c r="F56"/>
  <c r="F57"/>
  <c r="F58"/>
  <c r="F59"/>
  <c r="F60"/>
  <c r="F61"/>
  <c r="F62"/>
  <c r="F63"/>
  <c r="F64"/>
  <c r="F65"/>
  <c r="F66"/>
  <c r="F67"/>
  <c r="G18"/>
  <c r="G19"/>
  <c r="G20"/>
  <c r="G21"/>
  <c r="G22"/>
  <c r="G23"/>
  <c r="G24"/>
  <c r="G25"/>
  <c r="G28"/>
  <c r="G29"/>
  <c r="G30"/>
  <c r="G31"/>
  <c r="G32"/>
  <c r="G35"/>
  <c r="G40"/>
  <c r="G41"/>
  <c r="G42"/>
  <c r="G43"/>
  <c r="G44"/>
  <c r="G45"/>
  <c r="G46"/>
  <c r="G51"/>
  <c r="G52"/>
  <c r="G53"/>
  <c r="G54"/>
  <c r="G55"/>
  <c r="G56"/>
  <c r="G57"/>
  <c r="G58"/>
  <c r="G59"/>
  <c r="G60"/>
  <c r="G61"/>
  <c r="G62"/>
  <c r="G63"/>
  <c r="G64"/>
  <c r="G65"/>
  <c r="G66"/>
  <c r="G67"/>
  <c r="I21" i="10"/>
  <c r="I13"/>
  <c r="I18"/>
  <c r="I10"/>
  <c r="D18"/>
  <c r="D10"/>
  <c r="D15"/>
  <c r="D17"/>
  <c r="I9"/>
  <c r="I22"/>
  <c r="D22"/>
  <c r="I19"/>
  <c r="I11"/>
  <c r="I16"/>
  <c r="I8"/>
  <c r="D16"/>
  <c r="D8"/>
  <c r="D11"/>
  <c r="D9"/>
  <c r="I17"/>
  <c r="I14"/>
  <c r="D14"/>
  <c r="I15"/>
  <c r="I12"/>
  <c r="D12"/>
  <c r="D23"/>
  <c r="D21"/>
  <c r="I23"/>
  <c r="D13"/>
  <c r="D19"/>
  <c r="I20"/>
  <c r="D20"/>
  <c r="E75" i="11"/>
  <c r="K22"/>
  <c r="K23"/>
  <c r="K21"/>
  <c r="J24"/>
  <c r="B8" i="10"/>
  <c r="B18" i="34"/>
  <c r="B28" i="3"/>
  <c r="L17" i="4"/>
  <c r="G15" i="35"/>
  <c r="F9" i="33"/>
  <c r="K31" i="5"/>
  <c r="G12" i="8"/>
  <c r="B9" i="10"/>
  <c r="G13" i="8"/>
  <c r="B10" i="33"/>
  <c r="B12" i="8"/>
  <c r="B15" i="35"/>
  <c r="B31" i="5"/>
  <c r="B17" i="4"/>
  <c r="B9" i="33"/>
  <c r="G8" i="10"/>
  <c r="F16" i="23"/>
  <c r="H18" i="34"/>
  <c r="K28" i="2"/>
  <c r="F17" i="23"/>
  <c r="B19" i="34"/>
  <c r="L18" i="4"/>
  <c r="G16" i="35"/>
  <c r="B17" i="23"/>
  <c r="B29" i="3"/>
  <c r="K32" i="5"/>
  <c r="F10" i="33"/>
  <c r="B13" i="8"/>
  <c r="B18" i="4"/>
  <c r="B16" i="35"/>
  <c r="H19" i="34"/>
  <c r="G9" i="10"/>
  <c r="B32" i="5"/>
  <c r="P29" i="3"/>
  <c r="K29" i="2"/>
  <c r="B18" i="23"/>
  <c r="L19" i="4"/>
  <c r="G17" i="35"/>
  <c r="F11" i="33"/>
  <c r="B10" i="10"/>
  <c r="B20" i="34"/>
  <c r="B14" i="8"/>
  <c r="K30" i="2"/>
  <c r="K33" i="5"/>
  <c r="B17" i="35"/>
  <c r="G10" i="10"/>
  <c r="P30" i="3"/>
  <c r="G14" i="8"/>
  <c r="B33" i="5"/>
  <c r="F18" i="23"/>
  <c r="B30" i="3"/>
  <c r="B19" i="4"/>
  <c r="H20" i="34"/>
  <c r="B11" i="33"/>
  <c r="K34" i="5"/>
  <c r="G11" i="10"/>
  <c r="F19" i="23"/>
  <c r="L20" i="4"/>
  <c r="B21" i="34"/>
  <c r="B11" i="10"/>
  <c r="B12" i="33"/>
  <c r="F12"/>
  <c r="B31" i="3"/>
  <c r="B19" i="23"/>
  <c r="H21" i="34"/>
  <c r="G18" i="35"/>
  <c r="P31" i="3"/>
  <c r="B34" i="5"/>
  <c r="B20" i="4"/>
  <c r="B18" i="35"/>
  <c r="G15" i="8"/>
  <c r="B15"/>
  <c r="K31" i="2"/>
  <c r="B12" i="10"/>
  <c r="F13" i="33"/>
  <c r="K35" i="5"/>
  <c r="P32" i="3"/>
  <c r="H22" i="34"/>
  <c r="B19" i="35"/>
  <c r="B20" i="23"/>
  <c r="L21" i="4"/>
  <c r="B32" i="3"/>
  <c r="B35" i="5"/>
  <c r="B16" i="8"/>
  <c r="B22" i="34"/>
  <c r="G16" i="8"/>
  <c r="B13" i="33"/>
  <c r="K32" i="2"/>
  <c r="G19" i="35"/>
  <c r="F20" i="23"/>
  <c r="G12" i="10"/>
  <c r="B21" i="4"/>
  <c r="H23" i="34"/>
  <c r="B13" i="10"/>
  <c r="F14" i="33"/>
  <c r="B33" i="3"/>
  <c r="G20" i="35"/>
  <c r="B22" i="4"/>
  <c r="B21" i="23"/>
  <c r="B17" i="8"/>
  <c r="L22" i="4"/>
  <c r="G13" i="10"/>
  <c r="P33" i="3"/>
  <c r="B23" i="34"/>
  <c r="B36" i="5"/>
  <c r="B20" i="35"/>
  <c r="G17" i="8"/>
  <c r="F21" i="23"/>
  <c r="K33" i="2"/>
  <c r="K36" i="5"/>
  <c r="B14" i="33"/>
  <c r="B18" i="8"/>
  <c r="K34" i="2"/>
  <c r="L23" i="4"/>
  <c r="G14" i="10"/>
  <c r="B14"/>
  <c r="B37" i="5"/>
  <c r="F22" i="23"/>
  <c r="B34" i="3"/>
  <c r="K37" i="5"/>
  <c r="F15" i="33"/>
  <c r="B23" i="4"/>
  <c r="H24" i="34"/>
  <c r="G21" i="35"/>
  <c r="B15" i="33"/>
  <c r="G18" i="8"/>
  <c r="B21" i="35"/>
  <c r="P34" i="3"/>
  <c r="B24" i="34"/>
  <c r="B22" i="23"/>
  <c r="B38" i="5"/>
  <c r="F23" i="23"/>
  <c r="B15" i="10"/>
  <c r="B25" i="34"/>
  <c r="B35" i="3"/>
  <c r="B24" i="4"/>
  <c r="H25" i="34"/>
  <c r="F16" i="33"/>
  <c r="G19" i="8"/>
  <c r="B19"/>
  <c r="K35" i="2"/>
  <c r="G22" i="35"/>
  <c r="B16" i="33"/>
  <c r="K38" i="5"/>
  <c r="B22" i="35"/>
  <c r="G15" i="10"/>
  <c r="P35" i="3"/>
  <c r="L24" i="4"/>
  <c r="B23" i="23"/>
  <c r="B24"/>
  <c r="B36" i="3"/>
  <c r="L25" i="4"/>
  <c r="P36" i="3"/>
  <c r="K36" i="2"/>
  <c r="B23" i="35"/>
  <c r="B26" i="34"/>
  <c r="G20" i="8"/>
  <c r="B17" i="33"/>
  <c r="B39" i="5"/>
  <c r="F24" i="23"/>
  <c r="B25" i="4"/>
  <c r="F17" i="33"/>
  <c r="H26" i="34"/>
  <c r="G23" i="35"/>
  <c r="G16" i="10"/>
  <c r="B16"/>
  <c r="K39" i="5"/>
  <c r="B20" i="8"/>
  <c r="B21"/>
  <c r="K40" i="5"/>
  <c r="B27" i="34"/>
  <c r="B25" i="23"/>
  <c r="L26" i="4"/>
  <c r="B26"/>
  <c r="G17" i="10"/>
  <c r="G24" i="35"/>
  <c r="P37" i="3"/>
  <c r="B40" i="5"/>
  <c r="B24" i="35"/>
  <c r="F25" i="23"/>
  <c r="G21" i="8"/>
  <c r="H27" i="34"/>
  <c r="K37" i="2"/>
  <c r="B37" i="3"/>
  <c r="B18" i="33"/>
  <c r="F18"/>
  <c r="B17" i="10"/>
  <c r="B18"/>
  <c r="F19" i="33"/>
  <c r="H28" i="34"/>
  <c r="F26" i="23"/>
  <c r="B38" i="3"/>
  <c r="P38"/>
  <c r="B27" i="4"/>
  <c r="B28" i="34"/>
  <c r="B19" i="33"/>
  <c r="K38" i="2"/>
  <c r="G25" i="35"/>
  <c r="G18" i="10"/>
  <c r="B25" i="35"/>
  <c r="K41" i="5"/>
  <c r="B26" i="23"/>
  <c r="L27" i="4"/>
  <c r="B22" i="8"/>
  <c r="G22"/>
  <c r="B41" i="5"/>
  <c r="B23" i="8"/>
  <c r="K39" i="2"/>
  <c r="K42" i="5"/>
  <c r="B19" i="10"/>
  <c r="F20" i="33"/>
  <c r="P39" i="3"/>
  <c r="B42" i="5"/>
  <c r="F27" i="23"/>
  <c r="B27"/>
  <c r="B39" i="3"/>
  <c r="B28" i="4"/>
  <c r="H29" i="34"/>
  <c r="G23" i="8"/>
  <c r="G26" i="35"/>
  <c r="L28" i="4"/>
  <c r="B26" i="35"/>
  <c r="G19" i="10"/>
  <c r="B20" i="33"/>
  <c r="B29" i="34"/>
  <c r="B28" i="23"/>
  <c r="L29" i="4"/>
  <c r="B40" i="3"/>
  <c r="B24" i="8"/>
  <c r="G20" i="10"/>
  <c r="G24" i="8"/>
  <c r="B43" i="5"/>
  <c r="F28" i="23"/>
  <c r="P40" i="3"/>
  <c r="B20" i="10"/>
  <c r="F21" i="33"/>
  <c r="K43" i="5"/>
  <c r="H30" i="34"/>
  <c r="K40" i="2"/>
  <c r="B30" i="34"/>
  <c r="B21" i="33"/>
  <c r="B27" i="35"/>
  <c r="G27"/>
  <c r="B29" i="4"/>
  <c r="B29" i="23"/>
  <c r="L30" i="4"/>
  <c r="B41" i="3"/>
  <c r="P41"/>
  <c r="B31" i="34"/>
  <c r="G25" i="8"/>
  <c r="B22" i="33"/>
  <c r="B28" i="35"/>
  <c r="B30" i="4"/>
  <c r="B44" i="5"/>
  <c r="G28" i="35"/>
  <c r="F29" i="23"/>
  <c r="G21" i="10"/>
  <c r="H31" i="34"/>
  <c r="B21" i="10"/>
  <c r="F22" i="33"/>
  <c r="K44" i="5"/>
  <c r="B25" i="8"/>
  <c r="K41" i="2"/>
  <c r="B45" i="5"/>
  <c r="B42" i="3"/>
  <c r="B31" i="4"/>
  <c r="B23" i="33"/>
  <c r="F23"/>
  <c r="L31" i="4"/>
  <c r="K42" i="2"/>
  <c r="B22" i="10"/>
  <c r="B36" i="22"/>
  <c r="F36" s="1"/>
  <c r="G26" i="8"/>
  <c r="K45" i="5"/>
  <c r="B30" i="23"/>
  <c r="B32" i="34"/>
  <c r="P42" i="3"/>
  <c r="B29" i="35"/>
  <c r="H32" i="34"/>
  <c r="G29" i="35"/>
  <c r="G22" i="10"/>
  <c r="B26" i="8"/>
  <c r="F30" i="23"/>
  <c r="B27" i="8"/>
  <c r="B31" i="31"/>
  <c r="K46" i="5"/>
  <c r="B46"/>
  <c r="B33" i="34"/>
  <c r="H33"/>
  <c r="G23" i="10"/>
  <c r="L32" i="4"/>
  <c r="K43" i="2"/>
  <c r="B43" i="3"/>
  <c r="B37" i="22"/>
  <c r="F37" s="1"/>
  <c r="P43" i="3"/>
  <c r="G27" i="8"/>
  <c r="B24" i="33"/>
  <c r="F31" i="23"/>
  <c r="B30" i="35"/>
  <c r="B31" i="23"/>
  <c r="B23" i="10"/>
  <c r="G30" i="35"/>
  <c r="G31" i="31"/>
  <c r="B32" i="4"/>
  <c r="F24" i="33"/>
  <c r="A24"/>
  <c r="A30" i="31"/>
  <c r="A34" i="34"/>
  <c r="A25" i="8"/>
  <c r="A46" i="3"/>
  <c r="A33" i="4"/>
  <c r="A31" i="34"/>
  <c r="A26" i="8"/>
  <c r="A27" i="33"/>
  <c r="A32" i="34"/>
  <c r="A22" i="10"/>
  <c r="A43" i="3"/>
  <c r="A33" i="31"/>
  <c r="A33" i="35"/>
  <c r="A23" i="10"/>
  <c r="Y36" i="2"/>
  <c r="Y43"/>
  <c r="Y42"/>
  <c r="L26" i="34"/>
  <c r="L24"/>
  <c r="L29"/>
  <c r="L23"/>
  <c r="L20"/>
  <c r="L21"/>
  <c r="H15" i="23"/>
  <c r="P27" i="2" s="1"/>
  <c r="H24" i="23"/>
  <c r="P36" i="2" s="1"/>
  <c r="D25" i="23"/>
  <c r="H37" i="2" s="1"/>
  <c r="H26" i="23"/>
  <c r="P38" i="2" s="1"/>
  <c r="D15" i="23"/>
  <c r="H27" i="2" s="1"/>
  <c r="H19" i="23"/>
  <c r="P31" i="2" s="1"/>
  <c r="H18" i="23"/>
  <c r="P30" i="2" s="1"/>
  <c r="D20" i="23"/>
  <c r="H32" i="2" s="1"/>
  <c r="D22" i="23"/>
  <c r="H34" i="2" s="1"/>
  <c r="F23" i="34"/>
  <c r="E14" i="31"/>
  <c r="E26" i="2" s="1"/>
  <c r="A37" i="22"/>
  <c r="B44" i="2"/>
  <c r="B45"/>
  <c r="H40" i="5"/>
  <c r="Q36"/>
  <c r="H37"/>
  <c r="Q46"/>
  <c r="H32"/>
  <c r="Q30"/>
  <c r="H29"/>
  <c r="Q33"/>
  <c r="Q38"/>
  <c r="Q34"/>
  <c r="Q29"/>
  <c r="Q45"/>
  <c r="H39"/>
  <c r="Q32"/>
  <c r="H33"/>
  <c r="H35"/>
  <c r="I24" i="35"/>
  <c r="J24" s="1"/>
  <c r="Q35" i="5"/>
  <c r="H31"/>
  <c r="Q41"/>
  <c r="F19" i="34"/>
  <c r="I15" i="35"/>
  <c r="I13"/>
  <c r="I14"/>
  <c r="I21"/>
  <c r="J21" s="1"/>
  <c r="Y31" i="2"/>
  <c r="Y35"/>
  <c r="Y38"/>
  <c r="Y34"/>
  <c r="Y26"/>
  <c r="A38" i="22"/>
  <c r="A33" i="23"/>
  <c r="A35" i="4"/>
  <c r="A32" i="35"/>
  <c r="A21" i="10"/>
  <c r="A45" i="5"/>
  <c r="A24" i="10"/>
  <c r="A44" i="5"/>
  <c r="A36" i="34"/>
  <c r="A39" i="22"/>
  <c r="A29" i="33"/>
  <c r="A33" i="34"/>
  <c r="A28" i="33"/>
  <c r="A32" i="31"/>
  <c r="A31" i="35"/>
  <c r="A41" i="3"/>
  <c r="A30" i="23"/>
  <c r="A44" i="3"/>
  <c r="D20" i="5"/>
  <c r="L25" i="34"/>
  <c r="F33"/>
  <c r="F25"/>
  <c r="F16"/>
  <c r="F17"/>
  <c r="L33"/>
  <c r="L31"/>
  <c r="L32"/>
  <c r="F18"/>
  <c r="B41" i="2"/>
  <c r="B40"/>
  <c r="A28" i="8"/>
  <c r="A29" i="35"/>
  <c r="A29" i="31"/>
  <c r="B42" i="2"/>
  <c r="A32" i="23"/>
  <c r="A46" i="5"/>
  <c r="A25" i="10"/>
  <c r="A31" i="23"/>
  <c r="A49" i="5"/>
  <c r="A45" i="3"/>
  <c r="A26" i="33"/>
  <c r="A34" i="23"/>
  <c r="A48" i="5"/>
  <c r="A32" i="4"/>
  <c r="A27" i="8"/>
  <c r="A36" i="22"/>
  <c r="A35"/>
  <c r="B43" i="2"/>
  <c r="A25" i="33"/>
  <c r="A29" i="23"/>
  <c r="A47" i="5"/>
  <c r="A31" i="4"/>
  <c r="A26" i="10"/>
  <c r="A28" i="35"/>
  <c r="A42" i="3"/>
  <c r="A30" i="8"/>
  <c r="A35" i="34"/>
  <c r="A31" i="31"/>
  <c r="A34" i="4"/>
  <c r="A29" i="8"/>
  <c r="A30" i="35"/>
  <c r="A34" i="31"/>
  <c r="B46" i="2"/>
  <c r="E23" i="5"/>
  <c r="G40" s="1"/>
  <c r="B23"/>
  <c r="M37" s="1"/>
  <c r="G30"/>
  <c r="E20" i="8"/>
  <c r="G36" i="2" s="1"/>
  <c r="J16" i="8"/>
  <c r="O32" i="2" s="1"/>
  <c r="E17" i="8"/>
  <c r="G33" i="2" s="1"/>
  <c r="J18" i="8"/>
  <c r="O34" i="2" s="1"/>
  <c r="J13" i="8"/>
  <c r="O29" i="2" s="1"/>
  <c r="E14" i="8"/>
  <c r="G30" i="2" s="1"/>
  <c r="E10" i="8"/>
  <c r="G26" i="2" s="1"/>
  <c r="J27" i="8"/>
  <c r="O43" i="2" s="1"/>
  <c r="E13" i="8"/>
  <c r="G29" i="2" s="1"/>
  <c r="E16" i="8"/>
  <c r="G32" i="2" s="1"/>
  <c r="E15" i="8"/>
  <c r="G31" i="2" s="1"/>
  <c r="J17" i="8"/>
  <c r="O33" i="2" s="1"/>
  <c r="E19" i="8"/>
  <c r="G35" i="2" s="1"/>
  <c r="E21" i="8"/>
  <c r="G37" i="2" s="1"/>
  <c r="J11" i="8"/>
  <c r="O27" i="2" s="1"/>
  <c r="E27" i="8"/>
  <c r="G43" i="2" s="1"/>
  <c r="E22" i="8"/>
  <c r="G38" i="2" s="1"/>
  <c r="E18" i="8"/>
  <c r="G34" i="2" s="1"/>
  <c r="J22" i="8"/>
  <c r="O38" i="2" s="1"/>
  <c r="J21" i="8"/>
  <c r="O37" i="2" s="1"/>
  <c r="J24" i="8"/>
  <c r="O40" i="2" s="1"/>
  <c r="J25" i="8"/>
  <c r="O41" i="2" s="1"/>
  <c r="J14" i="8"/>
  <c r="O30" i="2" s="1"/>
  <c r="E26" i="8"/>
  <c r="G42" i="2" s="1"/>
  <c r="E25" i="8"/>
  <c r="G41" i="2" s="1"/>
  <c r="J15" i="8"/>
  <c r="O31" i="2" s="1"/>
  <c r="J20" i="8"/>
  <c r="O36" i="2" s="1"/>
  <c r="J10" i="8"/>
  <c r="O26" i="2" s="1"/>
  <c r="E12" i="8"/>
  <c r="G28" i="2" s="1"/>
  <c r="J26" i="8"/>
  <c r="O42" i="2" s="1"/>
  <c r="J23" i="8"/>
  <c r="O39" i="2" s="1"/>
  <c r="E24" i="8"/>
  <c r="G40" i="2" s="1"/>
  <c r="E11" i="8"/>
  <c r="G27" i="2" s="1"/>
  <c r="J12" i="8"/>
  <c r="O28" i="2" s="1"/>
  <c r="E23" i="8"/>
  <c r="G39" i="2" s="1"/>
  <c r="J27" i="31"/>
  <c r="M39" i="2" s="1"/>
  <c r="B20" i="5"/>
  <c r="E20"/>
  <c r="G44"/>
  <c r="G43"/>
  <c r="P41"/>
  <c r="G46"/>
  <c r="P37"/>
  <c r="G33"/>
  <c r="F24" i="34"/>
  <c r="P38" i="5"/>
  <c r="P31"/>
  <c r="P43"/>
  <c r="P35"/>
  <c r="E21" i="31"/>
  <c r="E33" i="2" s="1"/>
  <c r="G36" i="5"/>
  <c r="P46"/>
  <c r="G35"/>
  <c r="P39"/>
  <c r="G29"/>
  <c r="P45"/>
  <c r="F28" i="34"/>
  <c r="G42" i="5"/>
  <c r="G45"/>
  <c r="P33"/>
  <c r="C20"/>
  <c r="M35"/>
  <c r="D43"/>
  <c r="M36"/>
  <c r="D29"/>
  <c r="M31"/>
  <c r="D31"/>
  <c r="M39"/>
  <c r="D34"/>
  <c r="M42"/>
  <c r="D40"/>
  <c r="D36"/>
  <c r="D41"/>
  <c r="M46"/>
  <c r="D45"/>
  <c r="D44"/>
  <c r="M30"/>
  <c r="M34"/>
  <c r="M38"/>
  <c r="D32"/>
  <c r="D46"/>
  <c r="M41"/>
  <c r="M45"/>
  <c r="D42"/>
  <c r="M44"/>
  <c r="J26" i="35"/>
  <c r="E27"/>
  <c r="E24"/>
  <c r="E16"/>
  <c r="E14"/>
  <c r="E15"/>
  <c r="J14"/>
  <c r="J15"/>
  <c r="E18"/>
  <c r="E23"/>
  <c r="E19"/>
  <c r="J18"/>
  <c r="E22"/>
  <c r="E26"/>
  <c r="J19"/>
  <c r="J25"/>
  <c r="E25"/>
  <c r="E17"/>
  <c r="E29"/>
  <c r="J20"/>
  <c r="E28"/>
  <c r="E13"/>
  <c r="J13"/>
  <c r="E20"/>
  <c r="E18" i="31"/>
  <c r="E30" i="2" s="1"/>
  <c r="J21" i="31"/>
  <c r="M33" i="2" s="1"/>
  <c r="J14" i="31"/>
  <c r="M26" i="2" s="1"/>
  <c r="E17" i="31"/>
  <c r="E29" i="2" s="1"/>
  <c r="E27" i="31"/>
  <c r="E39" i="2" s="1"/>
  <c r="E20" i="31"/>
  <c r="E32" i="2" s="1"/>
  <c r="J18" i="31"/>
  <c r="M30" i="2" s="1"/>
  <c r="E22" i="31"/>
  <c r="E34" i="2" s="1"/>
  <c r="E16" i="31"/>
  <c r="E28" i="2" s="1"/>
  <c r="J29" i="31"/>
  <c r="M41" i="2" s="1"/>
  <c r="J30" i="31"/>
  <c r="M42" i="2" s="1"/>
  <c r="J22" i="31"/>
  <c r="M34" i="2" s="1"/>
  <c r="E25" i="31"/>
  <c r="E37" i="2" s="1"/>
  <c r="E19" i="31"/>
  <c r="E31" i="2" s="1"/>
  <c r="J15" i="31"/>
  <c r="M27" i="2" s="1"/>
  <c r="J16" i="31"/>
  <c r="M28" i="2" s="1"/>
  <c r="J25" i="31"/>
  <c r="M37" i="2" s="1"/>
  <c r="J26" i="31"/>
  <c r="M38" i="2" s="1"/>
  <c r="E26" i="31"/>
  <c r="E38" i="2" s="1"/>
  <c r="E30" i="31"/>
  <c r="E42" i="2" s="1"/>
  <c r="E15" i="31"/>
  <c r="E27" i="2" s="1"/>
  <c r="J19" i="31"/>
  <c r="M31" i="2" s="1"/>
  <c r="J23" i="31"/>
  <c r="M35" i="2" s="1"/>
  <c r="E24" i="31"/>
  <c r="E36" i="2" s="1"/>
  <c r="E29" i="31"/>
  <c r="E41" i="2" s="1"/>
  <c r="J31" i="31"/>
  <c r="M43" i="2" s="1"/>
  <c r="E28" i="31"/>
  <c r="E40" i="2" s="1"/>
  <c r="D39" i="5"/>
  <c r="D38"/>
  <c r="D37"/>
  <c r="M40"/>
  <c r="J28" i="31"/>
  <c r="M40" i="2" s="1"/>
  <c r="E31" i="31"/>
  <c r="E43" i="2" s="1"/>
  <c r="D30" i="5"/>
  <c r="D35"/>
  <c r="M32"/>
  <c r="M33"/>
  <c r="J24" i="31"/>
  <c r="M36" i="2" s="1"/>
  <c r="J20" i="31"/>
  <c r="M32" i="2" s="1"/>
  <c r="M29" i="5"/>
  <c r="D33"/>
  <c r="M43"/>
  <c r="E21" i="35"/>
  <c r="J17" i="31"/>
  <c r="M29" i="2" s="1"/>
  <c r="E23" i="31"/>
  <c r="E35" i="2" s="1"/>
  <c r="G37" i="5"/>
  <c r="P30"/>
  <c r="P42"/>
  <c r="G39"/>
  <c r="G31"/>
  <c r="P36"/>
  <c r="G41"/>
  <c r="P29"/>
  <c r="G32"/>
  <c r="D28" i="23"/>
  <c r="H40" i="2" s="1"/>
  <c r="D24" i="23"/>
  <c r="H36" i="2" s="1"/>
  <c r="H17" i="23"/>
  <c r="P29" i="2" s="1"/>
  <c r="H25" i="23"/>
  <c r="P37" i="2" s="1"/>
  <c r="H21" i="23"/>
  <c r="P33" i="2" s="1"/>
  <c r="H14" i="23"/>
  <c r="P26" i="2" s="1"/>
  <c r="H28" i="23"/>
  <c r="P40" i="2" s="1"/>
  <c r="D18" i="23"/>
  <c r="H30" i="2" s="1"/>
  <c r="H30" i="23"/>
  <c r="P42" i="2" s="1"/>
  <c r="D31" i="23"/>
  <c r="H43" i="2" s="1"/>
  <c r="D23" i="23"/>
  <c r="H35" i="2" s="1"/>
  <c r="H22" i="23"/>
  <c r="P34" i="2" s="1"/>
  <c r="H31" i="23"/>
  <c r="P43" i="2" s="1"/>
  <c r="H20" i="23"/>
  <c r="P32" i="2" s="1"/>
  <c r="H16" i="23"/>
  <c r="P28" i="2" s="1"/>
  <c r="D26" i="23"/>
  <c r="H38" i="2" s="1"/>
  <c r="D30" i="23"/>
  <c r="H42" i="2" s="1"/>
  <c r="H23" i="23"/>
  <c r="P35" i="2" s="1"/>
  <c r="D29" i="23"/>
  <c r="H41" i="2" s="1"/>
  <c r="D27" i="23"/>
  <c r="H39" i="2" s="1"/>
  <c r="H27" i="23"/>
  <c r="P39" i="2" s="1"/>
  <c r="D17" i="23"/>
  <c r="H29" i="2" s="1"/>
  <c r="D21" i="23"/>
  <c r="H33" i="2" s="1"/>
  <c r="D14" i="23"/>
  <c r="H26" i="2" s="1"/>
  <c r="D19" i="23"/>
  <c r="H31" i="2"/>
  <c r="D16" i="23"/>
  <c r="H28" i="2"/>
  <c r="H29" i="23"/>
  <c r="P41" i="2"/>
  <c r="P44" i="5"/>
  <c r="G34"/>
  <c r="G38"/>
  <c r="P34"/>
  <c r="P40"/>
  <c r="Q39"/>
  <c r="H46"/>
  <c r="Q40"/>
  <c r="H38"/>
  <c r="Q31"/>
  <c r="H30"/>
  <c r="H36"/>
  <c r="H44"/>
  <c r="Q43"/>
  <c r="H34"/>
  <c r="Q42"/>
  <c r="H45"/>
  <c r="Q44"/>
  <c r="H43"/>
  <c r="H41"/>
  <c r="H42"/>
  <c r="Q37"/>
  <c r="E33" l="1"/>
  <c r="N46"/>
  <c r="E42"/>
  <c r="E38"/>
  <c r="N36"/>
  <c r="E44"/>
  <c r="N43"/>
  <c r="N45"/>
  <c r="E45"/>
  <c r="N38"/>
  <c r="N37"/>
  <c r="E29"/>
  <c r="E30"/>
  <c r="E43"/>
  <c r="E35"/>
  <c r="E46"/>
  <c r="N35"/>
  <c r="N34"/>
  <c r="N42"/>
  <c r="N39"/>
  <c r="N40"/>
  <c r="N32"/>
  <c r="E37"/>
  <c r="N33"/>
  <c r="N29"/>
  <c r="N30"/>
  <c r="N44"/>
  <c r="E34"/>
  <c r="E39"/>
  <c r="E40"/>
  <c r="E31"/>
  <c r="E32"/>
  <c r="N31"/>
  <c r="N41"/>
  <c r="E41"/>
  <c r="E36"/>
  <c r="J29" i="35"/>
  <c r="J22"/>
  <c r="J17"/>
  <c r="Y32" i="2"/>
  <c r="P32" i="5"/>
  <c r="D18" i="3"/>
  <c r="J30" i="35"/>
  <c r="J28"/>
  <c r="J23"/>
  <c r="J16"/>
  <c r="L16" i="34"/>
  <c r="Y41" i="2"/>
  <c r="Y29"/>
  <c r="Y27"/>
  <c r="O45" i="5"/>
  <c r="F32"/>
  <c r="O34"/>
  <c r="F46"/>
  <c r="I46" s="1"/>
  <c r="F40"/>
  <c r="O36"/>
  <c r="R36" s="1"/>
  <c r="N33" i="2" s="1"/>
  <c r="F45" i="5"/>
  <c r="F36"/>
  <c r="I36" s="1"/>
  <c r="F33" i="2" s="1"/>
  <c r="F37" i="5"/>
  <c r="O33"/>
  <c r="R33" s="1"/>
  <c r="N30" i="2" s="1"/>
  <c r="F41" i="5"/>
  <c r="F29"/>
  <c r="I29" s="1"/>
  <c r="F26" i="2" s="1"/>
  <c r="O38" i="5"/>
  <c r="F38"/>
  <c r="O30"/>
  <c r="F33"/>
  <c r="O46"/>
  <c r="F30"/>
  <c r="O39"/>
  <c r="O44"/>
  <c r="R44" s="1"/>
  <c r="N41" i="2" s="1"/>
  <c r="F34" i="5"/>
  <c r="F44"/>
  <c r="I44" s="1"/>
  <c r="F43"/>
  <c r="R45"/>
  <c r="N42" i="2" s="1"/>
  <c r="O37" i="5"/>
  <c r="O43"/>
  <c r="R43" s="1"/>
  <c r="F39"/>
  <c r="I39" s="1"/>
  <c r="F35"/>
  <c r="F31"/>
  <c r="I31" s="1"/>
  <c r="F28" i="2" s="1"/>
  <c r="O29" i="5"/>
  <c r="R29" s="1"/>
  <c r="N26" i="2" s="1"/>
  <c r="O31" i="5"/>
  <c r="O40"/>
  <c r="R40" s="1"/>
  <c r="O41"/>
  <c r="O35"/>
  <c r="O42"/>
  <c r="R42" s="1"/>
  <c r="N39" i="2" s="1"/>
  <c r="F42" i="5"/>
  <c r="I42" s="1"/>
  <c r="O32"/>
  <c r="R32" s="1"/>
  <c r="I41"/>
  <c r="F38" i="2" s="1"/>
  <c r="R41" i="5"/>
  <c r="I32"/>
  <c r="F29" i="2" s="1"/>
  <c r="R46" i="5"/>
  <c r="N43" i="2" s="1"/>
  <c r="R39" i="5"/>
  <c r="N36" i="2" s="1"/>
  <c r="R31" i="5"/>
  <c r="R35"/>
  <c r="AB31" i="3"/>
  <c r="L31" i="2" s="1"/>
  <c r="N38" i="3"/>
  <c r="D38" i="2" s="1"/>
  <c r="AB28" i="3"/>
  <c r="L28" i="2" s="1"/>
  <c r="N40" i="3"/>
  <c r="D40" i="2" s="1"/>
  <c r="AB33" i="3"/>
  <c r="L33" i="2" s="1"/>
  <c r="Q33" s="1"/>
  <c r="AB35" i="3"/>
  <c r="L35" i="2" s="1"/>
  <c r="N26" i="3"/>
  <c r="D26" i="2" s="1"/>
  <c r="N32" i="3"/>
  <c r="D32" i="2" s="1"/>
  <c r="N27" i="3"/>
  <c r="D27" i="2" s="1"/>
  <c r="AB36" i="3"/>
  <c r="L36" i="2" s="1"/>
  <c r="N43" i="3"/>
  <c r="D43" i="2" s="1"/>
  <c r="AB32" i="3"/>
  <c r="L32" i="2" s="1"/>
  <c r="AB41" i="3"/>
  <c r="L41" i="2" s="1"/>
  <c r="N30" i="3"/>
  <c r="D30" i="2" s="1"/>
  <c r="N28" i="3"/>
  <c r="D28" i="2" s="1"/>
  <c r="I28" s="1"/>
  <c r="N35" i="3"/>
  <c r="D35" i="2" s="1"/>
  <c r="AB37" i="3"/>
  <c r="L37" i="2" s="1"/>
  <c r="AB39" i="3"/>
  <c r="L39" i="2" s="1"/>
  <c r="Q39" s="1"/>
  <c r="N39" i="3"/>
  <c r="D39" i="2" s="1"/>
  <c r="N42" i="3"/>
  <c r="D42" i="2" s="1"/>
  <c r="N37" i="3"/>
  <c r="D37" i="2" s="1"/>
  <c r="AB26" i="3"/>
  <c r="L26" i="2" s="1"/>
  <c r="N41" i="3"/>
  <c r="D41" i="2" s="1"/>
  <c r="AB30" i="3"/>
  <c r="L30" i="2" s="1"/>
  <c r="Q30" s="1"/>
  <c r="N33" i="3"/>
  <c r="D33" i="2" s="1"/>
  <c r="AB38" i="3"/>
  <c r="L38" i="2" s="1"/>
  <c r="AB43" i="3"/>
  <c r="L43" i="2" s="1"/>
  <c r="Q43" s="1"/>
  <c r="N34" i="3"/>
  <c r="D34" i="2" s="1"/>
  <c r="AB29" i="3"/>
  <c r="L29" i="2" s="1"/>
  <c r="AB27" i="3"/>
  <c r="L27" i="2" s="1"/>
  <c r="N36" i="3"/>
  <c r="D36" i="2" s="1"/>
  <c r="AB34" i="3"/>
  <c r="L34" i="2" s="1"/>
  <c r="AB42" i="3"/>
  <c r="L42" i="2" s="1"/>
  <c r="Q42" s="1"/>
  <c r="N29" i="3"/>
  <c r="D29" i="2" s="1"/>
  <c r="I29" s="1"/>
  <c r="N31" i="3"/>
  <c r="D31" i="2" s="1"/>
  <c r="AB40" i="3"/>
  <c r="L40" i="2" s="1"/>
  <c r="I33" i="5"/>
  <c r="I35"/>
  <c r="I37"/>
  <c r="F34" i="2" s="1"/>
  <c r="I30" i="5"/>
  <c r="F27" i="2" s="1"/>
  <c r="R37" i="5"/>
  <c r="N34" i="2" s="1"/>
  <c r="R38" i="5"/>
  <c r="N35" i="2" s="1"/>
  <c r="I45" i="5"/>
  <c r="I38"/>
  <c r="F35" i="2" s="1"/>
  <c r="Y44"/>
  <c r="E18" s="1"/>
  <c r="L22" i="34"/>
  <c r="F30"/>
  <c r="L19"/>
  <c r="F27"/>
  <c r="F29"/>
  <c r="F39" i="2" s="1"/>
  <c r="E30" i="35"/>
  <c r="L28" i="34"/>
  <c r="F21"/>
  <c r="F31"/>
  <c r="L30"/>
  <c r="F22"/>
  <c r="F32" i="2" s="1"/>
  <c r="L17" i="34"/>
  <c r="L27"/>
  <c r="F32"/>
  <c r="F42" i="2" s="1"/>
  <c r="F26" i="34"/>
  <c r="F36" i="2" s="1"/>
  <c r="L18" i="34"/>
  <c r="F20"/>
  <c r="F30" i="2" l="1"/>
  <c r="F41"/>
  <c r="Q36"/>
  <c r="I38"/>
  <c r="I43" i="5"/>
  <c r="I34"/>
  <c r="R30"/>
  <c r="I40"/>
  <c r="F37" i="2" s="1"/>
  <c r="I37" s="1"/>
  <c r="R34" i="5"/>
  <c r="N31" i="2" s="1"/>
  <c r="F31"/>
  <c r="F40"/>
  <c r="I33"/>
  <c r="S33" s="1"/>
  <c r="AA33" s="1"/>
  <c r="I26"/>
  <c r="Q31"/>
  <c r="N37"/>
  <c r="I31"/>
  <c r="S31" s="1"/>
  <c r="AA31" s="1"/>
  <c r="I36"/>
  <c r="S36" s="1"/>
  <c r="AA36" s="1"/>
  <c r="I41"/>
  <c r="I39"/>
  <c r="S39" s="1"/>
  <c r="AA39" s="1"/>
  <c r="Q37"/>
  <c r="Q41"/>
  <c r="I27"/>
  <c r="N32"/>
  <c r="Q32" s="1"/>
  <c r="N40"/>
  <c r="N27"/>
  <c r="Q27" s="1"/>
  <c r="Q40"/>
  <c r="Q34"/>
  <c r="I34"/>
  <c r="Q26"/>
  <c r="S26" s="1"/>
  <c r="I42"/>
  <c r="S42" s="1"/>
  <c r="AA42" s="1"/>
  <c r="I35"/>
  <c r="I30"/>
  <c r="S30" s="1"/>
  <c r="AA30" s="1"/>
  <c r="I32"/>
  <c r="Q35"/>
  <c r="I40"/>
  <c r="S40" s="1"/>
  <c r="AA40" s="1"/>
  <c r="N28"/>
  <c r="Q28" s="1"/>
  <c r="S28" s="1"/>
  <c r="AA28" s="1"/>
  <c r="N38"/>
  <c r="Q38" s="1"/>
  <c r="S38" s="1"/>
  <c r="AA38" s="1"/>
  <c r="N29"/>
  <c r="Q29" s="1"/>
  <c r="S29" s="1"/>
  <c r="AA29" s="1"/>
  <c r="F43"/>
  <c r="I43" s="1"/>
  <c r="S43" s="1"/>
  <c r="AA43" s="1"/>
  <c r="S34" l="1"/>
  <c r="AA34" s="1"/>
  <c r="S41"/>
  <c r="AA41" s="1"/>
  <c r="S32"/>
  <c r="AA32" s="1"/>
  <c r="S35"/>
  <c r="AA35" s="1"/>
  <c r="S27"/>
  <c r="AA27" s="1"/>
  <c r="S37"/>
  <c r="AA37" s="1"/>
  <c r="AA26"/>
  <c r="AA44" l="1"/>
  <c r="E19" s="1"/>
  <c r="S44"/>
  <c r="E17" s="1"/>
  <c r="E20" s="1"/>
</calcChain>
</file>

<file path=xl/sharedStrings.xml><?xml version="1.0" encoding="utf-8"?>
<sst xmlns="http://schemas.openxmlformats.org/spreadsheetml/2006/main" count="500" uniqueCount="295">
  <si>
    <t>Year</t>
  </si>
  <si>
    <t>DO NOTHING</t>
  </si>
  <si>
    <t>DO SOMETHING</t>
  </si>
  <si>
    <t>CONSTRUCTION AND OPERATING COSTS</t>
  </si>
  <si>
    <t>Total benefit (discounted) (=DN impact minus DS impact)</t>
  </si>
  <si>
    <t>Value of travel time on the network, per year</t>
  </si>
  <si>
    <t>Vehicle operating cost on the network, per year</t>
  </si>
  <si>
    <t>Value of air pollution on the network, per year</t>
  </si>
  <si>
    <t>Net present value (total benefits minus total costs)</t>
  </si>
  <si>
    <t>Average vehicle occupancy</t>
  </si>
  <si>
    <t>Annualisation factor</t>
  </si>
  <si>
    <t>Country</t>
  </si>
  <si>
    <t>Discount rate</t>
  </si>
  <si>
    <t>Currency rates: 2013, M1, table values rounded</t>
  </si>
  <si>
    <t>SEK</t>
  </si>
  <si>
    <t>EURg</t>
  </si>
  <si>
    <t>EURs</t>
  </si>
  <si>
    <t>PLN</t>
  </si>
  <si>
    <t>HRK</t>
  </si>
  <si>
    <t>Currency rates</t>
  </si>
  <si>
    <t>Converter</t>
  </si>
  <si>
    <t>GDP per capita in PPS, index</t>
  </si>
  <si>
    <t>PPS</t>
  </si>
  <si>
    <t/>
  </si>
  <si>
    <t>Adjusted currency rates</t>
  </si>
  <si>
    <t>Period</t>
  </si>
  <si>
    <t>type</t>
  </si>
  <si>
    <t>year</t>
  </si>
  <si>
    <t>minor measures</t>
  </si>
  <si>
    <t>buses</t>
  </si>
  <si>
    <t>minor infrastructure</t>
  </si>
  <si>
    <t>larger infrastructure</t>
  </si>
  <si>
    <t>Time value</t>
  </si>
  <si>
    <t>SEK/h</t>
  </si>
  <si>
    <t>EURg/h</t>
  </si>
  <si>
    <t>EURs/h</t>
  </si>
  <si>
    <t>PLN/h</t>
  </si>
  <si>
    <t>HRK/h</t>
  </si>
  <si>
    <t>car</t>
  </si>
  <si>
    <t>bus ride</t>
  </si>
  <si>
    <t>bus, wait</t>
  </si>
  <si>
    <t>bus, change</t>
  </si>
  <si>
    <t>bike, mix</t>
  </si>
  <si>
    <t>bike, sep lane</t>
  </si>
  <si>
    <t>walk</t>
  </si>
  <si>
    <t>walk, poor env</t>
  </si>
  <si>
    <t>Traffic safety</t>
  </si>
  <si>
    <t>fatality</t>
  </si>
  <si>
    <t>severe inj</t>
  </si>
  <si>
    <t>minor inj</t>
  </si>
  <si>
    <t>property</t>
  </si>
  <si>
    <t>bicyclist acc value</t>
  </si>
  <si>
    <t xml:space="preserve">risk, acc./mill. km </t>
  </si>
  <si>
    <t>Reduction, mix to sep. lane</t>
  </si>
  <si>
    <t>pedestrian acc value</t>
  </si>
  <si>
    <t>Reduction, street to ped zone</t>
  </si>
  <si>
    <t>Noise</t>
  </si>
  <si>
    <t>eqv level, dB(a)</t>
  </si>
  <si>
    <t>SEK/person</t>
  </si>
  <si>
    <t>EURg/person</t>
  </si>
  <si>
    <t>EURs/person</t>
  </si>
  <si>
    <t>PLN/person</t>
  </si>
  <si>
    <t>HRK/person</t>
  </si>
  <si>
    <t>Emissions</t>
  </si>
  <si>
    <t>situation</t>
  </si>
  <si>
    <t>SEK/kg</t>
  </si>
  <si>
    <t>EURg/kg</t>
  </si>
  <si>
    <t>EURs/kg</t>
  </si>
  <si>
    <t>PLN/kg</t>
  </si>
  <si>
    <t>HRK/kg</t>
  </si>
  <si>
    <t>Particles</t>
  </si>
  <si>
    <t>Large city, city centre</t>
  </si>
  <si>
    <t>Large city, suburb</t>
  </si>
  <si>
    <t>Mids-sized city</t>
  </si>
  <si>
    <t>Small city</t>
  </si>
  <si>
    <t>VOC/HC</t>
  </si>
  <si>
    <t>SO2</t>
  </si>
  <si>
    <t>NOX</t>
  </si>
  <si>
    <t>CO2</t>
  </si>
  <si>
    <t>short term</t>
  </si>
  <si>
    <t>long term</t>
  </si>
  <si>
    <t>Germany</t>
  </si>
  <si>
    <t>Spain</t>
  </si>
  <si>
    <t>Poland</t>
  </si>
  <si>
    <t>Croatia</t>
  </si>
  <si>
    <t>Value of noise on the network, per year</t>
  </si>
  <si>
    <t>User charges (usually fares but could be parking income)</t>
  </si>
  <si>
    <t xml:space="preserve">Bus </t>
  </si>
  <si>
    <t>Bus</t>
  </si>
  <si>
    <t>Bike</t>
  </si>
  <si>
    <t>Car</t>
  </si>
  <si>
    <t>Walk</t>
  </si>
  <si>
    <t>Pedestrians</t>
  </si>
  <si>
    <t>Bikes</t>
  </si>
  <si>
    <t>Cars</t>
  </si>
  <si>
    <t>Pedestrians per day (affected by the measure)</t>
  </si>
  <si>
    <t>Bikes per day (affected by the measure)</t>
  </si>
  <si>
    <t>Cars per day (affected by the measure)</t>
  </si>
  <si>
    <t>Size of city</t>
  </si>
  <si>
    <t>Total costs (discounted)</t>
  </si>
  <si>
    <t>Large city, average</t>
  </si>
  <si>
    <t>Hydrocarbons</t>
  </si>
  <si>
    <t>NOx</t>
  </si>
  <si>
    <t>Situation</t>
  </si>
  <si>
    <t>TAG unit The Accidents Sub-Objective page 3 average casualties total value</t>
  </si>
  <si>
    <t>Number of accidents on network per year</t>
  </si>
  <si>
    <t>Total cost</t>
  </si>
  <si>
    <t>Total benefit</t>
  </si>
  <si>
    <t>Total value of health</t>
  </si>
  <si>
    <t>Total operating costs per year</t>
  </si>
  <si>
    <t xml:space="preserve">Value of noise on the network per year </t>
  </si>
  <si>
    <t>Distance travelled per vehicle per year</t>
  </si>
  <si>
    <t>Number of vehicles (being replaced)</t>
  </si>
  <si>
    <t>We at Lund will advise you on how to do this if you think this is a significant impact for your meaure.</t>
  </si>
  <si>
    <t>Indata</t>
  </si>
  <si>
    <t>Size of city (population)</t>
  </si>
  <si>
    <t>PPS 2012</t>
  </si>
  <si>
    <t>GBP</t>
  </si>
  <si>
    <t>Type</t>
  </si>
  <si>
    <t>Average value of prevention per casualty (2010 values and prices)</t>
  </si>
  <si>
    <t>Ticket income (or parking income) on the network, per year</t>
  </si>
  <si>
    <t>Bus ride</t>
  </si>
  <si>
    <t>Bus, wait</t>
  </si>
  <si>
    <t>Bus, change</t>
  </si>
  <si>
    <t>Bike, mix</t>
  </si>
  <si>
    <t>Bike, sep lane</t>
  </si>
  <si>
    <t>Walk, poor env</t>
  </si>
  <si>
    <t>Total operating cost</t>
  </si>
  <si>
    <t>Net Present Value</t>
  </si>
  <si>
    <t>Benefit-Cost Ratio</t>
  </si>
  <si>
    <t>Mode</t>
  </si>
  <si>
    <t>Travel time on link or network per pedestrian, minutes (that is affected by measure)</t>
  </si>
  <si>
    <t>Travel time on link or network per car occupant minutes (that is affected by measure)</t>
  </si>
  <si>
    <t>source from Tom 2009 value</t>
  </si>
  <si>
    <t>GBP/km</t>
  </si>
  <si>
    <t>EURg/km</t>
  </si>
  <si>
    <t>PLN/km</t>
  </si>
  <si>
    <t>HRK/km</t>
  </si>
  <si>
    <t>EURs/km</t>
  </si>
  <si>
    <t>Fuel consumption per day</t>
  </si>
  <si>
    <t>https://www.gov.uk/government/uploads/system/uploads/attachment_data/file/51151/msb-technical-report.pdf</t>
  </si>
  <si>
    <t>EURg/vehicle km</t>
  </si>
  <si>
    <t>EURs/vehicle km</t>
  </si>
  <si>
    <t>PLN/vehicle km</t>
  </si>
  <si>
    <t>HRK/vehicle km</t>
  </si>
  <si>
    <t>GBP/lorry mile</t>
  </si>
  <si>
    <t>Table 7a, page 43</t>
  </si>
  <si>
    <t>Vehicle km on the network per day</t>
  </si>
  <si>
    <t>Year number</t>
  </si>
  <si>
    <t>Value of pollution per lorry mile</t>
  </si>
  <si>
    <t>Value of local air quality per car km</t>
  </si>
  <si>
    <t>http://www.dft.gov.uk/webtag/documents/archive/1208/unit3.9.5.pdf</t>
  </si>
  <si>
    <t>Page 11, Table A1</t>
  </si>
  <si>
    <t>Fuel consumption per year</t>
  </si>
  <si>
    <t>New vehicles, emission factor  (g/litre)</t>
  </si>
  <si>
    <t>Old vehicles, emission factor (g/litre)</t>
  </si>
  <si>
    <t>Value of particles emitted per year</t>
  </si>
  <si>
    <t>Value of SO2 emitted per year</t>
  </si>
  <si>
    <t>Value of hydrocarbons emitted per year</t>
  </si>
  <si>
    <t>Value of NOx emitted per year</t>
  </si>
  <si>
    <t>Value of CO2 emitted per year</t>
  </si>
  <si>
    <r>
      <t xml:space="preserve">Total value of </t>
    </r>
    <r>
      <rPr>
        <sz val="11"/>
        <rFont val="Calibri"/>
        <family val="2"/>
      </rPr>
      <t>local air quality</t>
    </r>
    <r>
      <rPr>
        <sz val="11"/>
        <color theme="1"/>
        <rFont val="Calibri"/>
        <family val="2"/>
        <scheme val="minor"/>
      </rPr>
      <t xml:space="preserve"> per year</t>
    </r>
  </si>
  <si>
    <t>Operating costs for cars per km</t>
  </si>
  <si>
    <t>http://www.theaa.com/resources/Documents/pdf/motoring-advice/running-costs/petrol2013.pdf</t>
  </si>
  <si>
    <t>Only running costs, median for normal priced cars</t>
  </si>
  <si>
    <t>Value of pollution per lorry km</t>
  </si>
  <si>
    <t>PT vehicle km per day</t>
  </si>
  <si>
    <t>USD</t>
  </si>
  <si>
    <t>Non-GHG Air Pollution Costs (per vehicle km)</t>
  </si>
  <si>
    <t>http://www.vtpi.org/tca/tca0510.pdf</t>
  </si>
  <si>
    <t>Table 5.10.7-1 p 27</t>
  </si>
  <si>
    <t>Value of accidents on the network, per year</t>
  </si>
  <si>
    <t>Total value of DN impacts  (discounted)</t>
  </si>
  <si>
    <t>Total value of DS impacts (discounted)</t>
  </si>
  <si>
    <t>TOTAL BENEFIT</t>
  </si>
  <si>
    <t>TOTAL COST</t>
  </si>
  <si>
    <r>
      <t xml:space="preserve">Total value of </t>
    </r>
    <r>
      <rPr>
        <sz val="11"/>
        <rFont val="Calibri"/>
        <family val="2"/>
      </rPr>
      <t>pollutants</t>
    </r>
    <r>
      <rPr>
        <sz val="11"/>
        <color theme="1"/>
        <rFont val="Calibri"/>
        <family val="2"/>
        <scheme val="minor"/>
      </rPr>
      <t xml:space="preserve"> per year</t>
    </r>
  </si>
  <si>
    <t>Value of emission</t>
  </si>
  <si>
    <t>Value of pollution (Non-GHG) per PT-vehicle km</t>
  </si>
  <si>
    <t>Outcome</t>
  </si>
  <si>
    <t>Enter data only in yellow cells.</t>
  </si>
  <si>
    <t>Ticket income is the money that for example the bus company receives from passengers, or the parking company receives from people paying for parking.</t>
  </si>
  <si>
    <t>User charges are the same - the money that passengers pay to buy tickets or parking tickets.</t>
  </si>
  <si>
    <t>If you think that the measure does not affect ticket income or parking income, do not fill anything in on this sheet.</t>
  </si>
  <si>
    <t>Car (variable only)</t>
  </si>
  <si>
    <t>Small truck</t>
  </si>
  <si>
    <t>Trucks</t>
  </si>
  <si>
    <t>Small</t>
  </si>
  <si>
    <t>Big</t>
  </si>
  <si>
    <t>Miles/day</t>
  </si>
  <si>
    <t>Variable cost/mile</t>
  </si>
  <si>
    <t>Fixed cost/day</t>
  </si>
  <si>
    <t>Cost/km</t>
  </si>
  <si>
    <t>Big truck</t>
  </si>
  <si>
    <t>% urb traffic</t>
  </si>
  <si>
    <t>Billion km urban roads UK</t>
  </si>
  <si>
    <t>UK pence/km</t>
  </si>
  <si>
    <t>Sources - Transport Statistics Great Britain</t>
  </si>
  <si>
    <t>Weighted average op cost per veh km, urban main roads</t>
  </si>
  <si>
    <t>These are the monetary values used for all the different impacts in the spreadsheet, converted to local currency and purchasing power.  Only enter different values if you are SURE that you have better ones - consult Lund first.</t>
  </si>
  <si>
    <t>Only fill in this sheet if there are more or fewer vehicle km by OTHER private vehicles (other than those that are themselves part of the measure (e.g. New rubbish trucks or buses)) on the network (e.g. If new bus lane leads to re-routeing of car traffic)</t>
  </si>
  <si>
    <t>Hidden cells, L-O</t>
  </si>
  <si>
    <t>Car km on the network per day</t>
  </si>
  <si>
    <t>Total vehicle km on the network per day</t>
  </si>
  <si>
    <t>If you use the other sheet  'Op cost NO New Vehicles', please leave this sheet blank, so it does not affect the outcome of the CBA.</t>
  </si>
  <si>
    <t>Travel time on link or network per cyclist, minutes</t>
  </si>
  <si>
    <t>Travel time on link or network per bus, minutes (that is affected by measure)</t>
  </si>
  <si>
    <t>Starting year</t>
  </si>
  <si>
    <t>Average value of time (per hour)</t>
  </si>
  <si>
    <t>Total value of time on network per year</t>
  </si>
  <si>
    <t>Fuel cost per km (excluding VAT)</t>
  </si>
  <si>
    <t>Tyre cost per km (excluding VAT)</t>
  </si>
  <si>
    <t>Maintenance cost per km (excluding VAT)</t>
  </si>
  <si>
    <t>Oil cost per km (excluding VAT)</t>
  </si>
  <si>
    <t>Insurance cost per km (excluding VAT)</t>
  </si>
  <si>
    <t xml:space="preserve">For some measures the DO NOTHING option might be actually be a DO MINIMUM option. So for example if you would have introduced Euro 5 buses without CIVITAS, but CNG with CIVITAS, then for the DO NOTHING you should enter the investment and operating cost for the Euro 5 buses from the year you would have introduced them. For the DO SOMETHING you should enter the investment and operating cost for CNG from the year that you would have introduced them. </t>
  </si>
  <si>
    <t>The BC-ratio should be positive. If not, contact Lund.</t>
  </si>
  <si>
    <t>The total cost should be positive. If not, contact Lund.</t>
  </si>
  <si>
    <t>Blue cells are calculations in the main sheet and outcome of the CBA</t>
  </si>
  <si>
    <t>Finishing year</t>
  </si>
  <si>
    <t>Brown cells are input values that you should not change</t>
  </si>
  <si>
    <t>1. Enter your country, the spreadsheet. The CBA automatically uses values converted to your currency and purchasing power.</t>
  </si>
  <si>
    <t>2. Enter size of city</t>
  </si>
  <si>
    <t>How does the spreadsheet (CBA) work?</t>
  </si>
  <si>
    <t>3. Enter starting year (the year the measure is implemented)</t>
  </si>
  <si>
    <t xml:space="preserve">All other data should be input under the sheet for each impact. The cells marked in yellow are for input data.  If you don't have data for each impact, please leave the cell and sheet empty. </t>
  </si>
  <si>
    <t>OBS! It is only the operating cost for the infrastructure, not for the vehicles, that you should enter here.</t>
  </si>
  <si>
    <t>INVESTMENT AND OPERATING COSTS OF THE MEASURE</t>
  </si>
  <si>
    <t>What is the investment cost?</t>
  </si>
  <si>
    <t>What is the operating cost?</t>
  </si>
  <si>
    <t>Operating costs will of course be incurred every year.  You should enter herethe operating cost of the infrastructure. Vehicle operating costs will be enter in another sheet, 'Op cost new vehicles' and 'Op cost other vehicles'. However if you are leasing vehicles or infrastructure, show this as an operating cost on this sheet. If you are unsure, consult Lund.</t>
  </si>
  <si>
    <t>What is the investment in the DO NOTHING option?</t>
  </si>
  <si>
    <t>1. Enter the investment cost for both DO NOTHING and DO SOMETHING.</t>
  </si>
  <si>
    <t>2. Enter operating costs for borth options</t>
  </si>
  <si>
    <r>
      <rPr>
        <sz val="11"/>
        <color indexed="8"/>
        <rFont val="Calibri"/>
        <family val="2"/>
      </rPr>
      <t>OBS! Remember to exclude VAT from all costs.</t>
    </r>
  </si>
  <si>
    <t>Another example would be if the DO SOMETHING is to convert a 4-lane city street to a 2-lane + 2 bus lane street. Then you have an investment and operating cost for the DO SOMETHING, but you also have an operating cost for the DO NOTHING, that is the maintaining cost for the 4-lane street.</t>
  </si>
  <si>
    <t>Step by step instructions for this sheet:</t>
  </si>
  <si>
    <t>Step by step instructions for this sheet</t>
  </si>
  <si>
    <t>Where can I see the results from the CBA?</t>
  </si>
  <si>
    <t xml:space="preserve">Orange cells are inputs to the main calculation sheet from calculations on the other sheets.  </t>
  </si>
  <si>
    <t>Please , for the area that you consider to be affected by the measure.  For example, a tram scheme would affect travel time over a whole city (network).  A new pedestrian crossing would affect travel times only on a single road (link), for vehicles, and for pedestrians crossing that road.  Some measures e.g. clean fuelled vehicles are unlikely to affect travel times at all so in this case you do not need to fill in this sheet.</t>
  </si>
  <si>
    <t>Public Transport</t>
  </si>
  <si>
    <t>Vehicles per day (affected by the measure)</t>
  </si>
  <si>
    <t>1. Enter the number users of each mode</t>
  </si>
  <si>
    <t>3. Enter the average vehicle occupancy for public transport and car</t>
  </si>
  <si>
    <t>OBS! Only enter data between the starting year and finishing year.</t>
  </si>
  <si>
    <t>VALUE OF TIME</t>
  </si>
  <si>
    <t>OBS! All costs should be excluiding VAT to be comparable to the monetary values.</t>
  </si>
  <si>
    <t>OPERATING COST - NEW PUBLIC VEHICLES</t>
  </si>
  <si>
    <t>OPERATING COST - NO NEW VEHICLES</t>
  </si>
  <si>
    <t>1. Enter the total vehicle distance per day on the network for all vehicles.</t>
  </si>
  <si>
    <t>When should I fill in this sheet?</t>
  </si>
  <si>
    <t>OBS! If you have actual data for the proportion of total traffic on your network that is bus, car and truck, consult with Lund</t>
  </si>
  <si>
    <t>POLLUTANTS - NEW VEHICLES</t>
  </si>
  <si>
    <t>What do I do if I do not have all the data for this sheet?</t>
  </si>
  <si>
    <t>1. Enter the emission factors for the new vehicles (the manufacturer should be able to provide these numbers)</t>
  </si>
  <si>
    <t>2. Enter the emission factors for the old vehicles</t>
  </si>
  <si>
    <t>3. Enter the fuel consumption per year in for both DN and DS.</t>
  </si>
  <si>
    <t>If you do not know the emissions factors for the old vehicles you can consult Lund. Also, if you have the emission factors in a different unit than g/litre you can contact Lund for guidance. If the new vehicles are electric then you need to know the KWh used by new vehicles for a given period e.g. day, year.</t>
  </si>
  <si>
    <t>This sheet relates to the new vehicles that are introduced, e.g. New rubbish trucks, new buses etc. The DO SOMETHING is derived from the emissions from the new vehicles.  The DO NOTHING is derived from the emissions from the old vehicles. You have to enter the emissions factors in g/litre of fuel used for the new and the old vehicles; and you have to enter the total fuel consumption of the new and the old vehicles.</t>
  </si>
  <si>
    <t>1. Enter the vehicle distance on the network</t>
  </si>
  <si>
    <t xml:space="preserve">2. Enter fuel consumption for Public Transport vehicles </t>
  </si>
  <si>
    <t>POLLUTANTS - PUBLIC TRANSPORT</t>
  </si>
  <si>
    <t>1. Enter the distance on the network by private cars</t>
  </si>
  <si>
    <t>SAFETY</t>
  </si>
  <si>
    <t>Stpe by step instructions for this sheet</t>
  </si>
  <si>
    <t>1. Enter the number of accidents on the network each year</t>
  </si>
  <si>
    <t>OBS! You should enter number of accidents and not casualties.</t>
  </si>
  <si>
    <t>What is the differencs between accidents and casualties?</t>
  </si>
  <si>
    <t>Accidents are the number of . Casualties are the how many people hat have been injured in traffic accidents. The sheet automatically takes into account that more than one person might be involved/affected by the accident and that there is amterial damage.</t>
  </si>
  <si>
    <t>1. Enter the distance travelled per vehicle per year</t>
  </si>
  <si>
    <t>2. Enter the number of vehicles affected by the measure (e.g. if you replace samller vehicle with larges ones, you should enter fewer vehicles in the DO SOMETHING alternative)</t>
  </si>
  <si>
    <t>Fill in this sheet if the measure introduces new public vehicles . If the measure does not introduce new vehicles you should use the sheet 'Op cost NO New Vehicles' instead.</t>
  </si>
  <si>
    <t>3. Enter the cost per km for the standard factors</t>
  </si>
  <si>
    <t>Investment cost of the measure (excluding VAT)</t>
  </si>
  <si>
    <t>Investment cost</t>
  </si>
  <si>
    <t xml:space="preserve">Operating cost </t>
  </si>
  <si>
    <t>Operating cost of the masure (excluding VAT)</t>
  </si>
  <si>
    <t>Cost/veh km</t>
  </si>
  <si>
    <r>
      <t xml:space="preserve">Total value of </t>
    </r>
    <r>
      <rPr>
        <sz val="11"/>
        <rFont val="Calibri"/>
        <family val="2"/>
      </rPr>
      <t>pollutants</t>
    </r>
    <r>
      <rPr>
        <sz val="11"/>
        <color theme="1"/>
        <rFont val="Calibri"/>
        <family val="2"/>
        <scheme val="minor"/>
      </rPr>
      <t xml:space="preserve"> per year </t>
    </r>
  </si>
  <si>
    <t>Value of accidents on the network per year</t>
  </si>
  <si>
    <t>Only fill in this sheet if there are more or fewer vehicle km by OTHER PUBLIC TRANSPORT vehicles than those that are themselves part of the measure (e.g. New rubbish trucks or buses)) on the network (e.g. If new pedestrian scheme leads to re-routeing of bus traffic)</t>
  </si>
  <si>
    <t>The main calculation sheet (this sheet). This is where the results of the calculation are shown. Results are shown in local currency.</t>
  </si>
  <si>
    <t xml:space="preserve">2. Enter the traveltime (in minutes) for different modes </t>
  </si>
  <si>
    <t>OBS! Here it is important to understand and define "the network" correctly. See the overall insrtuctions in the main calculation sheet!</t>
  </si>
  <si>
    <t>This is a simplified option to calculate the operational costs per year (perational cost for vehicles). Only use this option if the measure does not introduce a new type of vehicle in your city. This table uses one operating cost per vehicle km, for all vehicles, averaged for urban networks.</t>
  </si>
  <si>
    <t>POLLUTANTS - PRIVATE CARS</t>
  </si>
  <si>
    <t xml:space="preserve">Value of GHG emissions per PT-vehicle km         </t>
  </si>
  <si>
    <t xml:space="preserve">Total value of average accident        </t>
  </si>
  <si>
    <t xml:space="preserve">We at Lund will advise you on how to do this if you think that changes in physical activity are a significant impact for your measure. </t>
  </si>
  <si>
    <t>NOISE POLLUTION</t>
  </si>
  <si>
    <t>HEALTH IMPACTS</t>
  </si>
  <si>
    <t>TICKET INCOMES, USER CHARGES</t>
  </si>
  <si>
    <t>MONETARY VALUES</t>
  </si>
  <si>
    <r>
      <t xml:space="preserve">Please enter here the investment costs and operating cost for the measure. The investment cost is the cost for planning, designing and constructing of the measure. Enter all the construction and investment costs the year they are being made and in </t>
    </r>
    <r>
      <rPr>
        <sz val="11"/>
        <rFont val="Calibri"/>
        <family val="2"/>
      </rPr>
      <t>cash prices (e.g. the price that you pay the year you pay it)</t>
    </r>
    <r>
      <rPr>
        <sz val="11"/>
        <color indexed="8"/>
        <rFont val="Calibri"/>
        <family val="2"/>
      </rPr>
      <t>.</t>
    </r>
  </si>
</sst>
</file>

<file path=xl/styles.xml><?xml version="1.0" encoding="utf-8"?>
<styleSheet xmlns="http://schemas.openxmlformats.org/spreadsheetml/2006/main">
  <numFmts count="9">
    <numFmt numFmtId="164" formatCode="&quot;£&quot;#,##0;[Red]\-&quot;£&quot;#,##0"/>
    <numFmt numFmtId="165" formatCode="_-* #,##0.00_-;\-* #,##0.00_-;_-* &quot;-&quot;??_-;_-@_-"/>
    <numFmt numFmtId="166" formatCode="0.000"/>
    <numFmt numFmtId="167" formatCode="0.0"/>
    <numFmt numFmtId="168" formatCode="0.0000"/>
    <numFmt numFmtId="169" formatCode="#,##0.000"/>
    <numFmt numFmtId="170" formatCode="_-* #,##0_-;\-* #,##0_-;_-* &quot;-&quot;??_-;_-@_-"/>
    <numFmt numFmtId="171" formatCode="#,##0_ ;[Red]\-#,##0\ "/>
    <numFmt numFmtId="172" formatCode="#,##0\ &quot;kr&quot;"/>
  </numFmts>
  <fonts count="23">
    <font>
      <sz val="11"/>
      <color theme="1"/>
      <name val="Calibri"/>
      <family val="2"/>
      <scheme val="minor"/>
    </font>
    <font>
      <sz val="11"/>
      <color indexed="8"/>
      <name val="Calibri"/>
      <family val="2"/>
    </font>
    <font>
      <sz val="10"/>
      <name val="Arial"/>
      <family val="2"/>
    </font>
    <font>
      <u/>
      <sz val="10"/>
      <color indexed="12"/>
      <name val="Arial"/>
      <family val="2"/>
    </font>
    <font>
      <sz val="11"/>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0"/>
      <color rgb="FF000000"/>
      <name val="Arial"/>
      <family val="2"/>
    </font>
    <font>
      <sz val="11"/>
      <name val="Calibri"/>
      <family val="2"/>
      <scheme val="minor"/>
    </font>
    <font>
      <sz val="11"/>
      <color rgb="FF000000"/>
      <name val="Calibri"/>
      <family val="2"/>
      <scheme val="minor"/>
    </font>
    <font>
      <b/>
      <sz val="14"/>
      <color theme="1"/>
      <name val="Calibri"/>
      <family val="2"/>
      <scheme val="minor"/>
    </font>
    <font>
      <b/>
      <sz val="10"/>
      <color rgb="FF000000"/>
      <name val="Arial"/>
      <family val="2"/>
    </font>
    <font>
      <i/>
      <sz val="10"/>
      <color rgb="FF000000"/>
      <name val="Arial"/>
      <family val="2"/>
    </font>
    <font>
      <strike/>
      <sz val="11"/>
      <color theme="1"/>
      <name val="Calibri"/>
      <family val="2"/>
      <scheme val="minor"/>
    </font>
    <font>
      <sz val="10"/>
      <color theme="1"/>
      <name val="Arial"/>
      <family val="2"/>
    </font>
    <font>
      <sz val="11"/>
      <color rgb="FF1F497D"/>
      <name val="Calibri"/>
      <family val="2"/>
      <scheme val="minor"/>
    </font>
    <font>
      <b/>
      <sz val="14"/>
      <name val="Calibri"/>
      <family val="2"/>
      <scheme val="minor"/>
    </font>
    <font>
      <sz val="8"/>
      <color rgb="FF4D4D4D"/>
      <name val="Lucida Sans Unicode"/>
      <family val="2"/>
    </font>
    <font>
      <b/>
      <sz val="11"/>
      <color rgb="FFFF0000"/>
      <name val="Calibri"/>
      <family val="2"/>
      <scheme val="minor"/>
    </font>
    <font>
      <sz val="14"/>
      <color theme="1"/>
      <name val="Calibri"/>
      <family val="2"/>
      <scheme val="minor"/>
    </font>
    <font>
      <b/>
      <sz val="11"/>
      <name val="Calibri"/>
      <family val="2"/>
      <scheme val="minor"/>
    </font>
    <font>
      <sz val="12"/>
      <color theme="1"/>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CC9900"/>
        <bgColor indexed="64"/>
      </patternFill>
    </fill>
    <fill>
      <patternFill patternType="solid">
        <fgColor theme="0" tint="-0.34998626667073579"/>
        <bgColor indexed="64"/>
      </patternFill>
    </fill>
    <fill>
      <patternFill patternType="solid">
        <fgColor theme="9" tint="-0.49998474074526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249977111117893"/>
      </left>
      <right style="thin">
        <color indexed="64"/>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indexed="64"/>
      </top>
      <bottom style="thin">
        <color theme="0" tint="-0.14999847407452621"/>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indexed="64"/>
      </right>
      <top/>
      <bottom style="thin">
        <color indexed="64"/>
      </bottom>
      <diagonal/>
    </border>
    <border>
      <left/>
      <right style="thin">
        <color theme="0" tint="-0.14999847407452621"/>
      </right>
      <top/>
      <bottom style="thin">
        <color theme="0" tint="-0.14999847407452621"/>
      </bottom>
      <diagonal/>
    </border>
    <border>
      <left style="thin">
        <color indexed="64"/>
      </left>
      <right style="thin">
        <color theme="0" tint="-0.14999847407452621"/>
      </right>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s>
  <cellStyleXfs count="5">
    <xf numFmtId="0" fontId="0" fillId="0" borderId="0"/>
    <xf numFmtId="0" fontId="3" fillId="0" borderId="0" applyNumberFormat="0" applyFill="0" applyBorder="0" applyAlignment="0" applyProtection="0">
      <alignment vertical="top"/>
      <protection locked="0"/>
    </xf>
    <xf numFmtId="0" fontId="2" fillId="0" borderId="0"/>
    <xf numFmtId="9" fontId="5" fillId="0" borderId="0" applyFont="0" applyFill="0" applyBorder="0" applyAlignment="0" applyProtection="0"/>
    <xf numFmtId="165" fontId="5" fillId="0" borderId="0" applyFont="0" applyFill="0" applyBorder="0" applyAlignment="0" applyProtection="0"/>
  </cellStyleXfs>
  <cellXfs count="432">
    <xf numFmtId="0" fontId="0" fillId="0" borderId="0" xfId="0"/>
    <xf numFmtId="164" fontId="0" fillId="0" borderId="0" xfId="0" applyNumberFormat="1"/>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Border="1"/>
    <xf numFmtId="0" fontId="0" fillId="0" borderId="1" xfId="0" applyBorder="1"/>
    <xf numFmtId="0" fontId="2" fillId="0" borderId="2" xfId="0" applyFont="1" applyBorder="1"/>
    <xf numFmtId="0" fontId="0" fillId="0" borderId="2" xfId="0" applyBorder="1"/>
    <xf numFmtId="0" fontId="0" fillId="0" borderId="3" xfId="0" applyBorder="1"/>
    <xf numFmtId="9" fontId="0" fillId="2" borderId="0" xfId="0" applyNumberFormat="1" applyFill="1" applyBorder="1" applyAlignment="1">
      <alignment horizontal="center"/>
    </xf>
    <xf numFmtId="0" fontId="2" fillId="0" borderId="4" xfId="0" applyFont="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xf numFmtId="0" fontId="2" fillId="0" borderId="8" xfId="0" applyFont="1" applyBorder="1" applyAlignment="1">
      <alignment horizontal="center"/>
    </xf>
    <xf numFmtId="0" fontId="8" fillId="0" borderId="8" xfId="0" applyFont="1" applyBorder="1"/>
    <xf numFmtId="0" fontId="8" fillId="0" borderId="9" xfId="0" applyFont="1" applyBorder="1"/>
    <xf numFmtId="0" fontId="3" fillId="0" borderId="0" xfId="1" applyAlignment="1" applyProtection="1"/>
    <xf numFmtId="0" fontId="2" fillId="0" borderId="10" xfId="0" applyFont="1" applyBorder="1"/>
    <xf numFmtId="0" fontId="2" fillId="0" borderId="11" xfId="0" applyFont="1" applyBorder="1" applyAlignment="1">
      <alignment horizontal="center"/>
    </xf>
    <xf numFmtId="0" fontId="0" fillId="0" borderId="11" xfId="0" applyBorder="1"/>
    <xf numFmtId="0" fontId="0" fillId="0" borderId="12" xfId="0" applyBorder="1"/>
    <xf numFmtId="0" fontId="2" fillId="0" borderId="0" xfId="0" quotePrefix="1" applyFont="1" applyFill="1" applyBorder="1"/>
    <xf numFmtId="0" fontId="2" fillId="0" borderId="13" xfId="0" applyFont="1" applyBorder="1"/>
    <xf numFmtId="0" fontId="0" fillId="0" borderId="14" xfId="0" applyBorder="1" applyAlignment="1">
      <alignment horizontal="center"/>
    </xf>
    <xf numFmtId="0" fontId="0" fillId="0" borderId="14" xfId="0" applyBorder="1"/>
    <xf numFmtId="0" fontId="0" fillId="0" borderId="15" xfId="0" applyBorder="1"/>
    <xf numFmtId="0" fontId="0" fillId="0" borderId="16" xfId="0" applyBorder="1" applyAlignment="1">
      <alignment horizontal="left" vertical="top"/>
    </xf>
    <xf numFmtId="0" fontId="0" fillId="0" borderId="17" xfId="0" applyBorder="1"/>
    <xf numFmtId="0" fontId="0" fillId="0" borderId="18" xfId="0" applyBorder="1" applyAlignment="1">
      <alignment horizontal="center"/>
    </xf>
    <xf numFmtId="0" fontId="0" fillId="0" borderId="19" xfId="0" applyBorder="1" applyAlignment="1">
      <alignment horizontal="left" vertical="top"/>
    </xf>
    <xf numFmtId="0" fontId="0" fillId="0" borderId="8" xfId="0" applyBorder="1"/>
    <xf numFmtId="0" fontId="0" fillId="3" borderId="9" xfId="0" applyFill="1" applyBorder="1" applyAlignment="1">
      <alignment horizontal="center"/>
    </xf>
    <xf numFmtId="0" fontId="0" fillId="3" borderId="12" xfId="0" applyFill="1" applyBorder="1" applyAlignment="1">
      <alignment horizontal="center"/>
    </xf>
    <xf numFmtId="0" fontId="0" fillId="0" borderId="20" xfId="0" applyBorder="1" applyAlignment="1">
      <alignment horizontal="left" vertical="top"/>
    </xf>
    <xf numFmtId="0" fontId="0" fillId="3" borderId="15" xfId="0" applyFill="1" applyBorder="1" applyAlignment="1">
      <alignment horizontal="center"/>
    </xf>
    <xf numFmtId="0" fontId="0" fillId="2" borderId="17" xfId="0" applyFill="1" applyBorder="1" applyAlignment="1">
      <alignment horizontal="center"/>
    </xf>
    <xf numFmtId="0" fontId="2" fillId="0" borderId="17" xfId="0" applyFont="1" applyBorder="1" applyAlignment="1">
      <alignment horizontal="center"/>
    </xf>
    <xf numFmtId="0" fontId="2" fillId="0" borderId="18" xfId="0" applyFont="1" applyBorder="1" applyAlignment="1">
      <alignment horizontal="center"/>
    </xf>
    <xf numFmtId="0" fontId="0" fillId="2" borderId="8" xfId="0" applyFill="1" applyBorder="1" applyAlignment="1">
      <alignment horizontal="right"/>
    </xf>
    <xf numFmtId="1" fontId="0" fillId="0" borderId="8" xfId="0" applyNumberFormat="1" applyBorder="1" applyAlignment="1">
      <alignment horizontal="right"/>
    </xf>
    <xf numFmtId="1" fontId="0" fillId="0" borderId="9" xfId="0" applyNumberFormat="1" applyBorder="1" applyAlignment="1">
      <alignment horizontal="right"/>
    </xf>
    <xf numFmtId="0" fontId="0" fillId="2" borderId="11" xfId="0" applyFill="1" applyBorder="1" applyAlignment="1">
      <alignment horizontal="right"/>
    </xf>
    <xf numFmtId="0" fontId="0" fillId="2" borderId="14" xfId="0" applyFill="1" applyBorder="1" applyAlignment="1">
      <alignment horizontal="right"/>
    </xf>
    <xf numFmtId="1" fontId="0" fillId="0" borderId="21" xfId="0" applyNumberFormat="1" applyBorder="1" applyAlignment="1">
      <alignment horizontal="right"/>
    </xf>
    <xf numFmtId="1" fontId="0" fillId="0" borderId="22" xfId="0" applyNumberFormat="1" applyBorder="1" applyAlignment="1">
      <alignment horizontal="right"/>
    </xf>
    <xf numFmtId="0" fontId="0" fillId="0" borderId="17" xfId="0" applyBorder="1" applyAlignment="1">
      <alignment horizontal="center"/>
    </xf>
    <xf numFmtId="3" fontId="0" fillId="2" borderId="8" xfId="0" applyNumberFormat="1" applyFill="1" applyBorder="1" applyAlignment="1">
      <alignment horizontal="right"/>
    </xf>
    <xf numFmtId="3" fontId="0" fillId="0" borderId="8" xfId="0" applyNumberFormat="1" applyBorder="1" applyAlignment="1">
      <alignment horizontal="right"/>
    </xf>
    <xf numFmtId="3" fontId="0" fillId="0" borderId="9" xfId="0" applyNumberFormat="1" applyBorder="1" applyAlignment="1">
      <alignment horizontal="right"/>
    </xf>
    <xf numFmtId="3" fontId="0" fillId="2" borderId="11" xfId="0" applyNumberFormat="1" applyFill="1" applyBorder="1" applyAlignment="1">
      <alignment horizontal="right"/>
    </xf>
    <xf numFmtId="0" fontId="0" fillId="3" borderId="11" xfId="0" applyFill="1" applyBorder="1" applyAlignment="1">
      <alignment horizontal="right"/>
    </xf>
    <xf numFmtId="0" fontId="0" fillId="3" borderId="12" xfId="0" applyFill="1" applyBorder="1" applyAlignment="1">
      <alignment horizontal="right"/>
    </xf>
    <xf numFmtId="9" fontId="0" fillId="2" borderId="11" xfId="0" applyNumberFormat="1" applyFill="1" applyBorder="1" applyAlignment="1">
      <alignment horizontal="right"/>
    </xf>
    <xf numFmtId="9" fontId="0" fillId="3" borderId="11" xfId="0" applyNumberFormat="1" applyFill="1" applyBorder="1" applyAlignment="1">
      <alignment horizontal="right"/>
    </xf>
    <xf numFmtId="9" fontId="0" fillId="3" borderId="12" xfId="0" applyNumberFormat="1" applyFill="1" applyBorder="1" applyAlignment="1">
      <alignment horizontal="right"/>
    </xf>
    <xf numFmtId="9" fontId="0" fillId="2" borderId="14" xfId="0" applyNumberFormat="1" applyFill="1" applyBorder="1" applyAlignment="1">
      <alignment horizontal="right"/>
    </xf>
    <xf numFmtId="9" fontId="0" fillId="3" borderId="14" xfId="0" applyNumberFormat="1" applyFill="1" applyBorder="1" applyAlignment="1">
      <alignment horizontal="right"/>
    </xf>
    <xf numFmtId="9" fontId="0" fillId="3" borderId="15" xfId="0" applyNumberFormat="1" applyFill="1" applyBorder="1" applyAlignment="1">
      <alignment horizontal="right"/>
    </xf>
    <xf numFmtId="0" fontId="2" fillId="0" borderId="16" xfId="0" applyFont="1" applyBorder="1" applyAlignment="1">
      <alignment horizontal="left" vertical="top"/>
    </xf>
    <xf numFmtId="0" fontId="2" fillId="0" borderId="17" xfId="0" applyFont="1" applyBorder="1"/>
    <xf numFmtId="0" fontId="0" fillId="0" borderId="11" xfId="0" applyBorder="1" applyAlignment="1">
      <alignment horizontal="center"/>
    </xf>
    <xf numFmtId="3" fontId="0" fillId="2" borderId="14" xfId="0" applyNumberFormat="1" applyFill="1" applyBorder="1" applyAlignment="1">
      <alignment horizontal="right"/>
    </xf>
    <xf numFmtId="3" fontId="0" fillId="0" borderId="21" xfId="0" applyNumberFormat="1" applyBorder="1" applyAlignment="1">
      <alignment horizontal="right"/>
    </xf>
    <xf numFmtId="3" fontId="0" fillId="0" borderId="22" xfId="0" applyNumberFormat="1" applyBorder="1" applyAlignment="1">
      <alignment horizontal="right"/>
    </xf>
    <xf numFmtId="0" fontId="2" fillId="0" borderId="17" xfId="0" applyFont="1" applyBorder="1" applyAlignment="1">
      <alignment horizontal="left"/>
    </xf>
    <xf numFmtId="0" fontId="0" fillId="0" borderId="11" xfId="0" applyBorder="1" applyAlignment="1">
      <alignment horizontal="left"/>
    </xf>
    <xf numFmtId="3" fontId="0" fillId="2" borderId="23" xfId="0" applyNumberFormat="1" applyFill="1" applyBorder="1" applyAlignment="1">
      <alignment horizontal="right"/>
    </xf>
    <xf numFmtId="0" fontId="0" fillId="0" borderId="14" xfId="0" applyBorder="1" applyAlignment="1">
      <alignment horizontal="left"/>
    </xf>
    <xf numFmtId="0" fontId="0" fillId="0" borderId="24" xfId="0" applyBorder="1" applyAlignment="1">
      <alignment horizontal="left" vertical="top"/>
    </xf>
    <xf numFmtId="0" fontId="0" fillId="0" borderId="25" xfId="0" applyBorder="1" applyAlignment="1">
      <alignment horizontal="left"/>
    </xf>
    <xf numFmtId="3" fontId="0" fillId="2" borderId="25" xfId="0" applyNumberFormat="1" applyFill="1" applyBorder="1" applyAlignment="1">
      <alignment horizontal="right"/>
    </xf>
    <xf numFmtId="3" fontId="0" fillId="0" borderId="25" xfId="0" applyNumberFormat="1" applyBorder="1" applyAlignment="1">
      <alignment horizontal="right"/>
    </xf>
    <xf numFmtId="3" fontId="0" fillId="0" borderId="26" xfId="0" applyNumberFormat="1" applyBorder="1" applyAlignment="1">
      <alignment horizontal="right"/>
    </xf>
    <xf numFmtId="0" fontId="2" fillId="0" borderId="24" xfId="0" applyFont="1" applyBorder="1" applyAlignment="1">
      <alignment horizontal="left" vertical="top"/>
    </xf>
    <xf numFmtId="0" fontId="2" fillId="0" borderId="25" xfId="0" applyFont="1" applyBorder="1" applyAlignment="1">
      <alignment horizontal="center"/>
    </xf>
    <xf numFmtId="4" fontId="0" fillId="2" borderId="25" xfId="0" applyNumberFormat="1" applyFill="1" applyBorder="1" applyAlignment="1">
      <alignment horizontal="right"/>
    </xf>
    <xf numFmtId="4" fontId="0" fillId="0" borderId="25" xfId="0" applyNumberFormat="1" applyBorder="1" applyAlignment="1">
      <alignment horizontal="right"/>
    </xf>
    <xf numFmtId="4" fontId="0" fillId="0" borderId="26" xfId="0" applyNumberFormat="1" applyBorder="1" applyAlignment="1">
      <alignment horizontal="right"/>
    </xf>
    <xf numFmtId="0" fontId="2" fillId="0" borderId="20" xfId="0" applyFont="1" applyBorder="1" applyAlignment="1">
      <alignment horizontal="left" vertical="top"/>
    </xf>
    <xf numFmtId="0" fontId="2" fillId="0" borderId="14" xfId="0" applyFont="1" applyBorder="1" applyAlignment="1">
      <alignment horizontal="center"/>
    </xf>
    <xf numFmtId="4" fontId="0" fillId="2" borderId="14" xfId="0" applyNumberFormat="1" applyFill="1" applyBorder="1" applyAlignment="1">
      <alignment horizontal="right"/>
    </xf>
    <xf numFmtId="4" fontId="0" fillId="0" borderId="21" xfId="0" applyNumberFormat="1" applyBorder="1" applyAlignment="1">
      <alignment horizontal="right"/>
    </xf>
    <xf numFmtId="4" fontId="0" fillId="0" borderId="22" xfId="0" applyNumberFormat="1" applyBorder="1" applyAlignment="1">
      <alignment horizontal="right"/>
    </xf>
    <xf numFmtId="0" fontId="2" fillId="0" borderId="0" xfId="0" applyFont="1" applyBorder="1" applyAlignment="1">
      <alignment horizontal="center"/>
    </xf>
    <xf numFmtId="3" fontId="0" fillId="0" borderId="0" xfId="0" applyNumberFormat="1" applyBorder="1" applyAlignment="1">
      <alignment horizontal="right"/>
    </xf>
    <xf numFmtId="167" fontId="0" fillId="0" borderId="0" xfId="0" applyNumberFormat="1"/>
    <xf numFmtId="0" fontId="0" fillId="0" borderId="27" xfId="0" applyBorder="1"/>
    <xf numFmtId="0" fontId="0" fillId="0" borderId="28" xfId="0" applyBorder="1"/>
    <xf numFmtId="0" fontId="0" fillId="0" borderId="29" xfId="0" applyBorder="1"/>
    <xf numFmtId="167" fontId="0" fillId="0" borderId="0" xfId="0" applyNumberFormat="1" applyAlignment="1">
      <alignment horizontal="center"/>
    </xf>
    <xf numFmtId="0" fontId="0" fillId="0" borderId="56" xfId="0" applyBorder="1"/>
    <xf numFmtId="0" fontId="0" fillId="2" borderId="56" xfId="0" applyFill="1" applyBorder="1" applyAlignment="1">
      <alignment horizontal="center"/>
    </xf>
    <xf numFmtId="0" fontId="0" fillId="2" borderId="56" xfId="0" applyFill="1" applyBorder="1"/>
    <xf numFmtId="0" fontId="0" fillId="0" borderId="0" xfId="0" applyAlignment="1">
      <alignment horizontal="left" wrapText="1"/>
    </xf>
    <xf numFmtId="0" fontId="0" fillId="2" borderId="57" xfId="0" applyFill="1" applyBorder="1" applyAlignment="1">
      <alignment horizontal="center"/>
    </xf>
    <xf numFmtId="0" fontId="0" fillId="2" borderId="58" xfId="0" applyFill="1" applyBorder="1" applyAlignment="1">
      <alignment horizontal="center"/>
    </xf>
    <xf numFmtId="0" fontId="0" fillId="2" borderId="59" xfId="0" applyFill="1" applyBorder="1"/>
    <xf numFmtId="0" fontId="0" fillId="2" borderId="60" xfId="0" applyFill="1" applyBorder="1" applyAlignment="1">
      <alignment horizontal="center"/>
    </xf>
    <xf numFmtId="0" fontId="0" fillId="2" borderId="61" xfId="0" applyFill="1" applyBorder="1" applyAlignment="1">
      <alignment horizontal="center"/>
    </xf>
    <xf numFmtId="0" fontId="0" fillId="0" borderId="0" xfId="0" applyBorder="1" applyAlignment="1">
      <alignment horizontal="left" vertical="top"/>
    </xf>
    <xf numFmtId="167" fontId="0" fillId="0" borderId="0" xfId="0" applyNumberFormat="1" applyBorder="1"/>
    <xf numFmtId="0" fontId="0" fillId="0" borderId="30" xfId="0" applyBorder="1"/>
    <xf numFmtId="0" fontId="0" fillId="2" borderId="62" xfId="0" applyFill="1" applyBorder="1" applyAlignment="1">
      <alignment horizontal="center"/>
    </xf>
    <xf numFmtId="0" fontId="0" fillId="2" borderId="63" xfId="0" applyFill="1" applyBorder="1" applyAlignment="1">
      <alignment horizontal="center"/>
    </xf>
    <xf numFmtId="0" fontId="0" fillId="2" borderId="64" xfId="0" applyFill="1" applyBorder="1" applyAlignment="1">
      <alignment horizontal="center"/>
    </xf>
    <xf numFmtId="0" fontId="0" fillId="2" borderId="65" xfId="0" applyFill="1" applyBorder="1" applyAlignment="1">
      <alignment horizontal="center"/>
    </xf>
    <xf numFmtId="0" fontId="0" fillId="2" borderId="59" xfId="0" applyFill="1" applyBorder="1" applyAlignment="1">
      <alignment horizontal="center"/>
    </xf>
    <xf numFmtId="0" fontId="0" fillId="4" borderId="0" xfId="0" applyFill="1" applyBorder="1"/>
    <xf numFmtId="1" fontId="0" fillId="5" borderId="56" xfId="0" applyNumberFormat="1" applyFill="1" applyBorder="1" applyAlignment="1">
      <alignment horizontal="center"/>
    </xf>
    <xf numFmtId="0" fontId="0" fillId="5" borderId="56" xfId="0" applyFill="1" applyBorder="1" applyAlignment="1">
      <alignment horizontal="center"/>
    </xf>
    <xf numFmtId="0" fontId="0" fillId="6" borderId="0" xfId="0" applyFill="1" applyBorder="1"/>
    <xf numFmtId="0" fontId="0" fillId="6" borderId="31" xfId="0" applyFill="1" applyBorder="1"/>
    <xf numFmtId="0" fontId="0" fillId="0" borderId="0" xfId="0" applyFont="1" applyBorder="1" applyAlignment="1">
      <alignment horizontal="left" vertical="top"/>
    </xf>
    <xf numFmtId="0" fontId="0" fillId="0" borderId="0" xfId="0" applyFont="1" applyBorder="1" applyAlignment="1">
      <alignment horizontal="center"/>
    </xf>
    <xf numFmtId="1" fontId="9" fillId="0" borderId="0" xfId="0" applyNumberFormat="1" applyFont="1" applyBorder="1" applyAlignment="1">
      <alignment horizontal="center"/>
    </xf>
    <xf numFmtId="0" fontId="9" fillId="0" borderId="11" xfId="0" applyFont="1" applyBorder="1" applyAlignment="1">
      <alignment horizontal="center"/>
    </xf>
    <xf numFmtId="0" fontId="0" fillId="0" borderId="11" xfId="0" applyFont="1" applyBorder="1" applyAlignment="1">
      <alignment horizontal="left" vertical="top"/>
    </xf>
    <xf numFmtId="0" fontId="0" fillId="2" borderId="11" xfId="0" applyFill="1" applyBorder="1"/>
    <xf numFmtId="0" fontId="0" fillId="7" borderId="11" xfId="0" applyFill="1" applyBorder="1"/>
    <xf numFmtId="0" fontId="0" fillId="8" borderId="11" xfId="0" applyFill="1" applyBorder="1"/>
    <xf numFmtId="0" fontId="0" fillId="0" borderId="11" xfId="0" applyFont="1" applyBorder="1"/>
    <xf numFmtId="1" fontId="0" fillId="0" borderId="32" xfId="0" applyNumberFormat="1" applyFont="1" applyBorder="1"/>
    <xf numFmtId="1" fontId="0" fillId="0" borderId="28" xfId="0" applyNumberFormat="1" applyFont="1" applyBorder="1"/>
    <xf numFmtId="167" fontId="0" fillId="0" borderId="27" xfId="0" applyNumberFormat="1" applyFont="1" applyBorder="1"/>
    <xf numFmtId="167" fontId="0" fillId="0" borderId="32" xfId="0" applyNumberFormat="1" applyFont="1" applyBorder="1"/>
    <xf numFmtId="167" fontId="0" fillId="0" borderId="28" xfId="0" applyNumberFormat="1" applyFont="1" applyBorder="1"/>
    <xf numFmtId="0" fontId="0" fillId="0" borderId="0" xfId="0" applyBorder="1" applyAlignment="1">
      <alignment horizontal="center"/>
    </xf>
    <xf numFmtId="0" fontId="0" fillId="6" borderId="0" xfId="0" applyFill="1" applyBorder="1" applyAlignment="1">
      <alignment horizontal="center"/>
    </xf>
    <xf numFmtId="0" fontId="0" fillId="0" borderId="31" xfId="0" applyBorder="1" applyAlignment="1">
      <alignment horizontal="center"/>
    </xf>
    <xf numFmtId="0" fontId="0" fillId="0" borderId="11" xfId="0" applyFont="1" applyFill="1" applyBorder="1"/>
    <xf numFmtId="0" fontId="10" fillId="0" borderId="11" xfId="0" applyFont="1" applyBorder="1"/>
    <xf numFmtId="0" fontId="10" fillId="0" borderId="11" xfId="0" applyFont="1" applyFill="1" applyBorder="1"/>
    <xf numFmtId="0" fontId="0" fillId="0" borderId="0" xfId="0" applyFont="1" applyBorder="1"/>
    <xf numFmtId="0" fontId="2" fillId="0" borderId="11" xfId="2" applyBorder="1"/>
    <xf numFmtId="0" fontId="9" fillId="0" borderId="25" xfId="0" applyFont="1" applyFill="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0" fillId="0" borderId="20" xfId="0" applyBorder="1"/>
    <xf numFmtId="1" fontId="0" fillId="0" borderId="21" xfId="0" applyNumberFormat="1" applyBorder="1"/>
    <xf numFmtId="1" fontId="0" fillId="0" borderId="22" xfId="0" applyNumberFormat="1" applyBorder="1"/>
    <xf numFmtId="1" fontId="0" fillId="7" borderId="21" xfId="0" applyNumberFormat="1" applyFill="1" applyBorder="1" applyAlignment="1">
      <alignment horizontal="right"/>
    </xf>
    <xf numFmtId="0" fontId="0" fillId="0" borderId="10" xfId="0" applyBorder="1"/>
    <xf numFmtId="0" fontId="2" fillId="0" borderId="12" xfId="2" applyBorder="1"/>
    <xf numFmtId="0" fontId="10" fillId="0" borderId="12" xfId="0" applyFont="1" applyBorder="1"/>
    <xf numFmtId="0" fontId="0" fillId="0" borderId="12" xfId="0" applyFont="1" applyBorder="1"/>
    <xf numFmtId="0" fontId="0" fillId="0" borderId="14" xfId="0" applyFont="1" applyBorder="1"/>
    <xf numFmtId="0" fontId="0" fillId="0" borderId="15" xfId="0" applyFont="1" applyBorder="1"/>
    <xf numFmtId="0" fontId="0" fillId="8" borderId="21" xfId="0" applyFill="1" applyBorder="1"/>
    <xf numFmtId="0" fontId="0" fillId="8" borderId="33" xfId="0" applyFill="1" applyBorder="1"/>
    <xf numFmtId="0" fontId="0" fillId="0" borderId="34" xfId="0" applyBorder="1"/>
    <xf numFmtId="0" fontId="0" fillId="0" borderId="35" xfId="0" applyBorder="1"/>
    <xf numFmtId="0" fontId="0" fillId="0" borderId="64" xfId="0" applyBorder="1"/>
    <xf numFmtId="0" fontId="0" fillId="0" borderId="64" xfId="0" applyBorder="1" applyAlignment="1">
      <alignment wrapText="1"/>
    </xf>
    <xf numFmtId="0" fontId="0" fillId="0" borderId="64" xfId="0" applyBorder="1" applyAlignment="1">
      <alignment horizontal="center"/>
    </xf>
    <xf numFmtId="0" fontId="0" fillId="9" borderId="66" xfId="0" applyFill="1" applyBorder="1"/>
    <xf numFmtId="0" fontId="11" fillId="0" borderId="0" xfId="0" applyFont="1"/>
    <xf numFmtId="0" fontId="0" fillId="0" borderId="0" xfId="0" applyAlignment="1">
      <alignment vertical="top" wrapText="1"/>
    </xf>
    <xf numFmtId="0" fontId="0" fillId="0" borderId="0" xfId="0" applyAlignment="1">
      <alignment vertical="top"/>
    </xf>
    <xf numFmtId="0" fontId="6" fillId="0" borderId="0" xfId="0" applyFont="1"/>
    <xf numFmtId="0" fontId="0" fillId="0" borderId="0" xfId="0" applyAlignment="1">
      <alignment wrapText="1"/>
    </xf>
    <xf numFmtId="0" fontId="0" fillId="9" borderId="56" xfId="0" applyFill="1" applyBorder="1" applyAlignment="1">
      <alignment horizontal="center"/>
    </xf>
    <xf numFmtId="0" fontId="0" fillId="9" borderId="56" xfId="0" applyFill="1" applyBorder="1"/>
    <xf numFmtId="3" fontId="0" fillId="2" borderId="0" xfId="0" applyNumberFormat="1" applyFill="1" applyBorder="1" applyAlignment="1">
      <alignment horizontal="right"/>
    </xf>
    <xf numFmtId="169" fontId="0" fillId="2" borderId="0" xfId="0" applyNumberFormat="1" applyFill="1" applyBorder="1" applyAlignment="1">
      <alignment horizontal="right"/>
    </xf>
    <xf numFmtId="169" fontId="0" fillId="0" borderId="0" xfId="0" applyNumberFormat="1" applyBorder="1" applyAlignment="1">
      <alignment horizontal="right"/>
    </xf>
    <xf numFmtId="166" fontId="9" fillId="0" borderId="11" xfId="0" applyNumberFormat="1" applyFont="1" applyBorder="1" applyAlignment="1">
      <alignment horizontal="center"/>
    </xf>
    <xf numFmtId="0" fontId="9" fillId="0" borderId="0" xfId="0" applyFont="1" applyBorder="1" applyAlignment="1">
      <alignment horizontal="center"/>
    </xf>
    <xf numFmtId="166" fontId="9" fillId="0" borderId="0" xfId="0" applyNumberFormat="1" applyFont="1" applyBorder="1" applyAlignment="1">
      <alignment horizontal="center"/>
    </xf>
    <xf numFmtId="0" fontId="0" fillId="0" borderId="0" xfId="0" applyFill="1" applyBorder="1"/>
    <xf numFmtId="0" fontId="0" fillId="6" borderId="0" xfId="0" applyFill="1" applyBorder="1" applyAlignment="1"/>
    <xf numFmtId="168" fontId="0" fillId="9" borderId="11" xfId="0" applyNumberFormat="1" applyFill="1" applyBorder="1"/>
    <xf numFmtId="166" fontId="0" fillId="7" borderId="11" xfId="0" applyNumberFormat="1" applyFill="1" applyBorder="1"/>
    <xf numFmtId="166" fontId="0" fillId="9" borderId="11" xfId="0" applyNumberFormat="1" applyFill="1" applyBorder="1"/>
    <xf numFmtId="168" fontId="0" fillId="0" borderId="0" xfId="0" applyNumberFormat="1"/>
    <xf numFmtId="166" fontId="0" fillId="0" borderId="0" xfId="0" applyNumberFormat="1"/>
    <xf numFmtId="1" fontId="0" fillId="2" borderId="11" xfId="0" applyNumberFormat="1" applyFont="1" applyFill="1" applyBorder="1"/>
    <xf numFmtId="167" fontId="0" fillId="2" borderId="11" xfId="0" applyNumberFormat="1" applyFont="1" applyFill="1" applyBorder="1"/>
    <xf numFmtId="0" fontId="0" fillId="2" borderId="11" xfId="0" applyFont="1" applyFill="1" applyBorder="1"/>
    <xf numFmtId="0" fontId="3" fillId="0" borderId="56" xfId="1" applyBorder="1" applyAlignment="1" applyProtection="1"/>
    <xf numFmtId="0" fontId="12" fillId="9" borderId="56" xfId="0" applyFont="1" applyFill="1" applyBorder="1" applyAlignment="1">
      <alignment horizontal="center" vertical="center" wrapText="1"/>
    </xf>
    <xf numFmtId="0" fontId="3" fillId="9" borderId="56" xfId="1" applyFill="1" applyBorder="1" applyAlignment="1" applyProtection="1">
      <alignment horizontal="center" vertical="center" wrapText="1"/>
    </xf>
    <xf numFmtId="0" fontId="8" fillId="9" borderId="56" xfId="0" applyFont="1" applyFill="1" applyBorder="1" applyAlignment="1">
      <alignment vertical="center" wrapText="1"/>
    </xf>
    <xf numFmtId="0" fontId="13" fillId="9" borderId="56" xfId="0" applyFont="1" applyFill="1" applyBorder="1" applyAlignment="1">
      <alignment vertical="center" wrapText="1"/>
    </xf>
    <xf numFmtId="0" fontId="3" fillId="9" borderId="56" xfId="1" applyFill="1" applyBorder="1" applyAlignment="1" applyProtection="1">
      <alignment vertical="center" wrapText="1"/>
    </xf>
    <xf numFmtId="0" fontId="8" fillId="9" borderId="56" xfId="0" applyFont="1" applyFill="1" applyBorder="1" applyAlignment="1">
      <alignment vertical="center"/>
    </xf>
    <xf numFmtId="0" fontId="0" fillId="6" borderId="11" xfId="0" applyFill="1" applyBorder="1"/>
    <xf numFmtId="0" fontId="0" fillId="9" borderId="67" xfId="0" applyFill="1" applyBorder="1"/>
    <xf numFmtId="0" fontId="14" fillId="9" borderId="67" xfId="0" applyFont="1" applyFill="1" applyBorder="1"/>
    <xf numFmtId="0" fontId="2" fillId="0" borderId="24" xfId="0" applyFont="1" applyFill="1" applyBorder="1"/>
    <xf numFmtId="0" fontId="9" fillId="7" borderId="36" xfId="0" applyFont="1" applyFill="1" applyBorder="1" applyAlignment="1">
      <alignment horizontal="center"/>
    </xf>
    <xf numFmtId="1" fontId="0" fillId="7" borderId="11" xfId="0" applyNumberFormat="1" applyFill="1" applyBorder="1" applyAlignment="1">
      <alignment horizontal="right"/>
    </xf>
    <xf numFmtId="1" fontId="0" fillId="0" borderId="11" xfId="0" applyNumberFormat="1" applyBorder="1"/>
    <xf numFmtId="0" fontId="2" fillId="0" borderId="11" xfId="0" applyFont="1" applyFill="1" applyBorder="1"/>
    <xf numFmtId="166" fontId="0" fillId="0" borderId="11" xfId="0" applyNumberFormat="1" applyBorder="1"/>
    <xf numFmtId="0" fontId="15" fillId="0" borderId="11" xfId="0" applyFont="1" applyFill="1" applyBorder="1"/>
    <xf numFmtId="0" fontId="16" fillId="0" borderId="11" xfId="0" applyFont="1" applyBorder="1"/>
    <xf numFmtId="0" fontId="2" fillId="0" borderId="11" xfId="0" applyFont="1" applyFill="1" applyBorder="1" applyAlignment="1">
      <alignment horizontal="left"/>
    </xf>
    <xf numFmtId="166" fontId="0" fillId="0" borderId="11" xfId="0" applyNumberFormat="1" applyFill="1" applyBorder="1"/>
    <xf numFmtId="0" fontId="9" fillId="8" borderId="11" xfId="0" applyFont="1" applyFill="1" applyBorder="1" applyAlignment="1">
      <alignment horizontal="center"/>
    </xf>
    <xf numFmtId="0" fontId="9" fillId="8" borderId="36" xfId="0" applyFont="1" applyFill="1" applyBorder="1" applyAlignment="1">
      <alignment horizontal="center"/>
    </xf>
    <xf numFmtId="0" fontId="9" fillId="8" borderId="37" xfId="0" applyFont="1" applyFill="1" applyBorder="1" applyAlignment="1">
      <alignment horizontal="center"/>
    </xf>
    <xf numFmtId="0" fontId="0" fillId="10" borderId="11" xfId="0" applyFill="1" applyBorder="1"/>
    <xf numFmtId="0" fontId="2" fillId="10" borderId="11" xfId="0" applyFont="1" applyFill="1" applyBorder="1" applyAlignment="1">
      <alignment horizontal="center"/>
    </xf>
    <xf numFmtId="0" fontId="15" fillId="0" borderId="11" xfId="0" applyFont="1" applyBorder="1"/>
    <xf numFmtId="166" fontId="15" fillId="10" borderId="11" xfId="0" applyNumberFormat="1" applyFont="1" applyFill="1" applyBorder="1"/>
    <xf numFmtId="166" fontId="15" fillId="0" borderId="11" xfId="0" applyNumberFormat="1" applyFont="1" applyBorder="1"/>
    <xf numFmtId="0" fontId="17" fillId="7" borderId="38" xfId="0" applyFont="1" applyFill="1" applyBorder="1"/>
    <xf numFmtId="0" fontId="9" fillId="7" borderId="38" xfId="0" applyFont="1" applyFill="1" applyBorder="1"/>
    <xf numFmtId="0" fontId="0" fillId="0" borderId="68" xfId="0" applyBorder="1"/>
    <xf numFmtId="167" fontId="0" fillId="11" borderId="11" xfId="0" applyNumberFormat="1" applyFill="1" applyBorder="1"/>
    <xf numFmtId="0" fontId="9" fillId="7" borderId="39" xfId="0" applyFont="1" applyFill="1" applyBorder="1"/>
    <xf numFmtId="0" fontId="9" fillId="12" borderId="38" xfId="0" applyFont="1" applyFill="1" applyBorder="1"/>
    <xf numFmtId="0" fontId="9" fillId="7" borderId="69" xfId="0" applyFont="1" applyFill="1" applyBorder="1"/>
    <xf numFmtId="0" fontId="0" fillId="6" borderId="8" xfId="0" applyFill="1" applyBorder="1"/>
    <xf numFmtId="167" fontId="0" fillId="0" borderId="21" xfId="0" applyNumberFormat="1" applyBorder="1"/>
    <xf numFmtId="0" fontId="0" fillId="0" borderId="32" xfId="0" applyFill="1" applyBorder="1" applyAlignment="1">
      <alignment horizontal="center" wrapText="1"/>
    </xf>
    <xf numFmtId="0" fontId="0" fillId="0" borderId="70" xfId="0" applyBorder="1" applyAlignment="1">
      <alignment horizontal="center" wrapText="1"/>
    </xf>
    <xf numFmtId="0" fontId="0" fillId="0" borderId="32" xfId="0" applyBorder="1" applyAlignment="1">
      <alignment horizontal="center" wrapText="1"/>
    </xf>
    <xf numFmtId="0" fontId="0" fillId="0" borderId="0" xfId="0" applyBorder="1" applyAlignment="1">
      <alignment horizontal="center" wrapText="1"/>
    </xf>
    <xf numFmtId="0" fontId="0" fillId="0" borderId="30" xfId="0" applyBorder="1" applyAlignment="1">
      <alignment horizontal="center" wrapText="1"/>
    </xf>
    <xf numFmtId="0" fontId="0" fillId="0" borderId="40" xfId="0" applyBorder="1"/>
    <xf numFmtId="0" fontId="0" fillId="0" borderId="41" xfId="0" applyBorder="1"/>
    <xf numFmtId="0" fontId="0" fillId="0" borderId="42" xfId="0" applyBorder="1"/>
    <xf numFmtId="0" fontId="7" fillId="0" borderId="0" xfId="0" applyFont="1" applyAlignment="1">
      <alignment wrapText="1"/>
    </xf>
    <xf numFmtId="0" fontId="0" fillId="13" borderId="11" xfId="0" applyFill="1" applyBorder="1"/>
    <xf numFmtId="168" fontId="0" fillId="8" borderId="11" xfId="0" applyNumberFormat="1" applyFill="1" applyBorder="1"/>
    <xf numFmtId="0" fontId="0" fillId="6" borderId="11" xfId="0" applyFont="1" applyFill="1" applyBorder="1" applyAlignment="1">
      <alignment horizontal="left"/>
    </xf>
    <xf numFmtId="0" fontId="0" fillId="6" borderId="43" xfId="0" applyFont="1" applyFill="1" applyBorder="1" applyAlignment="1">
      <alignment horizontal="left"/>
    </xf>
    <xf numFmtId="0" fontId="0" fillId="6" borderId="11" xfId="0" applyFont="1" applyFill="1" applyBorder="1" applyAlignment="1">
      <alignment horizontal="left" vertical="top"/>
    </xf>
    <xf numFmtId="0" fontId="0" fillId="6" borderId="11" xfId="0" applyFont="1" applyFill="1" applyBorder="1"/>
    <xf numFmtId="1" fontId="0" fillId="8" borderId="43" xfId="0" applyNumberFormat="1" applyFont="1" applyFill="1" applyBorder="1"/>
    <xf numFmtId="167" fontId="0" fillId="8" borderId="43" xfId="0" applyNumberFormat="1" applyFont="1" applyFill="1" applyBorder="1"/>
    <xf numFmtId="2" fontId="0" fillId="8" borderId="43" xfId="0" applyNumberFormat="1" applyFont="1" applyFill="1" applyBorder="1"/>
    <xf numFmtId="0" fontId="0" fillId="9" borderId="29" xfId="0" applyFont="1" applyFill="1" applyBorder="1"/>
    <xf numFmtId="0" fontId="0" fillId="9" borderId="44" xfId="0" applyFont="1" applyFill="1" applyBorder="1"/>
    <xf numFmtId="0" fontId="9" fillId="9" borderId="0" xfId="0" applyFont="1" applyFill="1" applyBorder="1" applyAlignment="1">
      <alignment horizontal="left"/>
    </xf>
    <xf numFmtId="0" fontId="9" fillId="6" borderId="11" xfId="0" applyFont="1" applyFill="1" applyBorder="1" applyAlignment="1">
      <alignment horizontal="left"/>
    </xf>
    <xf numFmtId="0" fontId="0" fillId="9" borderId="45" xfId="0" applyFont="1" applyFill="1" applyBorder="1"/>
    <xf numFmtId="0" fontId="0" fillId="9" borderId="71" xfId="0" applyFill="1" applyBorder="1"/>
    <xf numFmtId="0" fontId="14" fillId="9" borderId="71" xfId="0" applyFont="1" applyFill="1" applyBorder="1"/>
    <xf numFmtId="0" fontId="14" fillId="9" borderId="71" xfId="0" applyFont="1" applyFill="1" applyBorder="1" applyAlignment="1">
      <alignment horizontal="center"/>
    </xf>
    <xf numFmtId="0" fontId="0" fillId="9" borderId="72" xfId="0" applyFill="1" applyBorder="1"/>
    <xf numFmtId="0" fontId="0" fillId="9" borderId="73" xfId="0" applyFill="1" applyBorder="1"/>
    <xf numFmtId="0" fontId="18" fillId="9" borderId="56" xfId="0" applyFont="1" applyFill="1" applyBorder="1"/>
    <xf numFmtId="0" fontId="3" fillId="9" borderId="56" xfId="1" applyFill="1" applyBorder="1" applyAlignment="1" applyProtection="1"/>
    <xf numFmtId="0" fontId="14" fillId="9" borderId="56" xfId="0" applyFont="1" applyFill="1" applyBorder="1"/>
    <xf numFmtId="0" fontId="14" fillId="9" borderId="56" xfId="0" applyFont="1" applyFill="1" applyBorder="1" applyAlignment="1">
      <alignment horizontal="left" vertical="top"/>
    </xf>
    <xf numFmtId="0" fontId="14" fillId="9" borderId="56" xfId="0" applyFont="1" applyFill="1" applyBorder="1" applyAlignment="1">
      <alignment horizontal="center"/>
    </xf>
    <xf numFmtId="0" fontId="0" fillId="0" borderId="74" xfId="0" applyBorder="1"/>
    <xf numFmtId="0" fontId="0" fillId="0" borderId="0" xfId="0" applyFont="1"/>
    <xf numFmtId="0" fontId="19" fillId="0" borderId="0" xfId="0" applyFont="1"/>
    <xf numFmtId="0" fontId="6" fillId="0" borderId="0" xfId="0" applyFont="1" applyAlignment="1">
      <alignment horizontal="left"/>
    </xf>
    <xf numFmtId="0" fontId="0" fillId="0" borderId="0" xfId="0" applyAlignment="1">
      <alignment horizontal="left"/>
    </xf>
    <xf numFmtId="0" fontId="0" fillId="2" borderId="39" xfId="0" applyFill="1" applyBorder="1"/>
    <xf numFmtId="168" fontId="0" fillId="9" borderId="56" xfId="0" applyNumberFormat="1" applyFill="1" applyBorder="1"/>
    <xf numFmtId="0" fontId="17" fillId="9" borderId="56" xfId="0" applyFont="1" applyFill="1" applyBorder="1"/>
    <xf numFmtId="0" fontId="9" fillId="9" borderId="56" xfId="0" applyFont="1" applyFill="1" applyBorder="1"/>
    <xf numFmtId="0" fontId="0" fillId="9" borderId="56" xfId="0" applyFill="1" applyBorder="1" applyAlignment="1">
      <alignment horizontal="center" wrapText="1"/>
    </xf>
    <xf numFmtId="0" fontId="0" fillId="9" borderId="56" xfId="0" applyFill="1" applyBorder="1" applyAlignment="1">
      <alignment wrapText="1"/>
    </xf>
    <xf numFmtId="0" fontId="9" fillId="9" borderId="56" xfId="0" applyFont="1" applyFill="1" applyBorder="1" applyAlignment="1">
      <alignment horizontal="center"/>
    </xf>
    <xf numFmtId="0" fontId="0" fillId="9" borderId="0" xfId="0" applyFill="1"/>
    <xf numFmtId="1" fontId="0" fillId="7" borderId="11" xfId="0" applyNumberFormat="1" applyFill="1" applyBorder="1"/>
    <xf numFmtId="0" fontId="0" fillId="14" borderId="27" xfId="0" applyFill="1" applyBorder="1"/>
    <xf numFmtId="0" fontId="0" fillId="14" borderId="29" xfId="0" applyFill="1" applyBorder="1"/>
    <xf numFmtId="0" fontId="0" fillId="14" borderId="44" xfId="0" applyFill="1" applyBorder="1"/>
    <xf numFmtId="0" fontId="0" fillId="14" borderId="32" xfId="0" applyFill="1" applyBorder="1"/>
    <xf numFmtId="1" fontId="0" fillId="14" borderId="0" xfId="0" applyNumberFormat="1" applyFill="1" applyBorder="1" applyAlignment="1">
      <alignment horizontal="center"/>
    </xf>
    <xf numFmtId="9" fontId="5" fillId="14" borderId="0" xfId="3" applyFont="1" applyFill="1" applyBorder="1"/>
    <xf numFmtId="0" fontId="0" fillId="14" borderId="0" xfId="0" applyFill="1" applyBorder="1"/>
    <xf numFmtId="0" fontId="0" fillId="14" borderId="30" xfId="0" applyFill="1" applyBorder="1"/>
    <xf numFmtId="1" fontId="6" fillId="14" borderId="0" xfId="0" applyNumberFormat="1" applyFont="1" applyFill="1" applyBorder="1" applyAlignment="1">
      <alignment horizontal="center"/>
    </xf>
    <xf numFmtId="2" fontId="0" fillId="14" borderId="0" xfId="0" applyNumberFormat="1" applyFill="1" applyBorder="1"/>
    <xf numFmtId="0" fontId="0" fillId="0" borderId="8" xfId="0" applyFont="1" applyFill="1" applyBorder="1" applyAlignment="1">
      <alignment horizontal="left"/>
    </xf>
    <xf numFmtId="1" fontId="0" fillId="7" borderId="8" xfId="0" applyNumberFormat="1" applyFont="1" applyFill="1" applyBorder="1" applyAlignment="1">
      <alignment horizontal="center"/>
    </xf>
    <xf numFmtId="1" fontId="0" fillId="0" borderId="8" xfId="0" applyNumberFormat="1" applyBorder="1"/>
    <xf numFmtId="0" fontId="2" fillId="0" borderId="46" xfId="0" applyFont="1" applyFill="1" applyBorder="1"/>
    <xf numFmtId="0" fontId="9" fillId="7" borderId="47" xfId="0" applyFont="1" applyFill="1" applyBorder="1" applyAlignment="1">
      <alignment horizontal="center"/>
    </xf>
    <xf numFmtId="0" fontId="9" fillId="8" borderId="47" xfId="0" applyFont="1" applyFill="1" applyBorder="1" applyAlignment="1">
      <alignment horizontal="center"/>
    </xf>
    <xf numFmtId="0" fontId="9" fillId="8" borderId="48" xfId="0" applyFont="1" applyFill="1" applyBorder="1" applyAlignment="1">
      <alignment horizontal="center"/>
    </xf>
    <xf numFmtId="0" fontId="0" fillId="14" borderId="32" xfId="0" applyFill="1" applyBorder="1" applyAlignment="1">
      <alignment horizontal="left"/>
    </xf>
    <xf numFmtId="0" fontId="6" fillId="14" borderId="32" xfId="0" applyFont="1" applyFill="1" applyBorder="1" applyAlignment="1">
      <alignment horizontal="left"/>
    </xf>
    <xf numFmtId="165" fontId="5" fillId="9" borderId="68" xfId="4" applyFont="1" applyFill="1" applyBorder="1"/>
    <xf numFmtId="165" fontId="5" fillId="6" borderId="0" xfId="4" applyFont="1" applyFill="1" applyBorder="1"/>
    <xf numFmtId="170" fontId="5" fillId="0" borderId="0" xfId="4" applyNumberFormat="1" applyFont="1" applyBorder="1"/>
    <xf numFmtId="170" fontId="5" fillId="0" borderId="31" xfId="4" applyNumberFormat="1" applyFont="1" applyBorder="1"/>
    <xf numFmtId="170" fontId="5" fillId="11" borderId="11" xfId="4" applyNumberFormat="1" applyFont="1" applyFill="1" applyBorder="1"/>
    <xf numFmtId="167" fontId="0" fillId="0" borderId="0" xfId="0" applyNumberFormat="1" applyFill="1" applyBorder="1"/>
    <xf numFmtId="0" fontId="7" fillId="6" borderId="0" xfId="0" applyFont="1" applyFill="1"/>
    <xf numFmtId="0" fontId="0" fillId="12" borderId="0" xfId="0" applyFill="1"/>
    <xf numFmtId="0" fontId="7" fillId="12" borderId="0" xfId="0" applyFont="1" applyFill="1"/>
    <xf numFmtId="0" fontId="0" fillId="7" borderId="0" xfId="0" applyFill="1"/>
    <xf numFmtId="0" fontId="11" fillId="12" borderId="0" xfId="0" applyFont="1" applyFill="1"/>
    <xf numFmtId="0" fontId="0" fillId="12" borderId="0" xfId="0" applyFill="1" applyBorder="1"/>
    <xf numFmtId="0" fontId="11" fillId="12" borderId="0" xfId="0" applyFont="1" applyFill="1" applyBorder="1"/>
    <xf numFmtId="0" fontId="0" fillId="5" borderId="56" xfId="0" applyFill="1" applyBorder="1"/>
    <xf numFmtId="171" fontId="5" fillId="5" borderId="56" xfId="4" applyNumberFormat="1" applyFont="1" applyFill="1" applyBorder="1"/>
    <xf numFmtId="171" fontId="5" fillId="9" borderId="56" xfId="4" applyNumberFormat="1" applyFont="1" applyFill="1" applyBorder="1"/>
    <xf numFmtId="0" fontId="0" fillId="6" borderId="0" xfId="0" applyFill="1" applyBorder="1" applyAlignment="1">
      <alignment horizontal="center" wrapText="1"/>
    </xf>
    <xf numFmtId="0" fontId="0" fillId="0" borderId="75" xfId="0" applyBorder="1"/>
    <xf numFmtId="0" fontId="0" fillId="2" borderId="0" xfId="0" applyFill="1" applyBorder="1" applyAlignment="1">
      <alignment horizontal="center"/>
    </xf>
    <xf numFmtId="0" fontId="17" fillId="12" borderId="0" xfId="0" applyFont="1" applyFill="1" applyBorder="1"/>
    <xf numFmtId="0" fontId="9" fillId="12" borderId="0" xfId="0" applyFont="1" applyFill="1" applyBorder="1"/>
    <xf numFmtId="0" fontId="17" fillId="7" borderId="0" xfId="0" applyFont="1" applyFill="1" applyBorder="1"/>
    <xf numFmtId="0" fontId="9" fillId="7" borderId="0" xfId="0" applyFont="1" applyFill="1" applyBorder="1"/>
    <xf numFmtId="0" fontId="0" fillId="2" borderId="0" xfId="0" applyFill="1" applyBorder="1"/>
    <xf numFmtId="0" fontId="11" fillId="7" borderId="66" xfId="0" applyFont="1" applyFill="1" applyBorder="1"/>
    <xf numFmtId="0" fontId="0" fillId="6" borderId="0" xfId="0" applyFill="1" applyBorder="1" applyAlignment="1">
      <alignment vertical="top"/>
    </xf>
    <xf numFmtId="0" fontId="0" fillId="0" borderId="56" xfId="0" applyBorder="1" applyAlignment="1">
      <alignment wrapText="1"/>
    </xf>
    <xf numFmtId="171" fontId="5" fillId="0" borderId="56" xfId="4" applyNumberFormat="1" applyFont="1" applyBorder="1"/>
    <xf numFmtId="171" fontId="5" fillId="11" borderId="56" xfId="4" applyNumberFormat="1" applyFont="1" applyFill="1" applyBorder="1"/>
    <xf numFmtId="165" fontId="5" fillId="9" borderId="56" xfId="4" applyFont="1" applyFill="1" applyBorder="1"/>
    <xf numFmtId="165" fontId="5" fillId="0" borderId="56" xfId="4" applyFont="1" applyBorder="1"/>
    <xf numFmtId="165" fontId="5" fillId="0" borderId="56" xfId="4" applyFont="1" applyFill="1" applyBorder="1"/>
    <xf numFmtId="0" fontId="0" fillId="0" borderId="56" xfId="0" applyFill="1" applyBorder="1"/>
    <xf numFmtId="164" fontId="0" fillId="0" borderId="56" xfId="0" applyNumberFormat="1" applyBorder="1"/>
    <xf numFmtId="170" fontId="9" fillId="0" borderId="56" xfId="4" applyNumberFormat="1" applyFont="1" applyBorder="1"/>
    <xf numFmtId="171" fontId="5" fillId="11" borderId="62" xfId="4" applyNumberFormat="1" applyFont="1" applyFill="1" applyBorder="1"/>
    <xf numFmtId="165" fontId="5" fillId="0" borderId="68" xfId="4" applyFont="1" applyBorder="1"/>
    <xf numFmtId="0" fontId="0" fillId="6" borderId="0" xfId="0" applyFill="1" applyBorder="1" applyAlignment="1">
      <alignment horizontal="center" vertical="top" wrapText="1"/>
    </xf>
    <xf numFmtId="171" fontId="5" fillId="11" borderId="64" xfId="4" applyNumberFormat="1" applyFont="1" applyFill="1" applyBorder="1"/>
    <xf numFmtId="0" fontId="11" fillId="2" borderId="0" xfId="0" applyFont="1" applyFill="1" applyBorder="1"/>
    <xf numFmtId="0" fontId="11" fillId="7" borderId="0" xfId="0" applyFont="1" applyFill="1" applyBorder="1"/>
    <xf numFmtId="0" fontId="0" fillId="7" borderId="0" xfId="0" applyFill="1" applyBorder="1"/>
    <xf numFmtId="0" fontId="20" fillId="6" borderId="5" xfId="0" applyFont="1" applyFill="1" applyBorder="1"/>
    <xf numFmtId="166" fontId="0" fillId="8" borderId="11" xfId="0" applyNumberFormat="1" applyFill="1" applyBorder="1"/>
    <xf numFmtId="0" fontId="17" fillId="12" borderId="0" xfId="0" applyFont="1" applyFill="1" applyBorder="1" applyAlignment="1">
      <alignment horizontal="left"/>
    </xf>
    <xf numFmtId="0" fontId="9" fillId="12" borderId="56" xfId="0" applyFont="1" applyFill="1" applyBorder="1"/>
    <xf numFmtId="0" fontId="9" fillId="7" borderId="56" xfId="0" applyFont="1" applyFill="1" applyBorder="1"/>
    <xf numFmtId="0" fontId="9" fillId="12" borderId="62" xfId="0" applyFont="1" applyFill="1" applyBorder="1"/>
    <xf numFmtId="0" fontId="0" fillId="5" borderId="62" xfId="0" applyFill="1" applyBorder="1" applyAlignment="1">
      <alignment horizontal="center"/>
    </xf>
    <xf numFmtId="0" fontId="17" fillId="7" borderId="64" xfId="0" applyFont="1" applyFill="1" applyBorder="1"/>
    <xf numFmtId="0" fontId="9" fillId="2" borderId="56" xfId="0" applyFont="1" applyFill="1" applyBorder="1" applyAlignment="1">
      <alignment horizontal="center"/>
    </xf>
    <xf numFmtId="0" fontId="0" fillId="0" borderId="56" xfId="0" applyBorder="1" applyAlignment="1">
      <alignment horizontal="center"/>
    </xf>
    <xf numFmtId="0" fontId="0" fillId="0" borderId="56" xfId="0" applyFill="1" applyBorder="1" applyAlignment="1">
      <alignment horizontal="center"/>
    </xf>
    <xf numFmtId="0" fontId="0" fillId="0" borderId="56" xfId="0" applyFill="1" applyBorder="1" applyAlignment="1">
      <alignment wrapText="1"/>
    </xf>
    <xf numFmtId="0" fontId="0" fillId="0" borderId="0" xfId="0" applyAlignment="1">
      <alignment horizontal="left" wrapText="1"/>
    </xf>
    <xf numFmtId="0" fontId="7" fillId="0" borderId="0" xfId="0" applyFont="1" applyAlignment="1">
      <alignment horizontal="center" wrapText="1"/>
    </xf>
    <xf numFmtId="0" fontId="0" fillId="0" borderId="32" xfId="0" applyFill="1" applyBorder="1"/>
    <xf numFmtId="171" fontId="5" fillId="11" borderId="76" xfId="4" applyNumberFormat="1" applyFont="1" applyFill="1" applyBorder="1"/>
    <xf numFmtId="0" fontId="17" fillId="12" borderId="27" xfId="0" applyFont="1" applyFill="1" applyBorder="1"/>
    <xf numFmtId="165" fontId="5" fillId="0" borderId="68" xfId="4" applyFont="1" applyBorder="1" applyAlignment="1">
      <alignment horizontal="right"/>
    </xf>
    <xf numFmtId="0" fontId="0" fillId="0" borderId="0" xfId="0" applyFont="1" applyAlignment="1">
      <alignment wrapText="1"/>
    </xf>
    <xf numFmtId="0" fontId="0" fillId="11" borderId="29" xfId="0" applyFill="1" applyBorder="1"/>
    <xf numFmtId="0" fontId="0" fillId="11" borderId="44" xfId="0" applyFill="1" applyBorder="1"/>
    <xf numFmtId="0" fontId="0" fillId="13" borderId="38" xfId="0" applyFill="1" applyBorder="1"/>
    <xf numFmtId="0" fontId="0" fillId="13" borderId="39" xfId="0" applyFill="1" applyBorder="1"/>
    <xf numFmtId="170" fontId="6" fillId="5" borderId="77" xfId="4" applyNumberFormat="1" applyFont="1" applyFill="1" applyBorder="1"/>
    <xf numFmtId="170" fontId="6" fillId="5" borderId="78" xfId="4" applyNumberFormat="1" applyFont="1" applyFill="1" applyBorder="1"/>
    <xf numFmtId="0" fontId="0" fillId="2" borderId="38" xfId="0" applyFill="1" applyBorder="1"/>
    <xf numFmtId="0" fontId="21" fillId="0" borderId="0" xfId="0" applyFont="1"/>
    <xf numFmtId="0" fontId="0" fillId="2" borderId="45" xfId="0" applyNumberFormat="1" applyFont="1" applyFill="1" applyBorder="1"/>
    <xf numFmtId="0" fontId="0" fillId="11" borderId="43" xfId="0" applyNumberFormat="1" applyFont="1" applyFill="1" applyBorder="1"/>
    <xf numFmtId="0" fontId="0" fillId="13" borderId="45" xfId="0" applyNumberFormat="1" applyFont="1" applyFill="1" applyBorder="1"/>
    <xf numFmtId="0" fontId="0" fillId="0" borderId="0" xfId="0" applyFont="1" applyAlignment="1">
      <alignment horizontal="left" wrapText="1"/>
    </xf>
    <xf numFmtId="38" fontId="5" fillId="5" borderId="64" xfId="4" applyNumberFormat="1" applyFont="1" applyFill="1" applyBorder="1"/>
    <xf numFmtId="38" fontId="0" fillId="5" borderId="56" xfId="0" applyNumberFormat="1" applyFill="1" applyBorder="1"/>
    <xf numFmtId="0" fontId="0" fillId="0" borderId="79" xfId="0" applyBorder="1" applyAlignment="1">
      <alignment horizontal="center"/>
    </xf>
    <xf numFmtId="0" fontId="0" fillId="0" borderId="68" xfId="0" applyBorder="1" applyAlignment="1">
      <alignment horizontal="center"/>
    </xf>
    <xf numFmtId="0" fontId="0" fillId="0" borderId="0" xfId="0" applyAlignment="1"/>
    <xf numFmtId="0" fontId="0" fillId="0" borderId="0" xfId="0" applyFont="1" applyAlignment="1">
      <alignment vertical="top" wrapText="1"/>
    </xf>
    <xf numFmtId="0" fontId="0" fillId="0" borderId="0" xfId="0" applyFont="1" applyAlignment="1">
      <alignment horizontal="left" vertical="top" wrapText="1"/>
    </xf>
    <xf numFmtId="0" fontId="6" fillId="0" borderId="0" xfId="0" applyFont="1" applyAlignment="1">
      <alignment horizontal="left" vertical="top"/>
    </xf>
    <xf numFmtId="0" fontId="0" fillId="0" borderId="0" xfId="0" applyFont="1" applyAlignment="1"/>
    <xf numFmtId="0" fontId="0" fillId="0" borderId="0" xfId="0" applyFont="1" applyAlignment="1">
      <alignment horizontal="left" vertical="top"/>
    </xf>
    <xf numFmtId="0" fontId="0" fillId="0" borderId="0" xfId="0" applyFont="1" applyAlignment="1">
      <alignment vertical="top"/>
    </xf>
    <xf numFmtId="0" fontId="7" fillId="0" borderId="0" xfId="0" applyFont="1" applyAlignment="1">
      <alignment horizontal="left" wrapText="1"/>
    </xf>
    <xf numFmtId="0" fontId="21" fillId="0" borderId="0" xfId="0" applyFont="1" applyAlignment="1">
      <alignment horizontal="left"/>
    </xf>
    <xf numFmtId="0" fontId="5" fillId="5" borderId="80" xfId="4" applyNumberFormat="1" applyFont="1" applyFill="1" applyBorder="1" applyAlignment="1">
      <alignment horizontal="left"/>
    </xf>
    <xf numFmtId="0" fontId="0" fillId="13" borderId="49" xfId="0" applyFill="1" applyBorder="1"/>
    <xf numFmtId="0" fontId="17" fillId="12" borderId="64" xfId="0" applyFont="1" applyFill="1" applyBorder="1"/>
    <xf numFmtId="0" fontId="0" fillId="0" borderId="0" xfId="0" applyFont="1" applyFill="1"/>
    <xf numFmtId="172" fontId="0" fillId="8" borderId="11" xfId="0" applyNumberFormat="1" applyFill="1" applyBorder="1"/>
    <xf numFmtId="0" fontId="0" fillId="8" borderId="10" xfId="0" applyFill="1" applyBorder="1"/>
    <xf numFmtId="0" fontId="0" fillId="8" borderId="11" xfId="0" applyFill="1" applyBorder="1" applyAlignment="1">
      <alignment horizontal="left" vertical="top"/>
    </xf>
    <xf numFmtId="0" fontId="0" fillId="8" borderId="7" xfId="0" applyFill="1" applyBorder="1"/>
    <xf numFmtId="0" fontId="0" fillId="8" borderId="8" xfId="0" applyFill="1" applyBorder="1"/>
    <xf numFmtId="0" fontId="0" fillId="8" borderId="50" xfId="0" applyFill="1" applyBorder="1"/>
    <xf numFmtId="0" fontId="0" fillId="8" borderId="13" xfId="0" applyFill="1" applyBorder="1"/>
    <xf numFmtId="0" fontId="0" fillId="8" borderId="14" xfId="0" applyFill="1" applyBorder="1"/>
    <xf numFmtId="0" fontId="0" fillId="8" borderId="12" xfId="0" applyFill="1" applyBorder="1"/>
    <xf numFmtId="0" fontId="0" fillId="0" borderId="51" xfId="0" applyBorder="1" applyAlignment="1">
      <alignment horizontal="center"/>
    </xf>
    <xf numFmtId="171" fontId="0" fillId="5" borderId="81" xfId="0" applyNumberFormat="1" applyFill="1" applyBorder="1" applyAlignment="1">
      <alignment horizontal="center"/>
    </xf>
    <xf numFmtId="171" fontId="0" fillId="5" borderId="58" xfId="0" applyNumberFormat="1" applyFill="1" applyBorder="1" applyAlignment="1">
      <alignment horizontal="center"/>
    </xf>
    <xf numFmtId="171" fontId="0" fillId="5" borderId="61" xfId="0" applyNumberFormat="1" applyFill="1" applyBorder="1" applyAlignment="1">
      <alignment horizontal="center"/>
    </xf>
    <xf numFmtId="171" fontId="0" fillId="5" borderId="0" xfId="0" applyNumberFormat="1" applyFill="1" applyBorder="1" applyAlignment="1">
      <alignment horizontal="center"/>
    </xf>
    <xf numFmtId="171" fontId="0" fillId="5" borderId="68" xfId="0" applyNumberFormat="1" applyFill="1" applyBorder="1" applyAlignment="1">
      <alignment horizontal="center"/>
    </xf>
    <xf numFmtId="171" fontId="0" fillId="5" borderId="56" xfId="0" applyNumberFormat="1" applyFill="1" applyBorder="1" applyAlignment="1">
      <alignment horizontal="center"/>
    </xf>
    <xf numFmtId="171" fontId="0" fillId="5" borderId="60" xfId="0" applyNumberFormat="1" applyFill="1" applyBorder="1" applyAlignment="1">
      <alignment horizontal="center"/>
    </xf>
    <xf numFmtId="171" fontId="0" fillId="2" borderId="56" xfId="0" applyNumberFormat="1" applyFill="1" applyBorder="1"/>
    <xf numFmtId="171" fontId="0" fillId="2" borderId="0" xfId="0" applyNumberFormat="1" applyFill="1" applyAlignment="1">
      <alignment vertical="top"/>
    </xf>
    <xf numFmtId="0" fontId="0" fillId="6" borderId="0" xfId="0" applyFill="1" applyBorder="1" applyAlignment="1">
      <alignment horizontal="center" vertical="top"/>
    </xf>
    <xf numFmtId="0" fontId="0" fillId="4" borderId="0" xfId="0" applyFill="1" applyBorder="1" applyAlignment="1">
      <alignment horizontal="right"/>
    </xf>
    <xf numFmtId="0" fontId="0" fillId="15" borderId="43" xfId="0" applyFont="1" applyFill="1" applyBorder="1"/>
    <xf numFmtId="0" fontId="0" fillId="15" borderId="50" xfId="0" applyFont="1" applyFill="1" applyBorder="1"/>
    <xf numFmtId="0" fontId="0" fillId="15" borderId="8" xfId="0" applyFont="1" applyFill="1" applyBorder="1"/>
    <xf numFmtId="0" fontId="0" fillId="0" borderId="0" xfId="0" applyBorder="1" applyAlignment="1">
      <alignment horizontal="left" wrapText="1"/>
    </xf>
    <xf numFmtId="0" fontId="0" fillId="0" borderId="56" xfId="0" applyBorder="1" applyAlignment="1">
      <alignment horizontal="left" wrapText="1"/>
    </xf>
    <xf numFmtId="172" fontId="0" fillId="5" borderId="56" xfId="0" applyNumberFormat="1" applyFill="1" applyBorder="1" applyAlignment="1">
      <alignment horizontal="right"/>
    </xf>
    <xf numFmtId="0" fontId="0" fillId="0" borderId="62" xfId="0" applyBorder="1" applyAlignment="1">
      <alignment horizontal="left" wrapText="1"/>
    </xf>
    <xf numFmtId="167" fontId="0" fillId="8" borderId="8" xfId="0" applyNumberFormat="1" applyFill="1" applyBorder="1" applyAlignment="1">
      <alignment horizontal="center"/>
    </xf>
    <xf numFmtId="167" fontId="0" fillId="8" borderId="11" xfId="0" applyNumberFormat="1" applyFill="1" applyBorder="1" applyAlignment="1">
      <alignment horizontal="center"/>
    </xf>
    <xf numFmtId="167" fontId="0" fillId="8" borderId="14" xfId="0" applyNumberFormat="1" applyFill="1" applyBorder="1" applyAlignment="1">
      <alignment horizontal="center"/>
    </xf>
    <xf numFmtId="0" fontId="0" fillId="0" borderId="32" xfId="0" applyFill="1" applyBorder="1" applyAlignment="1">
      <alignment horizontal="left" wrapText="1"/>
    </xf>
    <xf numFmtId="0" fontId="0" fillId="0" borderId="70" xfId="0" applyBorder="1" applyAlignment="1">
      <alignment horizontal="left" wrapText="1"/>
    </xf>
    <xf numFmtId="0" fontId="0" fillId="0" borderId="32" xfId="0" applyBorder="1" applyAlignment="1">
      <alignment horizontal="left" wrapText="1"/>
    </xf>
    <xf numFmtId="0" fontId="0" fillId="0" borderId="30" xfId="0" applyBorder="1" applyAlignment="1">
      <alignment horizontal="left" wrapText="1"/>
    </xf>
    <xf numFmtId="0" fontId="5" fillId="0" borderId="64" xfId="4" applyNumberFormat="1" applyFont="1" applyBorder="1" applyAlignment="1">
      <alignment horizontal="center"/>
    </xf>
    <xf numFmtId="0" fontId="0" fillId="0" borderId="68" xfId="0" applyBorder="1" applyAlignment="1">
      <alignment horizontal="left" wrapText="1"/>
    </xf>
    <xf numFmtId="0" fontId="0" fillId="0" borderId="82" xfId="0" applyBorder="1" applyAlignment="1">
      <alignment horizontal="left" wrapText="1"/>
    </xf>
    <xf numFmtId="0" fontId="0" fillId="0" borderId="79" xfId="0" applyBorder="1" applyAlignment="1">
      <alignment horizontal="left" wrapText="1"/>
    </xf>
    <xf numFmtId="0" fontId="0" fillId="0" borderId="83" xfId="0" applyBorder="1" applyAlignment="1">
      <alignment horizontal="left" wrapText="1"/>
    </xf>
    <xf numFmtId="0" fontId="0" fillId="0" borderId="0" xfId="0" applyBorder="1" applyAlignment="1">
      <alignment wrapText="1"/>
    </xf>
    <xf numFmtId="0" fontId="0" fillId="0" borderId="0" xfId="0" applyFont="1" applyAlignment="1">
      <alignment horizontal="left" wrapText="1"/>
    </xf>
    <xf numFmtId="0" fontId="0" fillId="0" borderId="0" xfId="0" applyAlignment="1">
      <alignment horizontal="left" wrapText="1"/>
    </xf>
    <xf numFmtId="0" fontId="0" fillId="0" borderId="0" xfId="0" applyBorder="1" applyAlignment="1">
      <alignment horizontal="left" wrapText="1"/>
    </xf>
    <xf numFmtId="0" fontId="7" fillId="0" borderId="0" xfId="0" applyFont="1" applyAlignment="1">
      <alignment horizontal="left" wrapText="1"/>
    </xf>
    <xf numFmtId="0" fontId="22" fillId="0" borderId="0" xfId="0" applyFont="1" applyAlignment="1">
      <alignment horizontal="center" vertical="top" wrapText="1"/>
    </xf>
    <xf numFmtId="0" fontId="0" fillId="0" borderId="0" xfId="0" applyFont="1" applyAlignment="1">
      <alignment horizontal="left" vertical="top" wrapText="1"/>
    </xf>
    <xf numFmtId="167" fontId="0" fillId="13" borderId="54" xfId="0" applyNumberFormat="1" applyFill="1" applyBorder="1" applyAlignment="1">
      <alignment horizontal="center"/>
    </xf>
    <xf numFmtId="167" fontId="0" fillId="13" borderId="55" xfId="0" applyNumberFormat="1" applyFill="1" applyBorder="1" applyAlignment="1">
      <alignment horizontal="center"/>
    </xf>
    <xf numFmtId="0" fontId="0" fillId="0" borderId="35" xfId="0" applyBorder="1" applyAlignment="1">
      <alignment horizontal="center"/>
    </xf>
    <xf numFmtId="0" fontId="0" fillId="0" borderId="52" xfId="0" applyBorder="1" applyAlignment="1">
      <alignment horizontal="center"/>
    </xf>
    <xf numFmtId="167" fontId="0" fillId="13" borderId="45" xfId="0" applyNumberFormat="1" applyFill="1" applyBorder="1" applyAlignment="1">
      <alignment horizontal="center"/>
    </xf>
    <xf numFmtId="167" fontId="0" fillId="13" borderId="53" xfId="0" applyNumberFormat="1" applyFill="1" applyBorder="1" applyAlignment="1">
      <alignment horizontal="center"/>
    </xf>
    <xf numFmtId="0" fontId="6" fillId="0" borderId="0" xfId="0" applyFont="1" applyAlignment="1">
      <alignment horizontal="left" wrapText="1"/>
    </xf>
    <xf numFmtId="0" fontId="0" fillId="6" borderId="45" xfId="0" applyFill="1" applyBorder="1" applyAlignment="1">
      <alignment horizontal="left"/>
    </xf>
    <xf numFmtId="0" fontId="0" fillId="6" borderId="38" xfId="0" applyFill="1" applyBorder="1" applyAlignment="1">
      <alignment horizontal="left"/>
    </xf>
    <xf numFmtId="0" fontId="0" fillId="6" borderId="39" xfId="0" applyFill="1" applyBorder="1" applyAlignment="1">
      <alignment horizontal="left"/>
    </xf>
    <xf numFmtId="0" fontId="7" fillId="0" borderId="0" xfId="0" applyFont="1" applyAlignment="1">
      <alignment horizontal="center" wrapText="1"/>
    </xf>
    <xf numFmtId="0" fontId="20" fillId="0" borderId="0" xfId="0" applyFont="1" applyAlignment="1">
      <alignment horizontal="left" wrapText="1"/>
    </xf>
  </cellXfs>
  <cellStyles count="5">
    <cellStyle name="Comma" xfId="4" builtinId="3"/>
    <cellStyle name="Hyperlink" xfId="1" builtinId="8"/>
    <cellStyle name="Normal" xfId="0" builtinId="0"/>
    <cellStyle name="Normal 2" xfId="2"/>
    <cellStyle name="Percent" xfId="3" builtinId="5"/>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http://ec.europa.eu/budget/contracts_grants/info_contracts/inforeuro/inforeuro_en.cfm" TargetMode="External" Type="http://schemas.openxmlformats.org/officeDocument/2006/relationships/hyperlink"/>
<Relationship Id="rId2" Target="http://epp.eurostat.ec.europa.eu/tgm/download.do?tab=table&amp;plugin=1&amp;language=en&amp;pcode=tec00114" TargetMode="External" Type="http://schemas.openxmlformats.org/officeDocument/2006/relationships/hyperlink"/>
<Relationship Id="rId3" Target="https://www.gov.uk/government/uploads/system/uploads/attachment_data/file/51151/msb-technical-report.pdf" TargetMode="External" Type="http://schemas.openxmlformats.org/officeDocument/2006/relationships/hyperlink"/>
<Relationship Id="rId4" Target="http://www.dft.gov.uk/webtag/documents/archive/1208/unit3.9.5.pdf" TargetMode="External" Type="http://schemas.openxmlformats.org/officeDocument/2006/relationships/hyperlink"/>
<Relationship Id="rId5" Target="http://www.theaa.com/resources/Documents/pdf/motoring-advice/running-costs/petrol2013.pdf" TargetMode="External" Type="http://schemas.openxmlformats.org/officeDocument/2006/relationships/hyperlink"/>
<Relationship Id="rId6" Target="http://www.vtpi.org/tca/tca0510.pdf" TargetMode="External" Type="http://schemas.openxmlformats.org/officeDocument/2006/relationships/hyperlink"/>
<Relationship Id="rId7" Target="../printerSettings/printerSettings8.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dimension ref="A1:AB59"/>
  <sheetViews>
    <sheetView tabSelected="1" zoomScale="90" zoomScaleNormal="90" workbookViewId="0">
      <selection sqref="A1:XFD12"/>
    </sheetView>
  </sheetViews>
  <sheetFormatPr defaultRowHeight="14.4"/>
  <cols>
    <col min="1" max="1" width="19" customWidth="1"/>
    <col min="2" max="3" width="15.6640625" customWidth="1"/>
    <col min="4" max="9" width="17.6640625" customWidth="1"/>
    <col min="10" max="10" width="5.6640625" customWidth="1"/>
    <col min="11" max="11" width="15.6640625" customWidth="1"/>
    <col min="12" max="17" width="17.6640625" customWidth="1"/>
    <col min="18" max="18" width="15.6640625" customWidth="1"/>
    <col min="19" max="19" width="24.5546875" customWidth="1"/>
    <col min="20" max="26" width="15.6640625" customWidth="1"/>
    <col min="27" max="27" width="18" customWidth="1"/>
    <col min="28" max="29" width="15.6640625" customWidth="1"/>
  </cols>
  <sheetData>
    <row r="1" spans="1:9">
      <c r="A1" s="351" t="s">
        <v>223</v>
      </c>
    </row>
    <row r="2" spans="1:9" ht="30.75" customHeight="1">
      <c r="A2" s="416" t="s">
        <v>225</v>
      </c>
      <c r="B2" s="416"/>
      <c r="C2" s="416"/>
      <c r="D2" s="416"/>
      <c r="E2" s="416"/>
      <c r="F2" s="416"/>
      <c r="G2" s="416"/>
      <c r="H2" s="416"/>
      <c r="I2" s="413"/>
    </row>
    <row r="3" spans="1:9">
      <c r="A3" s="352" t="s">
        <v>180</v>
      </c>
      <c r="B3" s="350"/>
      <c r="C3" s="350"/>
      <c r="D3" s="350"/>
      <c r="E3" s="255"/>
    </row>
    <row r="4" spans="1:9">
      <c r="A4" s="369" t="s">
        <v>239</v>
      </c>
      <c r="B4" s="348"/>
      <c r="C4" s="348"/>
      <c r="D4" s="348"/>
      <c r="E4" s="349"/>
      <c r="F4" s="5"/>
      <c r="G4" s="5"/>
    </row>
    <row r="5" spans="1:9">
      <c r="A5" s="353" t="s">
        <v>218</v>
      </c>
      <c r="B5" s="344"/>
      <c r="C5" s="344"/>
      <c r="D5" s="344"/>
      <c r="E5" s="345"/>
    </row>
    <row r="6" spans="1:9">
      <c r="A6" s="354" t="s">
        <v>220</v>
      </c>
      <c r="B6" s="346"/>
      <c r="C6" s="346"/>
      <c r="D6" s="346"/>
      <c r="E6" s="347"/>
    </row>
    <row r="7" spans="1:9">
      <c r="A7" s="417"/>
      <c r="B7" s="417"/>
      <c r="C7" s="417"/>
      <c r="D7" s="417"/>
      <c r="E7" s="417"/>
      <c r="F7" s="417"/>
      <c r="G7" s="417"/>
      <c r="H7" s="417"/>
      <c r="I7" s="417"/>
    </row>
    <row r="8" spans="1:9">
      <c r="A8" s="368" t="s">
        <v>238</v>
      </c>
      <c r="B8" s="367"/>
      <c r="C8" s="367"/>
      <c r="D8" s="367"/>
      <c r="E8" s="367"/>
      <c r="F8" s="367"/>
      <c r="G8" s="367"/>
      <c r="H8" s="367"/>
      <c r="I8" s="367"/>
    </row>
    <row r="9" spans="1:9" ht="14.4" customHeight="1">
      <c r="A9" s="415" t="s">
        <v>282</v>
      </c>
      <c r="B9" s="415"/>
      <c r="C9" s="415"/>
      <c r="D9" s="415"/>
      <c r="E9" s="415"/>
      <c r="F9" s="415"/>
      <c r="G9" s="415"/>
      <c r="H9" s="415"/>
    </row>
    <row r="10" spans="1:9">
      <c r="A10" s="337"/>
      <c r="B10" s="337"/>
      <c r="C10" s="337"/>
      <c r="D10" s="337"/>
      <c r="E10" s="337"/>
    </row>
    <row r="11" spans="1:9">
      <c r="A11" s="160" t="s">
        <v>237</v>
      </c>
    </row>
    <row r="12" spans="1:9" ht="14.4" customHeight="1">
      <c r="A12" s="415" t="s">
        <v>221</v>
      </c>
      <c r="B12" s="415"/>
      <c r="C12" s="415"/>
      <c r="D12" s="415"/>
      <c r="E12" s="415"/>
      <c r="F12" s="415"/>
      <c r="G12" s="415"/>
      <c r="H12" s="415"/>
    </row>
    <row r="13" spans="1:9">
      <c r="A13" s="415" t="s">
        <v>222</v>
      </c>
      <c r="B13" s="415"/>
      <c r="C13" s="415"/>
      <c r="D13" s="415"/>
      <c r="E13" s="415"/>
      <c r="F13" s="337"/>
      <c r="G13" s="337"/>
    </row>
    <row r="14" spans="1:9" ht="14.4" customHeight="1">
      <c r="A14" s="415" t="s">
        <v>224</v>
      </c>
      <c r="B14" s="415"/>
      <c r="C14" s="415"/>
      <c r="D14" s="415"/>
      <c r="E14" s="415"/>
      <c r="F14" s="337"/>
      <c r="G14" s="337"/>
    </row>
    <row r="15" spans="1:9">
      <c r="E15" s="5"/>
    </row>
    <row r="16" spans="1:9" ht="18.600000000000001" thickBot="1">
      <c r="A16" s="325" t="s">
        <v>114</v>
      </c>
      <c r="D16" s="325" t="s">
        <v>179</v>
      </c>
      <c r="E16" s="89"/>
      <c r="F16" s="5"/>
      <c r="G16" s="5"/>
    </row>
    <row r="17" spans="1:28" ht="15" thickTop="1">
      <c r="A17" s="215" t="s">
        <v>11</v>
      </c>
      <c r="B17" s="119" t="s">
        <v>81</v>
      </c>
      <c r="D17" s="215" t="s">
        <v>107</v>
      </c>
      <c r="E17" s="287">
        <f>S44</f>
        <v>-1786107.7886898059</v>
      </c>
      <c r="F17" s="339"/>
      <c r="G17" s="170"/>
    </row>
    <row r="18" spans="1:28">
      <c r="A18" s="187" t="s">
        <v>115</v>
      </c>
      <c r="B18" s="119">
        <v>200000</v>
      </c>
      <c r="D18" s="187" t="s">
        <v>106</v>
      </c>
      <c r="E18" s="287">
        <f>Y44</f>
        <v>306570.89717388828</v>
      </c>
    </row>
    <row r="19" spans="1:28">
      <c r="A19" s="187" t="s">
        <v>207</v>
      </c>
      <c r="B19" s="119">
        <v>2014</v>
      </c>
      <c r="D19" s="187" t="s">
        <v>128</v>
      </c>
      <c r="E19" s="287">
        <f>AA44</f>
        <v>-2092678.6858636942</v>
      </c>
    </row>
    <row r="20" spans="1:28">
      <c r="A20" s="187" t="s">
        <v>219</v>
      </c>
      <c r="B20" s="226">
        <f>B19+14</f>
        <v>2028</v>
      </c>
      <c r="D20" s="187" t="s">
        <v>129</v>
      </c>
      <c r="E20" s="211">
        <f>E17/E18</f>
        <v>-5.8260839667266859</v>
      </c>
      <c r="F20" t="s">
        <v>216</v>
      </c>
    </row>
    <row r="21" spans="1:28">
      <c r="A21" s="187" t="s">
        <v>10</v>
      </c>
      <c r="B21" s="226">
        <v>300</v>
      </c>
    </row>
    <row r="22" spans="1:28">
      <c r="A22" s="187" t="s">
        <v>12</v>
      </c>
      <c r="B22" s="226">
        <v>3.5</v>
      </c>
      <c r="D22" s="170"/>
      <c r="E22" s="288"/>
    </row>
    <row r="23" spans="1:28" ht="18">
      <c r="B23" s="5"/>
      <c r="C23" s="5"/>
      <c r="D23" s="5"/>
      <c r="E23" s="5"/>
      <c r="F23" s="5"/>
      <c r="G23" s="5"/>
      <c r="H23" s="5"/>
      <c r="I23" s="5"/>
      <c r="J23" s="5"/>
      <c r="K23" s="5"/>
      <c r="L23" s="5"/>
      <c r="M23" s="5"/>
      <c r="N23" s="5"/>
      <c r="O23" s="5"/>
      <c r="P23" s="5"/>
      <c r="Q23" s="5"/>
      <c r="R23" s="5"/>
      <c r="S23" s="5"/>
      <c r="U23" s="322" t="s">
        <v>3</v>
      </c>
      <c r="V23" s="306"/>
      <c r="W23" s="306"/>
      <c r="X23" s="306"/>
      <c r="Y23" s="306"/>
      <c r="Z23" s="5"/>
    </row>
    <row r="24" spans="1:28" ht="18">
      <c r="A24" s="302" t="s">
        <v>1</v>
      </c>
      <c r="B24" s="294"/>
      <c r="C24" s="294"/>
      <c r="D24" s="294"/>
      <c r="E24" s="294"/>
      <c r="F24" s="294"/>
      <c r="G24" s="294"/>
      <c r="H24" s="294"/>
      <c r="I24" s="294"/>
      <c r="J24" s="112"/>
      <c r="K24" s="304" t="s">
        <v>2</v>
      </c>
      <c r="L24" s="305"/>
      <c r="M24" s="305"/>
      <c r="N24" s="305"/>
      <c r="O24" s="304"/>
      <c r="P24" s="304"/>
      <c r="Q24" s="305"/>
      <c r="R24" s="112"/>
      <c r="S24" s="5"/>
      <c r="T24" s="112"/>
      <c r="U24" s="295" t="s">
        <v>1</v>
      </c>
      <c r="V24" s="294"/>
      <c r="W24" s="323" t="s">
        <v>2</v>
      </c>
      <c r="X24" s="324"/>
      <c r="Y24" s="306"/>
      <c r="Z24" s="112"/>
      <c r="AA24" s="5"/>
    </row>
    <row r="25" spans="1:28" ht="43.2">
      <c r="A25" s="359" t="s">
        <v>148</v>
      </c>
      <c r="B25" s="360"/>
      <c r="C25" s="359" t="s">
        <v>0</v>
      </c>
      <c r="D25" s="409" t="s">
        <v>5</v>
      </c>
      <c r="E25" s="409" t="s">
        <v>6</v>
      </c>
      <c r="F25" s="409" t="s">
        <v>7</v>
      </c>
      <c r="G25" s="409" t="s">
        <v>85</v>
      </c>
      <c r="H25" s="409" t="s">
        <v>171</v>
      </c>
      <c r="I25" s="410" t="s">
        <v>172</v>
      </c>
      <c r="J25" s="299"/>
      <c r="K25" s="358" t="s">
        <v>0</v>
      </c>
      <c r="L25" s="409" t="s">
        <v>5</v>
      </c>
      <c r="M25" s="409" t="s">
        <v>6</v>
      </c>
      <c r="N25" s="409" t="s">
        <v>7</v>
      </c>
      <c r="O25" s="409" t="s">
        <v>85</v>
      </c>
      <c r="P25" s="409" t="s">
        <v>171</v>
      </c>
      <c r="Q25" s="410" t="s">
        <v>173</v>
      </c>
      <c r="R25" s="129"/>
      <c r="S25" s="412" t="s">
        <v>4</v>
      </c>
      <c r="T25" s="129"/>
      <c r="U25" s="411" t="s">
        <v>275</v>
      </c>
      <c r="V25" s="409" t="s">
        <v>276</v>
      </c>
      <c r="W25" s="411" t="s">
        <v>275</v>
      </c>
      <c r="X25" s="409" t="s">
        <v>276</v>
      </c>
      <c r="Y25" s="410" t="s">
        <v>99</v>
      </c>
      <c r="Z25" s="129"/>
      <c r="AA25" s="411" t="s">
        <v>8</v>
      </c>
      <c r="AB25" s="2"/>
    </row>
    <row r="26" spans="1:28">
      <c r="A26" s="92">
        <v>0</v>
      </c>
      <c r="B26" s="252" t="str">
        <f>IF($B$19=2013, "Starting year --&gt;","" )</f>
        <v/>
      </c>
      <c r="C26" s="334">
        <v>2013</v>
      </c>
      <c r="D26" s="297">
        <f>Time!N26</f>
        <v>0</v>
      </c>
      <c r="E26" s="298">
        <f>'Op cost New Public Vehicles'!J15+'Op cost NO New Vehicles'!E14+'Op cost New Public Vehicles'!D41</f>
        <v>0</v>
      </c>
      <c r="F26" s="297">
        <f>'Pollutants Public Transport'!F16+'Pollutants New Vehicles'!I29+'Pollutants Private Cars'!E13</f>
        <v>0</v>
      </c>
      <c r="G26" s="310">
        <f>Noise!E10</f>
        <v>0</v>
      </c>
      <c r="H26" s="297">
        <f>Safety!D14</f>
        <v>0</v>
      </c>
      <c r="I26" s="318">
        <f t="shared" ref="I26:I43" si="0">(SUM(D26:H26)/(1+$B$22/100)^A26)</f>
        <v>0</v>
      </c>
      <c r="J26" s="320"/>
      <c r="K26" s="408">
        <f t="shared" ref="K26:K43" si="1">C26</f>
        <v>2013</v>
      </c>
      <c r="L26" s="297">
        <f>Time!AB26</f>
        <v>0</v>
      </c>
      <c r="M26" s="298">
        <f>'Op cost NO New Vehicles'!J14+'Op cost New Public Vehicles'!T15+'Op cost New Public Vehicles'!I41</f>
        <v>0</v>
      </c>
      <c r="N26" s="310">
        <f>+'Pollutants New Vehicles'!R29+'Pollutants Public Transport'!L16+'Pollutants Private Cars'!J13</f>
        <v>0</v>
      </c>
      <c r="O26" s="310">
        <f>Noise!J10</f>
        <v>0</v>
      </c>
      <c r="P26" s="297">
        <f>Safety!H14</f>
        <v>0</v>
      </c>
      <c r="Q26" s="318">
        <f t="shared" ref="Q26:Q43" si="2">SUM(L26:P26)/(1+$B$22/100)^A26</f>
        <v>0</v>
      </c>
      <c r="R26" s="112"/>
      <c r="S26" s="340">
        <f t="shared" ref="S26:S43" si="3">I26-Q26</f>
        <v>0</v>
      </c>
      <c r="T26" s="112"/>
      <c r="U26" s="356">
        <f>'Construction Investment'!C20</f>
        <v>48600</v>
      </c>
      <c r="V26" s="356">
        <f>'Construction Investment'!D20</f>
        <v>0</v>
      </c>
      <c r="W26" s="357">
        <f>'Construction Investment'!G20</f>
        <v>364500</v>
      </c>
      <c r="X26" s="357">
        <f>'Construction Investment'!H20</f>
        <v>0</v>
      </c>
      <c r="Y26" s="318">
        <f t="shared" ref="Y26:Y43" si="4">(X26+W26-U26-V26)/(1+$B$22/100)^A26</f>
        <v>315900</v>
      </c>
      <c r="Z26" s="112"/>
      <c r="AA26" s="321">
        <f>S26-Y26</f>
        <v>-315900</v>
      </c>
      <c r="AB26" s="2"/>
    </row>
    <row r="27" spans="1:28">
      <c r="A27" s="92">
        <v>1</v>
      </c>
      <c r="B27" s="252" t="str">
        <f>IF($B$19=2014, "Starting year --&gt;","" )</f>
        <v>Starting year --&gt;</v>
      </c>
      <c r="C27" s="334">
        <v>2014</v>
      </c>
      <c r="D27" s="297">
        <f>Time!N27</f>
        <v>749329.19345507643</v>
      </c>
      <c r="E27" s="298">
        <f>'Op cost New Public Vehicles'!J16+'Op cost NO New Vehicles'!E15+'Op cost New Public Vehicles'!D42</f>
        <v>870183.68927036982</v>
      </c>
      <c r="F27" s="297">
        <f>'Pollutants Public Transport'!F17+'Pollutants New Vehicles'!I30+'Pollutants Private Cars'!E14</f>
        <v>8872.7272727556665</v>
      </c>
      <c r="G27" s="310">
        <f>Noise!E11</f>
        <v>0</v>
      </c>
      <c r="H27" s="297">
        <f>Safety!D15</f>
        <v>364415.58441675059</v>
      </c>
      <c r="I27" s="318">
        <f t="shared" si="0"/>
        <v>1925411.7820434326</v>
      </c>
      <c r="J27" s="320"/>
      <c r="K27" s="408">
        <f t="shared" si="1"/>
        <v>2014</v>
      </c>
      <c r="L27" s="297">
        <f>Time!AB27</f>
        <v>875792.05755878915</v>
      </c>
      <c r="M27" s="298">
        <f>'Op cost NO New Vehicles'!J15+'Op cost New Public Vehicles'!T16+'Op cost New Public Vehicles'!I42</f>
        <v>1078789.3682050477</v>
      </c>
      <c r="N27" s="310">
        <f>+'Pollutants New Vehicles'!R30+'Pollutants Public Transport'!L17+'Pollutants Private Cars'!J14</f>
        <v>11090.909090944582</v>
      </c>
      <c r="O27" s="310">
        <f>Noise!J11</f>
        <v>0</v>
      </c>
      <c r="P27" s="297">
        <f>Safety!H15</f>
        <v>182207.79220837529</v>
      </c>
      <c r="Q27" s="318">
        <f t="shared" si="2"/>
        <v>2075246.4995779293</v>
      </c>
      <c r="R27" s="112"/>
      <c r="S27" s="340">
        <f t="shared" si="3"/>
        <v>-149834.71753449668</v>
      </c>
      <c r="T27" s="112"/>
      <c r="U27" s="356">
        <f>'Construction Investment'!C21</f>
        <v>0</v>
      </c>
      <c r="V27" s="356">
        <f>'Construction Investment'!D21</f>
        <v>3240</v>
      </c>
      <c r="W27" s="357">
        <f>'Construction Investment'!G21</f>
        <v>0</v>
      </c>
      <c r="X27" s="357">
        <f>'Construction Investment'!H21</f>
        <v>2430</v>
      </c>
      <c r="Y27" s="318">
        <f t="shared" si="4"/>
        <v>-782.60869565217399</v>
      </c>
      <c r="Z27" s="112"/>
      <c r="AA27" s="321">
        <f>S27-Y27</f>
        <v>-149052.10883884452</v>
      </c>
      <c r="AB27" s="2"/>
    </row>
    <row r="28" spans="1:28">
      <c r="A28" s="92">
        <v>2</v>
      </c>
      <c r="B28" s="252" t="str">
        <f>IF($B$19=2015, "Starting year --&gt;","" )</f>
        <v/>
      </c>
      <c r="C28" s="334">
        <v>2015</v>
      </c>
      <c r="D28" s="297">
        <f>Time!N28</f>
        <v>749329.19345507643</v>
      </c>
      <c r="E28" s="298">
        <f>'Op cost New Public Vehicles'!J17+'Op cost NO New Vehicles'!E16+'Op cost New Public Vehicles'!D43</f>
        <v>870183.68927036982</v>
      </c>
      <c r="F28" s="297">
        <f>'Pollutants Public Transport'!F18+'Pollutants New Vehicles'!I31+'Pollutants Private Cars'!E15</f>
        <v>8872.7272727556665</v>
      </c>
      <c r="G28" s="310">
        <f>Noise!E12</f>
        <v>0</v>
      </c>
      <c r="H28" s="297">
        <f>Safety!D16</f>
        <v>364415.58441675059</v>
      </c>
      <c r="I28" s="318">
        <f t="shared" si="0"/>
        <v>1860301.2386893069</v>
      </c>
      <c r="J28" s="284"/>
      <c r="K28" s="408">
        <f t="shared" si="1"/>
        <v>2015</v>
      </c>
      <c r="L28" s="297">
        <f>Time!AB28</f>
        <v>875792.05755878915</v>
      </c>
      <c r="M28" s="298">
        <f>'Op cost NO New Vehicles'!J16+'Op cost New Public Vehicles'!T17+'Op cost New Public Vehicles'!I43</f>
        <v>1078789.3682050477</v>
      </c>
      <c r="N28" s="310">
        <f>+'Pollutants New Vehicles'!R31+'Pollutants Public Transport'!L18+'Pollutants Private Cars'!J15</f>
        <v>11090.909090944582</v>
      </c>
      <c r="O28" s="310">
        <f>Noise!J12</f>
        <v>0</v>
      </c>
      <c r="P28" s="297">
        <f>Safety!H16</f>
        <v>182207.79220837529</v>
      </c>
      <c r="Q28" s="318">
        <f t="shared" si="2"/>
        <v>2005069.0817178062</v>
      </c>
      <c r="R28" s="284"/>
      <c r="S28" s="340">
        <f t="shared" si="3"/>
        <v>-144767.84302849928</v>
      </c>
      <c r="T28" s="284"/>
      <c r="U28" s="356">
        <f>'Construction Investment'!C22</f>
        <v>0</v>
      </c>
      <c r="V28" s="356">
        <f>'Construction Investment'!D22</f>
        <v>3240</v>
      </c>
      <c r="W28" s="357">
        <f>'Construction Investment'!G22</f>
        <v>0</v>
      </c>
      <c r="X28" s="357">
        <f>'Construction Investment'!H22</f>
        <v>2430</v>
      </c>
      <c r="Y28" s="318">
        <f t="shared" si="4"/>
        <v>-756.14366729678648</v>
      </c>
      <c r="Z28" s="284"/>
      <c r="AA28" s="321">
        <f>S28-Y28</f>
        <v>-144011.69936120248</v>
      </c>
    </row>
    <row r="29" spans="1:28">
      <c r="A29" s="92">
        <v>3</v>
      </c>
      <c r="B29" s="252" t="str">
        <f>IF($B$19=2016, "Starting year --&gt;","" )</f>
        <v/>
      </c>
      <c r="C29" s="334">
        <v>2016</v>
      </c>
      <c r="D29" s="297">
        <f>Time!N29</f>
        <v>749329.19345507643</v>
      </c>
      <c r="E29" s="298">
        <f>'Op cost New Public Vehicles'!J18+'Op cost NO New Vehicles'!E17+'Op cost New Public Vehicles'!D44</f>
        <v>870183.68927036982</v>
      </c>
      <c r="F29" s="297">
        <f>'Pollutants Public Transport'!F19+'Pollutants New Vehicles'!I32+'Pollutants Private Cars'!E16</f>
        <v>8872.7272727556665</v>
      </c>
      <c r="G29" s="310">
        <f>Noise!E13</f>
        <v>0</v>
      </c>
      <c r="H29" s="297">
        <f>Safety!D17</f>
        <v>364415.58441675059</v>
      </c>
      <c r="I29" s="318">
        <f t="shared" si="0"/>
        <v>1797392.5011490891</v>
      </c>
      <c r="J29" s="284"/>
      <c r="K29" s="408">
        <f t="shared" si="1"/>
        <v>2016</v>
      </c>
      <c r="L29" s="297">
        <f>Time!AB29</f>
        <v>875792.05755878915</v>
      </c>
      <c r="M29" s="298">
        <f>'Op cost NO New Vehicles'!J17+'Op cost New Public Vehicles'!T18+'Op cost New Public Vehicles'!I44</f>
        <v>1078789.3682050477</v>
      </c>
      <c r="N29" s="310">
        <f>+'Pollutants New Vehicles'!R32+'Pollutants Public Transport'!L19+'Pollutants Private Cars'!J16</f>
        <v>11090.909090944582</v>
      </c>
      <c r="O29" s="310">
        <f>Noise!J13</f>
        <v>0</v>
      </c>
      <c r="P29" s="297">
        <f>Safety!H17</f>
        <v>182207.79220837529</v>
      </c>
      <c r="Q29" s="318">
        <f t="shared" si="2"/>
        <v>1937264.8132539191</v>
      </c>
      <c r="R29" s="284"/>
      <c r="S29" s="340">
        <f t="shared" si="3"/>
        <v>-139872.31210483005</v>
      </c>
      <c r="T29" s="284"/>
      <c r="U29" s="356">
        <f>'Construction Investment'!C23</f>
        <v>0</v>
      </c>
      <c r="V29" s="356">
        <f>'Construction Investment'!D23</f>
        <v>3240</v>
      </c>
      <c r="W29" s="357">
        <f>'Construction Investment'!G23</f>
        <v>0</v>
      </c>
      <c r="X29" s="357">
        <f>'Construction Investment'!H23</f>
        <v>2430</v>
      </c>
      <c r="Y29" s="318">
        <f t="shared" si="4"/>
        <v>-730.57359159109808</v>
      </c>
      <c r="Z29" s="284"/>
      <c r="AA29" s="321">
        <f t="shared" ref="AA29:AA43" si="5">S29-Y29</f>
        <v>-139141.73851323896</v>
      </c>
    </row>
    <row r="30" spans="1:28">
      <c r="A30" s="92">
        <v>4</v>
      </c>
      <c r="B30" s="252" t="str">
        <f>IF($B$19=2017, "Starting year --&gt;","" )</f>
        <v/>
      </c>
      <c r="C30" s="334">
        <v>2017</v>
      </c>
      <c r="D30" s="297">
        <f>Time!N30</f>
        <v>749329.19345507643</v>
      </c>
      <c r="E30" s="298">
        <f>'Op cost New Public Vehicles'!J19+'Op cost NO New Vehicles'!E18+'Op cost New Public Vehicles'!D45</f>
        <v>870183.68927036982</v>
      </c>
      <c r="F30" s="297">
        <f>'Pollutants Public Transport'!F20+'Pollutants New Vehicles'!I33+'Pollutants Private Cars'!E17</f>
        <v>8872.7272727556665</v>
      </c>
      <c r="G30" s="310">
        <f>Noise!E14</f>
        <v>0</v>
      </c>
      <c r="H30" s="297">
        <f>Safety!D18</f>
        <v>364415.58441675059</v>
      </c>
      <c r="I30" s="318">
        <f t="shared" si="0"/>
        <v>1736611.112221342</v>
      </c>
      <c r="J30" s="284"/>
      <c r="K30" s="408">
        <f t="shared" si="1"/>
        <v>2017</v>
      </c>
      <c r="L30" s="297">
        <f>Time!AB30</f>
        <v>875792.05755878915</v>
      </c>
      <c r="M30" s="298">
        <f>'Op cost NO New Vehicles'!J18+'Op cost New Public Vehicles'!T19+'Op cost New Public Vehicles'!I45</f>
        <v>1078789.3682050477</v>
      </c>
      <c r="N30" s="310">
        <f>+'Pollutants New Vehicles'!R33+'Pollutants Public Transport'!L20+'Pollutants Private Cars'!J17</f>
        <v>11090.909090944582</v>
      </c>
      <c r="O30" s="310">
        <f>Noise!J14</f>
        <v>0</v>
      </c>
      <c r="P30" s="297">
        <f>Safety!H18</f>
        <v>182207.79220837529</v>
      </c>
      <c r="Q30" s="318">
        <f t="shared" si="2"/>
        <v>1871753.44275741</v>
      </c>
      <c r="R30" s="284"/>
      <c r="S30" s="340">
        <f t="shared" si="3"/>
        <v>-135142.33053606795</v>
      </c>
      <c r="T30" s="284"/>
      <c r="U30" s="356">
        <f>'Construction Investment'!C24</f>
        <v>0</v>
      </c>
      <c r="V30" s="356">
        <f>'Construction Investment'!D24</f>
        <v>3240</v>
      </c>
      <c r="W30" s="357">
        <f>'Construction Investment'!G24</f>
        <v>0</v>
      </c>
      <c r="X30" s="357">
        <f>'Construction Investment'!H24</f>
        <v>2430</v>
      </c>
      <c r="Y30" s="318">
        <f t="shared" si="4"/>
        <v>-705.86820443584361</v>
      </c>
      <c r="Z30" s="284"/>
      <c r="AA30" s="321">
        <f t="shared" si="5"/>
        <v>-134436.46233163209</v>
      </c>
    </row>
    <row r="31" spans="1:28">
      <c r="A31" s="92">
        <v>5</v>
      </c>
      <c r="B31" s="252" t="str">
        <f>IF($B$19=2018, "Starting year --&gt;","" )</f>
        <v/>
      </c>
      <c r="C31" s="334">
        <v>2018</v>
      </c>
      <c r="D31" s="297">
        <f>Time!N31</f>
        <v>749329.19345507643</v>
      </c>
      <c r="E31" s="298">
        <f>'Op cost New Public Vehicles'!J20+'Op cost NO New Vehicles'!E19+'Op cost New Public Vehicles'!D46</f>
        <v>870183.68927036982</v>
      </c>
      <c r="F31" s="297">
        <f>'Pollutants Public Transport'!F21+'Pollutants New Vehicles'!I34+'Pollutants Private Cars'!E18</f>
        <v>8872.7272727556665</v>
      </c>
      <c r="G31" s="310">
        <f>Noise!E15</f>
        <v>0</v>
      </c>
      <c r="H31" s="297">
        <f>Safety!D19</f>
        <v>364415.58441675059</v>
      </c>
      <c r="I31" s="318">
        <f t="shared" si="0"/>
        <v>1677885.1325810072</v>
      </c>
      <c r="J31" s="284"/>
      <c r="K31" s="408">
        <f t="shared" si="1"/>
        <v>2018</v>
      </c>
      <c r="L31" s="297">
        <f>Time!AB31</f>
        <v>875792.05755878915</v>
      </c>
      <c r="M31" s="298">
        <f>'Op cost NO New Vehicles'!J19+'Op cost New Public Vehicles'!T20+'Op cost New Public Vehicles'!I46</f>
        <v>1078789.3682050477</v>
      </c>
      <c r="N31" s="310">
        <f>+'Pollutants New Vehicles'!R34+'Pollutants Public Transport'!L21+'Pollutants Private Cars'!J18</f>
        <v>11090.909090944582</v>
      </c>
      <c r="O31" s="310">
        <f>Noise!J15</f>
        <v>0</v>
      </c>
      <c r="P31" s="297">
        <f>Safety!H19</f>
        <v>182207.79220837529</v>
      </c>
      <c r="Q31" s="318">
        <f t="shared" si="2"/>
        <v>1808457.4326158552</v>
      </c>
      <c r="R31" s="284"/>
      <c r="S31" s="340">
        <f t="shared" si="3"/>
        <v>-130572.30003484804</v>
      </c>
      <c r="T31" s="284"/>
      <c r="U31" s="356">
        <f>'Construction Investment'!C25</f>
        <v>0</v>
      </c>
      <c r="V31" s="356">
        <f>'Construction Investment'!D25</f>
        <v>3240</v>
      </c>
      <c r="W31" s="357">
        <f>'Construction Investment'!G25</f>
        <v>0</v>
      </c>
      <c r="X31" s="357">
        <f>'Construction Investment'!H25</f>
        <v>2430</v>
      </c>
      <c r="Y31" s="318">
        <f t="shared" si="4"/>
        <v>-681.99826515540462</v>
      </c>
      <c r="Z31" s="284"/>
      <c r="AA31" s="321">
        <f t="shared" si="5"/>
        <v>-129890.30176969264</v>
      </c>
    </row>
    <row r="32" spans="1:28">
      <c r="A32" s="92">
        <v>6</v>
      </c>
      <c r="B32" s="252" t="str">
        <f>IF($B$19=2019, "Starting year --&gt;","" )</f>
        <v/>
      </c>
      <c r="C32" s="334">
        <v>2019</v>
      </c>
      <c r="D32" s="297">
        <f>Time!N32</f>
        <v>749329.19345507643</v>
      </c>
      <c r="E32" s="298">
        <f>'Op cost New Public Vehicles'!J21+'Op cost NO New Vehicles'!E20+'Op cost New Public Vehicles'!D47</f>
        <v>870183.68927036982</v>
      </c>
      <c r="F32" s="297">
        <f>'Pollutants Public Transport'!F22+'Pollutants New Vehicles'!I35+'Pollutants Private Cars'!E19</f>
        <v>8872.7272727556665</v>
      </c>
      <c r="G32" s="310">
        <f>Noise!E16</f>
        <v>0</v>
      </c>
      <c r="H32" s="297">
        <f>Safety!D20</f>
        <v>364415.58441675059</v>
      </c>
      <c r="I32" s="318">
        <f t="shared" si="0"/>
        <v>1621145.0556338232</v>
      </c>
      <c r="J32" s="284"/>
      <c r="K32" s="408">
        <f t="shared" si="1"/>
        <v>2019</v>
      </c>
      <c r="L32" s="297">
        <f>Time!AB32</f>
        <v>875792.05755878915</v>
      </c>
      <c r="M32" s="298">
        <f>'Op cost NO New Vehicles'!J20+'Op cost New Public Vehicles'!T21+'Op cost New Public Vehicles'!I47</f>
        <v>1078789.3682050477</v>
      </c>
      <c r="N32" s="310">
        <f>+'Pollutants New Vehicles'!R35+'Pollutants Public Transport'!L22+'Pollutants Private Cars'!J19</f>
        <v>11090.909090944582</v>
      </c>
      <c r="O32" s="310">
        <f>Noise!J16</f>
        <v>0</v>
      </c>
      <c r="P32" s="297">
        <f>Safety!H20</f>
        <v>182207.79220837529</v>
      </c>
      <c r="Q32" s="318">
        <f t="shared" si="2"/>
        <v>1747301.8672616957</v>
      </c>
      <c r="R32" s="284"/>
      <c r="S32" s="340">
        <f t="shared" si="3"/>
        <v>-126156.81162787252</v>
      </c>
      <c r="T32" s="284"/>
      <c r="U32" s="356">
        <f>'Construction Investment'!C26</f>
        <v>0</v>
      </c>
      <c r="V32" s="356">
        <f>'Construction Investment'!D26</f>
        <v>3240</v>
      </c>
      <c r="W32" s="357">
        <f>'Construction Investment'!G26</f>
        <v>0</v>
      </c>
      <c r="X32" s="357">
        <f>'Construction Investment'!H26</f>
        <v>2430</v>
      </c>
      <c r="Y32" s="318">
        <f t="shared" si="4"/>
        <v>-658.9355218892797</v>
      </c>
      <c r="Z32" s="284"/>
      <c r="AA32" s="321">
        <f t="shared" si="5"/>
        <v>-125497.87610598325</v>
      </c>
    </row>
    <row r="33" spans="1:27">
      <c r="A33" s="92">
        <v>7</v>
      </c>
      <c r="B33" s="252" t="str">
        <f>IF($B$19=2020, "Starting year --&gt;","" )</f>
        <v/>
      </c>
      <c r="C33" s="334">
        <v>2020</v>
      </c>
      <c r="D33" s="297">
        <f>Time!N33</f>
        <v>749329.19345507643</v>
      </c>
      <c r="E33" s="298">
        <f>'Op cost New Public Vehicles'!J22+'Op cost NO New Vehicles'!E21+'Op cost New Public Vehicles'!D48</f>
        <v>870183.68927036982</v>
      </c>
      <c r="F33" s="297">
        <f>'Pollutants Public Transport'!F23+'Pollutants New Vehicles'!I36+'Pollutants Private Cars'!E20</f>
        <v>8872.7272727556665</v>
      </c>
      <c r="G33" s="310">
        <f>Noise!E17</f>
        <v>0</v>
      </c>
      <c r="H33" s="297">
        <f>Safety!D21</f>
        <v>364415.58441675059</v>
      </c>
      <c r="I33" s="318">
        <f t="shared" si="0"/>
        <v>1566323.7252500709</v>
      </c>
      <c r="J33" s="284"/>
      <c r="K33" s="408">
        <f t="shared" si="1"/>
        <v>2020</v>
      </c>
      <c r="L33" s="297">
        <f>Time!AB33</f>
        <v>875792.05755878915</v>
      </c>
      <c r="M33" s="298">
        <f>'Op cost NO New Vehicles'!J21+'Op cost New Public Vehicles'!T22+'Op cost New Public Vehicles'!I48</f>
        <v>1078789.3682050477</v>
      </c>
      <c r="N33" s="310">
        <f>+'Pollutants New Vehicles'!R36+'Pollutants Public Transport'!L23+'Pollutants Private Cars'!J20</f>
        <v>11090.909090944582</v>
      </c>
      <c r="O33" s="310">
        <f>Noise!J17</f>
        <v>0</v>
      </c>
      <c r="P33" s="297">
        <f>Safety!H21</f>
        <v>182207.79220837529</v>
      </c>
      <c r="Q33" s="318">
        <f t="shared" si="2"/>
        <v>1688214.364504054</v>
      </c>
      <c r="R33" s="284"/>
      <c r="S33" s="340">
        <f t="shared" si="3"/>
        <v>-121890.63925398304</v>
      </c>
      <c r="T33" s="284"/>
      <c r="U33" s="356">
        <f>'Construction Investment'!C27</f>
        <v>0</v>
      </c>
      <c r="V33" s="356">
        <f>'Construction Investment'!D27</f>
        <v>3240</v>
      </c>
      <c r="W33" s="357">
        <f>'Construction Investment'!G27</f>
        <v>0</v>
      </c>
      <c r="X33" s="357">
        <f>'Construction Investment'!H27</f>
        <v>2430</v>
      </c>
      <c r="Y33" s="318">
        <f t="shared" si="4"/>
        <v>-636.65267815389348</v>
      </c>
      <c r="Z33" s="284"/>
      <c r="AA33" s="321">
        <f t="shared" si="5"/>
        <v>-121253.98657582914</v>
      </c>
    </row>
    <row r="34" spans="1:27">
      <c r="A34" s="92">
        <v>8</v>
      </c>
      <c r="B34" s="252" t="str">
        <f>IF($B$19=2021, "Starting year --&gt;","" )</f>
        <v/>
      </c>
      <c r="C34" s="334">
        <v>2021</v>
      </c>
      <c r="D34" s="297">
        <f>Time!N34</f>
        <v>749329.19345507643</v>
      </c>
      <c r="E34" s="298">
        <f>'Op cost New Public Vehicles'!J23+'Op cost NO New Vehicles'!E22+'Op cost New Public Vehicles'!D49</f>
        <v>870183.68927036982</v>
      </c>
      <c r="F34" s="297">
        <f>'Pollutants Public Transport'!F24+'Pollutants New Vehicles'!I37+'Pollutants Private Cars'!E21</f>
        <v>8872.7272727556665</v>
      </c>
      <c r="G34" s="310">
        <f>Noise!E18</f>
        <v>0</v>
      </c>
      <c r="H34" s="297">
        <f>Safety!D22</f>
        <v>364415.58441675059</v>
      </c>
      <c r="I34" s="318">
        <f t="shared" si="0"/>
        <v>1513356.256280262</v>
      </c>
      <c r="J34" s="284"/>
      <c r="K34" s="408">
        <f t="shared" si="1"/>
        <v>2021</v>
      </c>
      <c r="L34" s="297">
        <f>Time!AB34</f>
        <v>875792.05755878915</v>
      </c>
      <c r="M34" s="298">
        <f>'Op cost NO New Vehicles'!J22+'Op cost New Public Vehicles'!T23+'Op cost New Public Vehicles'!I49</f>
        <v>1078789.3682050477</v>
      </c>
      <c r="N34" s="310">
        <f>+'Pollutants New Vehicles'!R37+'Pollutants Public Transport'!L24+'Pollutants Private Cars'!J21</f>
        <v>11090.909090944582</v>
      </c>
      <c r="O34" s="310">
        <f>Noise!J18</f>
        <v>0</v>
      </c>
      <c r="P34" s="297">
        <f>Safety!H22</f>
        <v>182207.79220837529</v>
      </c>
      <c r="Q34" s="318">
        <f t="shared" si="2"/>
        <v>1631124.9898589896</v>
      </c>
      <c r="R34" s="284"/>
      <c r="S34" s="340">
        <f t="shared" si="3"/>
        <v>-117768.73357872758</v>
      </c>
      <c r="T34" s="284"/>
      <c r="U34" s="356">
        <f>'Construction Investment'!C28</f>
        <v>0</v>
      </c>
      <c r="V34" s="356">
        <f>'Construction Investment'!D28</f>
        <v>3240</v>
      </c>
      <c r="W34" s="357">
        <f>'Construction Investment'!G28</f>
        <v>0</v>
      </c>
      <c r="X34" s="357">
        <f>'Construction Investment'!H28</f>
        <v>2430</v>
      </c>
      <c r="Y34" s="318">
        <f t="shared" si="4"/>
        <v>-615.12336053516299</v>
      </c>
      <c r="Z34" s="284"/>
      <c r="AA34" s="321">
        <f t="shared" si="5"/>
        <v>-117153.61021819242</v>
      </c>
    </row>
    <row r="35" spans="1:27">
      <c r="A35" s="92">
        <v>9</v>
      </c>
      <c r="B35" s="252" t="str">
        <f>IF($B$19=2022, "Starting year --&gt;","" )</f>
        <v/>
      </c>
      <c r="C35" s="334">
        <v>2022</v>
      </c>
      <c r="D35" s="297">
        <f>Time!N35</f>
        <v>749329.19345507643</v>
      </c>
      <c r="E35" s="298">
        <f>'Op cost New Public Vehicles'!J24+'Op cost NO New Vehicles'!E23+'Op cost New Public Vehicles'!D50</f>
        <v>870183.68927036982</v>
      </c>
      <c r="F35" s="297">
        <f>'Pollutants Public Transport'!F25+'Pollutants New Vehicles'!I38+'Pollutants Private Cars'!E22</f>
        <v>8872.7272727556665</v>
      </c>
      <c r="G35" s="310">
        <f>Noise!E19</f>
        <v>0</v>
      </c>
      <c r="H35" s="297">
        <f>Safety!D23</f>
        <v>364415.58441675059</v>
      </c>
      <c r="I35" s="318">
        <f t="shared" si="0"/>
        <v>1462179.9577587075</v>
      </c>
      <c r="J35" s="284"/>
      <c r="K35" s="408">
        <f t="shared" si="1"/>
        <v>2022</v>
      </c>
      <c r="L35" s="297">
        <f>Time!AB35</f>
        <v>875792.05755878915</v>
      </c>
      <c r="M35" s="298">
        <f>'Op cost NO New Vehicles'!J23+'Op cost New Public Vehicles'!T24+'Op cost New Public Vehicles'!I50</f>
        <v>1078789.3682050477</v>
      </c>
      <c r="N35" s="310">
        <f>+'Pollutants New Vehicles'!R38+'Pollutants Public Transport'!L25+'Pollutants Private Cars'!J22</f>
        <v>11090.909090944582</v>
      </c>
      <c r="O35" s="310">
        <f>Noise!J19</f>
        <v>0</v>
      </c>
      <c r="P35" s="297">
        <f>Safety!H23</f>
        <v>182207.79220837529</v>
      </c>
      <c r="Q35" s="318">
        <f t="shared" si="2"/>
        <v>1575966.1737768019</v>
      </c>
      <c r="R35" s="284"/>
      <c r="S35" s="340">
        <f t="shared" si="3"/>
        <v>-113786.21601809445</v>
      </c>
      <c r="T35" s="284"/>
      <c r="U35" s="356">
        <f>'Construction Investment'!C29</f>
        <v>0</v>
      </c>
      <c r="V35" s="356">
        <f>'Construction Investment'!D29</f>
        <v>3240</v>
      </c>
      <c r="W35" s="357">
        <f>'Construction Investment'!G29</f>
        <v>0</v>
      </c>
      <c r="X35" s="357">
        <f>'Construction Investment'!H29</f>
        <v>2430</v>
      </c>
      <c r="Y35" s="318">
        <f t="shared" si="4"/>
        <v>-594.32208747358743</v>
      </c>
      <c r="Z35" s="284"/>
      <c r="AA35" s="321">
        <f t="shared" si="5"/>
        <v>-113191.89393062086</v>
      </c>
    </row>
    <row r="36" spans="1:27">
      <c r="A36" s="92">
        <v>10</v>
      </c>
      <c r="B36" s="252" t="str">
        <f>IF($B$19=2023, "Starting year --&gt;","" )</f>
        <v/>
      </c>
      <c r="C36" s="334">
        <v>2023</v>
      </c>
      <c r="D36" s="297">
        <f>Time!N36</f>
        <v>749329.19345507643</v>
      </c>
      <c r="E36" s="298">
        <f>'Op cost New Public Vehicles'!J25+'Op cost NO New Vehicles'!E24+'Op cost New Public Vehicles'!D51</f>
        <v>870183.68927036982</v>
      </c>
      <c r="F36" s="297">
        <f>'Pollutants Public Transport'!F26+'Pollutants New Vehicles'!I39+'Pollutants Private Cars'!E23</f>
        <v>8872.7272727556665</v>
      </c>
      <c r="G36" s="310">
        <f>Noise!E20</f>
        <v>0</v>
      </c>
      <c r="H36" s="297">
        <f>Safety!D24</f>
        <v>364415.58441675059</v>
      </c>
      <c r="I36" s="318">
        <f t="shared" si="0"/>
        <v>1412734.2587040653</v>
      </c>
      <c r="J36" s="284"/>
      <c r="K36" s="408">
        <f t="shared" si="1"/>
        <v>2023</v>
      </c>
      <c r="L36" s="297">
        <f>Time!AB36</f>
        <v>875792.05755878915</v>
      </c>
      <c r="M36" s="298">
        <f>'Op cost NO New Vehicles'!J24+'Op cost New Public Vehicles'!T25+'Op cost New Public Vehicles'!I51</f>
        <v>1078789.3682050477</v>
      </c>
      <c r="N36" s="310">
        <f>+'Pollutants New Vehicles'!R39+'Pollutants Public Transport'!L26+'Pollutants Private Cars'!J23</f>
        <v>11090.909090944582</v>
      </c>
      <c r="O36" s="310">
        <f>Noise!J20</f>
        <v>0</v>
      </c>
      <c r="P36" s="297">
        <f>Safety!H24</f>
        <v>182207.79220837529</v>
      </c>
      <c r="Q36" s="318">
        <f t="shared" si="2"/>
        <v>1522672.6316684077</v>
      </c>
      <c r="R36" s="284"/>
      <c r="S36" s="340">
        <f t="shared" si="3"/>
        <v>-109938.37296434236</v>
      </c>
      <c r="T36" s="284"/>
      <c r="U36" s="356">
        <f>'Construction Investment'!C30</f>
        <v>0</v>
      </c>
      <c r="V36" s="356">
        <f>'Construction Investment'!D30</f>
        <v>3240</v>
      </c>
      <c r="W36" s="357">
        <f>'Construction Investment'!G30</f>
        <v>0</v>
      </c>
      <c r="X36" s="357">
        <f>'Construction Investment'!H30</f>
        <v>2430</v>
      </c>
      <c r="Y36" s="318">
        <f t="shared" si="4"/>
        <v>-574.22423910491545</v>
      </c>
      <c r="Z36" s="284"/>
      <c r="AA36" s="321">
        <f t="shared" si="5"/>
        <v>-109364.14872523744</v>
      </c>
    </row>
    <row r="37" spans="1:27">
      <c r="A37" s="92">
        <v>11</v>
      </c>
      <c r="B37" s="252" t="str">
        <f>IF($B$19=2024, "Starting year --&gt;","" )</f>
        <v/>
      </c>
      <c r="C37" s="334">
        <v>2024</v>
      </c>
      <c r="D37" s="297">
        <f>Time!N37</f>
        <v>749329.19345507643</v>
      </c>
      <c r="E37" s="298">
        <f>'Op cost New Public Vehicles'!J26+'Op cost NO New Vehicles'!E25+'Op cost New Public Vehicles'!D52</f>
        <v>870183.68927036982</v>
      </c>
      <c r="F37" s="297">
        <f>'Pollutants Public Transport'!F27+'Pollutants New Vehicles'!I40+'Pollutants Private Cars'!E24</f>
        <v>8872.7272727556665</v>
      </c>
      <c r="G37" s="310">
        <f>Noise!E21</f>
        <v>0</v>
      </c>
      <c r="H37" s="297">
        <f>Safety!D25</f>
        <v>364415.58441675059</v>
      </c>
      <c r="I37" s="318">
        <f t="shared" si="0"/>
        <v>1364960.6364290484</v>
      </c>
      <c r="J37" s="284"/>
      <c r="K37" s="408">
        <f t="shared" si="1"/>
        <v>2024</v>
      </c>
      <c r="L37" s="297">
        <f>Time!AB37</f>
        <v>875792.05755878915</v>
      </c>
      <c r="M37" s="298">
        <f>'Op cost NO New Vehicles'!J25+'Op cost New Public Vehicles'!T26+'Op cost New Public Vehicles'!I52</f>
        <v>1078789.3682050477</v>
      </c>
      <c r="N37" s="310">
        <f>+'Pollutants New Vehicles'!R40+'Pollutants Public Transport'!L27+'Pollutants Private Cars'!J24</f>
        <v>11090.909090944582</v>
      </c>
      <c r="O37" s="310">
        <f>Noise!J21</f>
        <v>0</v>
      </c>
      <c r="P37" s="297">
        <f>Safety!H25</f>
        <v>182207.79220837529</v>
      </c>
      <c r="Q37" s="318">
        <f t="shared" si="2"/>
        <v>1471181.2866361428</v>
      </c>
      <c r="R37" s="284"/>
      <c r="S37" s="340">
        <f t="shared" si="3"/>
        <v>-106220.65020709438</v>
      </c>
      <c r="T37" s="284"/>
      <c r="U37" s="356">
        <f>'Construction Investment'!C31</f>
        <v>0</v>
      </c>
      <c r="V37" s="356">
        <f>'Construction Investment'!D31</f>
        <v>3240</v>
      </c>
      <c r="W37" s="357">
        <f>'Construction Investment'!G31</f>
        <v>0</v>
      </c>
      <c r="X37" s="357">
        <f>'Construction Investment'!H31</f>
        <v>2430</v>
      </c>
      <c r="Y37" s="318">
        <f t="shared" si="4"/>
        <v>-554.80602812069128</v>
      </c>
      <c r="Z37" s="284"/>
      <c r="AA37" s="321">
        <f t="shared" si="5"/>
        <v>-105665.8441789737</v>
      </c>
    </row>
    <row r="38" spans="1:27">
      <c r="A38" s="92">
        <v>12</v>
      </c>
      <c r="B38" s="252" t="str">
        <f>IF($B$19=2025, "Starting year --&gt;","" )</f>
        <v/>
      </c>
      <c r="C38" s="334">
        <v>2025</v>
      </c>
      <c r="D38" s="297">
        <f>Time!N38</f>
        <v>749329.19345507643</v>
      </c>
      <c r="E38" s="298">
        <f>'Op cost New Public Vehicles'!J27+'Op cost NO New Vehicles'!E26+'Op cost New Public Vehicles'!D53</f>
        <v>870183.68927036982</v>
      </c>
      <c r="F38" s="297">
        <f>'Pollutants Public Transport'!F28+'Pollutants New Vehicles'!I41+'Pollutants Private Cars'!E25</f>
        <v>8872.7272727556665</v>
      </c>
      <c r="G38" s="310">
        <f>Noise!E22</f>
        <v>0</v>
      </c>
      <c r="H38" s="297">
        <f>Safety!D26</f>
        <v>364415.58441675059</v>
      </c>
      <c r="I38" s="318">
        <f t="shared" si="0"/>
        <v>1318802.5472744431</v>
      </c>
      <c r="J38" s="284"/>
      <c r="K38" s="408">
        <f t="shared" si="1"/>
        <v>2025</v>
      </c>
      <c r="L38" s="297">
        <f>Time!AB38</f>
        <v>875792.05755878915</v>
      </c>
      <c r="M38" s="298">
        <f>'Op cost NO New Vehicles'!J26+'Op cost New Public Vehicles'!T27+'Op cost New Public Vehicles'!I53</f>
        <v>1078789.3682050477</v>
      </c>
      <c r="N38" s="310">
        <f>+'Pollutants New Vehicles'!R41+'Pollutants Public Transport'!L28+'Pollutants Private Cars'!J25</f>
        <v>11090.909090944582</v>
      </c>
      <c r="O38" s="310">
        <f>Noise!J22</f>
        <v>0</v>
      </c>
      <c r="P38" s="297">
        <f>Safety!H26</f>
        <v>182207.79220837529</v>
      </c>
      <c r="Q38" s="318">
        <f t="shared" si="2"/>
        <v>1421431.1948175293</v>
      </c>
      <c r="R38" s="284"/>
      <c r="S38" s="340">
        <f t="shared" si="3"/>
        <v>-102628.6475430862</v>
      </c>
      <c r="T38" s="284"/>
      <c r="U38" s="356">
        <f>'Construction Investment'!C32</f>
        <v>0</v>
      </c>
      <c r="V38" s="356">
        <f>'Construction Investment'!D32</f>
        <v>3240</v>
      </c>
      <c r="W38" s="357">
        <f>'Construction Investment'!G32</f>
        <v>0</v>
      </c>
      <c r="X38" s="357">
        <f>'Construction Investment'!H32</f>
        <v>2430</v>
      </c>
      <c r="Y38" s="318">
        <f t="shared" si="4"/>
        <v>-536.04447161419444</v>
      </c>
      <c r="Z38" s="284"/>
      <c r="AA38" s="321">
        <f t="shared" si="5"/>
        <v>-102092.60307147201</v>
      </c>
    </row>
    <row r="39" spans="1:27">
      <c r="A39" s="92">
        <v>13</v>
      </c>
      <c r="B39" s="252" t="str">
        <f>IF($B$19=2026, "Starting year --&gt;","" )</f>
        <v/>
      </c>
      <c r="C39" s="334">
        <v>2026</v>
      </c>
      <c r="D39" s="297">
        <f>Time!N39</f>
        <v>749329.19345507643</v>
      </c>
      <c r="E39" s="298">
        <f>'Op cost New Public Vehicles'!J28+'Op cost NO New Vehicles'!E27+'Op cost New Public Vehicles'!D54</f>
        <v>870183.68927036982</v>
      </c>
      <c r="F39" s="297">
        <f>'Pollutants Public Transport'!F29+'Pollutants New Vehicles'!I42+'Pollutants Private Cars'!E26</f>
        <v>8872.7272727556665</v>
      </c>
      <c r="G39" s="310">
        <f>Noise!E23</f>
        <v>0</v>
      </c>
      <c r="H39" s="297">
        <f>Safety!D27</f>
        <v>364415.58441675059</v>
      </c>
      <c r="I39" s="318">
        <f t="shared" si="0"/>
        <v>1274205.3596854524</v>
      </c>
      <c r="J39" s="284"/>
      <c r="K39" s="408">
        <f t="shared" si="1"/>
        <v>2026</v>
      </c>
      <c r="L39" s="297">
        <f>Time!AB39</f>
        <v>875792.05755878915</v>
      </c>
      <c r="M39" s="298">
        <f>'Op cost NO New Vehicles'!J27+'Op cost New Public Vehicles'!T28+'Op cost New Public Vehicles'!I54</f>
        <v>1078789.3682050477</v>
      </c>
      <c r="N39" s="310">
        <f>+'Pollutants New Vehicles'!R42+'Pollutants Public Transport'!L29+'Pollutants Private Cars'!J26</f>
        <v>11090.909090944582</v>
      </c>
      <c r="O39" s="310">
        <f>Noise!J23</f>
        <v>0</v>
      </c>
      <c r="P39" s="297">
        <f>Safety!H27</f>
        <v>182207.79220837529</v>
      </c>
      <c r="Q39" s="318">
        <f t="shared" si="2"/>
        <v>1373363.4732536518</v>
      </c>
      <c r="R39" s="284"/>
      <c r="S39" s="340">
        <f t="shared" si="3"/>
        <v>-99158.113568199333</v>
      </c>
      <c r="T39" s="284"/>
      <c r="U39" s="356">
        <f>'Construction Investment'!C33</f>
        <v>0</v>
      </c>
      <c r="V39" s="356">
        <f>'Construction Investment'!D33</f>
        <v>3240</v>
      </c>
      <c r="W39" s="357">
        <f>'Construction Investment'!G33</f>
        <v>0</v>
      </c>
      <c r="X39" s="357">
        <f>'Construction Investment'!H33</f>
        <v>2430</v>
      </c>
      <c r="Y39" s="318">
        <f t="shared" si="4"/>
        <v>-517.9173638784489</v>
      </c>
      <c r="Z39" s="284"/>
      <c r="AA39" s="321">
        <f t="shared" si="5"/>
        <v>-98640.196204320877</v>
      </c>
    </row>
    <row r="40" spans="1:27">
      <c r="A40" s="92">
        <v>14</v>
      </c>
      <c r="B40" s="252" t="str">
        <f>IF($B$20=2027, "Finishing year --&gt;","" )</f>
        <v/>
      </c>
      <c r="C40" s="334">
        <v>2027</v>
      </c>
      <c r="D40" s="297">
        <f>Time!N40</f>
        <v>749329.19345507643</v>
      </c>
      <c r="E40" s="298">
        <f>'Op cost New Public Vehicles'!J29+'Op cost NO New Vehicles'!E28+'Op cost New Public Vehicles'!D55</f>
        <v>870183.68927036982</v>
      </c>
      <c r="F40" s="297">
        <f>'Pollutants Public Transport'!F30+'Pollutants New Vehicles'!I43+'Pollutants Private Cars'!E27</f>
        <v>8872.7272727556665</v>
      </c>
      <c r="G40" s="310">
        <f>Noise!E24</f>
        <v>0</v>
      </c>
      <c r="H40" s="297">
        <f>Safety!D28</f>
        <v>364415.58441675059</v>
      </c>
      <c r="I40" s="318">
        <f t="shared" si="0"/>
        <v>1231116.2895511617</v>
      </c>
      <c r="J40" s="284"/>
      <c r="K40" s="408">
        <f t="shared" si="1"/>
        <v>2027</v>
      </c>
      <c r="L40" s="297">
        <f>Time!AB40</f>
        <v>875792.05755878915</v>
      </c>
      <c r="M40" s="298">
        <f>'Op cost NO New Vehicles'!J28+'Op cost New Public Vehicles'!T29+'Op cost New Public Vehicles'!I55</f>
        <v>1078789.3682050477</v>
      </c>
      <c r="N40" s="310">
        <f>+'Pollutants New Vehicles'!R43+'Pollutants Public Transport'!L30+'Pollutants Private Cars'!J27</f>
        <v>11090.909090944582</v>
      </c>
      <c r="O40" s="310">
        <f>Noise!J24</f>
        <v>0</v>
      </c>
      <c r="P40" s="297">
        <f>Safety!H28</f>
        <v>182207.79220837529</v>
      </c>
      <c r="Q40" s="318">
        <f t="shared" si="2"/>
        <v>1326921.2301967647</v>
      </c>
      <c r="R40" s="284"/>
      <c r="S40" s="340">
        <f t="shared" si="3"/>
        <v>-95804.940645602997</v>
      </c>
      <c r="T40" s="284"/>
      <c r="U40" s="356">
        <f>'Construction Investment'!C34</f>
        <v>0</v>
      </c>
      <c r="V40" s="356">
        <f>'Construction Investment'!D34</f>
        <v>3240</v>
      </c>
      <c r="W40" s="357">
        <f>'Construction Investment'!G34</f>
        <v>0</v>
      </c>
      <c r="X40" s="357">
        <f>'Construction Investment'!H34</f>
        <v>2430</v>
      </c>
      <c r="Y40" s="318">
        <f t="shared" si="4"/>
        <v>-500.40325012410517</v>
      </c>
      <c r="Z40" s="284"/>
      <c r="AA40" s="321">
        <f t="shared" si="5"/>
        <v>-95304.537395478896</v>
      </c>
    </row>
    <row r="41" spans="1:27">
      <c r="A41" s="92">
        <v>15</v>
      </c>
      <c r="B41" s="252" t="str">
        <f>IF($B$20=2028, "Finishing year --&gt;","" )</f>
        <v>Finishing year --&gt;</v>
      </c>
      <c r="C41" s="334">
        <v>2028</v>
      </c>
      <c r="D41" s="297">
        <f>Time!N41</f>
        <v>749329.19345507643</v>
      </c>
      <c r="E41" s="298">
        <f>'Op cost New Public Vehicles'!J30+'Op cost NO New Vehicles'!E29+'Op cost New Public Vehicles'!D56</f>
        <v>870183.68927036982</v>
      </c>
      <c r="F41" s="297">
        <f>'Pollutants Public Transport'!F31+'Pollutants New Vehicles'!I44+'Pollutants Private Cars'!E28</f>
        <v>8872.7272727556665</v>
      </c>
      <c r="G41" s="310">
        <f>Noise!E25</f>
        <v>0</v>
      </c>
      <c r="H41" s="297">
        <f>Safety!D29</f>
        <v>364415.58441675059</v>
      </c>
      <c r="I41" s="318">
        <f t="shared" si="0"/>
        <v>1189484.3377305912</v>
      </c>
      <c r="J41" s="284"/>
      <c r="K41" s="408">
        <f t="shared" si="1"/>
        <v>2028</v>
      </c>
      <c r="L41" s="297">
        <f>Time!AB41</f>
        <v>875792.05755878915</v>
      </c>
      <c r="M41" s="298">
        <f>'Op cost NO New Vehicles'!J29+'Op cost New Public Vehicles'!T30+'Op cost New Public Vehicles'!I56</f>
        <v>1078789.3682050477</v>
      </c>
      <c r="N41" s="310">
        <f>+'Pollutants New Vehicles'!R44+'Pollutants Public Transport'!L31+'Pollutants Private Cars'!J28</f>
        <v>11090.909090944582</v>
      </c>
      <c r="O41" s="310">
        <f>Noise!J25</f>
        <v>0</v>
      </c>
      <c r="P41" s="297">
        <f>Safety!H29</f>
        <v>182207.79220837529</v>
      </c>
      <c r="Q41" s="318">
        <f t="shared" si="2"/>
        <v>1282049.4977746522</v>
      </c>
      <c r="R41" s="284"/>
      <c r="S41" s="340">
        <f t="shared" si="3"/>
        <v>-92565.16004406102</v>
      </c>
      <c r="T41" s="284"/>
      <c r="U41" s="356">
        <f>'Construction Investment'!C35</f>
        <v>0</v>
      </c>
      <c r="V41" s="356">
        <f>'Construction Investment'!D35</f>
        <v>3240</v>
      </c>
      <c r="W41" s="357">
        <f>'Construction Investment'!G35</f>
        <v>0</v>
      </c>
      <c r="X41" s="357">
        <f>'Construction Investment'!H35</f>
        <v>2430</v>
      </c>
      <c r="Y41" s="318">
        <f t="shared" si="4"/>
        <v>-483.48140108609198</v>
      </c>
      <c r="Z41" s="284"/>
      <c r="AA41" s="321">
        <f t="shared" si="5"/>
        <v>-92081.678642974934</v>
      </c>
    </row>
    <row r="42" spans="1:27">
      <c r="A42" s="92">
        <v>16</v>
      </c>
      <c r="B42" s="252" t="str">
        <f>IF($B$20=2029, "Finishing year --&gt;","" )</f>
        <v/>
      </c>
      <c r="C42" s="334">
        <v>2029</v>
      </c>
      <c r="D42" s="297">
        <f>Time!N42</f>
        <v>0</v>
      </c>
      <c r="E42" s="298">
        <f>'Op cost New Public Vehicles'!J31+'Op cost NO New Vehicles'!E30+'Op cost New Public Vehicles'!D57</f>
        <v>0</v>
      </c>
      <c r="F42" s="297">
        <f>'Pollutants Public Transport'!F32+'Pollutants New Vehicles'!I45+'Pollutants Private Cars'!E29</f>
        <v>0</v>
      </c>
      <c r="G42" s="310">
        <f>Noise!E26</f>
        <v>0</v>
      </c>
      <c r="H42" s="297">
        <f>Safety!D30</f>
        <v>0</v>
      </c>
      <c r="I42" s="318">
        <f t="shared" si="0"/>
        <v>0</v>
      </c>
      <c r="J42" s="284"/>
      <c r="K42" s="408">
        <f t="shared" si="1"/>
        <v>2029</v>
      </c>
      <c r="L42" s="297">
        <f>Time!AB42</f>
        <v>0</v>
      </c>
      <c r="M42" s="298">
        <f>'Op cost NO New Vehicles'!J30+'Op cost New Public Vehicles'!T31+'Op cost New Public Vehicles'!I57</f>
        <v>0</v>
      </c>
      <c r="N42" s="310">
        <f>+'Pollutants New Vehicles'!R45+'Pollutants Public Transport'!L32+'Pollutants Private Cars'!J29</f>
        <v>0</v>
      </c>
      <c r="O42" s="310">
        <f>Noise!J26</f>
        <v>0</v>
      </c>
      <c r="P42" s="297">
        <f>Safety!H30</f>
        <v>0</v>
      </c>
      <c r="Q42" s="318">
        <f t="shared" si="2"/>
        <v>0</v>
      </c>
      <c r="R42" s="284"/>
      <c r="S42" s="340">
        <f t="shared" si="3"/>
        <v>0</v>
      </c>
      <c r="T42" s="284"/>
      <c r="U42" s="356">
        <f>'Construction Investment'!C36</f>
        <v>0</v>
      </c>
      <c r="V42" s="356">
        <f>'Construction Investment'!D36</f>
        <v>0</v>
      </c>
      <c r="W42" s="357">
        <f>'Construction Investment'!G36</f>
        <v>0</v>
      </c>
      <c r="X42" s="357">
        <f>'Construction Investment'!H36</f>
        <v>0</v>
      </c>
      <c r="Y42" s="318">
        <f t="shared" si="4"/>
        <v>0</v>
      </c>
      <c r="Z42" s="284"/>
      <c r="AA42" s="321">
        <f t="shared" si="5"/>
        <v>0</v>
      </c>
    </row>
    <row r="43" spans="1:27">
      <c r="A43" s="92">
        <v>17</v>
      </c>
      <c r="B43" s="252" t="str">
        <f>IF($B$20=2030, "Finishing year --&gt;","" )</f>
        <v/>
      </c>
      <c r="C43" s="334">
        <v>2030</v>
      </c>
      <c r="D43" s="297">
        <f>Time!N43</f>
        <v>0</v>
      </c>
      <c r="E43" s="298">
        <f>'Op cost New Public Vehicles'!J32+'Op cost NO New Vehicles'!E31+'Op cost New Public Vehicles'!D58</f>
        <v>0</v>
      </c>
      <c r="F43" s="297">
        <f>'Pollutants Public Transport'!F33+'Pollutants New Vehicles'!I46+'Pollutants Private Cars'!E30</f>
        <v>0</v>
      </c>
      <c r="G43" s="310">
        <f>Noise!E27</f>
        <v>0</v>
      </c>
      <c r="H43" s="297">
        <f>Safety!D31</f>
        <v>0</v>
      </c>
      <c r="I43" s="318">
        <f t="shared" si="0"/>
        <v>0</v>
      </c>
      <c r="J43" s="284"/>
      <c r="K43" s="408">
        <f t="shared" si="1"/>
        <v>2030</v>
      </c>
      <c r="L43" s="297">
        <f>Time!AB43</f>
        <v>0</v>
      </c>
      <c r="M43" s="298">
        <f>'Op cost NO New Vehicles'!J31+'Op cost New Public Vehicles'!T32+'Op cost New Public Vehicles'!I58</f>
        <v>0</v>
      </c>
      <c r="N43" s="310">
        <f>+'Pollutants New Vehicles'!R46+'Pollutants Public Transport'!L33+'Pollutants Private Cars'!J30</f>
        <v>0</v>
      </c>
      <c r="O43" s="310">
        <f>Noise!J27</f>
        <v>0</v>
      </c>
      <c r="P43" s="297">
        <f>Safety!H31</f>
        <v>0</v>
      </c>
      <c r="Q43" s="318">
        <f t="shared" si="2"/>
        <v>0</v>
      </c>
      <c r="R43" s="284"/>
      <c r="S43" s="340">
        <f t="shared" si="3"/>
        <v>0</v>
      </c>
      <c r="T43" s="284"/>
      <c r="U43" s="356">
        <f>'Construction Investment'!C37</f>
        <v>0</v>
      </c>
      <c r="V43" s="356">
        <f>'Construction Investment'!D37</f>
        <v>0</v>
      </c>
      <c r="W43" s="357">
        <f>'Construction Investment'!G37</f>
        <v>0</v>
      </c>
      <c r="X43" s="357">
        <f>'Construction Investment'!H37</f>
        <v>0</v>
      </c>
      <c r="Y43" s="318">
        <f t="shared" si="4"/>
        <v>0</v>
      </c>
      <c r="Z43" s="284"/>
      <c r="AA43" s="321">
        <f t="shared" si="5"/>
        <v>0</v>
      </c>
    </row>
    <row r="44" spans="1:27">
      <c r="B44" s="252" t="str">
        <f>IF($B$20=2031, "Finishing year --&gt;","" )</f>
        <v/>
      </c>
      <c r="C44" s="92"/>
      <c r="D44" s="313"/>
      <c r="E44" s="313"/>
      <c r="F44" s="313"/>
      <c r="G44" s="313"/>
      <c r="H44" s="313"/>
      <c r="I44" s="313"/>
      <c r="J44" s="319"/>
      <c r="K44" s="313"/>
      <c r="L44" s="313"/>
      <c r="M44" s="314"/>
      <c r="N44" s="313"/>
      <c r="O44" s="313"/>
      <c r="P44" s="313"/>
      <c r="Q44" s="312"/>
      <c r="R44" s="342" t="s">
        <v>174</v>
      </c>
      <c r="S44" s="311">
        <f>SUM(S26:S43)</f>
        <v>-1786107.7886898059</v>
      </c>
      <c r="T44" s="319"/>
      <c r="U44" s="313"/>
      <c r="V44" s="313"/>
      <c r="W44" s="313"/>
      <c r="X44" s="313" t="s">
        <v>175</v>
      </c>
      <c r="Y44" s="311">
        <f>+SUM(Y26:Y43)</f>
        <v>306570.89717388828</v>
      </c>
      <c r="Z44" s="283"/>
      <c r="AA44" s="311">
        <f>+SUM(AA26:AA43)</f>
        <v>-2092678.6858636942</v>
      </c>
    </row>
    <row r="45" spans="1:27">
      <c r="A45" s="92"/>
      <c r="B45" s="252" t="str">
        <f>IF($B$20=2032, "Finishing year --&gt;","" )</f>
        <v/>
      </c>
      <c r="C45" s="92"/>
      <c r="D45" s="92"/>
      <c r="E45" s="92"/>
      <c r="F45" s="92"/>
      <c r="G45" s="92"/>
      <c r="H45" s="92"/>
      <c r="I45" s="92"/>
      <c r="J45" s="92"/>
      <c r="K45" s="92"/>
      <c r="L45" s="315"/>
      <c r="M45" s="316"/>
      <c r="N45" s="316"/>
      <c r="O45" s="316"/>
      <c r="P45" s="92"/>
      <c r="Q45" s="92"/>
      <c r="R45" s="92"/>
      <c r="S45" s="92"/>
      <c r="T45" s="92"/>
      <c r="U45" s="92"/>
      <c r="V45" s="92"/>
      <c r="W45" s="317" t="s">
        <v>217</v>
      </c>
      <c r="X45" s="92"/>
      <c r="Y45" s="92"/>
      <c r="Z45" s="92"/>
    </row>
    <row r="46" spans="1:27">
      <c r="B46" s="252" t="str">
        <f>IF($B$20=2033, "Finishing year --&gt;","" )</f>
        <v/>
      </c>
      <c r="D46" s="210"/>
      <c r="M46" s="1"/>
      <c r="N46" s="1"/>
      <c r="O46" s="1"/>
      <c r="R46" s="1"/>
      <c r="X46" s="285"/>
    </row>
    <row r="47" spans="1:27">
      <c r="M47" s="1"/>
      <c r="N47" s="1"/>
      <c r="O47" s="1"/>
      <c r="X47" s="285"/>
    </row>
    <row r="48" spans="1:27">
      <c r="M48" s="1"/>
      <c r="N48" s="1"/>
      <c r="O48" s="1"/>
      <c r="X48" s="285"/>
    </row>
    <row r="49" spans="3:24">
      <c r="M49" s="1"/>
      <c r="N49" s="1"/>
      <c r="O49" s="1"/>
      <c r="X49" s="285"/>
    </row>
    <row r="50" spans="3:24">
      <c r="C50" s="1"/>
      <c r="M50" s="1"/>
      <c r="N50" s="1"/>
      <c r="O50" s="1"/>
      <c r="X50" s="285"/>
    </row>
    <row r="51" spans="3:24">
      <c r="C51" s="1"/>
      <c r="M51" s="1"/>
      <c r="N51" s="1"/>
      <c r="O51" s="1"/>
      <c r="X51" s="285"/>
    </row>
    <row r="52" spans="3:24">
      <c r="C52" s="1"/>
      <c r="M52" s="1"/>
      <c r="N52" s="1"/>
      <c r="O52" s="1"/>
      <c r="X52" s="285"/>
    </row>
    <row r="53" spans="3:24">
      <c r="C53" s="1"/>
      <c r="M53" s="1"/>
      <c r="N53" s="1"/>
      <c r="O53" s="1"/>
      <c r="X53" s="285"/>
    </row>
    <row r="54" spans="3:24">
      <c r="C54" s="1"/>
      <c r="M54" s="1"/>
      <c r="N54" s="1"/>
      <c r="O54" s="1"/>
      <c r="X54" s="285"/>
    </row>
    <row r="55" spans="3:24">
      <c r="C55" s="1"/>
      <c r="M55" s="1"/>
      <c r="N55" s="1"/>
      <c r="O55" s="1"/>
      <c r="X55" s="285"/>
    </row>
    <row r="56" spans="3:24">
      <c r="C56" s="1"/>
      <c r="M56" s="1"/>
      <c r="N56" s="1"/>
      <c r="O56" s="1"/>
      <c r="X56" s="285"/>
    </row>
    <row r="57" spans="3:24">
      <c r="C57" s="1"/>
      <c r="M57" s="1"/>
      <c r="N57" s="1"/>
      <c r="O57" s="1"/>
      <c r="X57" s="285"/>
    </row>
    <row r="58" spans="3:24">
      <c r="C58" s="1"/>
      <c r="M58" s="1"/>
      <c r="N58" s="1"/>
      <c r="O58" s="1"/>
      <c r="X58" s="285"/>
    </row>
    <row r="59" spans="3:24">
      <c r="C59" s="1"/>
      <c r="M59" s="1"/>
      <c r="N59" s="1"/>
      <c r="O59" s="1"/>
      <c r="X59" s="286"/>
    </row>
  </sheetData>
  <mergeCells count="6">
    <mergeCell ref="A13:E13"/>
    <mergeCell ref="A14:E14"/>
    <mergeCell ref="A7:I7"/>
    <mergeCell ref="A12:H12"/>
    <mergeCell ref="A9:H9"/>
    <mergeCell ref="A2:H2"/>
  </mergeCells>
  <dataValidations count="1">
    <dataValidation type="list" allowBlank="1" showInputMessage="1" showErrorMessage="1" sqref="B17">
      <formula1>Country</formula1>
    </dataValidation>
  </dataValidations>
  <pageMargins left="0.7" right="0.7" top="0.75" bottom="0.75" header="0.3" footer="0.3"/>
  <pageSetup paperSize="9" scale="60" orientation="landscape" r:id="rId1"/>
</worksheet>
</file>

<file path=xl/worksheets/sheet10.xml><?xml version="1.0" encoding="utf-8"?>
<worksheet xmlns="http://schemas.openxmlformats.org/spreadsheetml/2006/main" xmlns:r="http://schemas.openxmlformats.org/officeDocument/2006/relationships">
  <dimension ref="A1:K30"/>
  <sheetViews>
    <sheetView zoomScale="85" zoomScaleNormal="85" workbookViewId="0"/>
  </sheetViews>
  <sheetFormatPr defaultRowHeight="14.4"/>
  <cols>
    <col min="1" max="1" width="16" customWidth="1"/>
    <col min="2" max="5" width="15.6640625" customWidth="1"/>
    <col min="6" max="6" width="5.5546875" customWidth="1"/>
    <col min="7" max="10" width="15.6640625" customWidth="1"/>
  </cols>
  <sheetData>
    <row r="1" spans="1:11" ht="18">
      <c r="A1" s="157" t="s">
        <v>290</v>
      </c>
    </row>
    <row r="2" spans="1:11">
      <c r="A2" t="s">
        <v>113</v>
      </c>
    </row>
    <row r="4" spans="1:11">
      <c r="A4" s="187" t="s">
        <v>56</v>
      </c>
      <c r="B4" s="117" t="str">
        <f>HLOOKUP('Main calculation'!$B$17,'Monetary Values'!$D$4:$G$68,44,FALSE)</f>
        <v>EURg/vehicle km</v>
      </c>
      <c r="C4" s="168"/>
      <c r="D4" s="85"/>
      <c r="E4" s="85"/>
      <c r="F4" s="85"/>
      <c r="G4" s="85"/>
    </row>
    <row r="5" spans="1:11">
      <c r="A5" s="118"/>
      <c r="B5" s="167">
        <f>HLOOKUP('Main calculation'!$B$17,'Monetary Values'!$D$4:$G$68,45,FALSE)</f>
        <v>7.4628270280683001E-2</v>
      </c>
      <c r="C5" s="169"/>
      <c r="D5" s="86"/>
      <c r="E5" s="86"/>
      <c r="F5" s="86"/>
      <c r="G5" s="86"/>
    </row>
    <row r="6" spans="1:11">
      <c r="A6" s="114"/>
      <c r="B6" s="116"/>
      <c r="C6" s="116"/>
      <c r="D6" s="86"/>
      <c r="E6" s="86"/>
      <c r="F6" s="86"/>
      <c r="G6" s="86"/>
    </row>
    <row r="7" spans="1:11">
      <c r="A7" s="114"/>
      <c r="B7" s="115"/>
      <c r="C7" s="115"/>
      <c r="D7" s="116"/>
      <c r="E7" s="86"/>
      <c r="F7" s="86"/>
      <c r="G7" s="86"/>
      <c r="H7" s="86"/>
    </row>
    <row r="8" spans="1:11" ht="18">
      <c r="B8" s="302" t="s">
        <v>1</v>
      </c>
      <c r="C8" s="303"/>
      <c r="D8" s="303"/>
      <c r="E8" s="303"/>
      <c r="F8" s="109"/>
      <c r="G8" s="304" t="s">
        <v>2</v>
      </c>
      <c r="H8" s="304"/>
      <c r="I8" s="305"/>
      <c r="J8" s="305"/>
      <c r="K8" s="5"/>
    </row>
    <row r="9" spans="1:11" ht="43.2">
      <c r="B9" s="334" t="s">
        <v>0</v>
      </c>
      <c r="C9" s="309" t="s">
        <v>147</v>
      </c>
      <c r="D9" s="309" t="s">
        <v>10</v>
      </c>
      <c r="E9" s="309" t="s">
        <v>110</v>
      </c>
      <c r="F9" s="112"/>
      <c r="G9" s="334" t="s">
        <v>0</v>
      </c>
      <c r="H9" s="309" t="s">
        <v>147</v>
      </c>
      <c r="I9" s="336" t="s">
        <v>10</v>
      </c>
      <c r="J9" s="309" t="s">
        <v>110</v>
      </c>
    </row>
    <row r="10" spans="1:11">
      <c r="A10" s="252" t="str">
        <f>IF('Main calculation'!$B$19=2013, "Starting year --&gt;","" )</f>
        <v/>
      </c>
      <c r="B10" s="334">
        <f>'Main calculation'!C26</f>
        <v>2013</v>
      </c>
      <c r="C10" s="93"/>
      <c r="D10" s="335">
        <f>'Main calculation'!$B$21</f>
        <v>300</v>
      </c>
      <c r="E10" s="111">
        <f>C10*$B$5</f>
        <v>0</v>
      </c>
      <c r="F10" s="112"/>
      <c r="G10" s="334">
        <f>'Main calculation'!C26</f>
        <v>2013</v>
      </c>
      <c r="H10" s="94"/>
      <c r="I10" s="335">
        <f>'Main calculation'!$B$21</f>
        <v>300</v>
      </c>
      <c r="J10" s="111">
        <f>H10*$B$5</f>
        <v>0</v>
      </c>
    </row>
    <row r="11" spans="1:11">
      <c r="A11" s="252" t="str">
        <f>IF('Main calculation'!$B$19=2014, "Starting year --&gt;","" )</f>
        <v>Starting year --&gt;</v>
      </c>
      <c r="B11" s="334">
        <f>'Main calculation'!C27</f>
        <v>2014</v>
      </c>
      <c r="C11" s="93"/>
      <c r="D11" s="335">
        <f>'Main calculation'!$B$21</f>
        <v>300</v>
      </c>
      <c r="E11" s="111">
        <f>C11*$B$5</f>
        <v>0</v>
      </c>
      <c r="F11" s="112"/>
      <c r="G11" s="334">
        <f>'Main calculation'!C27</f>
        <v>2014</v>
      </c>
      <c r="H11" s="94"/>
      <c r="I11" s="335">
        <f>'Main calculation'!$B$21</f>
        <v>300</v>
      </c>
      <c r="J11" s="111">
        <f>H11*$B$5</f>
        <v>0</v>
      </c>
    </row>
    <row r="12" spans="1:11">
      <c r="A12" s="252" t="str">
        <f>IF('Main calculation'!$B$19=2015, "Starting year --&gt;","" )</f>
        <v/>
      </c>
      <c r="B12" s="334">
        <f>'Main calculation'!C28</f>
        <v>2015</v>
      </c>
      <c r="C12" s="93"/>
      <c r="D12" s="335">
        <f>'Main calculation'!$B$21</f>
        <v>300</v>
      </c>
      <c r="E12" s="111">
        <f>C12*$B$5</f>
        <v>0</v>
      </c>
      <c r="F12" s="112"/>
      <c r="G12" s="334">
        <f>'Main calculation'!C28</f>
        <v>2015</v>
      </c>
      <c r="H12" s="94"/>
      <c r="I12" s="335">
        <f>'Main calculation'!$B$21</f>
        <v>300</v>
      </c>
      <c r="J12" s="111">
        <f>H12*$B$5</f>
        <v>0</v>
      </c>
    </row>
    <row r="13" spans="1:11">
      <c r="A13" s="252" t="str">
        <f>IF('Main calculation'!$B$19=2016, "Starting year --&gt;","" )</f>
        <v/>
      </c>
      <c r="B13" s="334">
        <f>'Main calculation'!C29</f>
        <v>2016</v>
      </c>
      <c r="C13" s="93"/>
      <c r="D13" s="335">
        <f>'Main calculation'!$B$21</f>
        <v>300</v>
      </c>
      <c r="E13" s="111">
        <f t="shared" ref="E13:E27" si="0">C13*$B$5</f>
        <v>0</v>
      </c>
      <c r="F13" s="112"/>
      <c r="G13" s="334">
        <f>'Main calculation'!C29</f>
        <v>2016</v>
      </c>
      <c r="H13" s="94"/>
      <c r="I13" s="335">
        <f>'Main calculation'!$B$21</f>
        <v>300</v>
      </c>
      <c r="J13" s="111">
        <f t="shared" ref="J13:J27" si="1">H13*$B$5</f>
        <v>0</v>
      </c>
    </row>
    <row r="14" spans="1:11">
      <c r="A14" s="252" t="str">
        <f>IF('Main calculation'!$B$19=2017, "Starting year --&gt;","" )</f>
        <v/>
      </c>
      <c r="B14" s="334">
        <f>'Main calculation'!C30</f>
        <v>2017</v>
      </c>
      <c r="C14" s="93"/>
      <c r="D14" s="335">
        <f>'Main calculation'!$B$21</f>
        <v>300</v>
      </c>
      <c r="E14" s="111">
        <f t="shared" si="0"/>
        <v>0</v>
      </c>
      <c r="F14" s="112"/>
      <c r="G14" s="334">
        <f>'Main calculation'!C30</f>
        <v>2017</v>
      </c>
      <c r="H14" s="94"/>
      <c r="I14" s="335">
        <f>'Main calculation'!$B$21</f>
        <v>300</v>
      </c>
      <c r="J14" s="111">
        <f t="shared" si="1"/>
        <v>0</v>
      </c>
    </row>
    <row r="15" spans="1:11">
      <c r="A15" s="252" t="str">
        <f>IF('Main calculation'!$B$19=2018, "Starting year --&gt;","" )</f>
        <v/>
      </c>
      <c r="B15" s="334">
        <f>'Main calculation'!C31</f>
        <v>2018</v>
      </c>
      <c r="C15" s="93"/>
      <c r="D15" s="335">
        <f>'Main calculation'!$B$21</f>
        <v>300</v>
      </c>
      <c r="E15" s="111">
        <f t="shared" si="0"/>
        <v>0</v>
      </c>
      <c r="F15" s="112"/>
      <c r="G15" s="334">
        <f>'Main calculation'!C31</f>
        <v>2018</v>
      </c>
      <c r="H15" s="94"/>
      <c r="I15" s="335">
        <f>'Main calculation'!$B$21</f>
        <v>300</v>
      </c>
      <c r="J15" s="111">
        <f t="shared" si="1"/>
        <v>0</v>
      </c>
    </row>
    <row r="16" spans="1:11">
      <c r="A16" s="252" t="str">
        <f>IF('Main calculation'!$B$19=2019, "Starting year --&gt;","" )</f>
        <v/>
      </c>
      <c r="B16" s="334">
        <f>'Main calculation'!C32</f>
        <v>2019</v>
      </c>
      <c r="C16" s="93"/>
      <c r="D16" s="335">
        <f>'Main calculation'!$B$21</f>
        <v>300</v>
      </c>
      <c r="E16" s="111">
        <f t="shared" si="0"/>
        <v>0</v>
      </c>
      <c r="F16" s="112"/>
      <c r="G16" s="334">
        <f>'Main calculation'!C32</f>
        <v>2019</v>
      </c>
      <c r="H16" s="94"/>
      <c r="I16" s="335">
        <f>'Main calculation'!$B$21</f>
        <v>300</v>
      </c>
      <c r="J16" s="111">
        <f t="shared" si="1"/>
        <v>0</v>
      </c>
    </row>
    <row r="17" spans="1:10">
      <c r="A17" s="252" t="str">
        <f>IF('Main calculation'!$B$19=2020, "Starting year --&gt;","" )</f>
        <v/>
      </c>
      <c r="B17" s="334">
        <f>'Main calculation'!C33</f>
        <v>2020</v>
      </c>
      <c r="C17" s="93"/>
      <c r="D17" s="335">
        <f>'Main calculation'!$B$21</f>
        <v>300</v>
      </c>
      <c r="E17" s="111">
        <f t="shared" si="0"/>
        <v>0</v>
      </c>
      <c r="F17" s="112"/>
      <c r="G17" s="334">
        <f>'Main calculation'!C33</f>
        <v>2020</v>
      </c>
      <c r="H17" s="94"/>
      <c r="I17" s="335">
        <f>'Main calculation'!$B$21</f>
        <v>300</v>
      </c>
      <c r="J17" s="111">
        <f t="shared" si="1"/>
        <v>0</v>
      </c>
    </row>
    <row r="18" spans="1:10">
      <c r="A18" s="252" t="str">
        <f>IF('Main calculation'!$B$19=2021, "Starting year --&gt;","" )</f>
        <v/>
      </c>
      <c r="B18" s="334">
        <f>'Main calculation'!C34</f>
        <v>2021</v>
      </c>
      <c r="C18" s="93"/>
      <c r="D18" s="335">
        <f>'Main calculation'!$B$21</f>
        <v>300</v>
      </c>
      <c r="E18" s="111">
        <f t="shared" si="0"/>
        <v>0</v>
      </c>
      <c r="F18" s="112"/>
      <c r="G18" s="334">
        <f>'Main calculation'!C34</f>
        <v>2021</v>
      </c>
      <c r="H18" s="94"/>
      <c r="I18" s="335">
        <f>'Main calculation'!$B$21</f>
        <v>300</v>
      </c>
      <c r="J18" s="111">
        <f t="shared" si="1"/>
        <v>0</v>
      </c>
    </row>
    <row r="19" spans="1:10">
      <c r="A19" s="252" t="str">
        <f>IF('Main calculation'!$B$19=2022, "Starting year --&gt;","" )</f>
        <v/>
      </c>
      <c r="B19" s="334">
        <f>'Main calculation'!C35</f>
        <v>2022</v>
      </c>
      <c r="C19" s="93"/>
      <c r="D19" s="335">
        <f>'Main calculation'!$B$21</f>
        <v>300</v>
      </c>
      <c r="E19" s="111">
        <f t="shared" si="0"/>
        <v>0</v>
      </c>
      <c r="F19" s="112"/>
      <c r="G19" s="334">
        <f>'Main calculation'!C35</f>
        <v>2022</v>
      </c>
      <c r="H19" s="94"/>
      <c r="I19" s="335">
        <f>'Main calculation'!$B$21</f>
        <v>300</v>
      </c>
      <c r="J19" s="111">
        <f t="shared" si="1"/>
        <v>0</v>
      </c>
    </row>
    <row r="20" spans="1:10">
      <c r="A20" s="252" t="str">
        <f>IF('Main calculation'!$B$19=2023, "Starting year --&gt;","" )</f>
        <v/>
      </c>
      <c r="B20" s="334">
        <f>'Main calculation'!C36</f>
        <v>2023</v>
      </c>
      <c r="C20" s="93"/>
      <c r="D20" s="335">
        <f>'Main calculation'!$B$21</f>
        <v>300</v>
      </c>
      <c r="E20" s="111">
        <f t="shared" si="0"/>
        <v>0</v>
      </c>
      <c r="F20" s="112"/>
      <c r="G20" s="334">
        <f>'Main calculation'!C36</f>
        <v>2023</v>
      </c>
      <c r="H20" s="94"/>
      <c r="I20" s="335">
        <f>'Main calculation'!$B$21</f>
        <v>300</v>
      </c>
      <c r="J20" s="111">
        <f t="shared" si="1"/>
        <v>0</v>
      </c>
    </row>
    <row r="21" spans="1:10">
      <c r="A21" s="252" t="str">
        <f>IF('Main calculation'!$B$19=2024, "Starting year --&gt;","" )</f>
        <v/>
      </c>
      <c r="B21" s="334">
        <f>'Main calculation'!C37</f>
        <v>2024</v>
      </c>
      <c r="C21" s="93"/>
      <c r="D21" s="335">
        <f>'Main calculation'!$B$21</f>
        <v>300</v>
      </c>
      <c r="E21" s="111">
        <f t="shared" si="0"/>
        <v>0</v>
      </c>
      <c r="F21" s="112"/>
      <c r="G21" s="334">
        <f>'Main calculation'!C37</f>
        <v>2024</v>
      </c>
      <c r="H21" s="94"/>
      <c r="I21" s="335">
        <f>'Main calculation'!$B$21</f>
        <v>300</v>
      </c>
      <c r="J21" s="111">
        <f t="shared" si="1"/>
        <v>0</v>
      </c>
    </row>
    <row r="22" spans="1:10">
      <c r="A22" s="252" t="str">
        <f>IF('Main calculation'!$B$19=2025, "Starting year --&gt;","" )</f>
        <v/>
      </c>
      <c r="B22" s="334">
        <f>'Main calculation'!C38</f>
        <v>2025</v>
      </c>
      <c r="C22" s="93"/>
      <c r="D22" s="335">
        <f>'Main calculation'!$B$21</f>
        <v>300</v>
      </c>
      <c r="E22" s="111">
        <f t="shared" si="0"/>
        <v>0</v>
      </c>
      <c r="F22" s="112"/>
      <c r="G22" s="334">
        <f>'Main calculation'!C38</f>
        <v>2025</v>
      </c>
      <c r="H22" s="94"/>
      <c r="I22" s="335">
        <f>'Main calculation'!$B$21</f>
        <v>300</v>
      </c>
      <c r="J22" s="111">
        <f t="shared" si="1"/>
        <v>0</v>
      </c>
    </row>
    <row r="23" spans="1:10">
      <c r="A23" s="252" t="str">
        <f>IF('Main calculation'!$B$19=2026, "Starting year --&gt;","" )</f>
        <v/>
      </c>
      <c r="B23" s="334">
        <f>'Main calculation'!C39</f>
        <v>2026</v>
      </c>
      <c r="C23" s="93"/>
      <c r="D23" s="335">
        <f>'Main calculation'!$B$21</f>
        <v>300</v>
      </c>
      <c r="E23" s="111">
        <f t="shared" si="0"/>
        <v>0</v>
      </c>
      <c r="F23" s="112"/>
      <c r="G23" s="334">
        <f>'Main calculation'!C39</f>
        <v>2026</v>
      </c>
      <c r="H23" s="94"/>
      <c r="I23" s="335">
        <f>'Main calculation'!$B$21</f>
        <v>300</v>
      </c>
      <c r="J23" s="111">
        <f t="shared" si="1"/>
        <v>0</v>
      </c>
    </row>
    <row r="24" spans="1:10">
      <c r="A24" s="252" t="str">
        <f>IF('Main calculation'!$B$19=2027, "Starting year --&gt;","" )</f>
        <v/>
      </c>
      <c r="B24" s="334">
        <f>'Main calculation'!C40</f>
        <v>2027</v>
      </c>
      <c r="C24" s="93"/>
      <c r="D24" s="335">
        <f>'Main calculation'!$B$21</f>
        <v>300</v>
      </c>
      <c r="E24" s="111">
        <f t="shared" si="0"/>
        <v>0</v>
      </c>
      <c r="F24" s="112"/>
      <c r="G24" s="334">
        <f>'Main calculation'!C40</f>
        <v>2027</v>
      </c>
      <c r="H24" s="94"/>
      <c r="I24" s="335">
        <f>'Main calculation'!$B$21</f>
        <v>300</v>
      </c>
      <c r="J24" s="111">
        <f t="shared" si="1"/>
        <v>0</v>
      </c>
    </row>
    <row r="25" spans="1:10">
      <c r="A25" s="252" t="str">
        <f>IF('Main calculation'!$B$20=2028, "Finishing year --&gt;","" )</f>
        <v>Finishing year --&gt;</v>
      </c>
      <c r="B25" s="334">
        <f>'Main calculation'!C41</f>
        <v>2028</v>
      </c>
      <c r="C25" s="93"/>
      <c r="D25" s="335">
        <f>'Main calculation'!$B$21</f>
        <v>300</v>
      </c>
      <c r="E25" s="111">
        <f t="shared" si="0"/>
        <v>0</v>
      </c>
      <c r="F25" s="112"/>
      <c r="G25" s="334">
        <f>'Main calculation'!C41</f>
        <v>2028</v>
      </c>
      <c r="H25" s="94"/>
      <c r="I25" s="335">
        <f>'Main calculation'!$B$21</f>
        <v>300</v>
      </c>
      <c r="J25" s="111">
        <f t="shared" si="1"/>
        <v>0</v>
      </c>
    </row>
    <row r="26" spans="1:10">
      <c r="A26" s="252" t="str">
        <f>IF('Main calculation'!$B$20=2029, "Finishing year --&gt;","" )</f>
        <v/>
      </c>
      <c r="B26" s="334">
        <f>'Main calculation'!C42</f>
        <v>2029</v>
      </c>
      <c r="C26" s="93"/>
      <c r="D26" s="335">
        <f>'Main calculation'!$B$21</f>
        <v>300</v>
      </c>
      <c r="E26" s="111">
        <f t="shared" si="0"/>
        <v>0</v>
      </c>
      <c r="F26" s="112"/>
      <c r="G26" s="334">
        <f>'Main calculation'!C42</f>
        <v>2029</v>
      </c>
      <c r="H26" s="94"/>
      <c r="I26" s="335">
        <f>'Main calculation'!$B$21</f>
        <v>300</v>
      </c>
      <c r="J26" s="111">
        <f t="shared" si="1"/>
        <v>0</v>
      </c>
    </row>
    <row r="27" spans="1:10">
      <c r="A27" s="252" t="str">
        <f>IF('Main calculation'!$B$20=2030, "Finishing year --&gt;","" )</f>
        <v/>
      </c>
      <c r="B27" s="334">
        <f>'Main calculation'!C43</f>
        <v>2030</v>
      </c>
      <c r="C27" s="93"/>
      <c r="D27" s="335">
        <f>'Main calculation'!$B$21</f>
        <v>300</v>
      </c>
      <c r="E27" s="111">
        <f t="shared" si="0"/>
        <v>0</v>
      </c>
      <c r="F27" s="112"/>
      <c r="G27" s="334">
        <f>'Main calculation'!C43</f>
        <v>2030</v>
      </c>
      <c r="H27" s="94"/>
      <c r="I27" s="335">
        <f>'Main calculation'!$B$21</f>
        <v>300</v>
      </c>
      <c r="J27" s="111">
        <f t="shared" si="1"/>
        <v>0</v>
      </c>
    </row>
    <row r="28" spans="1:10">
      <c r="A28" s="252" t="str">
        <f>IF('Main calculation'!$B$20=2031, "Finishing year --&gt;","" )</f>
        <v/>
      </c>
    </row>
    <row r="29" spans="1:10">
      <c r="A29" s="252" t="str">
        <f>IF('Main calculation'!$B$20=2032, "Finishing year --&gt;","" )</f>
        <v/>
      </c>
    </row>
    <row r="30" spans="1:10">
      <c r="A30" s="252" t="str">
        <f>IF('Main calculation'!$B$20=2033, "Finishing year --&gt;","" )</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J26"/>
  <sheetViews>
    <sheetView zoomScale="85" zoomScaleNormal="85" workbookViewId="0"/>
  </sheetViews>
  <sheetFormatPr defaultRowHeight="14.4"/>
  <cols>
    <col min="1" max="1" width="16" customWidth="1"/>
    <col min="2" max="5" width="15.6640625" customWidth="1"/>
    <col min="6" max="6" width="5.5546875" customWidth="1"/>
    <col min="7" max="10" width="15.6640625" customWidth="1"/>
  </cols>
  <sheetData>
    <row r="1" spans="1:10" ht="18">
      <c r="A1" s="157" t="s">
        <v>291</v>
      </c>
    </row>
    <row r="2" spans="1:10" s="161" customFormat="1" ht="15" customHeight="1">
      <c r="A2" s="415" t="s">
        <v>289</v>
      </c>
      <c r="B2" s="415"/>
      <c r="C2" s="415"/>
      <c r="D2" s="415"/>
      <c r="E2" s="415"/>
      <c r="F2" s="415"/>
      <c r="G2" s="415"/>
      <c r="H2" s="415"/>
      <c r="I2" s="415"/>
    </row>
    <row r="3" spans="1:10">
      <c r="A3" s="5"/>
      <c r="B3" s="5"/>
      <c r="C3" s="5"/>
      <c r="D3" s="5"/>
      <c r="E3" s="5"/>
      <c r="F3" s="5"/>
      <c r="G3" s="5"/>
      <c r="H3" s="5"/>
      <c r="I3" s="5"/>
    </row>
    <row r="4" spans="1:10" ht="18">
      <c r="B4" s="302" t="s">
        <v>1</v>
      </c>
      <c r="C4" s="303"/>
      <c r="D4" s="303"/>
      <c r="E4" s="303"/>
      <c r="F4" s="109"/>
      <c r="G4" s="304" t="s">
        <v>2</v>
      </c>
      <c r="H4" s="305"/>
      <c r="I4" s="305"/>
      <c r="J4" s="305"/>
    </row>
    <row r="5" spans="1:10" ht="28.8">
      <c r="B5" s="334" t="s">
        <v>0</v>
      </c>
      <c r="C5" s="309"/>
      <c r="D5" s="398" t="s">
        <v>10</v>
      </c>
      <c r="E5" s="398" t="s">
        <v>108</v>
      </c>
      <c r="F5" s="109"/>
      <c r="G5" s="334" t="s">
        <v>0</v>
      </c>
      <c r="H5" s="309"/>
      <c r="I5" s="398" t="s">
        <v>10</v>
      </c>
      <c r="J5" s="398" t="s">
        <v>108</v>
      </c>
    </row>
    <row r="6" spans="1:10">
      <c r="A6" s="252" t="str">
        <f>IF('Main calculation'!$B$19=2013, "Starting year --&gt;","" )</f>
        <v/>
      </c>
      <c r="B6" s="334">
        <f>'Main calculation'!C26</f>
        <v>2013</v>
      </c>
      <c r="C6" s="93"/>
      <c r="D6" s="334">
        <f>'Main calculation'!B18</f>
        <v>200000</v>
      </c>
      <c r="E6" s="111"/>
      <c r="F6" s="109"/>
      <c r="G6" s="334">
        <f>'Main calculation'!C26</f>
        <v>2013</v>
      </c>
      <c r="H6" s="94"/>
      <c r="I6" s="334">
        <f>'Main calculation'!B18</f>
        <v>200000</v>
      </c>
      <c r="J6" s="296"/>
    </row>
    <row r="7" spans="1:10">
      <c r="A7" s="252" t="str">
        <f>IF('Main calculation'!$B$19=2014, "Starting year --&gt;","" )</f>
        <v>Starting year --&gt;</v>
      </c>
      <c r="B7" s="334">
        <f>'Main calculation'!C27</f>
        <v>2014</v>
      </c>
      <c r="C7" s="93"/>
      <c r="D7" s="334">
        <f>'Main calculation'!B19</f>
        <v>2014</v>
      </c>
      <c r="E7" s="111"/>
      <c r="F7" s="109"/>
      <c r="G7" s="334">
        <f>'Main calculation'!C27</f>
        <v>2014</v>
      </c>
      <c r="H7" s="94"/>
      <c r="I7" s="334">
        <f>'Main calculation'!B19</f>
        <v>2014</v>
      </c>
      <c r="J7" s="296"/>
    </row>
    <row r="8" spans="1:10">
      <c r="A8" s="252" t="str">
        <f>IF('Main calculation'!$B$19=2015, "Starting year --&gt;","" )</f>
        <v/>
      </c>
      <c r="B8" s="334">
        <f>'Main calculation'!C28</f>
        <v>2015</v>
      </c>
      <c r="C8" s="93"/>
      <c r="D8" s="334">
        <f>'Main calculation'!B21</f>
        <v>300</v>
      </c>
      <c r="E8" s="111"/>
      <c r="F8" s="109"/>
      <c r="G8" s="334">
        <f>'Main calculation'!C28</f>
        <v>2015</v>
      </c>
      <c r="H8" s="94"/>
      <c r="I8" s="334">
        <f>'Main calculation'!B21</f>
        <v>300</v>
      </c>
      <c r="J8" s="296"/>
    </row>
    <row r="9" spans="1:10">
      <c r="A9" s="252" t="str">
        <f>IF('Main calculation'!$B$19=2016, "Starting year --&gt;","" )</f>
        <v/>
      </c>
      <c r="B9" s="334">
        <f>'Main calculation'!C29</f>
        <v>2016</v>
      </c>
      <c r="C9" s="93"/>
      <c r="D9" s="334">
        <f>'Main calculation'!B21</f>
        <v>300</v>
      </c>
      <c r="E9" s="111"/>
      <c r="F9" s="109"/>
      <c r="G9" s="334">
        <f>'Main calculation'!C29</f>
        <v>2016</v>
      </c>
      <c r="H9" s="94"/>
      <c r="I9" s="334">
        <f>'Main calculation'!B21</f>
        <v>300</v>
      </c>
      <c r="J9" s="296"/>
    </row>
    <row r="10" spans="1:10">
      <c r="A10" s="252" t="str">
        <f>IF('Main calculation'!$B$19=2017, "Starting year --&gt;","" )</f>
        <v/>
      </c>
      <c r="B10" s="334">
        <f>'Main calculation'!C30</f>
        <v>2017</v>
      </c>
      <c r="C10" s="93"/>
      <c r="D10" s="334">
        <f>'Main calculation'!B21</f>
        <v>300</v>
      </c>
      <c r="E10" s="111"/>
      <c r="F10" s="109"/>
      <c r="G10" s="334">
        <f>'Main calculation'!C30</f>
        <v>2017</v>
      </c>
      <c r="H10" s="94"/>
      <c r="I10" s="334">
        <f>'Main calculation'!B21</f>
        <v>300</v>
      </c>
      <c r="J10" s="296"/>
    </row>
    <row r="11" spans="1:10">
      <c r="A11" s="252" t="str">
        <f>IF('Main calculation'!$B$19=2018, "Starting year --&gt;","" )</f>
        <v/>
      </c>
      <c r="B11" s="334">
        <f>'Main calculation'!C31</f>
        <v>2018</v>
      </c>
      <c r="C11" s="93"/>
      <c r="D11" s="334">
        <f>'Main calculation'!B21</f>
        <v>300</v>
      </c>
      <c r="E11" s="111"/>
      <c r="F11" s="109"/>
      <c r="G11" s="334">
        <f>'Main calculation'!C31</f>
        <v>2018</v>
      </c>
      <c r="H11" s="94"/>
      <c r="I11" s="334">
        <f>'Main calculation'!B21</f>
        <v>300</v>
      </c>
      <c r="J11" s="296"/>
    </row>
    <row r="12" spans="1:10">
      <c r="A12" s="252" t="str">
        <f>IF('Main calculation'!$B$19=2019, "Starting year --&gt;","" )</f>
        <v/>
      </c>
      <c r="B12" s="334">
        <f>'Main calculation'!C32</f>
        <v>2019</v>
      </c>
      <c r="C12" s="93"/>
      <c r="D12" s="334">
        <f>'Main calculation'!B21</f>
        <v>300</v>
      </c>
      <c r="E12" s="111"/>
      <c r="F12" s="109"/>
      <c r="G12" s="334">
        <f>'Main calculation'!C32</f>
        <v>2019</v>
      </c>
      <c r="H12" s="94"/>
      <c r="I12" s="334">
        <f>'Main calculation'!B21</f>
        <v>300</v>
      </c>
      <c r="J12" s="296"/>
    </row>
    <row r="13" spans="1:10">
      <c r="A13" s="252" t="str">
        <f>IF('Main calculation'!$B$19=2020, "Starting year --&gt;","" )</f>
        <v/>
      </c>
      <c r="B13" s="334">
        <f>'Main calculation'!C33</f>
        <v>2020</v>
      </c>
      <c r="C13" s="93"/>
      <c r="D13" s="334">
        <f>'Main calculation'!B21</f>
        <v>300</v>
      </c>
      <c r="E13" s="111"/>
      <c r="F13" s="109"/>
      <c r="G13" s="334">
        <f>'Main calculation'!C33</f>
        <v>2020</v>
      </c>
      <c r="H13" s="94"/>
      <c r="I13" s="334">
        <f>'Main calculation'!B21</f>
        <v>300</v>
      </c>
      <c r="J13" s="296"/>
    </row>
    <row r="14" spans="1:10">
      <c r="A14" s="252" t="str">
        <f>IF('Main calculation'!$B$19=2021, "Starting year --&gt;","" )</f>
        <v/>
      </c>
      <c r="B14" s="334">
        <f>'Main calculation'!C34</f>
        <v>2021</v>
      </c>
      <c r="C14" s="93"/>
      <c r="D14" s="334">
        <f>'Main calculation'!B21</f>
        <v>300</v>
      </c>
      <c r="E14" s="111"/>
      <c r="F14" s="109"/>
      <c r="G14" s="334">
        <f>'Main calculation'!C34</f>
        <v>2021</v>
      </c>
      <c r="H14" s="94"/>
      <c r="I14" s="334">
        <f>'Main calculation'!B21</f>
        <v>300</v>
      </c>
      <c r="J14" s="296"/>
    </row>
    <row r="15" spans="1:10">
      <c r="A15" s="252" t="str">
        <f>IF('Main calculation'!$B$19=2022, "Starting year --&gt;","" )</f>
        <v/>
      </c>
      <c r="B15" s="334">
        <f>'Main calculation'!C35</f>
        <v>2022</v>
      </c>
      <c r="C15" s="93"/>
      <c r="D15" s="334">
        <f>'Main calculation'!B21</f>
        <v>300</v>
      </c>
      <c r="E15" s="111"/>
      <c r="F15" s="109"/>
      <c r="G15" s="334">
        <f>'Main calculation'!C35</f>
        <v>2022</v>
      </c>
      <c r="H15" s="94"/>
      <c r="I15" s="334">
        <f>'Main calculation'!B21</f>
        <v>300</v>
      </c>
      <c r="J15" s="296"/>
    </row>
    <row r="16" spans="1:10">
      <c r="A16" s="252" t="str">
        <f>IF('Main calculation'!$B$19=2023, "Starting year --&gt;","" )</f>
        <v/>
      </c>
      <c r="B16" s="334">
        <f>'Main calculation'!C36</f>
        <v>2023</v>
      </c>
      <c r="C16" s="93"/>
      <c r="D16" s="334">
        <f>'Main calculation'!B21</f>
        <v>300</v>
      </c>
      <c r="E16" s="111"/>
      <c r="F16" s="109"/>
      <c r="G16" s="334">
        <f>'Main calculation'!C36</f>
        <v>2023</v>
      </c>
      <c r="H16" s="94"/>
      <c r="I16" s="334">
        <f>'Main calculation'!B21</f>
        <v>300</v>
      </c>
      <c r="J16" s="296"/>
    </row>
    <row r="17" spans="1:10">
      <c r="A17" s="252" t="str">
        <f>IF('Main calculation'!$B$19=2024, "Starting year --&gt;","" )</f>
        <v/>
      </c>
      <c r="B17" s="334">
        <f>'Main calculation'!C37</f>
        <v>2024</v>
      </c>
      <c r="C17" s="93"/>
      <c r="D17" s="334">
        <f>'Main calculation'!B21</f>
        <v>300</v>
      </c>
      <c r="E17" s="111"/>
      <c r="F17" s="109"/>
      <c r="G17" s="334">
        <f>'Main calculation'!C37</f>
        <v>2024</v>
      </c>
      <c r="H17" s="94"/>
      <c r="I17" s="334">
        <f>'Main calculation'!B21</f>
        <v>300</v>
      </c>
      <c r="J17" s="296"/>
    </row>
    <row r="18" spans="1:10">
      <c r="A18" s="252" t="str">
        <f>IF('Main calculation'!$B$19=2025, "Starting year --&gt;","" )</f>
        <v/>
      </c>
      <c r="B18" s="334">
        <f>'Main calculation'!C38</f>
        <v>2025</v>
      </c>
      <c r="C18" s="93"/>
      <c r="D18" s="334">
        <f>'Main calculation'!B21</f>
        <v>300</v>
      </c>
      <c r="E18" s="111"/>
      <c r="F18" s="109"/>
      <c r="G18" s="334">
        <f>'Main calculation'!C38</f>
        <v>2025</v>
      </c>
      <c r="H18" s="94"/>
      <c r="I18" s="334">
        <f>'Main calculation'!B21</f>
        <v>300</v>
      </c>
      <c r="J18" s="296"/>
    </row>
    <row r="19" spans="1:10">
      <c r="A19" s="252" t="str">
        <f>IF('Main calculation'!$B$19=2026, "Starting year --&gt;","" )</f>
        <v/>
      </c>
      <c r="B19" s="334">
        <f>'Main calculation'!C39</f>
        <v>2026</v>
      </c>
      <c r="C19" s="93"/>
      <c r="D19" s="334">
        <f>'Main calculation'!B21</f>
        <v>300</v>
      </c>
      <c r="E19" s="111"/>
      <c r="F19" s="109"/>
      <c r="G19" s="334">
        <f>'Main calculation'!C39</f>
        <v>2026</v>
      </c>
      <c r="H19" s="94"/>
      <c r="I19" s="334">
        <f>'Main calculation'!B21</f>
        <v>300</v>
      </c>
      <c r="J19" s="296"/>
    </row>
    <row r="20" spans="1:10">
      <c r="A20" s="252" t="str">
        <f>IF('Main calculation'!$B$19=2027, "Starting year --&gt;","" )</f>
        <v/>
      </c>
      <c r="B20" s="334">
        <f>'Main calculation'!C40</f>
        <v>2027</v>
      </c>
      <c r="C20" s="93"/>
      <c r="D20" s="334">
        <f>'Main calculation'!B21</f>
        <v>300</v>
      </c>
      <c r="E20" s="111"/>
      <c r="F20" s="109"/>
      <c r="G20" s="334">
        <f>'Main calculation'!C40</f>
        <v>2027</v>
      </c>
      <c r="H20" s="94"/>
      <c r="I20" s="334">
        <f>'Main calculation'!B21</f>
        <v>300</v>
      </c>
      <c r="J20" s="296"/>
    </row>
    <row r="21" spans="1:10">
      <c r="A21" s="252" t="str">
        <f>IF('Main calculation'!$B$20=2028, "Finishing year --&gt;","" )</f>
        <v>Finishing year --&gt;</v>
      </c>
      <c r="B21" s="334">
        <f>'Main calculation'!C41</f>
        <v>2028</v>
      </c>
      <c r="C21" s="93"/>
      <c r="D21" s="334">
        <f>'Main calculation'!B21</f>
        <v>300</v>
      </c>
      <c r="E21" s="111"/>
      <c r="F21" s="109"/>
      <c r="G21" s="334">
        <f>'Main calculation'!C41</f>
        <v>2028</v>
      </c>
      <c r="H21" s="94"/>
      <c r="I21" s="334">
        <f>'Main calculation'!B21</f>
        <v>300</v>
      </c>
      <c r="J21" s="296"/>
    </row>
    <row r="22" spans="1:10">
      <c r="A22" s="252" t="str">
        <f>IF('Main calculation'!$B$20=2029, "Finishing year --&gt;","" )</f>
        <v/>
      </c>
      <c r="B22" s="334">
        <f>'Main calculation'!C42</f>
        <v>2029</v>
      </c>
      <c r="C22" s="93"/>
      <c r="D22" s="334">
        <f>'Main calculation'!B21</f>
        <v>300</v>
      </c>
      <c r="E22" s="111"/>
      <c r="F22" s="109"/>
      <c r="G22" s="334">
        <f>'Main calculation'!C42</f>
        <v>2029</v>
      </c>
      <c r="H22" s="94"/>
      <c r="I22" s="334">
        <f>'Main calculation'!B21</f>
        <v>300</v>
      </c>
      <c r="J22" s="296"/>
    </row>
    <row r="23" spans="1:10">
      <c r="A23" s="252" t="str">
        <f>IF('Main calculation'!$B$20=2030, "Finishing year --&gt;","" )</f>
        <v/>
      </c>
      <c r="B23" s="334">
        <f>'Main calculation'!C43</f>
        <v>2030</v>
      </c>
      <c r="C23" s="93"/>
      <c r="D23" s="334">
        <f>'Main calculation'!B21</f>
        <v>300</v>
      </c>
      <c r="E23" s="111"/>
      <c r="F23" s="109"/>
      <c r="G23" s="334">
        <f>'Main calculation'!C43</f>
        <v>2030</v>
      </c>
      <c r="H23" s="94"/>
      <c r="I23" s="334">
        <f>'Main calculation'!B21</f>
        <v>300</v>
      </c>
      <c r="J23" s="296"/>
    </row>
    <row r="24" spans="1:10">
      <c r="A24" s="252" t="str">
        <f>IF('Main calculation'!$B$20=2031, "Finishing year --&gt;","" )</f>
        <v/>
      </c>
    </row>
    <row r="25" spans="1:10">
      <c r="A25" s="252" t="str">
        <f>IF('Main calculation'!$B$20=2032, "Finishing year --&gt;","" )</f>
        <v/>
      </c>
    </row>
    <row r="26" spans="1:10">
      <c r="A26" s="252" t="str">
        <f>IF('Main calculation'!$B$20=2033, "Finishing year --&gt;","" )</f>
        <v/>
      </c>
    </row>
  </sheetData>
  <mergeCells count="1">
    <mergeCell ref="A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I29"/>
  <sheetViews>
    <sheetView zoomScale="85" zoomScaleNormal="85" workbookViewId="0"/>
  </sheetViews>
  <sheetFormatPr defaultRowHeight="14.4"/>
  <cols>
    <col min="1" max="1" width="15.88671875" customWidth="1"/>
    <col min="2" max="2" width="15.6640625" customWidth="1"/>
    <col min="3" max="3" width="16.5546875" customWidth="1"/>
    <col min="4" max="4" width="15.6640625" customWidth="1"/>
    <col min="5" max="5" width="5.5546875" customWidth="1"/>
    <col min="6" max="6" width="15.6640625" customWidth="1"/>
    <col min="7" max="7" width="17.44140625" customWidth="1"/>
    <col min="8" max="8" width="15.6640625" customWidth="1"/>
  </cols>
  <sheetData>
    <row r="1" spans="1:9" ht="18">
      <c r="A1" s="157" t="s">
        <v>292</v>
      </c>
    </row>
    <row r="2" spans="1:9">
      <c r="A2" t="s">
        <v>181</v>
      </c>
    </row>
    <row r="3" spans="1:9">
      <c r="A3" t="s">
        <v>182</v>
      </c>
    </row>
    <row r="4" spans="1:9">
      <c r="A4" t="s">
        <v>183</v>
      </c>
    </row>
    <row r="7" spans="1:9" ht="18">
      <c r="B7" s="302" t="s">
        <v>1</v>
      </c>
      <c r="C7" s="303"/>
      <c r="D7" s="303"/>
      <c r="E7" s="109"/>
      <c r="F7" s="304" t="s">
        <v>2</v>
      </c>
      <c r="G7" s="304"/>
      <c r="H7" s="305"/>
      <c r="I7" s="5"/>
    </row>
    <row r="8" spans="1:9" ht="57.6">
      <c r="B8" s="128" t="s">
        <v>0</v>
      </c>
      <c r="C8" s="397" t="s">
        <v>120</v>
      </c>
      <c r="D8" s="397" t="s">
        <v>86</v>
      </c>
      <c r="E8" s="171"/>
      <c r="F8" s="128" t="s">
        <v>0</v>
      </c>
      <c r="G8" s="397" t="s">
        <v>120</v>
      </c>
      <c r="H8" s="397" t="s">
        <v>86</v>
      </c>
      <c r="I8" s="5"/>
    </row>
    <row r="9" spans="1:9">
      <c r="A9" s="252" t="str">
        <f>IF('Main calculation'!$B$19=2013, "Starting year --&gt;","" )</f>
        <v/>
      </c>
      <c r="B9" s="128">
        <f>'Main calculation'!C28</f>
        <v>2015</v>
      </c>
      <c r="C9" s="301"/>
      <c r="D9" s="301"/>
      <c r="E9" s="112"/>
      <c r="F9" s="128">
        <f>'Main calculation'!C28</f>
        <v>2015</v>
      </c>
      <c r="G9" s="306"/>
      <c r="H9" s="301"/>
      <c r="I9" s="5"/>
    </row>
    <row r="10" spans="1:9">
      <c r="A10" s="252" t="str">
        <f>IF('Main calculation'!$B$19=2014, "Starting year --&gt;","" )</f>
        <v>Starting year --&gt;</v>
      </c>
      <c r="B10" s="128">
        <f>'Main calculation'!C29</f>
        <v>2016</v>
      </c>
      <c r="C10" s="301"/>
      <c r="D10" s="301"/>
      <c r="E10" s="112"/>
      <c r="F10" s="128">
        <f>'Main calculation'!C29</f>
        <v>2016</v>
      </c>
      <c r="G10" s="306"/>
      <c r="H10" s="301"/>
      <c r="I10" s="5"/>
    </row>
    <row r="11" spans="1:9">
      <c r="A11" s="252" t="str">
        <f>IF('Main calculation'!$B$19=2015, "Starting year --&gt;","" )</f>
        <v/>
      </c>
      <c r="B11" s="128">
        <f>'Main calculation'!C30</f>
        <v>2017</v>
      </c>
      <c r="C11" s="301"/>
      <c r="D11" s="301"/>
      <c r="E11" s="112"/>
      <c r="F11" s="128">
        <f>'Main calculation'!C30</f>
        <v>2017</v>
      </c>
      <c r="G11" s="306"/>
      <c r="H11" s="301"/>
      <c r="I11" s="5"/>
    </row>
    <row r="12" spans="1:9">
      <c r="A12" s="252" t="str">
        <f>IF('Main calculation'!$B$19=2016, "Starting year --&gt;","" )</f>
        <v/>
      </c>
      <c r="B12" s="128">
        <f>'Main calculation'!C31</f>
        <v>2018</v>
      </c>
      <c r="C12" s="301"/>
      <c r="D12" s="301"/>
      <c r="E12" s="112"/>
      <c r="F12" s="128">
        <f>'Main calculation'!C31</f>
        <v>2018</v>
      </c>
      <c r="G12" s="306"/>
      <c r="H12" s="301"/>
      <c r="I12" s="5"/>
    </row>
    <row r="13" spans="1:9">
      <c r="A13" s="252" t="str">
        <f>IF('Main calculation'!$B$19=2017, "Starting year --&gt;","" )</f>
        <v/>
      </c>
      <c r="B13" s="128">
        <f>'Main calculation'!C32</f>
        <v>2019</v>
      </c>
      <c r="C13" s="301"/>
      <c r="D13" s="301"/>
      <c r="E13" s="112"/>
      <c r="F13" s="128">
        <f>'Main calculation'!C32</f>
        <v>2019</v>
      </c>
      <c r="G13" s="306"/>
      <c r="H13" s="301"/>
      <c r="I13" s="5"/>
    </row>
    <row r="14" spans="1:9">
      <c r="A14" s="252" t="str">
        <f>IF('Main calculation'!$B$19=2018, "Starting year --&gt;","" )</f>
        <v/>
      </c>
      <c r="B14" s="128">
        <f>'Main calculation'!C33</f>
        <v>2020</v>
      </c>
      <c r="C14" s="301"/>
      <c r="D14" s="301"/>
      <c r="E14" s="112"/>
      <c r="F14" s="128">
        <f>'Main calculation'!C33</f>
        <v>2020</v>
      </c>
      <c r="G14" s="306"/>
      <c r="H14" s="301"/>
      <c r="I14" s="5"/>
    </row>
    <row r="15" spans="1:9">
      <c r="A15" s="252" t="str">
        <f>IF('Main calculation'!$B$19=2019, "Starting year --&gt;","" )</f>
        <v/>
      </c>
      <c r="B15" s="128">
        <f>'Main calculation'!C34</f>
        <v>2021</v>
      </c>
      <c r="C15" s="301"/>
      <c r="D15" s="301"/>
      <c r="E15" s="112"/>
      <c r="F15" s="128">
        <f>'Main calculation'!C34</f>
        <v>2021</v>
      </c>
      <c r="G15" s="306"/>
      <c r="H15" s="301"/>
      <c r="I15" s="5"/>
    </row>
    <row r="16" spans="1:9">
      <c r="A16" s="252" t="str">
        <f>IF('Main calculation'!$B$19=2020, "Starting year --&gt;","" )</f>
        <v/>
      </c>
      <c r="B16" s="128">
        <f>'Main calculation'!C35</f>
        <v>2022</v>
      </c>
      <c r="C16" s="301"/>
      <c r="D16" s="301"/>
      <c r="E16" s="112"/>
      <c r="F16" s="128">
        <f>'Main calculation'!C35</f>
        <v>2022</v>
      </c>
      <c r="G16" s="306"/>
      <c r="H16" s="301"/>
      <c r="I16" s="5"/>
    </row>
    <row r="17" spans="1:9">
      <c r="A17" s="252" t="str">
        <f>IF('Main calculation'!$B$19=2021, "Starting year --&gt;","" )</f>
        <v/>
      </c>
      <c r="B17" s="128">
        <f>'Main calculation'!C36</f>
        <v>2023</v>
      </c>
      <c r="C17" s="301"/>
      <c r="D17" s="301"/>
      <c r="E17" s="112"/>
      <c r="F17" s="128">
        <f>'Main calculation'!C36</f>
        <v>2023</v>
      </c>
      <c r="G17" s="306"/>
      <c r="H17" s="301"/>
      <c r="I17" s="5"/>
    </row>
    <row r="18" spans="1:9">
      <c r="A18" s="252" t="str">
        <f>IF('Main calculation'!$B$19=2022, "Starting year --&gt;","" )</f>
        <v/>
      </c>
      <c r="B18" s="128">
        <f>'Main calculation'!C37</f>
        <v>2024</v>
      </c>
      <c r="C18" s="301"/>
      <c r="D18" s="301"/>
      <c r="E18" s="112"/>
      <c r="F18" s="128">
        <f>'Main calculation'!C37</f>
        <v>2024</v>
      </c>
      <c r="G18" s="306"/>
      <c r="H18" s="301"/>
      <c r="I18" s="5"/>
    </row>
    <row r="19" spans="1:9">
      <c r="A19" s="252" t="str">
        <f>IF('Main calculation'!$B$19=2023, "Starting year --&gt;","" )</f>
        <v/>
      </c>
      <c r="B19" s="128">
        <f>'Main calculation'!C38</f>
        <v>2025</v>
      </c>
      <c r="C19" s="301"/>
      <c r="D19" s="301"/>
      <c r="E19" s="112"/>
      <c r="F19" s="128">
        <f>'Main calculation'!C38</f>
        <v>2025</v>
      </c>
      <c r="G19" s="306"/>
      <c r="H19" s="301"/>
      <c r="I19" s="5"/>
    </row>
    <row r="20" spans="1:9">
      <c r="A20" s="252" t="str">
        <f>IF('Main calculation'!$B$19=2024, "Starting year --&gt;","" )</f>
        <v/>
      </c>
      <c r="B20" s="128">
        <f>'Main calculation'!C39</f>
        <v>2026</v>
      </c>
      <c r="C20" s="301"/>
      <c r="D20" s="301"/>
      <c r="E20" s="112"/>
      <c r="F20" s="128">
        <f>'Main calculation'!C39</f>
        <v>2026</v>
      </c>
      <c r="G20" s="306"/>
      <c r="H20" s="301"/>
      <c r="I20" s="5"/>
    </row>
    <row r="21" spans="1:9">
      <c r="A21" s="252" t="str">
        <f>IF('Main calculation'!$B$19=2025, "Starting year --&gt;","" )</f>
        <v/>
      </c>
      <c r="B21" s="128">
        <f>'Main calculation'!C40</f>
        <v>2027</v>
      </c>
      <c r="C21" s="301"/>
      <c r="D21" s="301"/>
      <c r="E21" s="112"/>
      <c r="F21" s="128">
        <f>'Main calculation'!C40</f>
        <v>2027</v>
      </c>
      <c r="G21" s="306"/>
      <c r="H21" s="301"/>
      <c r="I21" s="5"/>
    </row>
    <row r="22" spans="1:9">
      <c r="A22" s="252" t="str">
        <f>IF('Main calculation'!$B$19=2026, "Starting year --&gt;","" )</f>
        <v/>
      </c>
      <c r="B22" s="128">
        <f>'Main calculation'!C41</f>
        <v>2028</v>
      </c>
      <c r="C22" s="301"/>
      <c r="D22" s="301"/>
      <c r="E22" s="112"/>
      <c r="F22" s="128">
        <f>'Main calculation'!C41</f>
        <v>2028</v>
      </c>
      <c r="G22" s="306"/>
      <c r="H22" s="301"/>
      <c r="I22" s="5"/>
    </row>
    <row r="23" spans="1:9">
      <c r="A23" s="252" t="str">
        <f>IF('Main calculation'!$B$19=2027, "Starting year --&gt;","" )</f>
        <v/>
      </c>
      <c r="B23" s="128">
        <f>'Main calculation'!C42</f>
        <v>2029</v>
      </c>
      <c r="C23" s="301"/>
      <c r="D23" s="301"/>
      <c r="E23" s="112"/>
      <c r="F23" s="128">
        <f>'Main calculation'!C42</f>
        <v>2029</v>
      </c>
      <c r="G23" s="306"/>
      <c r="H23" s="301"/>
      <c r="I23" s="5"/>
    </row>
    <row r="24" spans="1:9">
      <c r="A24" s="252" t="str">
        <f>IF('Main calculation'!$B$20=2028, "Finishing year --&gt;","" )</f>
        <v>Finishing year --&gt;</v>
      </c>
      <c r="B24" s="128">
        <f>'Main calculation'!C43</f>
        <v>2030</v>
      </c>
      <c r="C24" s="301"/>
      <c r="D24" s="301"/>
      <c r="E24" s="112"/>
      <c r="F24" s="128">
        <f>'Main calculation'!C43</f>
        <v>2030</v>
      </c>
      <c r="G24" s="306"/>
      <c r="H24" s="301"/>
      <c r="I24" s="5"/>
    </row>
    <row r="25" spans="1:9">
      <c r="A25" s="252" t="str">
        <f>IF('Main calculation'!$B$20=2029, "Finishing year --&gt;","" )</f>
        <v/>
      </c>
    </row>
    <row r="26" spans="1:9">
      <c r="A26" s="252" t="str">
        <f>IF('Main calculation'!$B$20=2030, "Finishing year --&gt;","" )</f>
        <v/>
      </c>
    </row>
    <row r="27" spans="1:9">
      <c r="A27" s="252" t="str">
        <f>IF('Main calculation'!$B$20=2031, "Finishing year --&gt;","" )</f>
        <v/>
      </c>
    </row>
    <row r="28" spans="1:9">
      <c r="A28" s="252" t="str">
        <f>IF('Main calculation'!$B$20=2032, "Finishing year --&gt;","" )</f>
        <v/>
      </c>
    </row>
    <row r="29" spans="1:9">
      <c r="A29" s="252" t="str">
        <f>IF('Main calculation'!$B$20=2033, "Finishing year --&gt;","" )</f>
        <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U75"/>
  <sheetViews>
    <sheetView topLeftCell="A55" zoomScale="85" zoomScaleNormal="85" workbookViewId="0"/>
  </sheetViews>
  <sheetFormatPr defaultRowHeight="14.4"/>
  <cols>
    <col min="1" max="1" width="15.88671875" customWidth="1"/>
    <col min="2" max="2" width="27.6640625" bestFit="1" customWidth="1"/>
    <col min="3" max="3" width="11" customWidth="1"/>
    <col min="4" max="6" width="10.5546875" bestFit="1" customWidth="1"/>
    <col min="7" max="7" width="12.33203125" customWidth="1"/>
    <col min="9" max="9" width="26.33203125" bestFit="1" customWidth="1"/>
  </cols>
  <sheetData>
    <row r="1" spans="1:21" ht="18">
      <c r="A1" s="157" t="s">
        <v>293</v>
      </c>
    </row>
    <row r="2" spans="1:21" ht="34.5" customHeight="1">
      <c r="A2" s="431" t="s">
        <v>199</v>
      </c>
      <c r="B2" s="431"/>
      <c r="C2" s="431"/>
      <c r="D2" s="431"/>
      <c r="E2" s="431"/>
      <c r="F2" s="431"/>
      <c r="G2" s="431"/>
      <c r="H2" s="431"/>
      <c r="I2" s="431"/>
      <c r="J2" s="431"/>
    </row>
    <row r="4" spans="1:21" ht="15" thickBot="1">
      <c r="C4" t="s">
        <v>11</v>
      </c>
      <c r="D4" t="s">
        <v>81</v>
      </c>
      <c r="E4" t="s">
        <v>82</v>
      </c>
      <c r="F4" t="s">
        <v>83</v>
      </c>
      <c r="G4" t="s">
        <v>84</v>
      </c>
      <c r="K4" t="s">
        <v>81</v>
      </c>
      <c r="L4" t="s">
        <v>82</v>
      </c>
      <c r="M4" t="s">
        <v>83</v>
      </c>
      <c r="N4" t="s">
        <v>84</v>
      </c>
      <c r="R4" t="s">
        <v>81</v>
      </c>
      <c r="S4" t="s">
        <v>82</v>
      </c>
      <c r="T4" t="s">
        <v>83</v>
      </c>
      <c r="U4" t="s">
        <v>84</v>
      </c>
    </row>
    <row r="5" spans="1:21">
      <c r="A5" s="5" t="s">
        <v>12</v>
      </c>
      <c r="B5" s="6"/>
      <c r="C5" s="7" t="s">
        <v>13</v>
      </c>
      <c r="D5" s="8"/>
      <c r="E5" s="8"/>
      <c r="F5" s="8"/>
      <c r="G5" s="9"/>
      <c r="I5" s="6"/>
      <c r="J5" s="136" t="s">
        <v>117</v>
      </c>
      <c r="K5" s="137" t="s">
        <v>15</v>
      </c>
      <c r="L5" s="137" t="s">
        <v>16</v>
      </c>
      <c r="M5" s="137" t="s">
        <v>17</v>
      </c>
      <c r="N5" s="138" t="s">
        <v>18</v>
      </c>
      <c r="P5" s="6"/>
      <c r="Q5" s="136" t="s">
        <v>117</v>
      </c>
      <c r="R5" s="137" t="s">
        <v>15</v>
      </c>
      <c r="S5" s="137" t="s">
        <v>16</v>
      </c>
      <c r="T5" s="137" t="s">
        <v>17</v>
      </c>
      <c r="U5" s="138" t="s">
        <v>18</v>
      </c>
    </row>
    <row r="6" spans="1:21" ht="15" thickBot="1">
      <c r="A6" s="10">
        <v>0.03</v>
      </c>
      <c r="B6" s="11"/>
      <c r="C6" s="12" t="s">
        <v>14</v>
      </c>
      <c r="D6" s="12" t="s">
        <v>15</v>
      </c>
      <c r="E6" s="12" t="s">
        <v>16</v>
      </c>
      <c r="F6" s="12" t="s">
        <v>17</v>
      </c>
      <c r="G6" s="13" t="s">
        <v>18</v>
      </c>
      <c r="I6" s="143" t="s">
        <v>116</v>
      </c>
      <c r="J6" s="135">
        <v>110</v>
      </c>
      <c r="K6" s="135">
        <v>122</v>
      </c>
      <c r="L6" s="135">
        <v>97</v>
      </c>
      <c r="M6" s="135">
        <v>66</v>
      </c>
      <c r="N6" s="144">
        <v>61</v>
      </c>
      <c r="O6" s="134"/>
      <c r="P6" s="143" t="s">
        <v>116</v>
      </c>
      <c r="Q6" s="135">
        <v>149</v>
      </c>
      <c r="R6" s="135">
        <v>122</v>
      </c>
      <c r="S6" s="135">
        <v>97</v>
      </c>
      <c r="T6" s="135">
        <v>66</v>
      </c>
      <c r="U6" s="144">
        <v>61</v>
      </c>
    </row>
    <row r="7" spans="1:21" ht="15" thickTop="1">
      <c r="B7" s="14" t="s">
        <v>19</v>
      </c>
      <c r="C7" s="15">
        <v>1</v>
      </c>
      <c r="D7" s="16">
        <v>0.11680196227300001</v>
      </c>
      <c r="E7" s="16">
        <v>0.11680196227300001</v>
      </c>
      <c r="F7" s="16">
        <v>0.47665712783999997</v>
      </c>
      <c r="G7" s="17">
        <v>0.88185481516099995</v>
      </c>
      <c r="H7" s="18" t="s">
        <v>20</v>
      </c>
      <c r="I7" s="19" t="s">
        <v>19</v>
      </c>
      <c r="J7" s="133">
        <v>1</v>
      </c>
      <c r="K7" s="132">
        <v>1.1904761904800001</v>
      </c>
      <c r="L7" s="132">
        <v>1.1904761904800001</v>
      </c>
      <c r="M7" s="132">
        <v>5.0333333333299999</v>
      </c>
      <c r="N7" s="145">
        <v>9.0658333333299996</v>
      </c>
      <c r="O7" s="134"/>
      <c r="P7" s="19" t="s">
        <v>19</v>
      </c>
      <c r="Q7" s="133">
        <v>1</v>
      </c>
      <c r="R7" s="132">
        <v>1.1904761904800001</v>
      </c>
      <c r="S7" s="132">
        <v>1.1904761904800001</v>
      </c>
      <c r="T7" s="132">
        <v>5.0333333333299999</v>
      </c>
      <c r="U7" s="145">
        <v>9.0658333333299996</v>
      </c>
    </row>
    <row r="8" spans="1:21">
      <c r="B8" s="19" t="s">
        <v>21</v>
      </c>
      <c r="C8" s="20">
        <v>1</v>
      </c>
      <c r="D8" s="21">
        <v>0.952755905511811</v>
      </c>
      <c r="E8" s="21">
        <v>0.77165354330708658</v>
      </c>
      <c r="F8" s="21">
        <v>0.50393700787401574</v>
      </c>
      <c r="G8" s="22">
        <v>0.48031496062992124</v>
      </c>
      <c r="H8" s="18" t="s">
        <v>22</v>
      </c>
      <c r="I8" s="19" t="s">
        <v>21</v>
      </c>
      <c r="J8" s="131">
        <v>1</v>
      </c>
      <c r="K8" s="122">
        <f>K6/$J$6</f>
        <v>1.1090909090909091</v>
      </c>
      <c r="L8" s="122">
        <f>L6/$J$6</f>
        <v>0.88181818181818183</v>
      </c>
      <c r="M8" s="122">
        <f>M6/$J$6</f>
        <v>0.6</v>
      </c>
      <c r="N8" s="146">
        <f>N6/$J$6</f>
        <v>0.55454545454545456</v>
      </c>
      <c r="O8" s="134"/>
      <c r="P8" s="19" t="s">
        <v>21</v>
      </c>
      <c r="Q8" s="131">
        <v>1</v>
      </c>
      <c r="R8" s="122">
        <f>R6/$Q$6</f>
        <v>0.81879194630872487</v>
      </c>
      <c r="S8" s="122">
        <f>S6/$Q$6</f>
        <v>0.65100671140939592</v>
      </c>
      <c r="T8" s="122">
        <f>T6/$Q$6</f>
        <v>0.44295302013422821</v>
      </c>
      <c r="U8" s="122">
        <f>U6/$Q$6</f>
        <v>0.40939597315436244</v>
      </c>
    </row>
    <row r="9" spans="1:21" ht="15" thickBot="1">
      <c r="A9" s="23" t="s">
        <v>23</v>
      </c>
      <c r="B9" s="24" t="s">
        <v>24</v>
      </c>
      <c r="C9" s="25">
        <v>1</v>
      </c>
      <c r="D9" s="26">
        <f>D7*D8</f>
        <v>0.11128375933096851</v>
      </c>
      <c r="E9" s="26">
        <f>E7*E8</f>
        <v>9.0130648053181106E-2</v>
      </c>
      <c r="F9" s="26">
        <f>F7*F8</f>
        <v>0.24020516678551179</v>
      </c>
      <c r="G9" s="27">
        <f>G7*G8</f>
        <v>0.42356806082536214</v>
      </c>
      <c r="I9" s="24" t="s">
        <v>24</v>
      </c>
      <c r="J9" s="147">
        <v>1</v>
      </c>
      <c r="K9" s="147">
        <f>K8*K7</f>
        <v>1.3203463203505457</v>
      </c>
      <c r="L9" s="147">
        <f>L8*L7</f>
        <v>1.0497835497869092</v>
      </c>
      <c r="M9" s="147">
        <f>M8*M7</f>
        <v>3.0199999999979998</v>
      </c>
      <c r="N9" s="148">
        <f>N8*N7</f>
        <v>5.0274166666648181</v>
      </c>
      <c r="O9" s="134"/>
      <c r="P9" s="24" t="s">
        <v>24</v>
      </c>
      <c r="Q9" s="147">
        <v>1</v>
      </c>
      <c r="R9" s="147">
        <f>R8*R7</f>
        <v>0.97475231703731557</v>
      </c>
      <c r="S9" s="147">
        <f>S8*S7</f>
        <v>0.7750079897755705</v>
      </c>
      <c r="T9" s="147">
        <f>T8*T7</f>
        <v>2.2295302013408054</v>
      </c>
      <c r="U9" s="148">
        <f>U8*U7</f>
        <v>3.7115156599538928</v>
      </c>
    </row>
    <row r="10" spans="1:21" ht="15" thickBot="1"/>
    <row r="11" spans="1:21" ht="15" thickBot="1">
      <c r="A11" s="28" t="s">
        <v>25</v>
      </c>
      <c r="B11" s="29" t="s">
        <v>26</v>
      </c>
      <c r="C11" s="30" t="s">
        <v>27</v>
      </c>
      <c r="I11" s="190" t="s">
        <v>118</v>
      </c>
      <c r="J11" s="191" t="s">
        <v>117</v>
      </c>
      <c r="K11" s="201" t="s">
        <v>15</v>
      </c>
      <c r="L11" s="201" t="s">
        <v>16</v>
      </c>
      <c r="M11" s="201" t="s">
        <v>17</v>
      </c>
      <c r="N11" s="202" t="s">
        <v>18</v>
      </c>
      <c r="O11" t="s">
        <v>104</v>
      </c>
    </row>
    <row r="12" spans="1:21" ht="15" thickTop="1">
      <c r="A12" s="31"/>
      <c r="B12" s="32" t="s">
        <v>28</v>
      </c>
      <c r="C12" s="33">
        <v>10</v>
      </c>
      <c r="I12" s="21" t="s">
        <v>119</v>
      </c>
      <c r="J12" s="192">
        <v>69000</v>
      </c>
      <c r="K12" s="193">
        <f>$J12*K$9</f>
        <v>91103.896104187646</v>
      </c>
      <c r="L12" s="193">
        <f>$J12*L9</f>
        <v>72435.064935296745</v>
      </c>
      <c r="M12" s="193">
        <f>$J12*M9</f>
        <v>208379.99999986199</v>
      </c>
      <c r="N12" s="193">
        <f>$J12*N9</f>
        <v>346891.74999987247</v>
      </c>
      <c r="O12" t="s">
        <v>133</v>
      </c>
    </row>
    <row r="13" spans="1:21">
      <c r="A13" s="31"/>
      <c r="B13" s="21" t="s">
        <v>29</v>
      </c>
      <c r="C13" s="34">
        <v>15</v>
      </c>
      <c r="I13" s="194" t="s">
        <v>149</v>
      </c>
      <c r="J13" s="120">
        <v>3.7999999999999999E-2</v>
      </c>
      <c r="K13" s="195">
        <f>$J13*K$9</f>
        <v>5.0173160173320734E-2</v>
      </c>
      <c r="L13" s="195">
        <f t="shared" ref="L13:N15" si="0">$J13*L$9</f>
        <v>3.989177489190255E-2</v>
      </c>
      <c r="M13" s="195">
        <f t="shared" si="0"/>
        <v>0.11475999999992399</v>
      </c>
      <c r="N13" s="195">
        <f t="shared" si="0"/>
        <v>0.19104183333326308</v>
      </c>
      <c r="O13" s="18" t="s">
        <v>140</v>
      </c>
      <c r="P13" t="s">
        <v>146</v>
      </c>
    </row>
    <row r="14" spans="1:21">
      <c r="A14" s="31"/>
      <c r="B14" s="21" t="s">
        <v>30</v>
      </c>
      <c r="C14" s="34">
        <v>20</v>
      </c>
      <c r="I14" s="196" t="s">
        <v>150</v>
      </c>
      <c r="J14" s="120">
        <v>4.0000000000000001E-3</v>
      </c>
      <c r="K14" s="195">
        <f>$J14*K$9</f>
        <v>5.2813852814021824E-3</v>
      </c>
      <c r="L14" s="195">
        <f t="shared" si="0"/>
        <v>4.1991341991476369E-3</v>
      </c>
      <c r="M14" s="195">
        <f t="shared" si="0"/>
        <v>1.2079999999992E-2</v>
      </c>
      <c r="N14" s="195">
        <f t="shared" si="0"/>
        <v>2.0109666666659271E-2</v>
      </c>
      <c r="O14" s="18" t="s">
        <v>151</v>
      </c>
      <c r="P14" t="s">
        <v>152</v>
      </c>
    </row>
    <row r="15" spans="1:21" ht="15" thickBot="1">
      <c r="A15" s="35"/>
      <c r="B15" s="26" t="s">
        <v>31</v>
      </c>
      <c r="C15" s="36">
        <v>40</v>
      </c>
      <c r="I15" s="194" t="s">
        <v>162</v>
      </c>
      <c r="J15" s="120">
        <v>0.26500000000000001</v>
      </c>
      <c r="K15" s="195">
        <f>$J15*K$9</f>
        <v>0.34989177489289464</v>
      </c>
      <c r="L15" s="195">
        <f t="shared" si="0"/>
        <v>0.27819264069353095</v>
      </c>
      <c r="M15" s="195">
        <f t="shared" si="0"/>
        <v>0.80029999999946999</v>
      </c>
      <c r="N15" s="195">
        <f t="shared" si="0"/>
        <v>1.3322654166661769</v>
      </c>
      <c r="O15" s="18" t="s">
        <v>163</v>
      </c>
      <c r="P15" t="s">
        <v>164</v>
      </c>
    </row>
    <row r="16" spans="1:21" ht="15" thickBot="1">
      <c r="C16" s="4"/>
      <c r="I16" s="197"/>
      <c r="J16" s="203" t="s">
        <v>167</v>
      </c>
      <c r="K16" s="200" t="s">
        <v>15</v>
      </c>
      <c r="L16" s="200" t="s">
        <v>16</v>
      </c>
      <c r="M16" s="200" t="s">
        <v>17</v>
      </c>
      <c r="N16" s="200" t="s">
        <v>18</v>
      </c>
    </row>
    <row r="17" spans="1:16" ht="15" thickBot="1">
      <c r="A17" s="28" t="s">
        <v>32</v>
      </c>
      <c r="B17" s="29" t="s">
        <v>26</v>
      </c>
      <c r="C17" s="37" t="s">
        <v>33</v>
      </c>
      <c r="D17" s="38" t="s">
        <v>34</v>
      </c>
      <c r="E17" s="38" t="s">
        <v>35</v>
      </c>
      <c r="F17" s="38" t="s">
        <v>36</v>
      </c>
      <c r="G17" s="39" t="s">
        <v>37</v>
      </c>
      <c r="I17" s="198" t="s">
        <v>168</v>
      </c>
      <c r="J17" s="204">
        <f>0.129/1.61</f>
        <v>8.0124223602484473E-2</v>
      </c>
      <c r="K17" s="199">
        <f>J17*R9</f>
        <v>7.8101272607337707E-2</v>
      </c>
      <c r="L17" s="199">
        <f>K17*S9</f>
        <v>6.0529110282326624E-2</v>
      </c>
      <c r="M17" s="199">
        <f>L17*T9</f>
        <v>0.13495147943473548</v>
      </c>
      <c r="N17" s="199">
        <f>M17*U9</f>
        <v>0.50087452925596643</v>
      </c>
      <c r="O17" s="18" t="s">
        <v>169</v>
      </c>
      <c r="P17" t="s">
        <v>170</v>
      </c>
    </row>
    <row r="18" spans="1:16" ht="15" thickTop="1">
      <c r="A18" s="31"/>
      <c r="B18" s="32" t="s">
        <v>38</v>
      </c>
      <c r="C18" s="40">
        <v>108</v>
      </c>
      <c r="D18" s="41">
        <f>$C18*D$9</f>
        <v>12.0186460077446</v>
      </c>
      <c r="E18" s="41">
        <f>$C18*E$9</f>
        <v>9.7341099897435601</v>
      </c>
      <c r="F18" s="41">
        <f>$C18*F$9</f>
        <v>25.942158012835275</v>
      </c>
      <c r="G18" s="42">
        <f>$C18*G$9</f>
        <v>45.745350569139113</v>
      </c>
    </row>
    <row r="19" spans="1:16">
      <c r="A19" s="31"/>
      <c r="B19" s="21" t="s">
        <v>39</v>
      </c>
      <c r="C19" s="43">
        <v>40</v>
      </c>
      <c r="D19" s="41">
        <f t="shared" ref="D19:G25" si="1">$C19*D$9</f>
        <v>4.4513503732387409</v>
      </c>
      <c r="E19" s="41">
        <f t="shared" si="1"/>
        <v>3.6052259221272442</v>
      </c>
      <c r="F19" s="41">
        <f t="shared" si="1"/>
        <v>9.6082066714204721</v>
      </c>
      <c r="G19" s="42">
        <f t="shared" si="1"/>
        <v>16.942722433014485</v>
      </c>
      <c r="I19" s="264"/>
      <c r="J19" s="265" t="s">
        <v>196</v>
      </c>
      <c r="K19" s="265" t="s">
        <v>194</v>
      </c>
      <c r="L19" s="265" t="s">
        <v>195</v>
      </c>
      <c r="M19" s="265"/>
      <c r="N19" s="266"/>
    </row>
    <row r="20" spans="1:16">
      <c r="A20" s="31"/>
      <c r="B20" s="21" t="s">
        <v>40</v>
      </c>
      <c r="C20" s="43">
        <v>20</v>
      </c>
      <c r="D20" s="41">
        <f t="shared" si="1"/>
        <v>2.2256751866193705</v>
      </c>
      <c r="E20" s="41">
        <f t="shared" si="1"/>
        <v>1.8026129610636221</v>
      </c>
      <c r="F20" s="41">
        <f t="shared" si="1"/>
        <v>4.8041033357102361</v>
      </c>
      <c r="G20" s="42">
        <f t="shared" si="1"/>
        <v>8.4713612165072423</v>
      </c>
      <c r="I20" s="267" t="s">
        <v>88</v>
      </c>
      <c r="J20" s="268">
        <v>176</v>
      </c>
      <c r="K20" s="269">
        <f>L20/L$24</f>
        <v>1.5228426395939087E-2</v>
      </c>
      <c r="L20" s="270">
        <v>1.2</v>
      </c>
      <c r="M20" s="270"/>
      <c r="N20" s="271"/>
    </row>
    <row r="21" spans="1:16">
      <c r="A21" s="31"/>
      <c r="B21" s="21" t="s">
        <v>41</v>
      </c>
      <c r="C21" s="43">
        <v>80</v>
      </c>
      <c r="D21" s="41">
        <f t="shared" si="1"/>
        <v>8.9027007464774819</v>
      </c>
      <c r="E21" s="41">
        <f t="shared" si="1"/>
        <v>7.2104518442544885</v>
      </c>
      <c r="F21" s="41">
        <f t="shared" si="1"/>
        <v>19.216413342840944</v>
      </c>
      <c r="G21" s="42">
        <f t="shared" si="1"/>
        <v>33.885444866028969</v>
      </c>
      <c r="I21" s="267" t="s">
        <v>184</v>
      </c>
      <c r="J21" s="268">
        <v>27</v>
      </c>
      <c r="K21" s="269">
        <f>L21/L$24</f>
        <v>0.8299492385786803</v>
      </c>
      <c r="L21" s="270">
        <v>65.400000000000006</v>
      </c>
      <c r="M21" s="270"/>
      <c r="N21" s="271"/>
    </row>
    <row r="22" spans="1:16">
      <c r="A22" s="31"/>
      <c r="B22" s="21" t="s">
        <v>42</v>
      </c>
      <c r="C22" s="43">
        <v>150</v>
      </c>
      <c r="D22" s="41">
        <f t="shared" si="1"/>
        <v>16.692563899645275</v>
      </c>
      <c r="E22" s="41">
        <f t="shared" si="1"/>
        <v>13.519597207977165</v>
      </c>
      <c r="F22" s="41">
        <f t="shared" si="1"/>
        <v>36.03077501782677</v>
      </c>
      <c r="G22" s="42">
        <f t="shared" si="1"/>
        <v>63.535209123804322</v>
      </c>
      <c r="I22" s="267" t="s">
        <v>185</v>
      </c>
      <c r="J22" s="268">
        <f>J29</f>
        <v>65.270833333333329</v>
      </c>
      <c r="K22" s="269">
        <f>L22/L$24</f>
        <v>0.12182741116751269</v>
      </c>
      <c r="L22" s="270">
        <v>9.6</v>
      </c>
      <c r="M22" s="270"/>
      <c r="N22" s="271"/>
    </row>
    <row r="23" spans="1:16">
      <c r="A23" s="31"/>
      <c r="B23" s="21" t="s">
        <v>43</v>
      </c>
      <c r="C23" s="43">
        <v>120</v>
      </c>
      <c r="D23" s="41">
        <f t="shared" si="1"/>
        <v>13.354051119716221</v>
      </c>
      <c r="E23" s="41">
        <f t="shared" si="1"/>
        <v>10.815677766381732</v>
      </c>
      <c r="F23" s="41">
        <f t="shared" si="1"/>
        <v>28.824620014261416</v>
      </c>
      <c r="G23" s="42">
        <f>$C23*G$9</f>
        <v>50.828167299043457</v>
      </c>
      <c r="I23" s="267" t="s">
        <v>193</v>
      </c>
      <c r="J23" s="268">
        <f>K29</f>
        <v>138.71249999999998</v>
      </c>
      <c r="K23" s="269">
        <f>L23/L$24</f>
        <v>3.2994923857868022E-2</v>
      </c>
      <c r="L23" s="270">
        <v>2.6</v>
      </c>
      <c r="M23" s="270"/>
      <c r="N23" s="271"/>
    </row>
    <row r="24" spans="1:16" ht="16.5" customHeight="1">
      <c r="A24" s="31"/>
      <c r="B24" s="21" t="s">
        <v>44</v>
      </c>
      <c r="C24" s="43">
        <v>51</v>
      </c>
      <c r="D24" s="41">
        <f t="shared" si="1"/>
        <v>5.6754717258793939</v>
      </c>
      <c r="E24" s="41">
        <f t="shared" si="1"/>
        <v>4.5966630507122366</v>
      </c>
      <c r="F24" s="41">
        <f t="shared" si="1"/>
        <v>12.250463506061102</v>
      </c>
      <c r="G24" s="42">
        <f t="shared" si="1"/>
        <v>21.601971102093469</v>
      </c>
      <c r="I24" s="282" t="s">
        <v>198</v>
      </c>
      <c r="J24" s="272">
        <f>J20*K20+J21*K21+J22*K22+J23*K23</f>
        <v>37.617417512690352</v>
      </c>
      <c r="K24" s="270"/>
      <c r="L24" s="270">
        <f>SUM(L20:L23)</f>
        <v>78.8</v>
      </c>
      <c r="M24" s="270"/>
      <c r="N24" s="271"/>
    </row>
    <row r="25" spans="1:16" ht="16.5" customHeight="1" thickBot="1">
      <c r="A25" s="35"/>
      <c r="B25" s="26" t="s">
        <v>45</v>
      </c>
      <c r="C25" s="44">
        <v>102</v>
      </c>
      <c r="D25" s="45">
        <f t="shared" si="1"/>
        <v>11.350943451758788</v>
      </c>
      <c r="E25" s="45">
        <f t="shared" si="1"/>
        <v>9.1933261014244732</v>
      </c>
      <c r="F25" s="45">
        <f t="shared" si="1"/>
        <v>24.500927012122204</v>
      </c>
      <c r="G25" s="46">
        <f t="shared" si="1"/>
        <v>43.203942204186937</v>
      </c>
      <c r="I25" s="281" t="s">
        <v>186</v>
      </c>
      <c r="J25" s="270" t="s">
        <v>187</v>
      </c>
      <c r="K25" s="270" t="s">
        <v>188</v>
      </c>
      <c r="L25" s="270"/>
      <c r="M25" s="270"/>
      <c r="N25" s="271"/>
    </row>
    <row r="26" spans="1:16" ht="15" thickBot="1">
      <c r="C26" s="4"/>
      <c r="I26" s="267" t="s">
        <v>189</v>
      </c>
      <c r="J26" s="273">
        <v>300</v>
      </c>
      <c r="K26" s="273">
        <v>500</v>
      </c>
      <c r="L26" s="270"/>
      <c r="M26" s="270"/>
      <c r="N26" s="271"/>
    </row>
    <row r="27" spans="1:16" ht="15" thickBot="1">
      <c r="A27" s="28" t="s">
        <v>46</v>
      </c>
      <c r="B27" s="29" t="s">
        <v>26</v>
      </c>
      <c r="C27" s="47" t="s">
        <v>14</v>
      </c>
      <c r="D27" s="38" t="s">
        <v>15</v>
      </c>
      <c r="E27" s="38" t="s">
        <v>16</v>
      </c>
      <c r="F27" s="47" t="s">
        <v>17</v>
      </c>
      <c r="G27" s="30" t="s">
        <v>18</v>
      </c>
      <c r="I27" s="267" t="s">
        <v>190</v>
      </c>
      <c r="J27" s="273">
        <v>43.1</v>
      </c>
      <c r="K27" s="273">
        <v>79</v>
      </c>
      <c r="L27" s="270"/>
      <c r="M27" s="270"/>
      <c r="N27" s="271"/>
    </row>
    <row r="28" spans="1:16" ht="15" thickTop="1">
      <c r="A28" s="31"/>
      <c r="B28" s="32" t="s">
        <v>47</v>
      </c>
      <c r="C28" s="48">
        <v>23700000</v>
      </c>
      <c r="D28" s="49">
        <f>$C28*D$9</f>
        <v>2637425.096143954</v>
      </c>
      <c r="E28" s="49">
        <f>$C28*E$9</f>
        <v>2136096.3588603921</v>
      </c>
      <c r="F28" s="49">
        <f>$C28*F$9</f>
        <v>5692862.4528166298</v>
      </c>
      <c r="G28" s="50">
        <f>$C28*G$9</f>
        <v>10038563.041561082</v>
      </c>
      <c r="I28" s="267" t="s">
        <v>191</v>
      </c>
      <c r="J28" s="273">
        <v>18400</v>
      </c>
      <c r="K28" s="273">
        <v>71470</v>
      </c>
      <c r="L28" s="270"/>
      <c r="M28" s="270"/>
      <c r="N28" s="271"/>
    </row>
    <row r="29" spans="1:16" ht="15" thickBot="1">
      <c r="A29" s="31"/>
      <c r="B29" s="21" t="s">
        <v>48</v>
      </c>
      <c r="C29" s="51">
        <v>4400000</v>
      </c>
      <c r="D29" s="49">
        <f t="shared" ref="D29:G32" si="2">$C29*D$9</f>
        <v>489648.54105626146</v>
      </c>
      <c r="E29" s="49">
        <f t="shared" si="2"/>
        <v>396574.85143399687</v>
      </c>
      <c r="F29" s="49">
        <f t="shared" si="2"/>
        <v>1056902.7338562519</v>
      </c>
      <c r="G29" s="50">
        <f t="shared" si="2"/>
        <v>1863699.4676315933</v>
      </c>
      <c r="I29" s="267" t="s">
        <v>192</v>
      </c>
      <c r="J29" s="273">
        <f>(J27+(J28/J26))/1.6</f>
        <v>65.270833333333329</v>
      </c>
      <c r="K29" s="273">
        <f>(K27+(K28/K26))/1.6</f>
        <v>138.71249999999998</v>
      </c>
      <c r="L29" s="270"/>
      <c r="M29" s="270"/>
      <c r="N29" s="271"/>
    </row>
    <row r="30" spans="1:16" ht="15.75" customHeight="1" thickBot="1">
      <c r="A30" s="31"/>
      <c r="B30" s="21" t="s">
        <v>49</v>
      </c>
      <c r="C30" s="51">
        <v>200000</v>
      </c>
      <c r="D30" s="49">
        <f t="shared" si="2"/>
        <v>22256.751866193703</v>
      </c>
      <c r="E30" s="49">
        <f t="shared" si="2"/>
        <v>18026.129610636221</v>
      </c>
      <c r="F30" s="49">
        <f t="shared" si="2"/>
        <v>48041.033357102358</v>
      </c>
      <c r="G30" s="50">
        <f t="shared" si="2"/>
        <v>84713.612165072424</v>
      </c>
      <c r="I30" s="277" t="s">
        <v>118</v>
      </c>
      <c r="J30" s="278" t="s">
        <v>117</v>
      </c>
      <c r="K30" s="279" t="s">
        <v>15</v>
      </c>
      <c r="L30" s="279" t="s">
        <v>16</v>
      </c>
      <c r="M30" s="279" t="s">
        <v>17</v>
      </c>
      <c r="N30" s="280" t="s">
        <v>18</v>
      </c>
    </row>
    <row r="31" spans="1:16" ht="15.75" customHeight="1">
      <c r="A31" s="31"/>
      <c r="B31" s="21" t="s">
        <v>50</v>
      </c>
      <c r="C31" s="51">
        <v>15000</v>
      </c>
      <c r="D31" s="49">
        <f t="shared" si="2"/>
        <v>1669.2563899645277</v>
      </c>
      <c r="E31" s="49">
        <f t="shared" si="2"/>
        <v>1351.9597207977165</v>
      </c>
      <c r="F31" s="49">
        <f t="shared" si="2"/>
        <v>3603.0775017826768</v>
      </c>
      <c r="G31" s="50">
        <f t="shared" si="2"/>
        <v>6353.5209123804325</v>
      </c>
      <c r="I31" s="274" t="s">
        <v>198</v>
      </c>
      <c r="J31" s="275">
        <f>J24/100</f>
        <v>0.37617417512690354</v>
      </c>
      <c r="K31" s="276">
        <f>J31*K9</f>
        <v>0.49668018793970886</v>
      </c>
      <c r="L31" s="276">
        <f>K31*L9</f>
        <v>0.52140669080417679</v>
      </c>
      <c r="M31" s="276">
        <f>L31*M9</f>
        <v>1.5746482062275711</v>
      </c>
      <c r="N31" s="276">
        <f>M31*N9</f>
        <v>7.9164126361223506</v>
      </c>
      <c r="O31" s="262" t="s">
        <v>197</v>
      </c>
    </row>
    <row r="32" spans="1:16">
      <c r="A32" s="31"/>
      <c r="B32" s="21" t="s">
        <v>51</v>
      </c>
      <c r="C32" s="51">
        <v>1000000</v>
      </c>
      <c r="D32" s="49">
        <f t="shared" si="2"/>
        <v>111283.75933096852</v>
      </c>
      <c r="E32" s="49">
        <f t="shared" si="2"/>
        <v>90130.64805318111</v>
      </c>
      <c r="F32" s="49">
        <f t="shared" si="2"/>
        <v>240205.1667855118</v>
      </c>
      <c r="G32" s="50">
        <f t="shared" si="2"/>
        <v>423568.06082536216</v>
      </c>
    </row>
    <row r="33" spans="1:7">
      <c r="A33" s="31"/>
      <c r="B33" s="21" t="s">
        <v>52</v>
      </c>
      <c r="C33" s="43">
        <v>2.5</v>
      </c>
      <c r="D33" s="52">
        <v>2.5</v>
      </c>
      <c r="E33" s="52">
        <v>2.5</v>
      </c>
      <c r="F33" s="52">
        <v>2.5</v>
      </c>
      <c r="G33" s="53">
        <v>2.5</v>
      </c>
    </row>
    <row r="34" spans="1:7">
      <c r="A34" s="31"/>
      <c r="B34" s="21" t="s">
        <v>53</v>
      </c>
      <c r="C34" s="54">
        <v>0.4</v>
      </c>
      <c r="D34" s="55">
        <v>0.4</v>
      </c>
      <c r="E34" s="55">
        <v>0.4</v>
      </c>
      <c r="F34" s="55">
        <v>0.4</v>
      </c>
      <c r="G34" s="56">
        <v>0.4</v>
      </c>
    </row>
    <row r="35" spans="1:7">
      <c r="A35" s="31"/>
      <c r="B35" s="21" t="s">
        <v>54</v>
      </c>
      <c r="C35" s="51">
        <v>1000000</v>
      </c>
      <c r="D35" s="49">
        <f>$C35*D$9</f>
        <v>111283.75933096852</v>
      </c>
      <c r="E35" s="49">
        <f>$C35*E$9</f>
        <v>90130.64805318111</v>
      </c>
      <c r="F35" s="49">
        <f>$C35*F$9</f>
        <v>240205.1667855118</v>
      </c>
      <c r="G35" s="50">
        <f>$C35*G$9</f>
        <v>423568.06082536216</v>
      </c>
    </row>
    <row r="36" spans="1:7">
      <c r="A36" s="31"/>
      <c r="B36" s="21" t="s">
        <v>52</v>
      </c>
      <c r="C36" s="43">
        <v>5</v>
      </c>
      <c r="D36" s="52">
        <v>5</v>
      </c>
      <c r="E36" s="52">
        <v>5</v>
      </c>
      <c r="F36" s="52">
        <v>5</v>
      </c>
      <c r="G36" s="53">
        <v>5</v>
      </c>
    </row>
    <row r="37" spans="1:7" ht="15" thickBot="1">
      <c r="A37" s="35"/>
      <c r="B37" s="26" t="s">
        <v>55</v>
      </c>
      <c r="C37" s="57">
        <v>0.6</v>
      </c>
      <c r="D37" s="58">
        <v>0.6</v>
      </c>
      <c r="E37" s="58">
        <v>0.6</v>
      </c>
      <c r="F37" s="58">
        <v>0.6</v>
      </c>
      <c r="G37" s="59">
        <v>0.6</v>
      </c>
    </row>
    <row r="38" spans="1:7" ht="15" thickBot="1">
      <c r="B38" s="139" t="s">
        <v>119</v>
      </c>
      <c r="C38" s="142">
        <f>J12</f>
        <v>69000</v>
      </c>
      <c r="D38" s="140">
        <f>+K12</f>
        <v>91103.896104187646</v>
      </c>
      <c r="E38" s="140">
        <f>+L12</f>
        <v>72435.064935296745</v>
      </c>
      <c r="F38" s="140">
        <f>+M12</f>
        <v>208379.99999986199</v>
      </c>
      <c r="G38" s="141">
        <f>+N12</f>
        <v>346891.74999987247</v>
      </c>
    </row>
    <row r="39" spans="1:7" ht="15" thickBot="1">
      <c r="A39" s="60" t="s">
        <v>56</v>
      </c>
      <c r="B39" s="61" t="s">
        <v>57</v>
      </c>
      <c r="C39" s="38" t="s">
        <v>58</v>
      </c>
      <c r="D39" s="38" t="s">
        <v>59</v>
      </c>
      <c r="E39" s="38" t="s">
        <v>60</v>
      </c>
      <c r="F39" s="38" t="s">
        <v>61</v>
      </c>
      <c r="G39" s="39" t="s">
        <v>62</v>
      </c>
    </row>
    <row r="40" spans="1:7" ht="15" thickTop="1">
      <c r="A40" s="31"/>
      <c r="B40" s="62">
        <v>45</v>
      </c>
      <c r="C40" s="51">
        <v>0</v>
      </c>
      <c r="D40" s="49">
        <f t="shared" ref="D40:G46" si="3">$C40*D$9</f>
        <v>0</v>
      </c>
      <c r="E40" s="49">
        <f t="shared" si="3"/>
        <v>0</v>
      </c>
      <c r="F40" s="49">
        <f t="shared" si="3"/>
        <v>0</v>
      </c>
      <c r="G40" s="50">
        <f t="shared" si="3"/>
        <v>0</v>
      </c>
    </row>
    <row r="41" spans="1:7">
      <c r="A41" s="31"/>
      <c r="B41" s="62">
        <v>50</v>
      </c>
      <c r="C41" s="51">
        <v>1470</v>
      </c>
      <c r="D41" s="49">
        <f t="shared" si="3"/>
        <v>163.5871262165237</v>
      </c>
      <c r="E41" s="49">
        <f t="shared" si="3"/>
        <v>132.49205263817623</v>
      </c>
      <c r="F41" s="49">
        <f t="shared" si="3"/>
        <v>353.10159517470231</v>
      </c>
      <c r="G41" s="50">
        <f t="shared" si="3"/>
        <v>622.64504941328232</v>
      </c>
    </row>
    <row r="42" spans="1:7">
      <c r="A42" s="31"/>
      <c r="B42" s="62">
        <v>55</v>
      </c>
      <c r="C42" s="51">
        <v>3300</v>
      </c>
      <c r="D42" s="49">
        <f t="shared" si="3"/>
        <v>367.23640579219608</v>
      </c>
      <c r="E42" s="49">
        <f t="shared" si="3"/>
        <v>297.43113857549764</v>
      </c>
      <c r="F42" s="49">
        <f t="shared" si="3"/>
        <v>792.6770503921889</v>
      </c>
      <c r="G42" s="50">
        <f t="shared" si="3"/>
        <v>1397.7746007236951</v>
      </c>
    </row>
    <row r="43" spans="1:7">
      <c r="A43" s="31"/>
      <c r="B43" s="62">
        <v>60</v>
      </c>
      <c r="C43" s="51">
        <v>5890</v>
      </c>
      <c r="D43" s="49">
        <f t="shared" si="3"/>
        <v>655.46134245940459</v>
      </c>
      <c r="E43" s="49">
        <f t="shared" si="3"/>
        <v>530.86951703323666</v>
      </c>
      <c r="F43" s="49">
        <f t="shared" si="3"/>
        <v>1414.8084323666644</v>
      </c>
      <c r="G43" s="50">
        <f t="shared" si="3"/>
        <v>2494.8158782613832</v>
      </c>
    </row>
    <row r="44" spans="1:7">
      <c r="A44" s="31"/>
      <c r="B44" s="62">
        <v>65</v>
      </c>
      <c r="C44" s="51">
        <v>10050</v>
      </c>
      <c r="D44" s="49">
        <f t="shared" si="3"/>
        <v>1118.4017812762336</v>
      </c>
      <c r="E44" s="49">
        <f t="shared" si="3"/>
        <v>905.81301293447007</v>
      </c>
      <c r="F44" s="49">
        <f t="shared" si="3"/>
        <v>2414.0619261943934</v>
      </c>
      <c r="G44" s="50">
        <f t="shared" si="3"/>
        <v>4256.8590112948896</v>
      </c>
    </row>
    <row r="45" spans="1:7">
      <c r="A45" s="31"/>
      <c r="B45" s="62">
        <v>70</v>
      </c>
      <c r="C45" s="51">
        <v>17020</v>
      </c>
      <c r="D45" s="49">
        <f t="shared" si="3"/>
        <v>1894.0495838130842</v>
      </c>
      <c r="E45" s="49">
        <f t="shared" si="3"/>
        <v>1534.0236298651425</v>
      </c>
      <c r="F45" s="49">
        <f t="shared" si="3"/>
        <v>4088.2919386894109</v>
      </c>
      <c r="G45" s="50">
        <f t="shared" si="3"/>
        <v>7209.1283952476633</v>
      </c>
    </row>
    <row r="46" spans="1:7" ht="15" thickBot="1">
      <c r="A46" s="35"/>
      <c r="B46" s="25">
        <v>75</v>
      </c>
      <c r="C46" s="63">
        <v>27020</v>
      </c>
      <c r="D46" s="64">
        <f t="shared" si="3"/>
        <v>3006.8871771227691</v>
      </c>
      <c r="E46" s="64">
        <f t="shared" si="3"/>
        <v>2435.3301103969534</v>
      </c>
      <c r="F46" s="64">
        <f t="shared" si="3"/>
        <v>6490.3436065445285</v>
      </c>
      <c r="G46" s="65">
        <f t="shared" si="3"/>
        <v>11444.809003501285</v>
      </c>
    </row>
    <row r="47" spans="1:7">
      <c r="A47" s="101"/>
      <c r="B47" s="128"/>
      <c r="C47" s="164" t="s">
        <v>145</v>
      </c>
      <c r="D47" s="86" t="s">
        <v>141</v>
      </c>
      <c r="E47" s="86" t="s">
        <v>142</v>
      </c>
      <c r="F47" s="86" t="s">
        <v>143</v>
      </c>
      <c r="G47" s="86" t="s">
        <v>144</v>
      </c>
    </row>
    <row r="48" spans="1:7">
      <c r="A48" s="101"/>
      <c r="B48" s="128"/>
      <c r="C48" s="165">
        <f>9.1/100</f>
        <v>9.0999999999999998E-2</v>
      </c>
      <c r="D48" s="166">
        <f>C48*K9/1.61</f>
        <v>7.4628270280683001E-2</v>
      </c>
      <c r="E48" s="166">
        <f>D48*L9/1.61</f>
        <v>4.8660577943920681E-2</v>
      </c>
      <c r="F48" s="166">
        <f>E48*M9/1.61</f>
        <v>9.1276363596610635E-2</v>
      </c>
      <c r="G48" s="166">
        <f>F48*N9/1.61</f>
        <v>0.2850213115640734</v>
      </c>
    </row>
    <row r="49" spans="1:7" ht="15" thickBot="1">
      <c r="C49" s="4"/>
    </row>
    <row r="50" spans="1:7" ht="15" thickBot="1">
      <c r="A50" s="60" t="s">
        <v>63</v>
      </c>
      <c r="B50" s="66" t="s">
        <v>64</v>
      </c>
      <c r="C50" s="38" t="s">
        <v>65</v>
      </c>
      <c r="D50" s="38" t="s">
        <v>66</v>
      </c>
      <c r="E50" s="38" t="s">
        <v>67</v>
      </c>
      <c r="F50" s="38" t="s">
        <v>68</v>
      </c>
      <c r="G50" s="39" t="s">
        <v>69</v>
      </c>
    </row>
    <row r="51" spans="1:7" ht="15" thickTop="1">
      <c r="A51" s="31" t="s">
        <v>70</v>
      </c>
      <c r="B51" s="67" t="s">
        <v>71</v>
      </c>
      <c r="C51" s="68">
        <v>12000</v>
      </c>
      <c r="D51" s="49">
        <f t="shared" ref="D51:G66" si="4">$C51*D$9</f>
        <v>1335.4051119716221</v>
      </c>
      <c r="E51" s="49">
        <f t="shared" si="4"/>
        <v>1081.5677766381732</v>
      </c>
      <c r="F51" s="49">
        <f t="shared" si="4"/>
        <v>2882.4620014261413</v>
      </c>
      <c r="G51" s="50">
        <f t="shared" si="4"/>
        <v>5082.8167299043453</v>
      </c>
    </row>
    <row r="52" spans="1:7">
      <c r="A52" s="31"/>
      <c r="B52" s="67" t="s">
        <v>72</v>
      </c>
      <c r="C52" s="51">
        <v>7700</v>
      </c>
      <c r="D52" s="49">
        <f t="shared" si="4"/>
        <v>856.8849468484575</v>
      </c>
      <c r="E52" s="49">
        <f t="shared" si="4"/>
        <v>694.00599000949455</v>
      </c>
      <c r="F52" s="49">
        <f t="shared" si="4"/>
        <v>1849.5797842484408</v>
      </c>
      <c r="G52" s="50">
        <f t="shared" si="4"/>
        <v>3261.4740683552886</v>
      </c>
    </row>
    <row r="53" spans="1:7">
      <c r="A53" s="31"/>
      <c r="B53" s="67" t="s">
        <v>73</v>
      </c>
      <c r="C53" s="51">
        <v>5500</v>
      </c>
      <c r="D53" s="49">
        <f t="shared" si="4"/>
        <v>612.06067632032682</v>
      </c>
      <c r="E53" s="49">
        <f t="shared" si="4"/>
        <v>495.71856429249607</v>
      </c>
      <c r="F53" s="49">
        <f t="shared" si="4"/>
        <v>1321.1284173203148</v>
      </c>
      <c r="G53" s="50">
        <f t="shared" si="4"/>
        <v>2329.6243345394919</v>
      </c>
    </row>
    <row r="54" spans="1:7" ht="15" thickBot="1">
      <c r="A54" s="35"/>
      <c r="B54" s="69" t="s">
        <v>74</v>
      </c>
      <c r="C54" s="63">
        <v>3500</v>
      </c>
      <c r="D54" s="64">
        <f t="shared" si="4"/>
        <v>389.4931576583898</v>
      </c>
      <c r="E54" s="64">
        <f t="shared" si="4"/>
        <v>315.45726818613389</v>
      </c>
      <c r="F54" s="64">
        <f t="shared" si="4"/>
        <v>840.71808374929128</v>
      </c>
      <c r="G54" s="65">
        <f t="shared" si="4"/>
        <v>1482.4882128887675</v>
      </c>
    </row>
    <row r="55" spans="1:7">
      <c r="A55" s="70" t="s">
        <v>75</v>
      </c>
      <c r="B55" s="71" t="s">
        <v>71</v>
      </c>
      <c r="C55" s="72">
        <v>70</v>
      </c>
      <c r="D55" s="73">
        <f t="shared" si="4"/>
        <v>7.7898631531677962</v>
      </c>
      <c r="E55" s="73">
        <f t="shared" si="4"/>
        <v>6.3091453637226778</v>
      </c>
      <c r="F55" s="73">
        <f t="shared" si="4"/>
        <v>16.814361674985825</v>
      </c>
      <c r="G55" s="74">
        <f t="shared" si="4"/>
        <v>29.649764257775349</v>
      </c>
    </row>
    <row r="56" spans="1:7">
      <c r="A56" s="31"/>
      <c r="B56" s="67" t="s">
        <v>72</v>
      </c>
      <c r="C56" s="51">
        <v>45</v>
      </c>
      <c r="D56" s="49">
        <f t="shared" si="4"/>
        <v>5.0077691698935833</v>
      </c>
      <c r="E56" s="49">
        <f t="shared" si="4"/>
        <v>4.0558791623931496</v>
      </c>
      <c r="F56" s="49">
        <f t="shared" si="4"/>
        <v>10.80923250534803</v>
      </c>
      <c r="G56" s="50">
        <f t="shared" si="4"/>
        <v>19.060562737141296</v>
      </c>
    </row>
    <row r="57" spans="1:7">
      <c r="A57" s="31"/>
      <c r="B57" s="67" t="s">
        <v>73</v>
      </c>
      <c r="C57" s="51">
        <v>30</v>
      </c>
      <c r="D57" s="49">
        <f t="shared" si="4"/>
        <v>3.3385127799290553</v>
      </c>
      <c r="E57" s="49">
        <f t="shared" si="4"/>
        <v>2.7039194415954331</v>
      </c>
      <c r="F57" s="49">
        <f t="shared" si="4"/>
        <v>7.2061550035653541</v>
      </c>
      <c r="G57" s="50">
        <f t="shared" si="4"/>
        <v>12.707041824760864</v>
      </c>
    </row>
    <row r="58" spans="1:7" ht="15" thickBot="1">
      <c r="A58" s="35"/>
      <c r="B58" s="69" t="s">
        <v>74</v>
      </c>
      <c r="C58" s="63">
        <v>20</v>
      </c>
      <c r="D58" s="64">
        <f t="shared" si="4"/>
        <v>2.2256751866193705</v>
      </c>
      <c r="E58" s="64">
        <f t="shared" si="4"/>
        <v>1.8026129610636221</v>
      </c>
      <c r="F58" s="64">
        <f t="shared" si="4"/>
        <v>4.8041033357102361</v>
      </c>
      <c r="G58" s="65">
        <f t="shared" si="4"/>
        <v>8.4713612165072423</v>
      </c>
    </row>
    <row r="59" spans="1:7">
      <c r="A59" s="70" t="s">
        <v>76</v>
      </c>
      <c r="B59" s="71" t="s">
        <v>71</v>
      </c>
      <c r="C59" s="72">
        <v>350</v>
      </c>
      <c r="D59" s="73">
        <f t="shared" si="4"/>
        <v>38.949315765838982</v>
      </c>
      <c r="E59" s="73">
        <f t="shared" si="4"/>
        <v>31.545726818613389</v>
      </c>
      <c r="F59" s="73">
        <f t="shared" si="4"/>
        <v>84.071808374929134</v>
      </c>
      <c r="G59" s="74">
        <f t="shared" si="4"/>
        <v>148.24882128887674</v>
      </c>
    </row>
    <row r="60" spans="1:7">
      <c r="A60" s="31"/>
      <c r="B60" s="67" t="s">
        <v>72</v>
      </c>
      <c r="C60" s="51">
        <v>220</v>
      </c>
      <c r="D60" s="49">
        <f t="shared" si="4"/>
        <v>24.482427052813073</v>
      </c>
      <c r="E60" s="49">
        <f t="shared" si="4"/>
        <v>19.828742571699845</v>
      </c>
      <c r="F60" s="49">
        <f t="shared" si="4"/>
        <v>52.845136692812595</v>
      </c>
      <c r="G60" s="50">
        <f t="shared" si="4"/>
        <v>93.184973381579667</v>
      </c>
    </row>
    <row r="61" spans="1:7">
      <c r="A61" s="31"/>
      <c r="B61" s="67" t="s">
        <v>73</v>
      </c>
      <c r="C61" s="51">
        <v>160</v>
      </c>
      <c r="D61" s="49">
        <f t="shared" si="4"/>
        <v>17.805401492954964</v>
      </c>
      <c r="E61" s="49">
        <f t="shared" si="4"/>
        <v>14.420903688508977</v>
      </c>
      <c r="F61" s="49">
        <f t="shared" si="4"/>
        <v>38.432826685681889</v>
      </c>
      <c r="G61" s="50">
        <f t="shared" si="4"/>
        <v>67.770889732057938</v>
      </c>
    </row>
    <row r="62" spans="1:7" ht="15" thickBot="1">
      <c r="A62" s="35"/>
      <c r="B62" s="69" t="s">
        <v>74</v>
      </c>
      <c r="C62" s="63">
        <v>100</v>
      </c>
      <c r="D62" s="64">
        <f t="shared" si="4"/>
        <v>11.128375933096851</v>
      </c>
      <c r="E62" s="64">
        <f t="shared" si="4"/>
        <v>9.0130648053181108</v>
      </c>
      <c r="F62" s="64">
        <f t="shared" si="4"/>
        <v>24.020516678551179</v>
      </c>
      <c r="G62" s="65">
        <f t="shared" si="4"/>
        <v>42.356806082536217</v>
      </c>
    </row>
    <row r="63" spans="1:7">
      <c r="A63" s="70" t="s">
        <v>77</v>
      </c>
      <c r="B63" s="71" t="s">
        <v>71</v>
      </c>
      <c r="C63" s="72">
        <v>40</v>
      </c>
      <c r="D63" s="73">
        <f t="shared" si="4"/>
        <v>4.4513503732387409</v>
      </c>
      <c r="E63" s="73">
        <f t="shared" si="4"/>
        <v>3.6052259221272442</v>
      </c>
      <c r="F63" s="73">
        <f t="shared" si="4"/>
        <v>9.6082066714204721</v>
      </c>
      <c r="G63" s="74">
        <f t="shared" si="4"/>
        <v>16.942722433014485</v>
      </c>
    </row>
    <row r="64" spans="1:7">
      <c r="A64" s="31"/>
      <c r="B64" s="67" t="s">
        <v>72</v>
      </c>
      <c r="C64" s="51">
        <v>30</v>
      </c>
      <c r="D64" s="49">
        <f t="shared" si="4"/>
        <v>3.3385127799290553</v>
      </c>
      <c r="E64" s="49">
        <f t="shared" si="4"/>
        <v>2.7039194415954331</v>
      </c>
      <c r="F64" s="49">
        <f t="shared" si="4"/>
        <v>7.2061550035653541</v>
      </c>
      <c r="G64" s="50">
        <f t="shared" si="4"/>
        <v>12.707041824760864</v>
      </c>
    </row>
    <row r="65" spans="1:7">
      <c r="A65" s="31"/>
      <c r="B65" s="67" t="s">
        <v>73</v>
      </c>
      <c r="C65" s="51">
        <v>20</v>
      </c>
      <c r="D65" s="49">
        <f t="shared" si="4"/>
        <v>2.2256751866193705</v>
      </c>
      <c r="E65" s="49">
        <f t="shared" si="4"/>
        <v>1.8026129610636221</v>
      </c>
      <c r="F65" s="49">
        <f t="shared" si="4"/>
        <v>4.8041033357102361</v>
      </c>
      <c r="G65" s="50">
        <f t="shared" si="4"/>
        <v>8.4713612165072423</v>
      </c>
    </row>
    <row r="66" spans="1:7" ht="15" thickBot="1">
      <c r="A66" s="35"/>
      <c r="B66" s="69" t="s">
        <v>74</v>
      </c>
      <c r="C66" s="63">
        <v>15</v>
      </c>
      <c r="D66" s="64">
        <f t="shared" si="4"/>
        <v>1.6692563899645276</v>
      </c>
      <c r="E66" s="64">
        <f t="shared" si="4"/>
        <v>1.3519597207977165</v>
      </c>
      <c r="F66" s="64">
        <f t="shared" si="4"/>
        <v>3.6030775017826771</v>
      </c>
      <c r="G66" s="65">
        <f t="shared" si="4"/>
        <v>6.3535209123804322</v>
      </c>
    </row>
    <row r="67" spans="1:7">
      <c r="A67" s="75" t="s">
        <v>78</v>
      </c>
      <c r="B67" s="76" t="s">
        <v>79</v>
      </c>
      <c r="C67" s="77">
        <v>1.08</v>
      </c>
      <c r="D67" s="78">
        <f t="shared" ref="D67:G68" si="5">$C67*D$9</f>
        <v>0.120186460077446</v>
      </c>
      <c r="E67" s="78">
        <f t="shared" si="5"/>
        <v>9.7341099897435598E-2</v>
      </c>
      <c r="F67" s="78">
        <f t="shared" si="5"/>
        <v>0.25942158012835276</v>
      </c>
      <c r="G67" s="79">
        <f t="shared" si="5"/>
        <v>0.45745350569139115</v>
      </c>
    </row>
    <row r="68" spans="1:7" ht="15" thickBot="1">
      <c r="A68" s="80"/>
      <c r="B68" s="81" t="s">
        <v>80</v>
      </c>
      <c r="C68" s="82">
        <v>1.45</v>
      </c>
      <c r="D68" s="83">
        <f t="shared" si="5"/>
        <v>0.16136145102990435</v>
      </c>
      <c r="E68" s="83">
        <f t="shared" si="5"/>
        <v>0.13068943967711261</v>
      </c>
      <c r="F68" s="83">
        <f t="shared" si="5"/>
        <v>0.34829749183899211</v>
      </c>
      <c r="G68" s="84">
        <f t="shared" si="5"/>
        <v>0.61417368819677509</v>
      </c>
    </row>
    <row r="70" spans="1:7">
      <c r="C70" s="21" t="s">
        <v>134</v>
      </c>
      <c r="D70" s="21" t="s">
        <v>135</v>
      </c>
      <c r="E70" s="21" t="s">
        <v>138</v>
      </c>
      <c r="F70" s="21" t="s">
        <v>136</v>
      </c>
      <c r="G70" s="21" t="s">
        <v>137</v>
      </c>
    </row>
    <row r="71" spans="1:7">
      <c r="B71" s="194" t="s">
        <v>165</v>
      </c>
      <c r="C71" s="173">
        <f>J13/1.61</f>
        <v>2.3602484472049687E-2</v>
      </c>
      <c r="D71" s="174">
        <f>K13/1.61</f>
        <v>3.1163453523801697E-2</v>
      </c>
      <c r="E71" s="172">
        <f>L13/1.61</f>
        <v>2.4777499932858726E-2</v>
      </c>
      <c r="F71" s="174">
        <f>M13/1.61</f>
        <v>7.1279503105542846E-2</v>
      </c>
      <c r="G71" s="174">
        <f>N13/1.61</f>
        <v>0.11865952380948017</v>
      </c>
    </row>
    <row r="72" spans="1:7">
      <c r="B72" s="194" t="str">
        <f t="shared" ref="B72:G73" si="6">I14</f>
        <v>Value of local air quality per car km</v>
      </c>
      <c r="C72" s="173">
        <f t="shared" si="6"/>
        <v>4.0000000000000001E-3</v>
      </c>
      <c r="D72" s="174">
        <f t="shared" si="6"/>
        <v>5.2813852814021824E-3</v>
      </c>
      <c r="E72" s="174">
        <f t="shared" si="6"/>
        <v>4.1991341991476369E-3</v>
      </c>
      <c r="F72" s="174">
        <f t="shared" si="6"/>
        <v>1.2079999999992E-2</v>
      </c>
      <c r="G72" s="174">
        <f t="shared" si="6"/>
        <v>2.0109666666659271E-2</v>
      </c>
    </row>
    <row r="73" spans="1:7">
      <c r="B73" s="194" t="str">
        <f t="shared" si="6"/>
        <v>Operating costs for cars per km</v>
      </c>
      <c r="C73" s="173">
        <f t="shared" si="6"/>
        <v>0.26500000000000001</v>
      </c>
      <c r="D73" s="174">
        <f t="shared" si="6"/>
        <v>0.34989177489289464</v>
      </c>
      <c r="E73" s="174">
        <f t="shared" si="6"/>
        <v>0.27819264069353095</v>
      </c>
      <c r="F73" s="174">
        <f t="shared" si="6"/>
        <v>0.80029999999946999</v>
      </c>
      <c r="G73" s="174">
        <f t="shared" si="6"/>
        <v>1.3322654166661769</v>
      </c>
    </row>
    <row r="74" spans="1:7">
      <c r="B74" s="205" t="str">
        <f t="shared" ref="B74:G74" si="7">I17</f>
        <v>Non-GHG Air Pollution Costs (per vehicle km)</v>
      </c>
      <c r="C74" s="206">
        <f t="shared" si="7"/>
        <v>8.0124223602484473E-2</v>
      </c>
      <c r="D74" s="207">
        <f t="shared" si="7"/>
        <v>7.8101272607337707E-2</v>
      </c>
      <c r="E74" s="207">
        <f t="shared" si="7"/>
        <v>6.0529110282326624E-2</v>
      </c>
      <c r="F74" s="207">
        <f t="shared" si="7"/>
        <v>0.13495147943473548</v>
      </c>
      <c r="G74" s="207">
        <f t="shared" si="7"/>
        <v>0.50087452925596643</v>
      </c>
    </row>
    <row r="75" spans="1:7">
      <c r="B75" s="21" t="s">
        <v>198</v>
      </c>
      <c r="C75" s="263">
        <f>J31</f>
        <v>0.37617417512690354</v>
      </c>
      <c r="D75" s="174">
        <f>K31</f>
        <v>0.49668018793970886</v>
      </c>
      <c r="E75" s="174">
        <f>L31</f>
        <v>0.52140669080417679</v>
      </c>
      <c r="F75" s="174">
        <f>M31</f>
        <v>1.5746482062275711</v>
      </c>
      <c r="G75" s="174">
        <f>N31</f>
        <v>7.9164126361223506</v>
      </c>
    </row>
  </sheetData>
  <mergeCells count="1">
    <mergeCell ref="A2:J2"/>
  </mergeCells>
  <hyperlinks>
    <hyperlink ref="H7" r:id="rId1"/>
    <hyperlink ref="H8" r:id="rId2"/>
    <hyperlink ref="O13" r:id="rId3"/>
    <hyperlink ref="O14" r:id="rId4"/>
    <hyperlink ref="O15" r:id="rId5"/>
    <hyperlink ref="O17" r:id="rId6"/>
  </hyperlink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dimension ref="A1:M40"/>
  <sheetViews>
    <sheetView zoomScale="85" zoomScaleNormal="85" workbookViewId="0"/>
  </sheetViews>
  <sheetFormatPr defaultRowHeight="14.4"/>
  <cols>
    <col min="1" max="1" width="16.33203125" customWidth="1"/>
    <col min="2" max="4" width="15.6640625" customWidth="1"/>
    <col min="5" max="5" width="5.5546875" customWidth="1"/>
    <col min="6" max="8" width="15.6640625" customWidth="1"/>
    <col min="16" max="16" width="13.5546875" customWidth="1"/>
  </cols>
  <sheetData>
    <row r="1" spans="1:8" ht="18">
      <c r="A1" s="157" t="s">
        <v>227</v>
      </c>
    </row>
    <row r="2" spans="1:8">
      <c r="A2" s="160" t="s">
        <v>228</v>
      </c>
      <c r="B2" s="251"/>
      <c r="C2" s="251"/>
      <c r="D2" s="251"/>
      <c r="E2" s="251"/>
      <c r="F2" s="251"/>
      <c r="G2" s="251"/>
    </row>
    <row r="3" spans="1:8" ht="43.5" customHeight="1">
      <c r="A3" s="419" t="s">
        <v>294</v>
      </c>
      <c r="B3" s="419"/>
      <c r="C3" s="419"/>
      <c r="D3" s="419"/>
      <c r="E3" s="419"/>
      <c r="F3" s="419"/>
      <c r="G3" s="419"/>
      <c r="H3" s="419"/>
    </row>
    <row r="4" spans="1:8">
      <c r="A4" s="362"/>
      <c r="B4" s="362"/>
      <c r="C4" s="362"/>
      <c r="D4" s="362"/>
      <c r="E4" s="362"/>
      <c r="F4" s="362"/>
      <c r="G4" s="362"/>
    </row>
    <row r="5" spans="1:8">
      <c r="A5" s="363" t="s">
        <v>229</v>
      </c>
      <c r="B5" s="362"/>
      <c r="C5" s="362"/>
      <c r="D5" s="362"/>
      <c r="E5" s="362"/>
      <c r="F5" s="362"/>
      <c r="G5" s="362"/>
    </row>
    <row r="6" spans="1:8" ht="45" customHeight="1">
      <c r="A6" s="414" t="s">
        <v>230</v>
      </c>
      <c r="B6" s="414"/>
      <c r="C6" s="414"/>
      <c r="D6" s="414"/>
      <c r="E6" s="414"/>
      <c r="F6" s="414"/>
      <c r="G6" s="414"/>
      <c r="H6" s="414"/>
    </row>
    <row r="7" spans="1:8">
      <c r="A7" s="355"/>
      <c r="B7" s="355"/>
      <c r="C7" s="355"/>
      <c r="D7" s="355"/>
      <c r="E7" s="355"/>
      <c r="F7" s="355"/>
      <c r="G7" s="364"/>
    </row>
    <row r="8" spans="1:8">
      <c r="A8" s="253" t="s">
        <v>231</v>
      </c>
      <c r="B8" s="355"/>
      <c r="C8" s="355"/>
      <c r="D8" s="355"/>
      <c r="E8" s="355"/>
      <c r="F8" s="355"/>
      <c r="G8" s="364"/>
    </row>
    <row r="9" spans="1:8" ht="60" customHeight="1">
      <c r="A9" s="419" t="s">
        <v>215</v>
      </c>
      <c r="B9" s="419"/>
      <c r="C9" s="419"/>
      <c r="D9" s="419"/>
      <c r="E9" s="419"/>
      <c r="F9" s="419"/>
      <c r="G9" s="419"/>
      <c r="H9" s="419"/>
    </row>
    <row r="10" spans="1:8" ht="45" customHeight="1">
      <c r="A10" s="419" t="s">
        <v>235</v>
      </c>
      <c r="B10" s="419"/>
      <c r="C10" s="419"/>
      <c r="D10" s="419"/>
      <c r="E10" s="419"/>
      <c r="F10" s="419"/>
      <c r="G10" s="419"/>
      <c r="H10" s="419"/>
    </row>
    <row r="11" spans="1:8">
      <c r="A11" s="362"/>
      <c r="B11" s="362"/>
      <c r="C11" s="362"/>
      <c r="D11" s="362"/>
      <c r="E11" s="362"/>
      <c r="F11" s="362"/>
      <c r="G11" s="362"/>
    </row>
    <row r="12" spans="1:8">
      <c r="A12" s="363" t="s">
        <v>236</v>
      </c>
      <c r="B12" s="362"/>
      <c r="C12" s="362"/>
      <c r="D12" s="362"/>
      <c r="E12" s="362"/>
      <c r="F12" s="362"/>
      <c r="G12" s="362"/>
    </row>
    <row r="13" spans="1:8">
      <c r="A13" s="365" t="s">
        <v>232</v>
      </c>
      <c r="B13" s="362"/>
      <c r="C13" s="362"/>
      <c r="D13" s="362"/>
      <c r="E13" s="362"/>
      <c r="F13" s="362"/>
      <c r="G13" s="362"/>
    </row>
    <row r="14" spans="1:8">
      <c r="A14" s="365" t="s">
        <v>233</v>
      </c>
      <c r="B14" s="362"/>
      <c r="C14" s="362"/>
      <c r="D14" s="362"/>
      <c r="E14" s="362"/>
      <c r="F14" s="362"/>
      <c r="G14" s="362"/>
    </row>
    <row r="15" spans="1:8">
      <c r="A15" s="366" t="s">
        <v>226</v>
      </c>
      <c r="B15" s="366"/>
      <c r="C15" s="366"/>
      <c r="D15" s="366"/>
      <c r="E15" s="366"/>
      <c r="F15" s="366"/>
      <c r="G15" s="366"/>
    </row>
    <row r="16" spans="1:8" ht="17.25" customHeight="1">
      <c r="A16" s="366" t="s">
        <v>234</v>
      </c>
      <c r="B16" s="366"/>
      <c r="C16" s="366"/>
      <c r="D16" s="366"/>
      <c r="E16" s="366"/>
      <c r="F16" s="366"/>
      <c r="G16" s="366"/>
    </row>
    <row r="17" spans="1:13" ht="21" customHeight="1">
      <c r="A17" s="418"/>
      <c r="B17" s="418"/>
      <c r="C17" s="418"/>
      <c r="D17" s="418"/>
      <c r="E17" s="418"/>
      <c r="F17" s="418"/>
      <c r="G17" s="418"/>
    </row>
    <row r="18" spans="1:13" ht="18">
      <c r="B18" s="293" t="s">
        <v>1</v>
      </c>
      <c r="C18" s="291"/>
      <c r="D18" s="290"/>
      <c r="E18" s="289"/>
      <c r="F18" s="307" t="s">
        <v>2</v>
      </c>
      <c r="G18" s="292"/>
      <c r="H18" s="292"/>
    </row>
    <row r="19" spans="1:13" s="159" customFormat="1" ht="43.2">
      <c r="B19" s="128" t="s">
        <v>0</v>
      </c>
      <c r="C19" s="220" t="s">
        <v>274</v>
      </c>
      <c r="D19" s="220" t="s">
        <v>277</v>
      </c>
      <c r="E19" s="392"/>
      <c r="F19" s="128" t="s">
        <v>0</v>
      </c>
      <c r="G19" s="220" t="s">
        <v>274</v>
      </c>
      <c r="H19" s="220" t="s">
        <v>277</v>
      </c>
      <c r="I19" s="158"/>
      <c r="J19" s="158"/>
      <c r="K19" s="158"/>
      <c r="L19" s="158"/>
      <c r="M19" s="158"/>
    </row>
    <row r="20" spans="1:13" s="159" customFormat="1">
      <c r="A20" s="252" t="str">
        <f>IF('Main calculation'!$B$19=2013, "Starting year --&gt;","" )</f>
        <v/>
      </c>
      <c r="B20" s="128">
        <f>'Main calculation'!C26</f>
        <v>2013</v>
      </c>
      <c r="C20" s="390">
        <f>60000*0.81</f>
        <v>48600</v>
      </c>
      <c r="D20" s="391"/>
      <c r="E20" s="308"/>
      <c r="F20" s="128">
        <f>B20</f>
        <v>2013</v>
      </c>
      <c r="G20" s="390">
        <f>450000*0.81</f>
        <v>364500</v>
      </c>
      <c r="H20" s="390">
        <v>0</v>
      </c>
      <c r="I20" s="158"/>
      <c r="J20" s="158"/>
      <c r="K20" s="158"/>
      <c r="L20" s="158"/>
      <c r="M20" s="158"/>
    </row>
    <row r="21" spans="1:13" s="159" customFormat="1">
      <c r="A21" s="252" t="str">
        <f>IF('Main calculation'!$B$19=2014, "Starting year --&gt;","" )</f>
        <v>Starting year --&gt;</v>
      </c>
      <c r="B21" s="128">
        <f>'Main calculation'!C27</f>
        <v>2014</v>
      </c>
      <c r="C21" s="390">
        <v>0</v>
      </c>
      <c r="D21" s="390">
        <f>4000*0.81</f>
        <v>3240</v>
      </c>
      <c r="E21" s="308"/>
      <c r="F21" s="128">
        <f>B21</f>
        <v>2014</v>
      </c>
      <c r="G21" s="390"/>
      <c r="H21" s="390">
        <f>3000*0.81</f>
        <v>2430</v>
      </c>
      <c r="I21" s="158"/>
      <c r="J21" s="158"/>
      <c r="K21" s="158"/>
      <c r="L21" s="158"/>
      <c r="M21" s="158"/>
    </row>
    <row r="22" spans="1:13">
      <c r="A22" s="252" t="str">
        <f>IF('Main calculation'!$B$19=2015, "Starting year --&gt;","" )</f>
        <v/>
      </c>
      <c r="B22" s="128">
        <f>'Main calculation'!C28</f>
        <v>2015</v>
      </c>
      <c r="C22" s="390"/>
      <c r="D22" s="390">
        <f t="shared" ref="D22:D35" si="0">4000*0.81</f>
        <v>3240</v>
      </c>
      <c r="E22" s="112"/>
      <c r="F22" s="128">
        <f>B22</f>
        <v>2015</v>
      </c>
      <c r="G22" s="390"/>
      <c r="H22" s="390">
        <f t="shared" ref="H22:H35" si="1">3000*0.81</f>
        <v>2430</v>
      </c>
    </row>
    <row r="23" spans="1:13">
      <c r="A23" s="252" t="str">
        <f>IF('Main calculation'!$B$19=2016, "Starting year --&gt;","" )</f>
        <v/>
      </c>
      <c r="B23" s="128">
        <f>'Main calculation'!C29</f>
        <v>2016</v>
      </c>
      <c r="C23" s="390"/>
      <c r="D23" s="390">
        <f t="shared" si="0"/>
        <v>3240</v>
      </c>
      <c r="E23" s="112"/>
      <c r="F23" s="128">
        <f t="shared" ref="F23:F37" si="2">B23</f>
        <v>2016</v>
      </c>
      <c r="G23" s="390"/>
      <c r="H23" s="390">
        <f t="shared" si="1"/>
        <v>2430</v>
      </c>
    </row>
    <row r="24" spans="1:13">
      <c r="A24" s="252" t="str">
        <f>IF('Main calculation'!$B$19=2017, "Starting year --&gt;","" )</f>
        <v/>
      </c>
      <c r="B24" s="128">
        <f>'Main calculation'!C30</f>
        <v>2017</v>
      </c>
      <c r="C24" s="390"/>
      <c r="D24" s="390">
        <f t="shared" si="0"/>
        <v>3240</v>
      </c>
      <c r="E24" s="112"/>
      <c r="F24" s="128">
        <f t="shared" si="2"/>
        <v>2017</v>
      </c>
      <c r="G24" s="390"/>
      <c r="H24" s="390">
        <f t="shared" si="1"/>
        <v>2430</v>
      </c>
    </row>
    <row r="25" spans="1:13">
      <c r="A25" s="252" t="str">
        <f>IF('Main calculation'!$B$19=2018, "Starting year --&gt;","" )</f>
        <v/>
      </c>
      <c r="B25" s="128">
        <f>'Main calculation'!C31</f>
        <v>2018</v>
      </c>
      <c r="C25" s="390"/>
      <c r="D25" s="390">
        <f t="shared" si="0"/>
        <v>3240</v>
      </c>
      <c r="E25" s="112"/>
      <c r="F25" s="128">
        <f t="shared" si="2"/>
        <v>2018</v>
      </c>
      <c r="G25" s="390"/>
      <c r="H25" s="390">
        <f t="shared" si="1"/>
        <v>2430</v>
      </c>
    </row>
    <row r="26" spans="1:13">
      <c r="A26" s="252" t="str">
        <f>IF('Main calculation'!$B$19=2019, "Starting year --&gt;","" )</f>
        <v/>
      </c>
      <c r="B26" s="128">
        <f>'Main calculation'!C32</f>
        <v>2019</v>
      </c>
      <c r="C26" s="390"/>
      <c r="D26" s="390">
        <f t="shared" si="0"/>
        <v>3240</v>
      </c>
      <c r="E26" s="112"/>
      <c r="F26" s="128">
        <f t="shared" si="2"/>
        <v>2019</v>
      </c>
      <c r="G26" s="390"/>
      <c r="H26" s="390">
        <f t="shared" si="1"/>
        <v>2430</v>
      </c>
    </row>
    <row r="27" spans="1:13">
      <c r="A27" s="252" t="str">
        <f>IF('Main calculation'!$B$19=2020, "Starting year --&gt;","" )</f>
        <v/>
      </c>
      <c r="B27" s="128">
        <f>'Main calculation'!C33</f>
        <v>2020</v>
      </c>
      <c r="C27" s="390"/>
      <c r="D27" s="390">
        <f t="shared" si="0"/>
        <v>3240</v>
      </c>
      <c r="E27" s="112"/>
      <c r="F27" s="128">
        <f t="shared" si="2"/>
        <v>2020</v>
      </c>
      <c r="G27" s="390"/>
      <c r="H27" s="390">
        <f t="shared" si="1"/>
        <v>2430</v>
      </c>
    </row>
    <row r="28" spans="1:13">
      <c r="A28" s="252" t="str">
        <f>IF('Main calculation'!$B$19=2021, "Starting year --&gt;","" )</f>
        <v/>
      </c>
      <c r="B28" s="128">
        <f>'Main calculation'!C34</f>
        <v>2021</v>
      </c>
      <c r="C28" s="390"/>
      <c r="D28" s="390">
        <f t="shared" si="0"/>
        <v>3240</v>
      </c>
      <c r="E28" s="112"/>
      <c r="F28" s="128">
        <f t="shared" si="2"/>
        <v>2021</v>
      </c>
      <c r="G28" s="390"/>
      <c r="H28" s="390">
        <f t="shared" si="1"/>
        <v>2430</v>
      </c>
    </row>
    <row r="29" spans="1:13">
      <c r="A29" s="252" t="str">
        <f>IF('Main calculation'!$B$19=2022, "Starting year --&gt;","" )</f>
        <v/>
      </c>
      <c r="B29" s="128">
        <f>'Main calculation'!C35</f>
        <v>2022</v>
      </c>
      <c r="C29" s="390"/>
      <c r="D29" s="390">
        <f t="shared" si="0"/>
        <v>3240</v>
      </c>
      <c r="E29" s="112"/>
      <c r="F29" s="128">
        <f t="shared" si="2"/>
        <v>2022</v>
      </c>
      <c r="G29" s="390"/>
      <c r="H29" s="390">
        <f t="shared" si="1"/>
        <v>2430</v>
      </c>
    </row>
    <row r="30" spans="1:13">
      <c r="A30" s="252" t="str">
        <f>IF('Main calculation'!$B$19=2023, "Starting year --&gt;","" )</f>
        <v/>
      </c>
      <c r="B30" s="128">
        <f>'Main calculation'!C36</f>
        <v>2023</v>
      </c>
      <c r="C30" s="390"/>
      <c r="D30" s="390">
        <f t="shared" si="0"/>
        <v>3240</v>
      </c>
      <c r="E30" s="112"/>
      <c r="F30" s="128">
        <f t="shared" si="2"/>
        <v>2023</v>
      </c>
      <c r="G30" s="390"/>
      <c r="H30" s="390">
        <f t="shared" si="1"/>
        <v>2430</v>
      </c>
    </row>
    <row r="31" spans="1:13">
      <c r="A31" s="252" t="str">
        <f>IF('Main calculation'!$B$19=2024, "Starting year --&gt;","" )</f>
        <v/>
      </c>
      <c r="B31" s="128">
        <f>'Main calculation'!C37</f>
        <v>2024</v>
      </c>
      <c r="C31" s="390"/>
      <c r="D31" s="390">
        <f t="shared" si="0"/>
        <v>3240</v>
      </c>
      <c r="E31" s="112"/>
      <c r="F31" s="128">
        <f t="shared" si="2"/>
        <v>2024</v>
      </c>
      <c r="G31" s="390"/>
      <c r="H31" s="390">
        <f t="shared" si="1"/>
        <v>2430</v>
      </c>
    </row>
    <row r="32" spans="1:13">
      <c r="A32" s="252" t="str">
        <f>IF('Main calculation'!$B$19=2025, "Starting year --&gt;","" )</f>
        <v/>
      </c>
      <c r="B32" s="128">
        <f>'Main calculation'!C38</f>
        <v>2025</v>
      </c>
      <c r="C32" s="390"/>
      <c r="D32" s="390">
        <f t="shared" si="0"/>
        <v>3240</v>
      </c>
      <c r="E32" s="112"/>
      <c r="F32" s="128">
        <f t="shared" si="2"/>
        <v>2025</v>
      </c>
      <c r="G32" s="390"/>
      <c r="H32" s="390">
        <f t="shared" si="1"/>
        <v>2430</v>
      </c>
    </row>
    <row r="33" spans="1:8">
      <c r="A33" s="252" t="str">
        <f>IF('Main calculation'!$B$19=2026, "Starting year --&gt;","" )</f>
        <v/>
      </c>
      <c r="B33" s="128">
        <f>'Main calculation'!C39</f>
        <v>2026</v>
      </c>
      <c r="C33" s="390"/>
      <c r="D33" s="390">
        <f t="shared" si="0"/>
        <v>3240</v>
      </c>
      <c r="E33" s="112"/>
      <c r="F33" s="128">
        <f t="shared" si="2"/>
        <v>2026</v>
      </c>
      <c r="G33" s="390"/>
      <c r="H33" s="390">
        <f t="shared" si="1"/>
        <v>2430</v>
      </c>
    </row>
    <row r="34" spans="1:8">
      <c r="A34" s="252" t="str">
        <f>IF('Main calculation'!$B$19=2027, "Starting year --&gt;","" )</f>
        <v/>
      </c>
      <c r="B34" s="128">
        <f>'Main calculation'!C40</f>
        <v>2027</v>
      </c>
      <c r="C34" s="390"/>
      <c r="D34" s="390">
        <f t="shared" si="0"/>
        <v>3240</v>
      </c>
      <c r="E34" s="112"/>
      <c r="F34" s="128">
        <f t="shared" si="2"/>
        <v>2027</v>
      </c>
      <c r="G34" s="390"/>
      <c r="H34" s="390">
        <f t="shared" si="1"/>
        <v>2430</v>
      </c>
    </row>
    <row r="35" spans="1:8">
      <c r="A35" s="252" t="str">
        <f>IF('Main calculation'!$B$20=2028, "Finishing year --&gt;","" )</f>
        <v>Finishing year --&gt;</v>
      </c>
      <c r="B35" s="128">
        <f>'Main calculation'!C41</f>
        <v>2028</v>
      </c>
      <c r="C35" s="390"/>
      <c r="D35" s="390">
        <f t="shared" si="0"/>
        <v>3240</v>
      </c>
      <c r="E35" s="112"/>
      <c r="F35" s="128">
        <f t="shared" si="2"/>
        <v>2028</v>
      </c>
      <c r="G35" s="390"/>
      <c r="H35" s="390">
        <f t="shared" si="1"/>
        <v>2430</v>
      </c>
    </row>
    <row r="36" spans="1:8">
      <c r="A36" s="252" t="str">
        <f>IF('Main calculation'!$B$20=2029, "Finishing year --&gt;","" )</f>
        <v/>
      </c>
      <c r="B36" s="128">
        <f>'Main calculation'!C42</f>
        <v>2029</v>
      </c>
      <c r="C36" s="390"/>
      <c r="D36" s="390"/>
      <c r="E36" s="112"/>
      <c r="F36" s="128">
        <f t="shared" si="2"/>
        <v>2029</v>
      </c>
      <c r="G36" s="390"/>
      <c r="H36" s="390"/>
    </row>
    <row r="37" spans="1:8">
      <c r="A37" s="252" t="str">
        <f>IF('Main calculation'!$B$20=2030, "Finishing year --&gt;","" )</f>
        <v/>
      </c>
      <c r="B37" s="128">
        <f>'Main calculation'!C43</f>
        <v>2030</v>
      </c>
      <c r="C37" s="390"/>
      <c r="D37" s="390"/>
      <c r="E37" s="112"/>
      <c r="F37" s="128">
        <f t="shared" si="2"/>
        <v>2030</v>
      </c>
      <c r="G37" s="390"/>
      <c r="H37" s="390"/>
    </row>
    <row r="38" spans="1:8">
      <c r="A38" s="252" t="str">
        <f>IF('Main calculation'!$B$20=2031, "Finishing year --&gt;","" )</f>
        <v/>
      </c>
    </row>
    <row r="39" spans="1:8">
      <c r="A39" s="252" t="str">
        <f>IF('Main calculation'!$B$20=2032, "Finishing year --&gt;","" )</f>
        <v/>
      </c>
    </row>
    <row r="40" spans="1:8">
      <c r="A40" s="252" t="str">
        <f>IF('Main calculation'!$B$20=2033, "Finishing year --&gt;","" )</f>
        <v/>
      </c>
    </row>
  </sheetData>
  <mergeCells count="5">
    <mergeCell ref="A17:G17"/>
    <mergeCell ref="A3:H3"/>
    <mergeCell ref="A6:H6"/>
    <mergeCell ref="A9:H9"/>
    <mergeCell ref="A10:H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E46"/>
  <sheetViews>
    <sheetView zoomScale="85" zoomScaleNormal="85" workbookViewId="0"/>
  </sheetViews>
  <sheetFormatPr defaultRowHeight="14.4"/>
  <cols>
    <col min="1" max="1" width="15.5546875" customWidth="1"/>
    <col min="2" max="3" width="15.6640625" customWidth="1"/>
    <col min="4" max="4" width="20.5546875" customWidth="1"/>
    <col min="5" max="7" width="15.6640625" customWidth="1"/>
    <col min="8" max="8" width="18.5546875" customWidth="1"/>
    <col min="9" max="10" width="15.6640625" customWidth="1"/>
    <col min="11" max="11" width="18.5546875" customWidth="1"/>
    <col min="12" max="14" width="15.6640625" customWidth="1"/>
    <col min="15" max="15" width="5.5546875" customWidth="1"/>
    <col min="16" max="17" width="15.6640625" customWidth="1"/>
    <col min="18" max="18" width="20.5546875" customWidth="1"/>
    <col min="19" max="21" width="15.6640625" customWidth="1"/>
    <col min="22" max="22" width="18.5546875" customWidth="1"/>
    <col min="23" max="24" width="15.6640625" customWidth="1"/>
    <col min="25" max="25" width="18.5546875" customWidth="1"/>
    <col min="26" max="28" width="15.6640625" customWidth="1"/>
    <col min="29" max="29" width="12.88671875" customWidth="1"/>
    <col min="30" max="30" width="10" customWidth="1"/>
  </cols>
  <sheetData>
    <row r="1" spans="1:16" ht="18">
      <c r="A1" s="157" t="s">
        <v>246</v>
      </c>
      <c r="B1" s="251"/>
      <c r="C1" s="251"/>
      <c r="D1" s="251"/>
      <c r="E1" s="251"/>
      <c r="F1" s="251"/>
      <c r="G1" s="251"/>
    </row>
    <row r="2" spans="1:16" ht="45" customHeight="1">
      <c r="A2" s="419" t="s">
        <v>240</v>
      </c>
      <c r="B2" s="419"/>
      <c r="C2" s="419"/>
      <c r="D2" s="419"/>
      <c r="E2" s="419"/>
      <c r="F2" s="419"/>
      <c r="G2" s="419"/>
      <c r="H2" s="419"/>
      <c r="I2" s="419"/>
      <c r="J2" s="361"/>
      <c r="K2" s="361"/>
      <c r="L2" s="361"/>
      <c r="M2" s="361"/>
      <c r="N2" s="361"/>
    </row>
    <row r="3" spans="1:16" s="251" customFormat="1">
      <c r="A3" s="362"/>
      <c r="B3" s="362"/>
      <c r="C3" s="362"/>
      <c r="D3" s="362"/>
      <c r="E3" s="362"/>
      <c r="F3" s="362"/>
      <c r="G3" s="362"/>
      <c r="H3" s="343"/>
      <c r="I3" s="343"/>
      <c r="J3" s="343"/>
      <c r="K3" s="343"/>
    </row>
    <row r="4" spans="1:16" s="251" customFormat="1">
      <c r="A4" s="363" t="s">
        <v>236</v>
      </c>
      <c r="B4" s="362"/>
      <c r="C4" s="362"/>
      <c r="D4" s="362"/>
      <c r="E4" s="362"/>
      <c r="F4" s="362"/>
      <c r="G4" s="362"/>
      <c r="H4" s="343"/>
      <c r="I4" s="343"/>
      <c r="J4" s="343"/>
      <c r="K4" s="343"/>
    </row>
    <row r="5" spans="1:16" s="251" customFormat="1">
      <c r="A5" s="365" t="s">
        <v>243</v>
      </c>
      <c r="B5" s="362"/>
      <c r="C5" s="362"/>
      <c r="D5" s="362"/>
      <c r="E5" s="362"/>
      <c r="F5" s="362"/>
      <c r="G5" s="362"/>
      <c r="H5" s="343"/>
      <c r="I5" s="343"/>
      <c r="J5" s="343"/>
      <c r="K5" s="343"/>
    </row>
    <row r="6" spans="1:16" s="251" customFormat="1">
      <c r="A6" s="365" t="s">
        <v>283</v>
      </c>
      <c r="B6" s="362"/>
      <c r="C6" s="362"/>
      <c r="D6" s="362"/>
      <c r="E6" s="362"/>
      <c r="F6" s="362"/>
      <c r="G6" s="362"/>
      <c r="H6" s="343"/>
      <c r="I6" s="343"/>
      <c r="J6" s="343"/>
      <c r="K6" s="343"/>
    </row>
    <row r="7" spans="1:16" s="251" customFormat="1">
      <c r="A7" s="365" t="s">
        <v>244</v>
      </c>
      <c r="B7" s="362"/>
      <c r="C7" s="362"/>
      <c r="D7" s="362"/>
      <c r="E7" s="362"/>
      <c r="F7" s="362"/>
      <c r="G7" s="362"/>
      <c r="H7" s="343"/>
      <c r="I7" s="343"/>
      <c r="J7" s="343"/>
      <c r="K7" s="343"/>
    </row>
    <row r="8" spans="1:16" s="251" customFormat="1">
      <c r="A8" s="365"/>
      <c r="B8" s="362"/>
      <c r="C8" s="362"/>
      <c r="D8" s="362"/>
      <c r="E8" s="362"/>
      <c r="F8" s="362"/>
      <c r="G8" s="362"/>
      <c r="H8" s="343"/>
      <c r="I8" s="343"/>
      <c r="J8" s="343"/>
      <c r="K8" s="343"/>
    </row>
    <row r="9" spans="1:16">
      <c r="A9" t="s">
        <v>284</v>
      </c>
    </row>
    <row r="10" spans="1:16">
      <c r="A10" t="s">
        <v>245</v>
      </c>
    </row>
    <row r="11" spans="1:16" ht="15" thickBot="1"/>
    <row r="12" spans="1:16">
      <c r="A12" s="151"/>
      <c r="B12" s="152" t="str">
        <f>HLOOKUP('Main calculation'!$B$17,'Monetary Values'!$D$4:$G$68,14,FALSE)</f>
        <v>EURg/h</v>
      </c>
      <c r="C12" s="152"/>
      <c r="D12" s="422" t="str">
        <f>HLOOKUP('Main calculation'!$B$17,'Monetary Values'!$D$4:$G$68,14,FALSE)</f>
        <v>EURg/h</v>
      </c>
      <c r="E12" s="423"/>
    </row>
    <row r="13" spans="1:16">
      <c r="A13" s="374" t="s">
        <v>118</v>
      </c>
      <c r="B13" s="375" t="s">
        <v>32</v>
      </c>
      <c r="C13" s="121" t="s">
        <v>130</v>
      </c>
      <c r="D13" s="381" t="s">
        <v>208</v>
      </c>
      <c r="E13" s="381"/>
    </row>
    <row r="14" spans="1:16">
      <c r="A14" s="376" t="s">
        <v>90</v>
      </c>
      <c r="B14" s="401">
        <f>HLOOKUP('Main calculation'!$B$17,'Monetary Values'!$D$4:$G$68,15,FALSE)</f>
        <v>12.0186460077446</v>
      </c>
      <c r="C14" s="377" t="s">
        <v>90</v>
      </c>
      <c r="D14" s="424">
        <f>B14</f>
        <v>12.0186460077446</v>
      </c>
      <c r="E14" s="425"/>
      <c r="F14" s="87"/>
      <c r="G14" s="87"/>
      <c r="H14" s="87"/>
      <c r="I14" s="87"/>
      <c r="J14" s="87"/>
      <c r="K14" s="87"/>
      <c r="L14" s="87"/>
      <c r="M14" s="87"/>
      <c r="N14" s="87"/>
      <c r="O14" s="87"/>
      <c r="P14" s="87"/>
    </row>
    <row r="15" spans="1:16">
      <c r="A15" s="374" t="s">
        <v>121</v>
      </c>
      <c r="B15" s="402">
        <f>HLOOKUP('Main calculation'!$B$17,'Monetary Values'!$D$4:$G$68,16,FALSE)</f>
        <v>4.4513503732387409</v>
      </c>
      <c r="C15" s="121" t="s">
        <v>87</v>
      </c>
      <c r="D15" s="424">
        <f>B15</f>
        <v>4.4513503732387409</v>
      </c>
      <c r="E15" s="425"/>
      <c r="F15" s="87"/>
      <c r="G15" s="87"/>
      <c r="H15" s="87"/>
      <c r="I15" s="87"/>
      <c r="J15" s="87"/>
      <c r="K15" s="87"/>
      <c r="L15" s="87"/>
      <c r="M15" s="87"/>
      <c r="N15" s="87"/>
      <c r="O15" s="87"/>
      <c r="P15" s="87"/>
    </row>
    <row r="16" spans="1:16" hidden="1">
      <c r="A16" s="374" t="s">
        <v>122</v>
      </c>
      <c r="B16" s="402">
        <f>HLOOKUP('Main calculation'!$B$17,'Monetary Values'!$D$4:$G$68,17,FALSE)</f>
        <v>2.2256751866193705</v>
      </c>
      <c r="C16" s="378"/>
      <c r="D16" s="370"/>
      <c r="E16" s="370"/>
      <c r="F16" s="87"/>
      <c r="G16" s="87"/>
      <c r="H16" s="87"/>
      <c r="I16" s="87"/>
      <c r="J16" s="87"/>
      <c r="K16" s="87"/>
      <c r="L16" s="87"/>
      <c r="M16" s="87"/>
      <c r="N16" s="87"/>
      <c r="O16" s="87"/>
      <c r="P16" s="87"/>
    </row>
    <row r="17" spans="1:31" hidden="1">
      <c r="A17" s="374" t="s">
        <v>123</v>
      </c>
      <c r="B17" s="402">
        <f>HLOOKUP('Main calculation'!$B$17,'Monetary Values'!$D$4:$G$68,18,FALSE)</f>
        <v>8.9027007464774819</v>
      </c>
      <c r="C17" s="378"/>
      <c r="D17" s="370"/>
      <c r="E17" s="370"/>
      <c r="F17" s="87"/>
      <c r="G17" s="87"/>
      <c r="H17" s="87"/>
      <c r="I17" s="87"/>
      <c r="J17" s="87"/>
      <c r="K17" s="87"/>
      <c r="L17" s="87"/>
      <c r="M17" s="87"/>
      <c r="N17" s="87"/>
      <c r="O17" s="87"/>
      <c r="P17" s="87"/>
    </row>
    <row r="18" spans="1:31">
      <c r="A18" s="374" t="s">
        <v>124</v>
      </c>
      <c r="B18" s="402">
        <f>HLOOKUP('Main calculation'!$B$17,'Monetary Values'!$D$4:$G$68,19,FALSE)</f>
        <v>16.692563899645275</v>
      </c>
      <c r="C18" s="121" t="s">
        <v>89</v>
      </c>
      <c r="D18" s="424">
        <f>(B18+B19)/2</f>
        <v>15.023307509680748</v>
      </c>
      <c r="E18" s="425"/>
    </row>
    <row r="19" spans="1:31" hidden="1">
      <c r="A19" s="374" t="s">
        <v>125</v>
      </c>
      <c r="B19" s="402">
        <f>HLOOKUP('Main calculation'!$B$17,'Monetary Values'!$D$4:$G$68,20,FALSE)</f>
        <v>13.354051119716221</v>
      </c>
      <c r="C19" s="378"/>
      <c r="D19" s="370"/>
      <c r="E19" s="370"/>
    </row>
    <row r="20" spans="1:31" ht="15" thickBot="1">
      <c r="A20" s="379" t="s">
        <v>91</v>
      </c>
      <c r="B20" s="403">
        <f>HLOOKUP('Main calculation'!$B$17,'Monetary Values'!$D$4:$G$68,21,FALSE)</f>
        <v>5.6754717258793939</v>
      </c>
      <c r="C20" s="380" t="s">
        <v>91</v>
      </c>
      <c r="D20" s="420">
        <f>AVERAGE(B20,B21)</f>
        <v>8.5132075888190908</v>
      </c>
      <c r="E20" s="421"/>
    </row>
    <row r="21" spans="1:31" ht="15" hidden="1" thickBot="1">
      <c r="A21" s="139" t="s">
        <v>126</v>
      </c>
      <c r="B21" s="216">
        <f>HLOOKUP('Main calculation'!$B$17,'Monetary Values'!$D$4:$G$68,22,FALSE)</f>
        <v>11.350943451758788</v>
      </c>
      <c r="C21" s="149"/>
      <c r="D21" s="150"/>
    </row>
    <row r="22" spans="1:31">
      <c r="A22" s="3"/>
    </row>
    <row r="23" spans="1:31" ht="18">
      <c r="B23" s="341" t="s">
        <v>1</v>
      </c>
      <c r="C23" s="341"/>
      <c r="D23" s="213"/>
      <c r="E23" s="213"/>
      <c r="F23" s="213"/>
      <c r="G23" s="213"/>
      <c r="H23" s="213"/>
      <c r="I23" s="213"/>
      <c r="J23" s="213"/>
      <c r="K23" s="213"/>
      <c r="L23" s="213"/>
      <c r="M23" s="213"/>
      <c r="N23" s="213"/>
      <c r="O23" s="112"/>
      <c r="P23" s="208" t="s">
        <v>2</v>
      </c>
      <c r="Q23" s="209"/>
      <c r="R23" s="209"/>
      <c r="S23" s="209"/>
      <c r="T23" s="209"/>
      <c r="U23" s="214"/>
      <c r="V23" s="209"/>
      <c r="W23" s="209"/>
      <c r="X23" s="209"/>
      <c r="Y23" s="209"/>
      <c r="Z23" s="209"/>
      <c r="AA23" s="209"/>
      <c r="AB23" s="212"/>
    </row>
    <row r="24" spans="1:31" ht="15" thickBot="1">
      <c r="B24" s="5"/>
      <c r="C24" s="222" t="s">
        <v>92</v>
      </c>
      <c r="D24" s="223"/>
      <c r="E24" s="222" t="s">
        <v>93</v>
      </c>
      <c r="F24" s="224"/>
      <c r="G24" s="222" t="s">
        <v>241</v>
      </c>
      <c r="H24" s="224"/>
      <c r="I24" s="224"/>
      <c r="J24" s="222" t="s">
        <v>94</v>
      </c>
      <c r="K24" s="224"/>
      <c r="L24" s="223"/>
      <c r="M24" s="88"/>
      <c r="N24" s="90"/>
      <c r="O24" s="112"/>
      <c r="P24" s="103"/>
      <c r="Q24" s="222" t="s">
        <v>92</v>
      </c>
      <c r="R24" s="223"/>
      <c r="S24" s="222" t="s">
        <v>93</v>
      </c>
      <c r="T24" s="224"/>
      <c r="U24" s="222" t="s">
        <v>241</v>
      </c>
      <c r="V24" s="224"/>
      <c r="W24" s="224"/>
      <c r="X24" s="222" t="s">
        <v>94</v>
      </c>
      <c r="Y24" s="224"/>
      <c r="Z24" s="223"/>
      <c r="AA24" s="5"/>
      <c r="AB24" s="103"/>
      <c r="AC24" s="153"/>
    </row>
    <row r="25" spans="1:31" ht="72.599999999999994" thickTop="1">
      <c r="B25" s="128" t="s">
        <v>0</v>
      </c>
      <c r="C25" s="217" t="s">
        <v>95</v>
      </c>
      <c r="D25" s="218" t="s">
        <v>131</v>
      </c>
      <c r="E25" s="219" t="s">
        <v>96</v>
      </c>
      <c r="F25" s="220" t="s">
        <v>205</v>
      </c>
      <c r="G25" s="219" t="s">
        <v>242</v>
      </c>
      <c r="H25" s="220" t="s">
        <v>206</v>
      </c>
      <c r="I25" s="220" t="s">
        <v>9</v>
      </c>
      <c r="J25" s="219" t="s">
        <v>97</v>
      </c>
      <c r="K25" s="220" t="s">
        <v>132</v>
      </c>
      <c r="L25" s="221" t="s">
        <v>9</v>
      </c>
      <c r="M25" s="219" t="s">
        <v>10</v>
      </c>
      <c r="N25" s="220" t="s">
        <v>209</v>
      </c>
      <c r="O25" s="129"/>
      <c r="P25" s="382" t="s">
        <v>0</v>
      </c>
      <c r="Q25" s="404" t="s">
        <v>95</v>
      </c>
      <c r="R25" s="405" t="s">
        <v>131</v>
      </c>
      <c r="S25" s="406" t="s">
        <v>96</v>
      </c>
      <c r="T25" s="397" t="s">
        <v>205</v>
      </c>
      <c r="U25" s="406" t="s">
        <v>242</v>
      </c>
      <c r="V25" s="397" t="s">
        <v>206</v>
      </c>
      <c r="W25" s="397" t="s">
        <v>9</v>
      </c>
      <c r="X25" s="406" t="s">
        <v>97</v>
      </c>
      <c r="Y25" s="397" t="s">
        <v>132</v>
      </c>
      <c r="Z25" s="407" t="s">
        <v>9</v>
      </c>
      <c r="AA25" s="406" t="s">
        <v>10</v>
      </c>
      <c r="AB25" s="407" t="s">
        <v>209</v>
      </c>
      <c r="AC25" s="154"/>
      <c r="AD25" s="3"/>
      <c r="AE25" s="3"/>
    </row>
    <row r="26" spans="1:31">
      <c r="A26" s="252" t="str">
        <f>IF('Main calculation'!$B$19=2013, "Starting year --&gt;","" )</f>
        <v/>
      </c>
      <c r="B26" s="128">
        <f>'Main calculation'!C26</f>
        <v>2013</v>
      </c>
      <c r="C26" s="96"/>
      <c r="D26" s="97"/>
      <c r="E26" s="96"/>
      <c r="F26" s="97"/>
      <c r="G26" s="106"/>
      <c r="H26" s="93"/>
      <c r="I26" s="97"/>
      <c r="J26" s="106"/>
      <c r="K26" s="93"/>
      <c r="L26" s="97"/>
      <c r="M26" s="128">
        <f>'Main calculation'!$B$21</f>
        <v>300</v>
      </c>
      <c r="N26" s="386">
        <f>(C26*D26*$D$20+E26*F26*$D$18+G26*H26*I26*$D$15+J26*K26*L26*$D$14)*M26/60</f>
        <v>0</v>
      </c>
      <c r="O26" s="112"/>
      <c r="P26" s="128">
        <f>'Main calculation'!C26</f>
        <v>2013</v>
      </c>
      <c r="Q26" s="96"/>
      <c r="R26" s="104"/>
      <c r="S26" s="96"/>
      <c r="T26" s="97"/>
      <c r="U26" s="106"/>
      <c r="V26" s="93"/>
      <c r="W26" s="104"/>
      <c r="X26" s="96"/>
      <c r="Y26" s="93"/>
      <c r="Z26" s="97"/>
      <c r="AA26" s="128">
        <f>'Main calculation'!$B$21</f>
        <v>300</v>
      </c>
      <c r="AB26" s="383">
        <f>($D$20*Q26*R26+$D$18*S26*T26+$D$15*U26*V26*W26+$D$14*X26*Y26*Z26)*AA26/60</f>
        <v>0</v>
      </c>
      <c r="AC26" s="154"/>
      <c r="AD26" s="161"/>
      <c r="AE26" s="161"/>
    </row>
    <row r="27" spans="1:31">
      <c r="A27" s="252" t="str">
        <f>IF('Main calculation'!$B$19=2014, "Starting year --&gt;","" )</f>
        <v>Starting year --&gt;</v>
      </c>
      <c r="B27" s="128">
        <f>'Main calculation'!C27</f>
        <v>2014</v>
      </c>
      <c r="C27" s="96"/>
      <c r="D27" s="97"/>
      <c r="E27" s="96"/>
      <c r="F27" s="97"/>
      <c r="G27" s="106">
        <v>150</v>
      </c>
      <c r="H27" s="93">
        <v>2.5299999999999998</v>
      </c>
      <c r="I27" s="97">
        <v>17</v>
      </c>
      <c r="J27" s="106">
        <v>7000</v>
      </c>
      <c r="K27" s="93">
        <v>1.2</v>
      </c>
      <c r="L27" s="97">
        <v>1.2</v>
      </c>
      <c r="M27" s="128">
        <f>'Main calculation'!$B$21</f>
        <v>300</v>
      </c>
      <c r="N27" s="387">
        <f>(C27*D27*$D$20+E27*F27*$D$18+G27*H27*I27*$D$15+J27*K27*L27*$D$14)*M27/60</f>
        <v>749329.19345507643</v>
      </c>
      <c r="O27" s="112"/>
      <c r="P27" s="128">
        <f>'Main calculation'!C27</f>
        <v>2014</v>
      </c>
      <c r="Q27" s="96"/>
      <c r="R27" s="104"/>
      <c r="S27" s="96"/>
      <c r="T27" s="97"/>
      <c r="U27" s="106">
        <v>150</v>
      </c>
      <c r="V27" s="93">
        <v>2.09</v>
      </c>
      <c r="W27" s="104">
        <v>17</v>
      </c>
      <c r="X27" s="96">
        <v>7000</v>
      </c>
      <c r="Y27" s="93">
        <v>1.5</v>
      </c>
      <c r="Z27" s="97">
        <v>1.2</v>
      </c>
      <c r="AA27" s="128">
        <f>'Main calculation'!$B$21</f>
        <v>300</v>
      </c>
      <c r="AB27" s="383">
        <f>($D$20*Q27*R27+$D$18*S27*T27+$D$15*U27*V27*W27+$D$14*X27*Y27*Z27)*AA27/60</f>
        <v>875792.05755878915</v>
      </c>
      <c r="AC27" s="154"/>
      <c r="AD27" s="161"/>
      <c r="AE27" s="161"/>
    </row>
    <row r="28" spans="1:31">
      <c r="A28" s="252" t="str">
        <f>IF('Main calculation'!$B$19=2015, "Starting year --&gt;","" )</f>
        <v/>
      </c>
      <c r="B28" s="128">
        <f>'Main calculation'!C28</f>
        <v>2015</v>
      </c>
      <c r="C28" s="96"/>
      <c r="D28" s="97"/>
      <c r="E28" s="96"/>
      <c r="F28" s="97"/>
      <c r="G28" s="106">
        <v>150</v>
      </c>
      <c r="H28" s="93">
        <v>2.5299999999999998</v>
      </c>
      <c r="I28" s="97">
        <v>17</v>
      </c>
      <c r="J28" s="106">
        <v>7000</v>
      </c>
      <c r="K28" s="93">
        <v>1.2</v>
      </c>
      <c r="L28" s="97">
        <v>1.2</v>
      </c>
      <c r="M28" s="128">
        <f>'Main calculation'!$B$21</f>
        <v>300</v>
      </c>
      <c r="N28" s="387">
        <f>(C28*D28*$D$20+E28*F28*$D$18+G28*H28*I28*$D$15+J28*K28*L28*$D$14)*M28/60</f>
        <v>749329.19345507643</v>
      </c>
      <c r="O28" s="112"/>
      <c r="P28" s="128">
        <f>'Main calculation'!C28</f>
        <v>2015</v>
      </c>
      <c r="Q28" s="96"/>
      <c r="R28" s="104"/>
      <c r="S28" s="96"/>
      <c r="T28" s="97"/>
      <c r="U28" s="106">
        <v>150</v>
      </c>
      <c r="V28" s="93">
        <v>2.09</v>
      </c>
      <c r="W28" s="104">
        <v>17</v>
      </c>
      <c r="X28" s="96">
        <v>7000</v>
      </c>
      <c r="Y28" s="93">
        <v>1.5</v>
      </c>
      <c r="Z28" s="97">
        <v>1.2</v>
      </c>
      <c r="AA28" s="128">
        <f>'Main calculation'!$B$21</f>
        <v>300</v>
      </c>
      <c r="AB28" s="384">
        <f>($D$20*Q28*R28+$D$18*S28*T28+$D$15*U28*V28*W28+$D$14*X28*Y28*Z28)*AA28/60</f>
        <v>875792.05755878915</v>
      </c>
      <c r="AC28" s="155"/>
      <c r="AD28" s="4"/>
      <c r="AE28" s="91"/>
    </row>
    <row r="29" spans="1:31">
      <c r="A29" s="252" t="str">
        <f>IF('Main calculation'!$B$19=2016, "Starting year --&gt;","" )</f>
        <v/>
      </c>
      <c r="B29" s="128">
        <f>'Main calculation'!C29</f>
        <v>2016</v>
      </c>
      <c r="C29" s="96"/>
      <c r="D29" s="97"/>
      <c r="E29" s="96"/>
      <c r="F29" s="97"/>
      <c r="G29" s="106">
        <v>150</v>
      </c>
      <c r="H29" s="93">
        <v>2.5299999999999998</v>
      </c>
      <c r="I29" s="97">
        <v>17</v>
      </c>
      <c r="J29" s="106">
        <v>7000</v>
      </c>
      <c r="K29" s="93">
        <v>1.2</v>
      </c>
      <c r="L29" s="97">
        <v>1.2</v>
      </c>
      <c r="M29" s="128">
        <f>'Main calculation'!$B$21</f>
        <v>300</v>
      </c>
      <c r="N29" s="388">
        <f t="shared" ref="N29:N43" si="0">($D$20*C29*D29+$D$18*E29*F29+$D$15*G29*H29*I29+$D$14*J29*K29*L29)*M29/60</f>
        <v>749329.19345507643</v>
      </c>
      <c r="O29" s="112"/>
      <c r="P29" s="128">
        <f>'Main calculation'!C29</f>
        <v>2016</v>
      </c>
      <c r="Q29" s="96"/>
      <c r="R29" s="104"/>
      <c r="S29" s="96"/>
      <c r="T29" s="97"/>
      <c r="U29" s="106">
        <v>150</v>
      </c>
      <c r="V29" s="93">
        <v>2.09</v>
      </c>
      <c r="W29" s="104">
        <v>17</v>
      </c>
      <c r="X29" s="96">
        <v>7000</v>
      </c>
      <c r="Y29" s="93">
        <v>1.5</v>
      </c>
      <c r="Z29" s="97">
        <v>1.2</v>
      </c>
      <c r="AA29" s="128">
        <f>'Main calculation'!$B$21</f>
        <v>300</v>
      </c>
      <c r="AB29" s="384">
        <f t="shared" ref="AB29:AB43" si="1">($D$20*Q29*R29+$D$18*S29*T29+$D$15*U29*V29*W29+$D$14*X29*Y29*Z29)*AA29/60</f>
        <v>875792.05755878915</v>
      </c>
      <c r="AC29" s="155"/>
      <c r="AD29" s="4"/>
      <c r="AE29" s="4"/>
    </row>
    <row r="30" spans="1:31">
      <c r="A30" s="252" t="str">
        <f>IF('Main calculation'!$B$19=2017, "Starting year --&gt;","" )</f>
        <v/>
      </c>
      <c r="B30" s="128">
        <f>'Main calculation'!C30</f>
        <v>2017</v>
      </c>
      <c r="C30" s="96"/>
      <c r="D30" s="97"/>
      <c r="E30" s="96"/>
      <c r="F30" s="97"/>
      <c r="G30" s="106">
        <v>150</v>
      </c>
      <c r="H30" s="93">
        <v>2.5299999999999998</v>
      </c>
      <c r="I30" s="97">
        <v>17</v>
      </c>
      <c r="J30" s="106">
        <v>7000</v>
      </c>
      <c r="K30" s="93">
        <v>1.2</v>
      </c>
      <c r="L30" s="97">
        <v>1.2</v>
      </c>
      <c r="M30" s="128">
        <f>'Main calculation'!$B$21</f>
        <v>300</v>
      </c>
      <c r="N30" s="388">
        <f t="shared" si="0"/>
        <v>749329.19345507643</v>
      </c>
      <c r="O30" s="112"/>
      <c r="P30" s="128">
        <f>'Main calculation'!C30</f>
        <v>2017</v>
      </c>
      <c r="Q30" s="96"/>
      <c r="R30" s="104"/>
      <c r="S30" s="96"/>
      <c r="T30" s="97"/>
      <c r="U30" s="106">
        <v>150</v>
      </c>
      <c r="V30" s="93">
        <v>2.09</v>
      </c>
      <c r="W30" s="104">
        <v>17</v>
      </c>
      <c r="X30" s="96">
        <v>7000</v>
      </c>
      <c r="Y30" s="93">
        <v>1.5</v>
      </c>
      <c r="Z30" s="97">
        <v>1.2</v>
      </c>
      <c r="AA30" s="128">
        <f>'Main calculation'!$B$21</f>
        <v>300</v>
      </c>
      <c r="AB30" s="384">
        <f t="shared" si="1"/>
        <v>875792.05755878915</v>
      </c>
      <c r="AC30" s="155"/>
      <c r="AD30" s="4"/>
      <c r="AE30" s="4"/>
    </row>
    <row r="31" spans="1:31">
      <c r="A31" s="252" t="str">
        <f>IF('Main calculation'!$B$19=2018, "Starting year --&gt;","" )</f>
        <v/>
      </c>
      <c r="B31" s="128">
        <f>'Main calculation'!C31</f>
        <v>2018</v>
      </c>
      <c r="C31" s="96"/>
      <c r="D31" s="97"/>
      <c r="E31" s="96"/>
      <c r="F31" s="97"/>
      <c r="G31" s="106">
        <v>150</v>
      </c>
      <c r="H31" s="93">
        <v>2.5299999999999998</v>
      </c>
      <c r="I31" s="97">
        <v>17</v>
      </c>
      <c r="J31" s="106">
        <v>7000</v>
      </c>
      <c r="K31" s="93">
        <v>1.2</v>
      </c>
      <c r="L31" s="97">
        <v>1.2</v>
      </c>
      <c r="M31" s="128">
        <f>'Main calculation'!$B$21</f>
        <v>300</v>
      </c>
      <c r="N31" s="388">
        <f t="shared" si="0"/>
        <v>749329.19345507643</v>
      </c>
      <c r="O31" s="112"/>
      <c r="P31" s="128">
        <f>'Main calculation'!C31</f>
        <v>2018</v>
      </c>
      <c r="Q31" s="96"/>
      <c r="R31" s="104"/>
      <c r="S31" s="96"/>
      <c r="T31" s="97"/>
      <c r="U31" s="106">
        <v>150</v>
      </c>
      <c r="V31" s="93">
        <v>2.09</v>
      </c>
      <c r="W31" s="104">
        <v>17</v>
      </c>
      <c r="X31" s="96">
        <v>7000</v>
      </c>
      <c r="Y31" s="93">
        <v>1.5</v>
      </c>
      <c r="Z31" s="97">
        <v>1.2</v>
      </c>
      <c r="AA31" s="128">
        <f>'Main calculation'!$B$21</f>
        <v>300</v>
      </c>
      <c r="AB31" s="384">
        <f t="shared" si="1"/>
        <v>875792.05755878915</v>
      </c>
      <c r="AC31" s="155"/>
      <c r="AD31" s="4"/>
      <c r="AE31" s="4"/>
    </row>
    <row r="32" spans="1:31">
      <c r="A32" s="252" t="str">
        <f>IF('Main calculation'!$B$19=2019, "Starting year --&gt;","" )</f>
        <v/>
      </c>
      <c r="B32" s="128">
        <f>'Main calculation'!C32</f>
        <v>2019</v>
      </c>
      <c r="C32" s="96"/>
      <c r="D32" s="97"/>
      <c r="E32" s="96"/>
      <c r="F32" s="97"/>
      <c r="G32" s="106">
        <v>150</v>
      </c>
      <c r="H32" s="93">
        <v>2.5299999999999998</v>
      </c>
      <c r="I32" s="97">
        <v>17</v>
      </c>
      <c r="J32" s="106">
        <v>7000</v>
      </c>
      <c r="K32" s="93">
        <v>1.2</v>
      </c>
      <c r="L32" s="97">
        <v>1.2</v>
      </c>
      <c r="M32" s="128">
        <f>'Main calculation'!$B$21</f>
        <v>300</v>
      </c>
      <c r="N32" s="388">
        <f t="shared" si="0"/>
        <v>749329.19345507643</v>
      </c>
      <c r="O32" s="112"/>
      <c r="P32" s="128">
        <f>'Main calculation'!C32</f>
        <v>2019</v>
      </c>
      <c r="Q32" s="96"/>
      <c r="R32" s="104"/>
      <c r="S32" s="96"/>
      <c r="T32" s="97"/>
      <c r="U32" s="106">
        <v>150</v>
      </c>
      <c r="V32" s="93">
        <v>2.09</v>
      </c>
      <c r="W32" s="104">
        <v>17</v>
      </c>
      <c r="X32" s="96">
        <v>7000</v>
      </c>
      <c r="Y32" s="93">
        <v>1.5</v>
      </c>
      <c r="Z32" s="97">
        <v>1.2</v>
      </c>
      <c r="AA32" s="128">
        <f>'Main calculation'!$B$21</f>
        <v>300</v>
      </c>
      <c r="AB32" s="384">
        <f t="shared" si="1"/>
        <v>875792.05755878915</v>
      </c>
      <c r="AC32" s="155"/>
      <c r="AD32" s="4"/>
      <c r="AE32" s="4"/>
    </row>
    <row r="33" spans="1:31">
      <c r="A33" s="252" t="str">
        <f>IF('Main calculation'!$B$19=2020, "Starting year --&gt;","" )</f>
        <v/>
      </c>
      <c r="B33" s="128">
        <f>'Main calculation'!C33</f>
        <v>2020</v>
      </c>
      <c r="C33" s="96"/>
      <c r="D33" s="97"/>
      <c r="E33" s="96"/>
      <c r="F33" s="97"/>
      <c r="G33" s="106">
        <v>150</v>
      </c>
      <c r="H33" s="93">
        <v>2.5299999999999998</v>
      </c>
      <c r="I33" s="97">
        <v>17</v>
      </c>
      <c r="J33" s="106">
        <v>7000</v>
      </c>
      <c r="K33" s="93">
        <v>1.2</v>
      </c>
      <c r="L33" s="97">
        <v>1.2</v>
      </c>
      <c r="M33" s="128">
        <f>'Main calculation'!$B$21</f>
        <v>300</v>
      </c>
      <c r="N33" s="388">
        <f t="shared" si="0"/>
        <v>749329.19345507643</v>
      </c>
      <c r="O33" s="112"/>
      <c r="P33" s="128">
        <f>'Main calculation'!C33</f>
        <v>2020</v>
      </c>
      <c r="Q33" s="96"/>
      <c r="R33" s="104"/>
      <c r="S33" s="96"/>
      <c r="T33" s="97"/>
      <c r="U33" s="106">
        <v>150</v>
      </c>
      <c r="V33" s="93">
        <v>2.09</v>
      </c>
      <c r="W33" s="104">
        <v>17</v>
      </c>
      <c r="X33" s="96">
        <v>7000</v>
      </c>
      <c r="Y33" s="93">
        <v>1.5</v>
      </c>
      <c r="Z33" s="97">
        <v>1.2</v>
      </c>
      <c r="AA33" s="128">
        <f>'Main calculation'!$B$21</f>
        <v>300</v>
      </c>
      <c r="AB33" s="384">
        <f t="shared" si="1"/>
        <v>875792.05755878915</v>
      </c>
      <c r="AC33" s="155"/>
      <c r="AD33" s="4"/>
      <c r="AE33" s="4"/>
    </row>
    <row r="34" spans="1:31">
      <c r="A34" s="252" t="str">
        <f>IF('Main calculation'!$B$19=2021, "Starting year --&gt;","" )</f>
        <v/>
      </c>
      <c r="B34" s="128">
        <f>'Main calculation'!C34</f>
        <v>2021</v>
      </c>
      <c r="C34" s="96"/>
      <c r="D34" s="97"/>
      <c r="E34" s="96"/>
      <c r="F34" s="97"/>
      <c r="G34" s="106">
        <v>150</v>
      </c>
      <c r="H34" s="93">
        <v>2.5299999999999998</v>
      </c>
      <c r="I34" s="97">
        <v>17</v>
      </c>
      <c r="J34" s="106">
        <v>7000</v>
      </c>
      <c r="K34" s="93">
        <v>1.2</v>
      </c>
      <c r="L34" s="97">
        <v>1.2</v>
      </c>
      <c r="M34" s="128">
        <f>'Main calculation'!$B$21</f>
        <v>300</v>
      </c>
      <c r="N34" s="388">
        <f t="shared" si="0"/>
        <v>749329.19345507643</v>
      </c>
      <c r="O34" s="112"/>
      <c r="P34" s="128">
        <f>'Main calculation'!C34</f>
        <v>2021</v>
      </c>
      <c r="Q34" s="96"/>
      <c r="R34" s="104"/>
      <c r="S34" s="96"/>
      <c r="T34" s="97"/>
      <c r="U34" s="106">
        <v>150</v>
      </c>
      <c r="V34" s="93">
        <v>2.09</v>
      </c>
      <c r="W34" s="104">
        <v>17</v>
      </c>
      <c r="X34" s="96">
        <v>7000</v>
      </c>
      <c r="Y34" s="93">
        <v>1.5</v>
      </c>
      <c r="Z34" s="97">
        <v>1.2</v>
      </c>
      <c r="AA34" s="128">
        <f>'Main calculation'!$B$21</f>
        <v>300</v>
      </c>
      <c r="AB34" s="384">
        <f t="shared" si="1"/>
        <v>875792.05755878915</v>
      </c>
      <c r="AC34" s="155"/>
      <c r="AD34" s="4"/>
      <c r="AE34" s="4"/>
    </row>
    <row r="35" spans="1:31">
      <c r="A35" s="252" t="str">
        <f>IF('Main calculation'!$B$19=2022, "Starting year --&gt;","" )</f>
        <v/>
      </c>
      <c r="B35" s="128">
        <f>'Main calculation'!C35</f>
        <v>2022</v>
      </c>
      <c r="C35" s="96"/>
      <c r="D35" s="97"/>
      <c r="E35" s="96"/>
      <c r="F35" s="97"/>
      <c r="G35" s="106">
        <v>150</v>
      </c>
      <c r="H35" s="93">
        <v>2.5299999999999998</v>
      </c>
      <c r="I35" s="97">
        <v>17</v>
      </c>
      <c r="J35" s="106">
        <v>7000</v>
      </c>
      <c r="K35" s="93">
        <v>1.2</v>
      </c>
      <c r="L35" s="97">
        <v>1.2</v>
      </c>
      <c r="M35" s="128">
        <f>'Main calculation'!$B$21</f>
        <v>300</v>
      </c>
      <c r="N35" s="388">
        <f t="shared" si="0"/>
        <v>749329.19345507643</v>
      </c>
      <c r="O35" s="112"/>
      <c r="P35" s="128">
        <f>'Main calculation'!C35</f>
        <v>2022</v>
      </c>
      <c r="Q35" s="96"/>
      <c r="R35" s="104"/>
      <c r="S35" s="96"/>
      <c r="T35" s="97"/>
      <c r="U35" s="106">
        <v>150</v>
      </c>
      <c r="V35" s="93">
        <v>2.09</v>
      </c>
      <c r="W35" s="104">
        <v>17</v>
      </c>
      <c r="X35" s="96">
        <v>7000</v>
      </c>
      <c r="Y35" s="93">
        <v>1.5</v>
      </c>
      <c r="Z35" s="97">
        <v>1.2</v>
      </c>
      <c r="AA35" s="128">
        <f>'Main calculation'!$B$21</f>
        <v>300</v>
      </c>
      <c r="AB35" s="384">
        <f t="shared" si="1"/>
        <v>875792.05755878915</v>
      </c>
      <c r="AC35" s="155"/>
      <c r="AD35" s="4"/>
      <c r="AE35" s="4"/>
    </row>
    <row r="36" spans="1:31">
      <c r="A36" s="252" t="str">
        <f>IF('Main calculation'!$B$19=2023, "Starting year --&gt;","" )</f>
        <v/>
      </c>
      <c r="B36" s="128">
        <f>'Main calculation'!C36</f>
        <v>2023</v>
      </c>
      <c r="C36" s="96"/>
      <c r="D36" s="97"/>
      <c r="E36" s="96"/>
      <c r="F36" s="97"/>
      <c r="G36" s="106">
        <v>150</v>
      </c>
      <c r="H36" s="93">
        <v>2.5299999999999998</v>
      </c>
      <c r="I36" s="97">
        <v>17</v>
      </c>
      <c r="J36" s="106">
        <v>7000</v>
      </c>
      <c r="K36" s="93">
        <v>1.2</v>
      </c>
      <c r="L36" s="97">
        <v>1.2</v>
      </c>
      <c r="M36" s="128">
        <f>'Main calculation'!$B$21</f>
        <v>300</v>
      </c>
      <c r="N36" s="388">
        <f t="shared" si="0"/>
        <v>749329.19345507643</v>
      </c>
      <c r="O36" s="112"/>
      <c r="P36" s="128">
        <f>'Main calculation'!C36</f>
        <v>2023</v>
      </c>
      <c r="Q36" s="96"/>
      <c r="R36" s="104"/>
      <c r="S36" s="96"/>
      <c r="T36" s="97"/>
      <c r="U36" s="106">
        <v>150</v>
      </c>
      <c r="V36" s="93">
        <v>2.09</v>
      </c>
      <c r="W36" s="104">
        <v>17</v>
      </c>
      <c r="X36" s="96">
        <v>7000</v>
      </c>
      <c r="Y36" s="93">
        <v>1.5</v>
      </c>
      <c r="Z36" s="97">
        <v>1.2</v>
      </c>
      <c r="AA36" s="128">
        <f>'Main calculation'!$B$21</f>
        <v>300</v>
      </c>
      <c r="AB36" s="384">
        <f t="shared" si="1"/>
        <v>875792.05755878915</v>
      </c>
      <c r="AC36" s="155"/>
      <c r="AD36" s="4"/>
      <c r="AE36" s="4"/>
    </row>
    <row r="37" spans="1:31">
      <c r="A37" s="252" t="str">
        <f>IF('Main calculation'!$B$19=2024, "Starting year --&gt;","" )</f>
        <v/>
      </c>
      <c r="B37" s="128">
        <f>'Main calculation'!C37</f>
        <v>2024</v>
      </c>
      <c r="C37" s="96"/>
      <c r="D37" s="97"/>
      <c r="E37" s="96"/>
      <c r="F37" s="97"/>
      <c r="G37" s="106">
        <v>150</v>
      </c>
      <c r="H37" s="93">
        <v>2.5299999999999998</v>
      </c>
      <c r="I37" s="97">
        <v>17</v>
      </c>
      <c r="J37" s="106">
        <v>7000</v>
      </c>
      <c r="K37" s="93">
        <v>1.2</v>
      </c>
      <c r="L37" s="97">
        <v>1.2</v>
      </c>
      <c r="M37" s="128">
        <f>'Main calculation'!$B$21</f>
        <v>300</v>
      </c>
      <c r="N37" s="388">
        <f t="shared" si="0"/>
        <v>749329.19345507643</v>
      </c>
      <c r="O37" s="112"/>
      <c r="P37" s="128">
        <f>'Main calculation'!C37</f>
        <v>2024</v>
      </c>
      <c r="Q37" s="96"/>
      <c r="R37" s="104"/>
      <c r="S37" s="96"/>
      <c r="T37" s="97"/>
      <c r="U37" s="106">
        <v>150</v>
      </c>
      <c r="V37" s="93">
        <v>2.09</v>
      </c>
      <c r="W37" s="104">
        <v>17</v>
      </c>
      <c r="X37" s="96">
        <v>7000</v>
      </c>
      <c r="Y37" s="93">
        <v>1.5</v>
      </c>
      <c r="Z37" s="97">
        <v>1.2</v>
      </c>
      <c r="AA37" s="128">
        <f>'Main calculation'!$B$21</f>
        <v>300</v>
      </c>
      <c r="AB37" s="384">
        <f t="shared" si="1"/>
        <v>875792.05755878915</v>
      </c>
      <c r="AC37" s="155"/>
      <c r="AD37" s="4"/>
      <c r="AE37" s="4"/>
    </row>
    <row r="38" spans="1:31">
      <c r="A38" s="252" t="str">
        <f>IF('Main calculation'!$B$19=2025, "Starting year --&gt;","" )</f>
        <v/>
      </c>
      <c r="B38" s="128">
        <f>'Main calculation'!C38</f>
        <v>2025</v>
      </c>
      <c r="C38" s="96"/>
      <c r="D38" s="97"/>
      <c r="E38" s="96"/>
      <c r="F38" s="97"/>
      <c r="G38" s="106">
        <v>150</v>
      </c>
      <c r="H38" s="93">
        <v>2.5299999999999998</v>
      </c>
      <c r="I38" s="97">
        <v>17</v>
      </c>
      <c r="J38" s="106">
        <v>7000</v>
      </c>
      <c r="K38" s="93">
        <v>1.2</v>
      </c>
      <c r="L38" s="97">
        <v>1.2</v>
      </c>
      <c r="M38" s="128">
        <f>'Main calculation'!$B$21</f>
        <v>300</v>
      </c>
      <c r="N38" s="388">
        <f t="shared" si="0"/>
        <v>749329.19345507643</v>
      </c>
      <c r="O38" s="112"/>
      <c r="P38" s="128">
        <f>'Main calculation'!C38</f>
        <v>2025</v>
      </c>
      <c r="Q38" s="96"/>
      <c r="R38" s="104"/>
      <c r="S38" s="96"/>
      <c r="T38" s="97"/>
      <c r="U38" s="106">
        <v>150</v>
      </c>
      <c r="V38" s="93">
        <v>2.09</v>
      </c>
      <c r="W38" s="104">
        <v>17</v>
      </c>
      <c r="X38" s="96">
        <v>7000</v>
      </c>
      <c r="Y38" s="93">
        <v>1.5</v>
      </c>
      <c r="Z38" s="97">
        <v>1.2</v>
      </c>
      <c r="AA38" s="128">
        <f>'Main calculation'!$B$21</f>
        <v>300</v>
      </c>
      <c r="AB38" s="384">
        <f t="shared" si="1"/>
        <v>875792.05755878915</v>
      </c>
      <c r="AC38" s="155"/>
      <c r="AD38" s="4"/>
      <c r="AE38" s="4"/>
    </row>
    <row r="39" spans="1:31">
      <c r="A39" s="252" t="str">
        <f>IF('Main calculation'!$B$19=2026, "Starting year --&gt;","" )</f>
        <v/>
      </c>
      <c r="B39" s="128">
        <f>'Main calculation'!C39</f>
        <v>2026</v>
      </c>
      <c r="C39" s="96"/>
      <c r="D39" s="97"/>
      <c r="E39" s="96"/>
      <c r="F39" s="97"/>
      <c r="G39" s="106">
        <v>150</v>
      </c>
      <c r="H39" s="93">
        <v>2.5299999999999998</v>
      </c>
      <c r="I39" s="97">
        <v>17</v>
      </c>
      <c r="J39" s="106">
        <v>7000</v>
      </c>
      <c r="K39" s="93">
        <v>1.2</v>
      </c>
      <c r="L39" s="97">
        <v>1.2</v>
      </c>
      <c r="M39" s="128">
        <f>'Main calculation'!$B$21</f>
        <v>300</v>
      </c>
      <c r="N39" s="388">
        <f t="shared" si="0"/>
        <v>749329.19345507643</v>
      </c>
      <c r="O39" s="112"/>
      <c r="P39" s="128">
        <f>'Main calculation'!C39</f>
        <v>2026</v>
      </c>
      <c r="Q39" s="96"/>
      <c r="R39" s="104"/>
      <c r="S39" s="96"/>
      <c r="T39" s="97"/>
      <c r="U39" s="106">
        <v>150</v>
      </c>
      <c r="V39" s="93">
        <v>2.09</v>
      </c>
      <c r="W39" s="104">
        <v>17</v>
      </c>
      <c r="X39" s="96">
        <v>7000</v>
      </c>
      <c r="Y39" s="93">
        <v>1.5</v>
      </c>
      <c r="Z39" s="97">
        <v>1.2</v>
      </c>
      <c r="AA39" s="128">
        <f>'Main calculation'!$B$21</f>
        <v>300</v>
      </c>
      <c r="AB39" s="384">
        <f t="shared" si="1"/>
        <v>875792.05755878915</v>
      </c>
      <c r="AC39" s="155"/>
      <c r="AD39" s="4"/>
      <c r="AE39" s="4"/>
    </row>
    <row r="40" spans="1:31">
      <c r="A40" s="252" t="str">
        <f>IF('Main calculation'!$B$19=2027, "Starting year --&gt;","" )</f>
        <v/>
      </c>
      <c r="B40" s="128">
        <f>'Main calculation'!C40</f>
        <v>2027</v>
      </c>
      <c r="C40" s="96"/>
      <c r="D40" s="97"/>
      <c r="E40" s="96"/>
      <c r="F40" s="97"/>
      <c r="G40" s="106">
        <v>150</v>
      </c>
      <c r="H40" s="93">
        <v>2.5299999999999998</v>
      </c>
      <c r="I40" s="97">
        <v>17</v>
      </c>
      <c r="J40" s="106">
        <v>7000</v>
      </c>
      <c r="K40" s="93">
        <v>1.2</v>
      </c>
      <c r="L40" s="97">
        <v>1.2</v>
      </c>
      <c r="M40" s="128">
        <f>'Main calculation'!$B$21</f>
        <v>300</v>
      </c>
      <c r="N40" s="388">
        <f t="shared" si="0"/>
        <v>749329.19345507643</v>
      </c>
      <c r="O40" s="112"/>
      <c r="P40" s="128">
        <f>'Main calculation'!C40</f>
        <v>2027</v>
      </c>
      <c r="Q40" s="96"/>
      <c r="R40" s="104"/>
      <c r="S40" s="96"/>
      <c r="T40" s="97"/>
      <c r="U40" s="106">
        <v>150</v>
      </c>
      <c r="V40" s="93">
        <v>2.09</v>
      </c>
      <c r="W40" s="104">
        <v>17</v>
      </c>
      <c r="X40" s="96">
        <v>7000</v>
      </c>
      <c r="Y40" s="93">
        <v>1.5</v>
      </c>
      <c r="Z40" s="97">
        <v>1.2</v>
      </c>
      <c r="AA40" s="128">
        <f>'Main calculation'!$B$21</f>
        <v>300</v>
      </c>
      <c r="AB40" s="384">
        <f t="shared" si="1"/>
        <v>875792.05755878915</v>
      </c>
      <c r="AC40" s="155"/>
      <c r="AD40" s="4"/>
      <c r="AE40" s="4"/>
    </row>
    <row r="41" spans="1:31">
      <c r="A41" s="252" t="str">
        <f>IF('Main calculation'!$B$20=2028, "Finishing year --&gt;","" )</f>
        <v>Finishing year --&gt;</v>
      </c>
      <c r="B41" s="128">
        <f>'Main calculation'!C41</f>
        <v>2028</v>
      </c>
      <c r="C41" s="96"/>
      <c r="D41" s="97"/>
      <c r="E41" s="96"/>
      <c r="F41" s="97"/>
      <c r="G41" s="106">
        <v>150</v>
      </c>
      <c r="H41" s="93">
        <v>2.5299999999999998</v>
      </c>
      <c r="I41" s="97">
        <v>17</v>
      </c>
      <c r="J41" s="106">
        <v>7000</v>
      </c>
      <c r="K41" s="93">
        <v>1.2</v>
      </c>
      <c r="L41" s="97">
        <v>1.2</v>
      </c>
      <c r="M41" s="128">
        <f>'Main calculation'!$B$21</f>
        <v>300</v>
      </c>
      <c r="N41" s="388">
        <f t="shared" si="0"/>
        <v>749329.19345507643</v>
      </c>
      <c r="O41" s="112"/>
      <c r="P41" s="128">
        <f>'Main calculation'!C41</f>
        <v>2028</v>
      </c>
      <c r="Q41" s="96"/>
      <c r="R41" s="104"/>
      <c r="S41" s="96"/>
      <c r="T41" s="97"/>
      <c r="U41" s="106">
        <v>150</v>
      </c>
      <c r="V41" s="93">
        <v>2.09</v>
      </c>
      <c r="W41" s="104">
        <v>17</v>
      </c>
      <c r="X41" s="96">
        <v>7000</v>
      </c>
      <c r="Y41" s="93">
        <v>1.5</v>
      </c>
      <c r="Z41" s="97">
        <v>1.2</v>
      </c>
      <c r="AA41" s="128">
        <f>'Main calculation'!$B$21</f>
        <v>300</v>
      </c>
      <c r="AB41" s="384">
        <f t="shared" si="1"/>
        <v>875792.05755878915</v>
      </c>
      <c r="AC41" s="155"/>
      <c r="AD41" s="4"/>
      <c r="AE41" s="4"/>
    </row>
    <row r="42" spans="1:31">
      <c r="A42" s="252" t="str">
        <f>IF('Main calculation'!$B$20=2029, "Finishing year --&gt;","" )</f>
        <v/>
      </c>
      <c r="B42" s="128">
        <f>'Main calculation'!C42</f>
        <v>2029</v>
      </c>
      <c r="C42" s="96"/>
      <c r="D42" s="97"/>
      <c r="E42" s="96"/>
      <c r="F42" s="97"/>
      <c r="G42" s="106"/>
      <c r="H42" s="93"/>
      <c r="I42" s="97"/>
      <c r="J42" s="106"/>
      <c r="K42" s="93"/>
      <c r="L42" s="97"/>
      <c r="M42" s="128">
        <f>'Main calculation'!$B$21</f>
        <v>300</v>
      </c>
      <c r="N42" s="388">
        <f t="shared" si="0"/>
        <v>0</v>
      </c>
      <c r="O42" s="112"/>
      <c r="P42" s="128">
        <f>'Main calculation'!C42</f>
        <v>2029</v>
      </c>
      <c r="Q42" s="96"/>
      <c r="R42" s="104"/>
      <c r="S42" s="96"/>
      <c r="T42" s="97"/>
      <c r="U42" s="106"/>
      <c r="V42" s="93"/>
      <c r="W42" s="104"/>
      <c r="X42" s="96"/>
      <c r="Y42" s="93"/>
      <c r="Z42" s="97"/>
      <c r="AA42" s="128">
        <f>'Main calculation'!$B$21</f>
        <v>300</v>
      </c>
      <c r="AB42" s="384">
        <f t="shared" si="1"/>
        <v>0</v>
      </c>
      <c r="AC42" s="155"/>
      <c r="AD42" s="4"/>
      <c r="AE42" s="4"/>
    </row>
    <row r="43" spans="1:31">
      <c r="A43" s="252" t="str">
        <f>IF('Main calculation'!$B$20=2030, "Finishing year --&gt;","" )</f>
        <v/>
      </c>
      <c r="B43" s="128">
        <f>'Main calculation'!C43</f>
        <v>2030</v>
      </c>
      <c r="C43" s="108"/>
      <c r="D43" s="100"/>
      <c r="E43" s="108"/>
      <c r="F43" s="100"/>
      <c r="G43" s="107"/>
      <c r="H43" s="99"/>
      <c r="I43" s="100"/>
      <c r="J43" s="107"/>
      <c r="K43" s="99"/>
      <c r="L43" s="100"/>
      <c r="M43" s="128">
        <f>'Main calculation'!$B$21</f>
        <v>300</v>
      </c>
      <c r="N43" s="389">
        <f t="shared" si="0"/>
        <v>0</v>
      </c>
      <c r="O43" s="113"/>
      <c r="P43" s="128">
        <f>'Main calculation'!C43</f>
        <v>2030</v>
      </c>
      <c r="Q43" s="98"/>
      <c r="R43" s="105"/>
      <c r="S43" s="108"/>
      <c r="T43" s="100"/>
      <c r="U43" s="107"/>
      <c r="V43" s="99"/>
      <c r="W43" s="105"/>
      <c r="X43" s="108"/>
      <c r="Y43" s="99"/>
      <c r="Z43" s="100"/>
      <c r="AA43" s="130">
        <f>'Main calculation'!$B$21</f>
        <v>300</v>
      </c>
      <c r="AB43" s="385">
        <f t="shared" si="1"/>
        <v>0</v>
      </c>
      <c r="AC43" s="155"/>
      <c r="AD43" s="4"/>
      <c r="AE43" s="4"/>
    </row>
    <row r="44" spans="1:31">
      <c r="A44" s="252" t="str">
        <f>IF('Main calculation'!$B$20=2031, "Finishing year --&gt;","" )</f>
        <v/>
      </c>
    </row>
    <row r="45" spans="1:31">
      <c r="A45" s="252" t="str">
        <f>IF('Main calculation'!$B$20=2032, "Finishing year --&gt;","" )</f>
        <v/>
      </c>
    </row>
    <row r="46" spans="1:31">
      <c r="A46" s="252" t="str">
        <f>IF('Main calculation'!$B$20=2033, "Finishing year --&gt;","" )</f>
        <v/>
      </c>
    </row>
  </sheetData>
  <mergeCells count="6">
    <mergeCell ref="D20:E20"/>
    <mergeCell ref="A2:I2"/>
    <mergeCell ref="D12:E12"/>
    <mergeCell ref="D14:E14"/>
    <mergeCell ref="D15:E15"/>
    <mergeCell ref="D18:E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T59"/>
  <sheetViews>
    <sheetView zoomScale="85" zoomScaleNormal="85" workbookViewId="0"/>
  </sheetViews>
  <sheetFormatPr defaultRowHeight="14.4"/>
  <cols>
    <col min="1" max="1" width="17.88671875" customWidth="1"/>
    <col min="2" max="10" width="15.6640625" customWidth="1"/>
    <col min="11" max="11" width="5.5546875" customWidth="1"/>
    <col min="12" max="20" width="15.6640625" customWidth="1"/>
  </cols>
  <sheetData>
    <row r="1" spans="1:20" ht="18">
      <c r="A1" s="157" t="s">
        <v>248</v>
      </c>
    </row>
    <row r="2" spans="1:20">
      <c r="A2" s="160" t="s">
        <v>251</v>
      </c>
    </row>
    <row r="3" spans="1:20" ht="31.5" customHeight="1">
      <c r="A3" s="415" t="s">
        <v>272</v>
      </c>
      <c r="B3" s="415"/>
      <c r="C3" s="415"/>
      <c r="D3" s="415"/>
      <c r="E3" s="415"/>
      <c r="F3" s="415"/>
      <c r="G3" s="161"/>
      <c r="H3" s="161"/>
    </row>
    <row r="4" spans="1:20">
      <c r="A4" s="337"/>
      <c r="B4" s="337"/>
      <c r="C4" s="337"/>
      <c r="D4" s="337"/>
      <c r="E4" s="337"/>
      <c r="F4" s="337"/>
      <c r="G4" s="337"/>
      <c r="H4" s="337"/>
    </row>
    <row r="5" spans="1:20">
      <c r="A5" s="160" t="s">
        <v>236</v>
      </c>
    </row>
    <row r="6" spans="1:20">
      <c r="A6" s="251" t="s">
        <v>270</v>
      </c>
    </row>
    <row r="7" spans="1:20" ht="30" customHeight="1">
      <c r="A7" s="414" t="s">
        <v>271</v>
      </c>
      <c r="B7" s="414"/>
      <c r="C7" s="414"/>
      <c r="D7" s="414"/>
      <c r="E7" s="414"/>
      <c r="F7" s="414"/>
    </row>
    <row r="8" spans="1:20">
      <c r="A8" s="251" t="s">
        <v>273</v>
      </c>
    </row>
    <row r="9" spans="1:20">
      <c r="A9" s="160"/>
    </row>
    <row r="10" spans="1:20">
      <c r="A10" s="372" t="s">
        <v>247</v>
      </c>
    </row>
    <row r="11" spans="1:20">
      <c r="A11" s="426" t="s">
        <v>204</v>
      </c>
      <c r="B11" s="426"/>
      <c r="C11" s="426"/>
      <c r="D11" s="426"/>
      <c r="E11" s="426"/>
      <c r="F11" s="426"/>
      <c r="G11" s="426"/>
    </row>
    <row r="12" spans="1:20">
      <c r="H12" s="156"/>
      <c r="I12" s="156"/>
      <c r="J12" s="156"/>
      <c r="K12" s="156"/>
      <c r="L12" s="156"/>
      <c r="M12" s="156"/>
      <c r="N12" s="156"/>
      <c r="O12" s="156"/>
      <c r="P12" s="156"/>
    </row>
    <row r="13" spans="1:20" ht="18">
      <c r="A13" s="170"/>
      <c r="B13" s="371" t="s">
        <v>1</v>
      </c>
      <c r="C13" s="328"/>
      <c r="D13" s="328"/>
      <c r="E13" s="328"/>
      <c r="F13" s="328"/>
      <c r="G13" s="328"/>
      <c r="H13" s="328"/>
      <c r="I13" s="328"/>
      <c r="J13" s="330"/>
      <c r="K13" s="109"/>
      <c r="L13" s="332" t="s">
        <v>2</v>
      </c>
      <c r="M13" s="329"/>
      <c r="N13" s="329"/>
      <c r="O13" s="329"/>
      <c r="P13" s="329"/>
      <c r="Q13" s="329"/>
      <c r="R13" s="329"/>
      <c r="S13" s="329"/>
      <c r="T13" s="329"/>
    </row>
    <row r="14" spans="1:20" ht="43.2">
      <c r="B14" s="334" t="s">
        <v>0</v>
      </c>
      <c r="C14" s="398" t="s">
        <v>111</v>
      </c>
      <c r="D14" s="398" t="s">
        <v>112</v>
      </c>
      <c r="E14" s="398" t="s">
        <v>210</v>
      </c>
      <c r="F14" s="398" t="s">
        <v>211</v>
      </c>
      <c r="G14" s="398" t="s">
        <v>212</v>
      </c>
      <c r="H14" s="398" t="s">
        <v>213</v>
      </c>
      <c r="I14" s="398" t="s">
        <v>214</v>
      </c>
      <c r="J14" s="400" t="s">
        <v>127</v>
      </c>
      <c r="K14" s="299"/>
      <c r="L14" s="155" t="s">
        <v>0</v>
      </c>
      <c r="M14" s="398" t="s">
        <v>111</v>
      </c>
      <c r="N14" s="398" t="s">
        <v>112</v>
      </c>
      <c r="O14" s="398" t="s">
        <v>210</v>
      </c>
      <c r="P14" s="398" t="s">
        <v>211</v>
      </c>
      <c r="Q14" s="398" t="s">
        <v>212</v>
      </c>
      <c r="R14" s="398" t="s">
        <v>213</v>
      </c>
      <c r="S14" s="398" t="s">
        <v>214</v>
      </c>
      <c r="T14" s="398" t="s">
        <v>127</v>
      </c>
    </row>
    <row r="15" spans="1:20">
      <c r="A15" s="252" t="str">
        <f>IF('Main calculation'!$B$19=2013, "Starting year --&gt;","" )</f>
        <v/>
      </c>
      <c r="B15" s="334">
        <f>'Main calculation'!C26</f>
        <v>2013</v>
      </c>
      <c r="C15" s="93"/>
      <c r="D15" s="93"/>
      <c r="E15" s="93"/>
      <c r="F15" s="93"/>
      <c r="G15" s="93"/>
      <c r="H15" s="93"/>
      <c r="I15" s="93"/>
      <c r="J15" s="331">
        <f>C15*D15*(E15+F15+G15+H15+I15)</f>
        <v>0</v>
      </c>
      <c r="K15" s="299"/>
      <c r="L15" s="155">
        <f>'Main calculation'!C26</f>
        <v>2013</v>
      </c>
      <c r="M15" s="93"/>
      <c r="N15" s="93"/>
      <c r="O15" s="93"/>
      <c r="P15" s="93"/>
      <c r="Q15" s="93"/>
      <c r="R15" s="93"/>
      <c r="S15" s="93"/>
      <c r="T15" s="111">
        <f>M15*N15*(O15+P15+Q15+R15+S15)</f>
        <v>0</v>
      </c>
    </row>
    <row r="16" spans="1:20">
      <c r="A16" s="252" t="str">
        <f>IF('Main calculation'!$B$19=2014, "Starting year --&gt;","" )</f>
        <v>Starting year --&gt;</v>
      </c>
      <c r="B16" s="334">
        <f>'Main calculation'!C27</f>
        <v>2014</v>
      </c>
      <c r="C16" s="93"/>
      <c r="D16" s="93"/>
      <c r="E16" s="93"/>
      <c r="F16" s="93"/>
      <c r="G16" s="93"/>
      <c r="H16" s="93"/>
      <c r="I16" s="93"/>
      <c r="J16" s="331">
        <f>C16*D16*(E16+F16+G16+H16+I16)</f>
        <v>0</v>
      </c>
      <c r="K16" s="299"/>
      <c r="L16" s="155">
        <f>'Main calculation'!C27</f>
        <v>2014</v>
      </c>
      <c r="M16" s="93"/>
      <c r="N16" s="93"/>
      <c r="O16" s="93"/>
      <c r="P16" s="93"/>
      <c r="Q16" s="93"/>
      <c r="R16" s="93"/>
      <c r="S16" s="93"/>
      <c r="T16" s="111">
        <f>M16*N16*(O16+P16+Q16+R16+S16)</f>
        <v>0</v>
      </c>
    </row>
    <row r="17" spans="1:20">
      <c r="A17" s="252" t="str">
        <f>IF('Main calculation'!$B$19=2015, "Starting year --&gt;","" )</f>
        <v/>
      </c>
      <c r="B17" s="334">
        <f>'Main calculation'!C28</f>
        <v>2015</v>
      </c>
      <c r="C17" s="93"/>
      <c r="D17" s="93"/>
      <c r="E17" s="93"/>
      <c r="F17" s="93"/>
      <c r="G17" s="93"/>
      <c r="H17" s="93"/>
      <c r="I17" s="93"/>
      <c r="J17" s="331">
        <f t="shared" ref="J17:J32" si="0">C17*D17*(E17+F17+G17+H17+I17)</f>
        <v>0</v>
      </c>
      <c r="K17" s="112"/>
      <c r="L17" s="155">
        <f>'Main calculation'!C28</f>
        <v>2015</v>
      </c>
      <c r="M17" s="93"/>
      <c r="N17" s="93"/>
      <c r="O17" s="93"/>
      <c r="P17" s="93"/>
      <c r="Q17" s="93"/>
      <c r="R17" s="93"/>
      <c r="S17" s="93"/>
      <c r="T17" s="111">
        <f t="shared" ref="T17:T32" si="1">M17*N17*(O17+P17+Q17+R17+S17)</f>
        <v>0</v>
      </c>
    </row>
    <row r="18" spans="1:20">
      <c r="A18" s="252" t="str">
        <f>IF('Main calculation'!$B$19=2016, "Starting year --&gt;","" )</f>
        <v/>
      </c>
      <c r="B18" s="334">
        <f>'Main calculation'!C29</f>
        <v>2016</v>
      </c>
      <c r="C18" s="93"/>
      <c r="D18" s="93"/>
      <c r="E18" s="93"/>
      <c r="F18" s="93"/>
      <c r="G18" s="93"/>
      <c r="H18" s="93"/>
      <c r="I18" s="93"/>
      <c r="J18" s="331">
        <f t="shared" si="0"/>
        <v>0</v>
      </c>
      <c r="K18" s="112"/>
      <c r="L18" s="155">
        <f>'Main calculation'!C29</f>
        <v>2016</v>
      </c>
      <c r="M18" s="93"/>
      <c r="N18" s="93"/>
      <c r="O18" s="93"/>
      <c r="P18" s="93"/>
      <c r="Q18" s="93"/>
      <c r="R18" s="93"/>
      <c r="S18" s="93"/>
      <c r="T18" s="111">
        <f t="shared" si="1"/>
        <v>0</v>
      </c>
    </row>
    <row r="19" spans="1:20">
      <c r="A19" s="252" t="str">
        <f>IF('Main calculation'!$B$19=2017, "Starting year --&gt;","" )</f>
        <v/>
      </c>
      <c r="B19" s="334">
        <f>'Main calculation'!C30</f>
        <v>2017</v>
      </c>
      <c r="C19" s="93"/>
      <c r="D19" s="93"/>
      <c r="E19" s="93"/>
      <c r="F19" s="93"/>
      <c r="G19" s="93"/>
      <c r="H19" s="93"/>
      <c r="I19" s="93"/>
      <c r="J19" s="331">
        <f t="shared" si="0"/>
        <v>0</v>
      </c>
      <c r="K19" s="112"/>
      <c r="L19" s="155">
        <f>'Main calculation'!C30</f>
        <v>2017</v>
      </c>
      <c r="M19" s="93"/>
      <c r="N19" s="93"/>
      <c r="O19" s="93"/>
      <c r="P19" s="93"/>
      <c r="Q19" s="93"/>
      <c r="R19" s="93"/>
      <c r="S19" s="93"/>
      <c r="T19" s="111">
        <f t="shared" si="1"/>
        <v>0</v>
      </c>
    </row>
    <row r="20" spans="1:20">
      <c r="A20" s="252" t="str">
        <f>IF('Main calculation'!$B$19=2018, "Starting year --&gt;","" )</f>
        <v/>
      </c>
      <c r="B20" s="334">
        <f>'Main calculation'!C31</f>
        <v>2018</v>
      </c>
      <c r="C20" s="93"/>
      <c r="D20" s="93"/>
      <c r="E20" s="93"/>
      <c r="F20" s="93"/>
      <c r="G20" s="93"/>
      <c r="H20" s="93"/>
      <c r="I20" s="93"/>
      <c r="J20" s="331">
        <f t="shared" si="0"/>
        <v>0</v>
      </c>
      <c r="K20" s="112"/>
      <c r="L20" s="155">
        <f>'Main calculation'!C31</f>
        <v>2018</v>
      </c>
      <c r="M20" s="93"/>
      <c r="N20" s="93"/>
      <c r="O20" s="93"/>
      <c r="P20" s="93"/>
      <c r="Q20" s="93"/>
      <c r="R20" s="93"/>
      <c r="S20" s="93"/>
      <c r="T20" s="111">
        <f t="shared" si="1"/>
        <v>0</v>
      </c>
    </row>
    <row r="21" spans="1:20">
      <c r="A21" s="252" t="str">
        <f>IF('Main calculation'!$B$19=2019, "Starting year --&gt;","" )</f>
        <v/>
      </c>
      <c r="B21" s="334">
        <f>'Main calculation'!C32</f>
        <v>2019</v>
      </c>
      <c r="C21" s="93"/>
      <c r="D21" s="93"/>
      <c r="E21" s="93"/>
      <c r="F21" s="93"/>
      <c r="G21" s="93"/>
      <c r="H21" s="93"/>
      <c r="I21" s="93"/>
      <c r="J21" s="331">
        <f t="shared" si="0"/>
        <v>0</v>
      </c>
      <c r="K21" s="112"/>
      <c r="L21" s="155">
        <f>'Main calculation'!C32</f>
        <v>2019</v>
      </c>
      <c r="M21" s="93"/>
      <c r="N21" s="93"/>
      <c r="O21" s="93"/>
      <c r="P21" s="93"/>
      <c r="Q21" s="93"/>
      <c r="R21" s="93"/>
      <c r="S21" s="93"/>
      <c r="T21" s="111">
        <f t="shared" si="1"/>
        <v>0</v>
      </c>
    </row>
    <row r="22" spans="1:20">
      <c r="A22" s="252" t="str">
        <f>IF('Main calculation'!$B$19=2020, "Starting year --&gt;","" )</f>
        <v/>
      </c>
      <c r="B22" s="334">
        <f>'Main calculation'!C33</f>
        <v>2020</v>
      </c>
      <c r="C22" s="93"/>
      <c r="D22" s="93"/>
      <c r="E22" s="93"/>
      <c r="F22" s="93"/>
      <c r="G22" s="93"/>
      <c r="H22" s="93"/>
      <c r="I22" s="93"/>
      <c r="J22" s="331">
        <f t="shared" si="0"/>
        <v>0</v>
      </c>
      <c r="K22" s="112"/>
      <c r="L22" s="155">
        <f>'Main calculation'!C33</f>
        <v>2020</v>
      </c>
      <c r="M22" s="93"/>
      <c r="N22" s="93"/>
      <c r="O22" s="93"/>
      <c r="P22" s="93"/>
      <c r="Q22" s="93"/>
      <c r="R22" s="93"/>
      <c r="S22" s="93"/>
      <c r="T22" s="111">
        <f t="shared" si="1"/>
        <v>0</v>
      </c>
    </row>
    <row r="23" spans="1:20">
      <c r="A23" s="252" t="str">
        <f>IF('Main calculation'!$B$19=2021, "Starting year --&gt;","" )</f>
        <v/>
      </c>
      <c r="B23" s="334">
        <f>'Main calculation'!C34</f>
        <v>2021</v>
      </c>
      <c r="C23" s="93"/>
      <c r="D23" s="93"/>
      <c r="E23" s="93"/>
      <c r="F23" s="93"/>
      <c r="G23" s="93"/>
      <c r="H23" s="93"/>
      <c r="I23" s="93"/>
      <c r="J23" s="331">
        <f t="shared" si="0"/>
        <v>0</v>
      </c>
      <c r="K23" s="112"/>
      <c r="L23" s="155">
        <f>'Main calculation'!C34</f>
        <v>2021</v>
      </c>
      <c r="M23" s="93"/>
      <c r="N23" s="93"/>
      <c r="O23" s="93"/>
      <c r="P23" s="93"/>
      <c r="Q23" s="93"/>
      <c r="R23" s="93"/>
      <c r="S23" s="93"/>
      <c r="T23" s="111">
        <f t="shared" si="1"/>
        <v>0</v>
      </c>
    </row>
    <row r="24" spans="1:20">
      <c r="A24" s="252" t="str">
        <f>IF('Main calculation'!$B$19=2022, "Starting year --&gt;","" )</f>
        <v/>
      </c>
      <c r="B24" s="334">
        <f>'Main calculation'!C35</f>
        <v>2022</v>
      </c>
      <c r="C24" s="93"/>
      <c r="D24" s="93"/>
      <c r="E24" s="93"/>
      <c r="F24" s="93"/>
      <c r="G24" s="93"/>
      <c r="H24" s="93"/>
      <c r="I24" s="93"/>
      <c r="J24" s="331">
        <f t="shared" si="0"/>
        <v>0</v>
      </c>
      <c r="K24" s="112"/>
      <c r="L24" s="155">
        <f>'Main calculation'!C35</f>
        <v>2022</v>
      </c>
      <c r="M24" s="93"/>
      <c r="N24" s="93"/>
      <c r="O24" s="93"/>
      <c r="P24" s="93"/>
      <c r="Q24" s="93"/>
      <c r="R24" s="93"/>
      <c r="S24" s="93"/>
      <c r="T24" s="111">
        <f t="shared" si="1"/>
        <v>0</v>
      </c>
    </row>
    <row r="25" spans="1:20">
      <c r="A25" s="252" t="str">
        <f>IF('Main calculation'!$B$19=2023, "Starting year --&gt;","" )</f>
        <v/>
      </c>
      <c r="B25" s="334">
        <f>'Main calculation'!C36</f>
        <v>2023</v>
      </c>
      <c r="C25" s="93"/>
      <c r="D25" s="93"/>
      <c r="E25" s="93"/>
      <c r="F25" s="93"/>
      <c r="G25" s="93"/>
      <c r="H25" s="93"/>
      <c r="I25" s="93"/>
      <c r="J25" s="331">
        <f t="shared" si="0"/>
        <v>0</v>
      </c>
      <c r="K25" s="112"/>
      <c r="L25" s="155">
        <f>'Main calculation'!C36</f>
        <v>2023</v>
      </c>
      <c r="M25" s="93"/>
      <c r="N25" s="93"/>
      <c r="O25" s="93"/>
      <c r="P25" s="93"/>
      <c r="Q25" s="93"/>
      <c r="R25" s="93"/>
      <c r="S25" s="93"/>
      <c r="T25" s="111">
        <f t="shared" si="1"/>
        <v>0</v>
      </c>
    </row>
    <row r="26" spans="1:20">
      <c r="A26" s="252" t="str">
        <f>IF('Main calculation'!$B$19=2024, "Starting year --&gt;","" )</f>
        <v/>
      </c>
      <c r="B26" s="334">
        <f>'Main calculation'!C37</f>
        <v>2024</v>
      </c>
      <c r="C26" s="93"/>
      <c r="D26" s="93"/>
      <c r="E26" s="93"/>
      <c r="F26" s="93"/>
      <c r="G26" s="93"/>
      <c r="H26" s="93"/>
      <c r="I26" s="93"/>
      <c r="J26" s="331">
        <f t="shared" si="0"/>
        <v>0</v>
      </c>
      <c r="K26" s="112"/>
      <c r="L26" s="155">
        <f>'Main calculation'!C37</f>
        <v>2024</v>
      </c>
      <c r="M26" s="93"/>
      <c r="N26" s="93"/>
      <c r="O26" s="93"/>
      <c r="P26" s="93"/>
      <c r="Q26" s="93"/>
      <c r="R26" s="93"/>
      <c r="S26" s="93"/>
      <c r="T26" s="111">
        <f t="shared" si="1"/>
        <v>0</v>
      </c>
    </row>
    <row r="27" spans="1:20">
      <c r="A27" s="252" t="str">
        <f>IF('Main calculation'!$B$19=2025, "Starting year --&gt;","" )</f>
        <v/>
      </c>
      <c r="B27" s="334">
        <f>'Main calculation'!C38</f>
        <v>2025</v>
      </c>
      <c r="C27" s="93"/>
      <c r="D27" s="93"/>
      <c r="E27" s="93"/>
      <c r="F27" s="93"/>
      <c r="G27" s="93"/>
      <c r="H27" s="93"/>
      <c r="I27" s="93"/>
      <c r="J27" s="331">
        <f t="shared" si="0"/>
        <v>0</v>
      </c>
      <c r="K27" s="112"/>
      <c r="L27" s="155">
        <f>'Main calculation'!C38</f>
        <v>2025</v>
      </c>
      <c r="M27" s="93"/>
      <c r="N27" s="93"/>
      <c r="O27" s="93"/>
      <c r="P27" s="93"/>
      <c r="Q27" s="93"/>
      <c r="R27" s="93"/>
      <c r="S27" s="93"/>
      <c r="T27" s="111">
        <f t="shared" si="1"/>
        <v>0</v>
      </c>
    </row>
    <row r="28" spans="1:20">
      <c r="A28" s="252" t="str">
        <f>IF('Main calculation'!$B$19=2026, "Starting year --&gt;","" )</f>
        <v/>
      </c>
      <c r="B28" s="334">
        <f>'Main calculation'!C39</f>
        <v>2026</v>
      </c>
      <c r="C28" s="93"/>
      <c r="D28" s="93"/>
      <c r="E28" s="93"/>
      <c r="F28" s="93"/>
      <c r="G28" s="93"/>
      <c r="H28" s="93"/>
      <c r="I28" s="93"/>
      <c r="J28" s="331">
        <f t="shared" si="0"/>
        <v>0</v>
      </c>
      <c r="K28" s="112"/>
      <c r="L28" s="155">
        <f>'Main calculation'!C39</f>
        <v>2026</v>
      </c>
      <c r="M28" s="93"/>
      <c r="N28" s="93"/>
      <c r="O28" s="93"/>
      <c r="P28" s="93"/>
      <c r="Q28" s="93"/>
      <c r="R28" s="93"/>
      <c r="S28" s="93"/>
      <c r="T28" s="111">
        <f t="shared" si="1"/>
        <v>0</v>
      </c>
    </row>
    <row r="29" spans="1:20">
      <c r="A29" s="252" t="str">
        <f>IF('Main calculation'!$B$19=2027, "Starting year --&gt;","" )</f>
        <v/>
      </c>
      <c r="B29" s="334">
        <f>'Main calculation'!C40</f>
        <v>2027</v>
      </c>
      <c r="C29" s="93"/>
      <c r="D29" s="93"/>
      <c r="E29" s="93"/>
      <c r="F29" s="93"/>
      <c r="G29" s="93"/>
      <c r="H29" s="93"/>
      <c r="I29" s="93"/>
      <c r="J29" s="331">
        <f t="shared" si="0"/>
        <v>0</v>
      </c>
      <c r="K29" s="112"/>
      <c r="L29" s="155">
        <f>'Main calculation'!C40</f>
        <v>2027</v>
      </c>
      <c r="M29" s="93"/>
      <c r="N29" s="93"/>
      <c r="O29" s="93"/>
      <c r="P29" s="93"/>
      <c r="Q29" s="93"/>
      <c r="R29" s="93"/>
      <c r="S29" s="93"/>
      <c r="T29" s="111">
        <f t="shared" si="1"/>
        <v>0</v>
      </c>
    </row>
    <row r="30" spans="1:20">
      <c r="A30" s="252" t="str">
        <f>IF('Main calculation'!$B$20=2028, "Finishing year --&gt;","" )</f>
        <v>Finishing year --&gt;</v>
      </c>
      <c r="B30" s="334">
        <f>'Main calculation'!C41</f>
        <v>2028</v>
      </c>
      <c r="C30" s="93"/>
      <c r="D30" s="93"/>
      <c r="E30" s="93"/>
      <c r="F30" s="93"/>
      <c r="G30" s="93"/>
      <c r="H30" s="93"/>
      <c r="I30" s="93"/>
      <c r="J30" s="331">
        <f t="shared" si="0"/>
        <v>0</v>
      </c>
      <c r="K30" s="112"/>
      <c r="L30" s="155">
        <f>'Main calculation'!C41</f>
        <v>2028</v>
      </c>
      <c r="M30" s="93"/>
      <c r="N30" s="93"/>
      <c r="O30" s="93"/>
      <c r="P30" s="93"/>
      <c r="Q30" s="93"/>
      <c r="R30" s="93"/>
      <c r="S30" s="93"/>
      <c r="T30" s="111">
        <f t="shared" si="1"/>
        <v>0</v>
      </c>
    </row>
    <row r="31" spans="1:20">
      <c r="A31" s="252" t="str">
        <f>IF('Main calculation'!$B$20=2029, "Finishing year --&gt;","" )</f>
        <v/>
      </c>
      <c r="B31" s="334">
        <f>'Main calculation'!C42</f>
        <v>2029</v>
      </c>
      <c r="C31" s="93"/>
      <c r="D31" s="93"/>
      <c r="E31" s="93"/>
      <c r="F31" s="93"/>
      <c r="G31" s="93"/>
      <c r="H31" s="93"/>
      <c r="I31" s="93"/>
      <c r="J31" s="331">
        <f t="shared" si="0"/>
        <v>0</v>
      </c>
      <c r="K31" s="112"/>
      <c r="L31" s="155">
        <f>'Main calculation'!C42</f>
        <v>2029</v>
      </c>
      <c r="M31" s="93"/>
      <c r="N31" s="93"/>
      <c r="O31" s="93"/>
      <c r="P31" s="93"/>
      <c r="Q31" s="93"/>
      <c r="R31" s="93"/>
      <c r="S31" s="93"/>
      <c r="T31" s="111">
        <f t="shared" si="1"/>
        <v>0</v>
      </c>
    </row>
    <row r="32" spans="1:20">
      <c r="A32" s="252" t="str">
        <f>IF('Main calculation'!$B$20=2030, "Finishing year --&gt;","" )</f>
        <v/>
      </c>
      <c r="B32" s="334">
        <f>'Main calculation'!C43</f>
        <v>2030</v>
      </c>
      <c r="C32" s="93"/>
      <c r="D32" s="93"/>
      <c r="E32" s="93"/>
      <c r="F32" s="93"/>
      <c r="G32" s="93"/>
      <c r="H32" s="93"/>
      <c r="I32" s="93"/>
      <c r="J32" s="331">
        <f t="shared" si="0"/>
        <v>0</v>
      </c>
      <c r="K32" s="112"/>
      <c r="L32" s="155">
        <f>'Main calculation'!C43</f>
        <v>2030</v>
      </c>
      <c r="M32" s="93"/>
      <c r="N32" s="93"/>
      <c r="O32" s="93"/>
      <c r="P32" s="93"/>
      <c r="Q32" s="93"/>
      <c r="R32" s="93"/>
      <c r="S32" s="93"/>
      <c r="T32" s="111">
        <f t="shared" si="1"/>
        <v>0</v>
      </c>
    </row>
    <row r="33" spans="1:9">
      <c r="A33" s="252" t="str">
        <f>IF('Main calculation'!$B$20=2031, "Finishing year --&gt;","" )</f>
        <v/>
      </c>
    </row>
    <row r="34" spans="1:9" s="5" customFormat="1">
      <c r="A34" s="252" t="str">
        <f>IF('Main calculation'!$B$20=2032, "Finishing year --&gt;","" )</f>
        <v/>
      </c>
    </row>
    <row r="35" spans="1:9">
      <c r="A35" s="252" t="str">
        <f>IF('Main calculation'!$B$20=2033, "Finishing year --&gt;","" )</f>
        <v/>
      </c>
      <c r="B35" s="160"/>
    </row>
    <row r="36" spans="1:9">
      <c r="A36" s="252"/>
    </row>
    <row r="38" spans="1:9">
      <c r="A38" s="163"/>
      <c r="B38" s="163"/>
      <c r="C38" s="163"/>
      <c r="D38" s="163"/>
      <c r="E38" s="163"/>
      <c r="F38" s="163"/>
      <c r="G38" s="163"/>
      <c r="H38" s="163"/>
      <c r="I38" s="163"/>
    </row>
    <row r="39" spans="1:9">
      <c r="A39" s="163"/>
      <c r="B39" s="256"/>
      <c r="C39" s="163"/>
      <c r="D39" s="163"/>
      <c r="E39" s="163"/>
      <c r="F39" s="163"/>
      <c r="G39" s="163"/>
      <c r="H39" s="163"/>
      <c r="I39" s="163"/>
    </row>
    <row r="40" spans="1:9">
      <c r="A40" s="163"/>
      <c r="B40" s="256"/>
      <c r="C40" s="163"/>
      <c r="D40" s="163"/>
      <c r="E40" s="163"/>
      <c r="F40" s="163"/>
      <c r="G40" s="163"/>
      <c r="H40" s="163"/>
      <c r="I40" s="163"/>
    </row>
    <row r="41" spans="1:9" ht="18">
      <c r="A41" s="257"/>
      <c r="B41" s="258"/>
      <c r="C41" s="258"/>
      <c r="D41" s="258"/>
      <c r="E41" s="163"/>
      <c r="F41" s="257"/>
      <c r="G41" s="258"/>
      <c r="H41" s="258"/>
      <c r="I41" s="258"/>
    </row>
    <row r="42" spans="1:9">
      <c r="A42" s="163"/>
      <c r="B42" s="259"/>
      <c r="C42" s="259"/>
      <c r="D42" s="259"/>
      <c r="E42" s="260"/>
      <c r="F42" s="260"/>
      <c r="G42" s="259"/>
      <c r="H42" s="259"/>
      <c r="I42" s="259"/>
    </row>
    <row r="43" spans="1:9">
      <c r="A43" s="163"/>
      <c r="B43" s="162"/>
      <c r="C43" s="162"/>
      <c r="D43" s="261"/>
      <c r="E43" s="162"/>
      <c r="F43" s="163"/>
      <c r="G43" s="162"/>
      <c r="H43" s="162"/>
      <c r="I43" s="261"/>
    </row>
    <row r="44" spans="1:9">
      <c r="A44" s="163"/>
      <c r="B44" s="162"/>
      <c r="C44" s="162"/>
      <c r="D44" s="261"/>
      <c r="E44" s="162"/>
      <c r="F44" s="163"/>
      <c r="G44" s="162"/>
      <c r="H44" s="162"/>
      <c r="I44" s="261"/>
    </row>
    <row r="45" spans="1:9">
      <c r="A45" s="163"/>
      <c r="B45" s="162"/>
      <c r="C45" s="162"/>
      <c r="D45" s="261"/>
      <c r="E45" s="162"/>
      <c r="F45" s="163"/>
      <c r="G45" s="162"/>
      <c r="H45" s="162"/>
      <c r="I45" s="261"/>
    </row>
    <row r="46" spans="1:9">
      <c r="A46" s="163"/>
      <c r="B46" s="162"/>
      <c r="C46" s="162"/>
      <c r="D46" s="261"/>
      <c r="E46" s="162"/>
      <c r="F46" s="163"/>
      <c r="G46" s="162"/>
      <c r="H46" s="162"/>
      <c r="I46" s="261"/>
    </row>
    <row r="47" spans="1:9">
      <c r="A47" s="163"/>
      <c r="B47" s="162"/>
      <c r="C47" s="162"/>
      <c r="D47" s="261"/>
      <c r="E47" s="162"/>
      <c r="F47" s="163"/>
      <c r="G47" s="162"/>
      <c r="H47" s="162"/>
      <c r="I47" s="261"/>
    </row>
    <row r="48" spans="1:9">
      <c r="A48" s="163"/>
      <c r="B48" s="162"/>
      <c r="C48" s="162"/>
      <c r="D48" s="261"/>
      <c r="E48" s="162"/>
      <c r="F48" s="163"/>
      <c r="G48" s="162"/>
      <c r="H48" s="162"/>
      <c r="I48" s="261"/>
    </row>
    <row r="49" spans="1:9">
      <c r="A49" s="163"/>
      <c r="B49" s="162"/>
      <c r="C49" s="162"/>
      <c r="D49" s="261"/>
      <c r="E49" s="162"/>
      <c r="F49" s="163"/>
      <c r="G49" s="162"/>
      <c r="H49" s="162"/>
      <c r="I49" s="261"/>
    </row>
    <row r="50" spans="1:9">
      <c r="A50" s="163"/>
      <c r="B50" s="162"/>
      <c r="C50" s="162"/>
      <c r="D50" s="261"/>
      <c r="E50" s="162"/>
      <c r="F50" s="163"/>
      <c r="G50" s="162"/>
      <c r="H50" s="162"/>
      <c r="I50" s="261"/>
    </row>
    <row r="51" spans="1:9">
      <c r="A51" s="163"/>
      <c r="B51" s="162"/>
      <c r="C51" s="162"/>
      <c r="D51" s="261"/>
      <c r="E51" s="162"/>
      <c r="F51" s="163"/>
      <c r="G51" s="162"/>
      <c r="H51" s="162"/>
      <c r="I51" s="261"/>
    </row>
    <row r="52" spans="1:9">
      <c r="A52" s="163"/>
      <c r="B52" s="162"/>
      <c r="C52" s="162"/>
      <c r="D52" s="261"/>
      <c r="E52" s="162"/>
      <c r="F52" s="163"/>
      <c r="G52" s="162"/>
      <c r="H52" s="162"/>
      <c r="I52" s="261"/>
    </row>
    <row r="53" spans="1:9">
      <c r="A53" s="163"/>
      <c r="B53" s="162"/>
      <c r="C53" s="162"/>
      <c r="D53" s="261"/>
      <c r="E53" s="162"/>
      <c r="F53" s="163"/>
      <c r="G53" s="162"/>
      <c r="H53" s="162"/>
      <c r="I53" s="261"/>
    </row>
    <row r="54" spans="1:9">
      <c r="A54" s="163"/>
      <c r="B54" s="162"/>
      <c r="C54" s="162"/>
      <c r="D54" s="261"/>
      <c r="E54" s="162"/>
      <c r="F54" s="163"/>
      <c r="G54" s="162"/>
      <c r="H54" s="162"/>
      <c r="I54" s="261"/>
    </row>
    <row r="55" spans="1:9">
      <c r="A55" s="163"/>
      <c r="B55" s="162"/>
      <c r="C55" s="162"/>
      <c r="D55" s="261"/>
      <c r="E55" s="162"/>
      <c r="F55" s="163"/>
      <c r="G55" s="162"/>
      <c r="H55" s="162"/>
      <c r="I55" s="261"/>
    </row>
    <row r="56" spans="1:9">
      <c r="A56" s="163"/>
      <c r="B56" s="162"/>
      <c r="C56" s="162"/>
      <c r="D56" s="261"/>
      <c r="E56" s="162"/>
      <c r="F56" s="163"/>
      <c r="G56" s="162"/>
      <c r="H56" s="162"/>
      <c r="I56" s="261"/>
    </row>
    <row r="57" spans="1:9">
      <c r="A57" s="163"/>
      <c r="B57" s="162"/>
      <c r="C57" s="162"/>
      <c r="D57" s="261"/>
      <c r="E57" s="162"/>
      <c r="F57" s="163"/>
      <c r="G57" s="162"/>
      <c r="H57" s="162"/>
      <c r="I57" s="261"/>
    </row>
    <row r="58" spans="1:9">
      <c r="A58" s="163"/>
      <c r="B58" s="162"/>
      <c r="C58" s="162"/>
      <c r="D58" s="261"/>
      <c r="E58" s="162"/>
      <c r="F58" s="163"/>
      <c r="G58" s="162"/>
      <c r="H58" s="162"/>
      <c r="I58" s="261"/>
    </row>
    <row r="59" spans="1:9">
      <c r="A59" s="163"/>
      <c r="B59" s="163"/>
      <c r="C59" s="163"/>
      <c r="D59" s="163"/>
      <c r="E59" s="163"/>
      <c r="F59" s="163"/>
      <c r="G59" s="163"/>
      <c r="H59" s="163"/>
      <c r="I59" s="163"/>
    </row>
  </sheetData>
  <mergeCells count="3">
    <mergeCell ref="A11:G11"/>
    <mergeCell ref="A3:F3"/>
    <mergeCell ref="A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K34"/>
  <sheetViews>
    <sheetView zoomScale="85" zoomScaleNormal="85" workbookViewId="0"/>
  </sheetViews>
  <sheetFormatPr defaultRowHeight="14.4"/>
  <cols>
    <col min="1" max="1" width="22.6640625" style="254" customWidth="1"/>
    <col min="2" max="5" width="15.6640625" customWidth="1"/>
    <col min="6" max="6" width="5.5546875" customWidth="1"/>
    <col min="7" max="10" width="15.6640625" customWidth="1"/>
    <col min="11" max="11" width="9.109375" customWidth="1"/>
    <col min="12" max="12" width="21.44140625" customWidth="1"/>
    <col min="13" max="13" width="12.33203125" customWidth="1"/>
    <col min="14" max="14" width="13.33203125" customWidth="1"/>
    <col min="15" max="15" width="14.5546875" customWidth="1"/>
    <col min="16" max="16" width="9.109375" customWidth="1"/>
  </cols>
  <sheetData>
    <row r="1" spans="1:11" ht="18">
      <c r="A1" s="157" t="s">
        <v>249</v>
      </c>
      <c r="K1" t="s">
        <v>201</v>
      </c>
    </row>
    <row r="2" spans="1:11">
      <c r="A2" s="160" t="s">
        <v>251</v>
      </c>
    </row>
    <row r="3" spans="1:11" ht="63" customHeight="1">
      <c r="A3" s="415" t="s">
        <v>285</v>
      </c>
      <c r="B3" s="415"/>
      <c r="C3" s="415"/>
      <c r="D3" s="415"/>
      <c r="E3" s="415"/>
      <c r="F3" s="161"/>
      <c r="G3" s="161"/>
    </row>
    <row r="4" spans="1:11">
      <c r="A4" s="337"/>
      <c r="B4" s="337"/>
      <c r="C4" s="337"/>
      <c r="D4" s="337"/>
      <c r="E4" s="337"/>
      <c r="F4" s="337"/>
      <c r="G4" s="337"/>
    </row>
    <row r="5" spans="1:11">
      <c r="A5" s="253" t="s">
        <v>236</v>
      </c>
      <c r="B5" s="337"/>
      <c r="C5" s="337"/>
      <c r="D5" s="337"/>
      <c r="E5" s="337"/>
      <c r="F5" s="337"/>
      <c r="G5" s="337"/>
    </row>
    <row r="6" spans="1:11">
      <c r="A6" s="254" t="s">
        <v>250</v>
      </c>
    </row>
    <row r="7" spans="1:11" ht="15" customHeight="1">
      <c r="A7" s="360" t="s">
        <v>252</v>
      </c>
      <c r="B7" s="360"/>
      <c r="C7" s="360"/>
      <c r="D7" s="360"/>
      <c r="E7" s="360"/>
    </row>
    <row r="9" spans="1:11">
      <c r="E9" s="187" t="s">
        <v>278</v>
      </c>
    </row>
    <row r="10" spans="1:11">
      <c r="A10" s="427" t="str">
        <f>'Monetary Values'!B75</f>
        <v>Weighted average op cost per veh km, urban main roads</v>
      </c>
      <c r="B10" s="428"/>
      <c r="C10" s="428"/>
      <c r="D10" s="429"/>
      <c r="E10" s="195">
        <f>HLOOKUP('Main calculation'!$B$17,'Monetary Values'!$D$4:$G$75,72,FALSE)</f>
        <v>0.49668018793970886</v>
      </c>
    </row>
    <row r="12" spans="1:11" ht="18">
      <c r="A12"/>
      <c r="B12" s="327" t="s">
        <v>1</v>
      </c>
      <c r="C12" s="303"/>
      <c r="D12" s="303"/>
      <c r="E12" s="303"/>
      <c r="F12" s="109"/>
      <c r="G12" s="304" t="s">
        <v>2</v>
      </c>
      <c r="H12" s="305"/>
      <c r="I12" s="305"/>
      <c r="J12" s="305"/>
    </row>
    <row r="13" spans="1:11" ht="46.2" customHeight="1">
      <c r="A13"/>
      <c r="B13" s="334" t="s">
        <v>0</v>
      </c>
      <c r="C13" s="398" t="s">
        <v>203</v>
      </c>
      <c r="D13" s="398" t="s">
        <v>10</v>
      </c>
      <c r="E13" s="398" t="s">
        <v>109</v>
      </c>
      <c r="F13" s="129"/>
      <c r="G13" s="128" t="s">
        <v>0</v>
      </c>
      <c r="H13" s="397" t="s">
        <v>203</v>
      </c>
      <c r="I13" s="397" t="s">
        <v>10</v>
      </c>
      <c r="J13" s="397" t="s">
        <v>109</v>
      </c>
    </row>
    <row r="14" spans="1:11">
      <c r="A14" s="252" t="str">
        <f>IF('Main calculation'!$B$19=2013, "Starting year --&gt;","" )</f>
        <v/>
      </c>
      <c r="B14" s="334">
        <f>'Main calculation'!C26</f>
        <v>2013</v>
      </c>
      <c r="C14" s="333"/>
      <c r="D14" s="334">
        <f>'Main calculation'!B21</f>
        <v>300</v>
      </c>
      <c r="E14" s="111">
        <f t="shared" ref="E14:E31" si="0">$E$10*C14*D14</f>
        <v>0</v>
      </c>
      <c r="F14" s="129"/>
      <c r="G14" s="128">
        <f>'Main calculation'!C26</f>
        <v>2013</v>
      </c>
      <c r="H14" s="93"/>
      <c r="I14" s="334">
        <f>'Main calculation'!$B$21</f>
        <v>300</v>
      </c>
      <c r="J14" s="111">
        <f t="shared" ref="J14:J31" si="1">$E$10*H14*I14</f>
        <v>0</v>
      </c>
    </row>
    <row r="15" spans="1:11">
      <c r="A15" s="252" t="str">
        <f>IF('Main calculation'!$B$19=2014, "Starting year --&gt;","" )</f>
        <v>Starting year --&gt;</v>
      </c>
      <c r="B15" s="334">
        <f>'Main calculation'!C27</f>
        <v>2014</v>
      </c>
      <c r="C15" s="333">
        <v>5840</v>
      </c>
      <c r="D15" s="334">
        <f>'Main calculation'!B21</f>
        <v>300</v>
      </c>
      <c r="E15" s="110">
        <f t="shared" si="0"/>
        <v>870183.68927036982</v>
      </c>
      <c r="F15" s="129"/>
      <c r="G15" s="128">
        <f>'Main calculation'!C27</f>
        <v>2014</v>
      </c>
      <c r="H15" s="93">
        <v>7240</v>
      </c>
      <c r="I15" s="334">
        <f>'Main calculation'!$B$21</f>
        <v>300</v>
      </c>
      <c r="J15" s="110">
        <f t="shared" si="1"/>
        <v>1078789.3682050477</v>
      </c>
    </row>
    <row r="16" spans="1:11">
      <c r="A16" s="252" t="str">
        <f>IF('Main calculation'!$B$19=2015, "Starting year --&gt;","" )</f>
        <v/>
      </c>
      <c r="B16" s="334">
        <f>'Main calculation'!C28</f>
        <v>2015</v>
      </c>
      <c r="C16" s="333">
        <v>5840</v>
      </c>
      <c r="D16" s="334">
        <f>'Main calculation'!B21</f>
        <v>300</v>
      </c>
      <c r="E16" s="110">
        <f t="shared" si="0"/>
        <v>870183.68927036982</v>
      </c>
      <c r="F16" s="112"/>
      <c r="G16" s="128">
        <f>'Main calculation'!C28</f>
        <v>2015</v>
      </c>
      <c r="H16" s="93">
        <v>7240</v>
      </c>
      <c r="I16" s="334">
        <f>'Main calculation'!$B$21</f>
        <v>300</v>
      </c>
      <c r="J16" s="110">
        <f t="shared" si="1"/>
        <v>1078789.3682050477</v>
      </c>
    </row>
    <row r="17" spans="1:10">
      <c r="A17" s="252" t="str">
        <f>IF('Main calculation'!$B$19=2016, "Starting year --&gt;","" )</f>
        <v/>
      </c>
      <c r="B17" s="334">
        <f>'Main calculation'!C29</f>
        <v>2016</v>
      </c>
      <c r="C17" s="333">
        <v>5840</v>
      </c>
      <c r="D17" s="334">
        <f>'Main calculation'!B21</f>
        <v>300</v>
      </c>
      <c r="E17" s="110">
        <f t="shared" si="0"/>
        <v>870183.68927036982</v>
      </c>
      <c r="F17" s="112"/>
      <c r="G17" s="128">
        <f>'Main calculation'!C29</f>
        <v>2016</v>
      </c>
      <c r="H17" s="93">
        <v>7240</v>
      </c>
      <c r="I17" s="334">
        <f>'Main calculation'!$B$21</f>
        <v>300</v>
      </c>
      <c r="J17" s="110">
        <f t="shared" si="1"/>
        <v>1078789.3682050477</v>
      </c>
    </row>
    <row r="18" spans="1:10">
      <c r="A18" s="252" t="str">
        <f>IF('Main calculation'!$B$19=2017, "Starting year --&gt;","" )</f>
        <v/>
      </c>
      <c r="B18" s="334">
        <f>'Main calculation'!C30</f>
        <v>2017</v>
      </c>
      <c r="C18" s="333">
        <v>5840</v>
      </c>
      <c r="D18" s="334">
        <f>'Main calculation'!B21</f>
        <v>300</v>
      </c>
      <c r="E18" s="110">
        <f t="shared" si="0"/>
        <v>870183.68927036982</v>
      </c>
      <c r="F18" s="112"/>
      <c r="G18" s="128">
        <f>'Main calculation'!C30</f>
        <v>2017</v>
      </c>
      <c r="H18" s="93">
        <v>7240</v>
      </c>
      <c r="I18" s="334">
        <f>'Main calculation'!$B$21</f>
        <v>300</v>
      </c>
      <c r="J18" s="110">
        <f t="shared" si="1"/>
        <v>1078789.3682050477</v>
      </c>
    </row>
    <row r="19" spans="1:10">
      <c r="A19" s="252" t="str">
        <f>IF('Main calculation'!$B$19=2018, "Starting year --&gt;","" )</f>
        <v/>
      </c>
      <c r="B19" s="334">
        <f>'Main calculation'!C31</f>
        <v>2018</v>
      </c>
      <c r="C19" s="333">
        <v>5840</v>
      </c>
      <c r="D19" s="334">
        <f>'Main calculation'!B21</f>
        <v>300</v>
      </c>
      <c r="E19" s="110">
        <f t="shared" si="0"/>
        <v>870183.68927036982</v>
      </c>
      <c r="F19" s="112"/>
      <c r="G19" s="128">
        <f>'Main calculation'!C31</f>
        <v>2018</v>
      </c>
      <c r="H19" s="93">
        <v>7240</v>
      </c>
      <c r="I19" s="334">
        <f>'Main calculation'!$B$21</f>
        <v>300</v>
      </c>
      <c r="J19" s="110">
        <f t="shared" si="1"/>
        <v>1078789.3682050477</v>
      </c>
    </row>
    <row r="20" spans="1:10">
      <c r="A20" s="252" t="str">
        <f>IF('Main calculation'!$B$19=2019, "Starting year --&gt;","" )</f>
        <v/>
      </c>
      <c r="B20" s="334">
        <f>'Main calculation'!C32</f>
        <v>2019</v>
      </c>
      <c r="C20" s="333">
        <v>5840</v>
      </c>
      <c r="D20" s="334">
        <f>'Main calculation'!B21</f>
        <v>300</v>
      </c>
      <c r="E20" s="110">
        <f t="shared" si="0"/>
        <v>870183.68927036982</v>
      </c>
      <c r="F20" s="112"/>
      <c r="G20" s="128">
        <f>'Main calculation'!C32</f>
        <v>2019</v>
      </c>
      <c r="H20" s="93">
        <v>7240</v>
      </c>
      <c r="I20" s="334">
        <f>'Main calculation'!$B$21</f>
        <v>300</v>
      </c>
      <c r="J20" s="110">
        <f t="shared" si="1"/>
        <v>1078789.3682050477</v>
      </c>
    </row>
    <row r="21" spans="1:10">
      <c r="A21" s="252" t="str">
        <f>IF('Main calculation'!$B$19=2020, "Starting year --&gt;","" )</f>
        <v/>
      </c>
      <c r="B21" s="334">
        <f>'Main calculation'!C33</f>
        <v>2020</v>
      </c>
      <c r="C21" s="333">
        <v>5840</v>
      </c>
      <c r="D21" s="334">
        <f>'Main calculation'!B21</f>
        <v>300</v>
      </c>
      <c r="E21" s="110">
        <f t="shared" si="0"/>
        <v>870183.68927036982</v>
      </c>
      <c r="F21" s="112"/>
      <c r="G21" s="128">
        <f>'Main calculation'!C33</f>
        <v>2020</v>
      </c>
      <c r="H21" s="93">
        <v>7240</v>
      </c>
      <c r="I21" s="334">
        <f>'Main calculation'!$B$21</f>
        <v>300</v>
      </c>
      <c r="J21" s="110">
        <f t="shared" si="1"/>
        <v>1078789.3682050477</v>
      </c>
    </row>
    <row r="22" spans="1:10">
      <c r="A22" s="252" t="str">
        <f>IF('Main calculation'!$B$19=2021, "Starting year --&gt;","" )</f>
        <v/>
      </c>
      <c r="B22" s="334">
        <f>'Main calculation'!C34</f>
        <v>2021</v>
      </c>
      <c r="C22" s="333">
        <v>5840</v>
      </c>
      <c r="D22" s="334">
        <f>'Main calculation'!B21</f>
        <v>300</v>
      </c>
      <c r="E22" s="110">
        <f t="shared" si="0"/>
        <v>870183.68927036982</v>
      </c>
      <c r="F22" s="112"/>
      <c r="G22" s="128">
        <f>'Main calculation'!C34</f>
        <v>2021</v>
      </c>
      <c r="H22" s="93">
        <v>7240</v>
      </c>
      <c r="I22" s="334">
        <f>'Main calculation'!$B$21</f>
        <v>300</v>
      </c>
      <c r="J22" s="110">
        <f t="shared" si="1"/>
        <v>1078789.3682050477</v>
      </c>
    </row>
    <row r="23" spans="1:10">
      <c r="A23" s="252" t="str">
        <f>IF('Main calculation'!$B$19=2022, "Starting year --&gt;","" )</f>
        <v/>
      </c>
      <c r="B23" s="334">
        <f>'Main calculation'!C35</f>
        <v>2022</v>
      </c>
      <c r="C23" s="333">
        <v>5840</v>
      </c>
      <c r="D23" s="334">
        <f>'Main calculation'!B21</f>
        <v>300</v>
      </c>
      <c r="E23" s="110">
        <f t="shared" si="0"/>
        <v>870183.68927036982</v>
      </c>
      <c r="F23" s="112"/>
      <c r="G23" s="128">
        <f>'Main calculation'!C35</f>
        <v>2022</v>
      </c>
      <c r="H23" s="93">
        <v>7240</v>
      </c>
      <c r="I23" s="334">
        <f>'Main calculation'!$B$21</f>
        <v>300</v>
      </c>
      <c r="J23" s="110">
        <f t="shared" si="1"/>
        <v>1078789.3682050477</v>
      </c>
    </row>
    <row r="24" spans="1:10">
      <c r="A24" s="252" t="str">
        <f>IF('Main calculation'!$B$19=2023, "Starting year --&gt;","" )</f>
        <v/>
      </c>
      <c r="B24" s="334">
        <f>'Main calculation'!C36</f>
        <v>2023</v>
      </c>
      <c r="C24" s="333">
        <v>5840</v>
      </c>
      <c r="D24" s="334">
        <f>'Main calculation'!B21</f>
        <v>300</v>
      </c>
      <c r="E24" s="110">
        <f t="shared" si="0"/>
        <v>870183.68927036982</v>
      </c>
      <c r="F24" s="112"/>
      <c r="G24" s="128">
        <f>'Main calculation'!C36</f>
        <v>2023</v>
      </c>
      <c r="H24" s="93">
        <v>7240</v>
      </c>
      <c r="I24" s="334">
        <f>'Main calculation'!$B$21</f>
        <v>300</v>
      </c>
      <c r="J24" s="110">
        <f t="shared" si="1"/>
        <v>1078789.3682050477</v>
      </c>
    </row>
    <row r="25" spans="1:10">
      <c r="A25" s="252" t="str">
        <f>IF('Main calculation'!$B$19=2024, "Starting year --&gt;","" )</f>
        <v/>
      </c>
      <c r="B25" s="334">
        <f>'Main calculation'!C37</f>
        <v>2024</v>
      </c>
      <c r="C25" s="333">
        <v>5840</v>
      </c>
      <c r="D25" s="334">
        <f>'Main calculation'!B21</f>
        <v>300</v>
      </c>
      <c r="E25" s="110">
        <f t="shared" si="0"/>
        <v>870183.68927036982</v>
      </c>
      <c r="F25" s="112"/>
      <c r="G25" s="128">
        <f>'Main calculation'!C37</f>
        <v>2024</v>
      </c>
      <c r="H25" s="93">
        <v>7240</v>
      </c>
      <c r="I25" s="334">
        <f>'Main calculation'!$B$21</f>
        <v>300</v>
      </c>
      <c r="J25" s="110">
        <f t="shared" si="1"/>
        <v>1078789.3682050477</v>
      </c>
    </row>
    <row r="26" spans="1:10">
      <c r="A26" s="252" t="str">
        <f>IF('Main calculation'!$B$19=2025, "Starting year --&gt;","" )</f>
        <v/>
      </c>
      <c r="B26" s="334">
        <f>'Main calculation'!C38</f>
        <v>2025</v>
      </c>
      <c r="C26" s="333">
        <v>5840</v>
      </c>
      <c r="D26" s="334">
        <f>'Main calculation'!B21</f>
        <v>300</v>
      </c>
      <c r="E26" s="110">
        <f t="shared" si="0"/>
        <v>870183.68927036982</v>
      </c>
      <c r="F26" s="112"/>
      <c r="G26" s="128">
        <f>'Main calculation'!C38</f>
        <v>2025</v>
      </c>
      <c r="H26" s="93">
        <v>7240</v>
      </c>
      <c r="I26" s="334">
        <f>'Main calculation'!$B$21</f>
        <v>300</v>
      </c>
      <c r="J26" s="110">
        <f t="shared" si="1"/>
        <v>1078789.3682050477</v>
      </c>
    </row>
    <row r="27" spans="1:10">
      <c r="A27" s="252" t="str">
        <f>IF('Main calculation'!$B$19=2026, "Starting year --&gt;","" )</f>
        <v/>
      </c>
      <c r="B27" s="334">
        <f>'Main calculation'!C39</f>
        <v>2026</v>
      </c>
      <c r="C27" s="333">
        <v>5840</v>
      </c>
      <c r="D27" s="334">
        <f>'Main calculation'!B21</f>
        <v>300</v>
      </c>
      <c r="E27" s="110">
        <f t="shared" si="0"/>
        <v>870183.68927036982</v>
      </c>
      <c r="F27" s="112"/>
      <c r="G27" s="128">
        <f>'Main calculation'!C39</f>
        <v>2026</v>
      </c>
      <c r="H27" s="93">
        <v>7240</v>
      </c>
      <c r="I27" s="334">
        <f>'Main calculation'!$B$21</f>
        <v>300</v>
      </c>
      <c r="J27" s="110">
        <f t="shared" si="1"/>
        <v>1078789.3682050477</v>
      </c>
    </row>
    <row r="28" spans="1:10">
      <c r="A28" s="252" t="str">
        <f>IF('Main calculation'!$B$19=2027, "Starting year --&gt;","" )</f>
        <v/>
      </c>
      <c r="B28" s="334">
        <f>'Main calculation'!C40</f>
        <v>2027</v>
      </c>
      <c r="C28" s="333">
        <v>5840</v>
      </c>
      <c r="D28" s="334">
        <f>'Main calculation'!B21</f>
        <v>300</v>
      </c>
      <c r="E28" s="110">
        <f t="shared" si="0"/>
        <v>870183.68927036982</v>
      </c>
      <c r="F28" s="112"/>
      <c r="G28" s="128">
        <f>'Main calculation'!C40</f>
        <v>2027</v>
      </c>
      <c r="H28" s="93">
        <v>7240</v>
      </c>
      <c r="I28" s="334">
        <f>'Main calculation'!$B$21</f>
        <v>300</v>
      </c>
      <c r="J28" s="110">
        <f t="shared" si="1"/>
        <v>1078789.3682050477</v>
      </c>
    </row>
    <row r="29" spans="1:10">
      <c r="A29" s="252" t="str">
        <f>IF('Main calculation'!$B$20=2028, "Finishing year --&gt;","" )</f>
        <v>Finishing year --&gt;</v>
      </c>
      <c r="B29" s="334">
        <f>'Main calculation'!C41</f>
        <v>2028</v>
      </c>
      <c r="C29" s="333">
        <v>5840</v>
      </c>
      <c r="D29" s="334">
        <f>'Main calculation'!B21</f>
        <v>300</v>
      </c>
      <c r="E29" s="110">
        <f t="shared" si="0"/>
        <v>870183.68927036982</v>
      </c>
      <c r="F29" s="112"/>
      <c r="G29" s="128">
        <f>'Main calculation'!C41</f>
        <v>2028</v>
      </c>
      <c r="H29" s="93">
        <v>7240</v>
      </c>
      <c r="I29" s="334">
        <f>'Main calculation'!$B$21</f>
        <v>300</v>
      </c>
      <c r="J29" s="110">
        <f t="shared" si="1"/>
        <v>1078789.3682050477</v>
      </c>
    </row>
    <row r="30" spans="1:10">
      <c r="A30" s="252" t="str">
        <f>IF('Main calculation'!$B$20=2029, "Finishing year --&gt;","" )</f>
        <v/>
      </c>
      <c r="B30" s="334">
        <f>'Main calculation'!C42</f>
        <v>2029</v>
      </c>
      <c r="C30" s="333"/>
      <c r="D30" s="334">
        <f>'Main calculation'!B21</f>
        <v>300</v>
      </c>
      <c r="E30" s="111">
        <f t="shared" si="0"/>
        <v>0</v>
      </c>
      <c r="F30" s="112"/>
      <c r="G30" s="128">
        <f>'Main calculation'!C42</f>
        <v>2029</v>
      </c>
      <c r="H30" s="93"/>
      <c r="I30" s="334">
        <f>'Main calculation'!$B$21</f>
        <v>300</v>
      </c>
      <c r="J30" s="111">
        <f t="shared" si="1"/>
        <v>0</v>
      </c>
    </row>
    <row r="31" spans="1:10">
      <c r="A31" s="252" t="str">
        <f>IF('Main calculation'!$B$20=2030, "Finishing year --&gt;","" )</f>
        <v/>
      </c>
      <c r="B31" s="334">
        <f>'Main calculation'!C43</f>
        <v>2030</v>
      </c>
      <c r="C31" s="333"/>
      <c r="D31" s="334">
        <f>'Main calculation'!B21</f>
        <v>300</v>
      </c>
      <c r="E31" s="111">
        <f t="shared" si="0"/>
        <v>0</v>
      </c>
      <c r="F31" s="112"/>
      <c r="G31" s="128">
        <f>'Main calculation'!C43</f>
        <v>2030</v>
      </c>
      <c r="H31" s="93"/>
      <c r="I31" s="334">
        <f>'Main calculation'!$B$21</f>
        <v>300</v>
      </c>
      <c r="J31" s="111">
        <f t="shared" si="1"/>
        <v>0</v>
      </c>
    </row>
    <row r="32" spans="1:10">
      <c r="A32" s="252" t="str">
        <f>IF('Main calculation'!$B$20=2031, "Finishing year --&gt;","" )</f>
        <v/>
      </c>
      <c r="B32" s="254"/>
    </row>
    <row r="33" spans="1:2">
      <c r="A33" s="252" t="str">
        <f>IF('Main calculation'!$B$20=2032, "Finishing year --&gt;","" )</f>
        <v/>
      </c>
      <c r="B33" s="254"/>
    </row>
    <row r="34" spans="1:2">
      <c r="A34" s="252" t="str">
        <f>IF('Main calculation'!$B$20=2033, "Finishing year --&gt;","" )</f>
        <v/>
      </c>
      <c r="B34" s="254"/>
    </row>
  </sheetData>
  <mergeCells count="2">
    <mergeCell ref="A3:E3"/>
    <mergeCell ref="A10:D10"/>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U65"/>
  <sheetViews>
    <sheetView zoomScale="85" zoomScaleNormal="85" workbookViewId="0"/>
  </sheetViews>
  <sheetFormatPr defaultRowHeight="14.4"/>
  <cols>
    <col min="1" max="1" width="37" customWidth="1"/>
    <col min="2" max="9" width="15.6640625" customWidth="1"/>
    <col min="10" max="10" width="5.5546875" customWidth="1"/>
    <col min="11" max="18" width="15.6640625" customWidth="1"/>
    <col min="19" max="19" width="10.109375" customWidth="1"/>
    <col min="20" max="20" width="9.5546875" customWidth="1"/>
  </cols>
  <sheetData>
    <row r="1" spans="1:20" ht="18">
      <c r="A1" s="157" t="s">
        <v>253</v>
      </c>
    </row>
    <row r="2" spans="1:20">
      <c r="A2" s="160" t="s">
        <v>251</v>
      </c>
    </row>
    <row r="3" spans="1:20" ht="45" customHeight="1">
      <c r="A3" s="414" t="s">
        <v>259</v>
      </c>
      <c r="B3" s="414"/>
      <c r="C3" s="414"/>
      <c r="D3" s="414"/>
      <c r="E3" s="414"/>
      <c r="F3" s="414"/>
      <c r="G3" s="414"/>
      <c r="H3" s="414"/>
      <c r="I3" s="414"/>
    </row>
    <row r="4" spans="1:20">
      <c r="A4" s="251"/>
    </row>
    <row r="5" spans="1:20">
      <c r="A5" s="160" t="s">
        <v>254</v>
      </c>
    </row>
    <row r="6" spans="1:20" ht="30" customHeight="1">
      <c r="A6" s="414" t="s">
        <v>258</v>
      </c>
      <c r="B6" s="414"/>
      <c r="C6" s="414"/>
      <c r="D6" s="414"/>
      <c r="E6" s="414"/>
      <c r="F6" s="414"/>
      <c r="G6" s="414"/>
      <c r="H6" s="414"/>
      <c r="I6" s="414"/>
    </row>
    <row r="7" spans="1:20">
      <c r="A7" s="251"/>
    </row>
    <row r="8" spans="1:20">
      <c r="A8" s="160" t="s">
        <v>236</v>
      </c>
    </row>
    <row r="9" spans="1:20" ht="29.25" customHeight="1">
      <c r="A9" s="415" t="s">
        <v>255</v>
      </c>
      <c r="B9" s="415"/>
      <c r="C9" s="415"/>
      <c r="D9" s="415"/>
      <c r="E9" s="415"/>
      <c r="F9" s="360"/>
      <c r="G9" s="360"/>
      <c r="H9" s="360"/>
      <c r="I9" s="161"/>
      <c r="J9" s="430"/>
      <c r="K9" s="430"/>
      <c r="L9" s="225"/>
      <c r="M9" s="161"/>
      <c r="N9" s="161"/>
    </row>
    <row r="10" spans="1:20">
      <c r="A10" s="415" t="s">
        <v>256</v>
      </c>
      <c r="B10" s="415"/>
      <c r="C10" s="415"/>
      <c r="D10" s="415"/>
      <c r="E10" s="415"/>
      <c r="F10" s="337"/>
      <c r="G10" s="337"/>
      <c r="H10" s="337"/>
      <c r="I10" s="161"/>
      <c r="J10" s="338"/>
      <c r="K10" s="338"/>
      <c r="L10" s="225"/>
      <c r="M10" s="161"/>
      <c r="N10" s="161"/>
    </row>
    <row r="11" spans="1:20">
      <c r="A11" s="415" t="s">
        <v>257</v>
      </c>
      <c r="B11" s="415"/>
      <c r="C11" s="415"/>
      <c r="D11" s="415"/>
      <c r="E11" s="415"/>
      <c r="F11" s="337"/>
      <c r="G11" s="337"/>
      <c r="H11" s="337"/>
      <c r="I11" s="161"/>
      <c r="J11" s="338"/>
      <c r="K11" s="338"/>
      <c r="L11" s="225"/>
      <c r="M11" s="161"/>
      <c r="N11" s="161"/>
    </row>
    <row r="12" spans="1:20">
      <c r="A12" s="415" t="s">
        <v>245</v>
      </c>
      <c r="B12" s="415"/>
      <c r="C12" s="415"/>
      <c r="D12" s="415"/>
      <c r="E12" s="415"/>
      <c r="F12" s="337"/>
      <c r="G12" s="337"/>
      <c r="H12" s="337"/>
      <c r="I12" s="161"/>
      <c r="J12" s="338"/>
      <c r="K12" s="338"/>
      <c r="L12" s="225"/>
      <c r="M12" s="161"/>
      <c r="N12" s="161"/>
    </row>
    <row r="14" spans="1:20">
      <c r="A14" s="187" t="s">
        <v>98</v>
      </c>
      <c r="B14" s="121">
        <v>199999</v>
      </c>
    </row>
    <row r="15" spans="1:20">
      <c r="A15" s="250"/>
      <c r="H15" s="163"/>
      <c r="I15" s="163"/>
      <c r="J15" s="163"/>
      <c r="K15" s="163"/>
      <c r="L15" s="245"/>
      <c r="M15" s="246"/>
      <c r="N15" s="163"/>
      <c r="O15" s="163"/>
      <c r="P15" s="163"/>
      <c r="Q15" s="163"/>
      <c r="R15" s="163"/>
      <c r="S15" s="240"/>
      <c r="T15" s="188"/>
    </row>
    <row r="16" spans="1:20">
      <c r="A16" s="237"/>
      <c r="B16" s="239" t="str">
        <f>HLOOKUP('Main calculation'!$B$17,'Monetary Values'!$D$4:$G$68,47,FALSE)</f>
        <v>EURg/kg</v>
      </c>
      <c r="C16" s="235"/>
      <c r="D16" s="235"/>
      <c r="E16" s="235"/>
      <c r="F16" s="236"/>
      <c r="H16" s="163"/>
      <c r="I16" s="163"/>
      <c r="J16" s="163"/>
      <c r="K16" s="163"/>
      <c r="L16" s="163"/>
      <c r="M16" s="163"/>
      <c r="N16" s="163"/>
      <c r="O16" s="163"/>
      <c r="P16" s="163"/>
      <c r="Q16" s="163"/>
      <c r="R16" s="163"/>
      <c r="S16" s="240"/>
      <c r="T16" s="188"/>
    </row>
    <row r="17" spans="1:21">
      <c r="A17" s="238" t="s">
        <v>103</v>
      </c>
      <c r="B17" s="230" t="s">
        <v>70</v>
      </c>
      <c r="C17" s="231" t="s">
        <v>76</v>
      </c>
      <c r="D17" s="231" t="s">
        <v>101</v>
      </c>
      <c r="E17" s="231" t="s">
        <v>102</v>
      </c>
      <c r="F17" s="231" t="s">
        <v>78</v>
      </c>
      <c r="H17" s="247"/>
      <c r="I17" s="248"/>
      <c r="J17" s="247"/>
      <c r="K17" s="247"/>
      <c r="L17" s="247"/>
      <c r="M17" s="247"/>
      <c r="N17" s="247"/>
      <c r="O17" s="247"/>
      <c r="P17" s="248"/>
      <c r="Q17" s="247"/>
      <c r="R17" s="247"/>
      <c r="S17" s="241"/>
      <c r="T17" s="189"/>
    </row>
    <row r="18" spans="1:21">
      <c r="A18" s="228" t="s">
        <v>71</v>
      </c>
      <c r="B18" s="125">
        <f>HLOOKUP('Main calculation'!$B$17,'Monetary Values'!$D$4:$G$68,48,FALSE)</f>
        <v>1335.4051119716221</v>
      </c>
      <c r="C18" s="125">
        <f>HLOOKUP('Main calculation'!$B$17,'Monetary Values'!$D$4:$G$68,57,FALSE)</f>
        <v>24.482427052813073</v>
      </c>
      <c r="D18" s="125">
        <f>HLOOKUP('Main calculation'!$B$17,'Monetary Values'!$D$4:$G$68,52,FALSE)</f>
        <v>7.7898631531677962</v>
      </c>
      <c r="E18" s="126">
        <f>HLOOKUP('Main calculation'!$B$17,'Monetary Values'!$D$4:$G$68,60,FALSE)</f>
        <v>4.4513503732387409</v>
      </c>
      <c r="F18" s="394"/>
      <c r="H18" s="247"/>
      <c r="I18" s="247"/>
      <c r="J18" s="247"/>
      <c r="K18" s="247"/>
      <c r="L18" s="249"/>
      <c r="M18" s="247"/>
      <c r="N18" s="247"/>
      <c r="O18" s="247"/>
      <c r="P18" s="247"/>
      <c r="Q18" s="247"/>
      <c r="R18" s="247"/>
      <c r="S18" s="242"/>
      <c r="T18" s="189"/>
    </row>
    <row r="19" spans="1:21">
      <c r="A19" s="228" t="s">
        <v>72</v>
      </c>
      <c r="B19" s="126">
        <f>HLOOKUP('Main calculation'!$B$17,'Monetary Values'!$D$4:$G$68,49,FALSE)</f>
        <v>856.8849468484575</v>
      </c>
      <c r="C19" s="126">
        <f>HLOOKUP('Main calculation'!$B$17,'Monetary Values'!$D$4:$G$68,58,FALSE)</f>
        <v>17.805401492954964</v>
      </c>
      <c r="D19" s="126">
        <f>HLOOKUP('Main calculation'!$B$17,'Monetary Values'!$D$4:$G$68,53,FALSE)</f>
        <v>5.0077691698935833</v>
      </c>
      <c r="E19" s="126">
        <f>HLOOKUP('Main calculation'!$B$17,'Monetary Values'!$D$4:$G$68,61,FALSE)</f>
        <v>3.3385127799290553</v>
      </c>
      <c r="F19" s="395"/>
      <c r="H19" s="247"/>
      <c r="I19" s="247"/>
      <c r="J19" s="247"/>
      <c r="K19" s="247"/>
      <c r="L19" s="249"/>
      <c r="M19" s="247"/>
      <c r="N19" s="247"/>
      <c r="O19" s="247"/>
      <c r="P19" s="247"/>
      <c r="Q19" s="247"/>
      <c r="R19" s="247"/>
      <c r="S19" s="242"/>
      <c r="T19" s="189"/>
    </row>
    <row r="20" spans="1:21">
      <c r="A20" s="228" t="s">
        <v>100</v>
      </c>
      <c r="B20" s="123">
        <f>(B18+B19)/2</f>
        <v>1096.1450294100398</v>
      </c>
      <c r="C20" s="126">
        <f>(C18+C19)/2</f>
        <v>21.143914272884018</v>
      </c>
      <c r="D20" s="126">
        <f>(D18+D19)/2</f>
        <v>6.3988161615306893</v>
      </c>
      <c r="E20" s="126">
        <f>(E18+E19)/2</f>
        <v>3.8949315765838981</v>
      </c>
      <c r="F20" s="395"/>
      <c r="H20" s="247"/>
      <c r="I20" s="247"/>
      <c r="J20" s="247"/>
      <c r="K20" s="247"/>
      <c r="L20" s="249"/>
      <c r="M20" s="247"/>
      <c r="N20" s="247"/>
      <c r="O20" s="247"/>
      <c r="P20" s="247"/>
      <c r="Q20" s="247"/>
      <c r="R20" s="247"/>
      <c r="S20" s="242"/>
      <c r="T20" s="189"/>
    </row>
    <row r="21" spans="1:21">
      <c r="A21" s="228" t="s">
        <v>73</v>
      </c>
      <c r="B21" s="123">
        <f>HLOOKUP('Main calculation'!$B$17,'Monetary Values'!$D$4:$G$68,50,FALSE)</f>
        <v>612.06067632032682</v>
      </c>
      <c r="C21" s="126">
        <f>HLOOKUP('Main calculation'!$B$17,'Monetary Values'!$D$4:$G$68,59,FALSE)</f>
        <v>11.128375933096851</v>
      </c>
      <c r="D21" s="126">
        <f>HLOOKUP('Main calculation'!$B$17,'Monetary Values'!$D$4:$G$68,54,FALSE)</f>
        <v>3.3385127799290553</v>
      </c>
      <c r="E21" s="126">
        <f>HLOOKUP('Main calculation'!$B$17,'Monetary Values'!$D$4:$G$68,62,FALSE)</f>
        <v>2.2256751866193705</v>
      </c>
      <c r="F21" s="395"/>
      <c r="G21" s="102"/>
      <c r="H21" s="247"/>
      <c r="I21" s="247"/>
      <c r="J21" s="247"/>
      <c r="K21" s="247"/>
      <c r="L21" s="249"/>
      <c r="M21" s="247"/>
      <c r="N21" s="247"/>
      <c r="O21" s="247"/>
      <c r="P21" s="247"/>
      <c r="Q21" s="247"/>
      <c r="R21" s="247"/>
      <c r="S21" s="242"/>
      <c r="T21" s="189"/>
    </row>
    <row r="22" spans="1:21">
      <c r="A22" s="228" t="s">
        <v>74</v>
      </c>
      <c r="B22" s="124">
        <f>HLOOKUP('Main calculation'!$B$17,'Monetary Values'!$D$4:$G$68,51,FALSE)</f>
        <v>389.4931576583898</v>
      </c>
      <c r="C22" s="127">
        <f>HLOOKUP('Main calculation'!$B$17,'Monetary Values'!$D$4:$G$68,60,FALSE)</f>
        <v>4.4513503732387409</v>
      </c>
      <c r="D22" s="127">
        <f>HLOOKUP('Main calculation'!$B$17,'Monetary Values'!$D$4:$G$68,55,FALSE)</f>
        <v>2.2256751866193705</v>
      </c>
      <c r="E22" s="127">
        <f>HLOOKUP('Main calculation'!$B$17,'Monetary Values'!$D$4:$G$68,63,FALSE)</f>
        <v>1.6692563899645276</v>
      </c>
      <c r="F22" s="396"/>
      <c r="G22" s="102"/>
      <c r="H22" s="247"/>
      <c r="I22" s="247"/>
      <c r="J22" s="247"/>
      <c r="K22" s="247"/>
      <c r="L22" s="249"/>
      <c r="M22" s="247"/>
      <c r="N22" s="247"/>
      <c r="O22" s="247"/>
      <c r="P22" s="247"/>
      <c r="Q22" s="247"/>
      <c r="R22" s="247"/>
      <c r="S22" s="242"/>
      <c r="T22" s="189"/>
    </row>
    <row r="23" spans="1:21">
      <c r="A23" s="229" t="s">
        <v>177</v>
      </c>
      <c r="B23" s="232">
        <f>IF($B$14&lt;50000,B22,IF($B$14&lt;200000,B21,IF($B$14&gt;199999,B20)))</f>
        <v>612.06067632032682</v>
      </c>
      <c r="C23" s="233">
        <f>IF($B$14&lt;50000,C22,IF($B$14&lt;200000,C21,IF($B$14&gt;199999,C20)))</f>
        <v>11.128375933096851</v>
      </c>
      <c r="D23" s="233">
        <f>IF($B$14&lt;50000,D22,IF($B$14&lt;200000,D21,IF($B$14&gt;199999,D20)))</f>
        <v>3.3385127799290553</v>
      </c>
      <c r="E23" s="233">
        <f>IF($B$14&lt;50000,E22,IF($B$14&lt;200000,E21,IF($B$14&gt;199999,E20)))</f>
        <v>2.2256751866193705</v>
      </c>
      <c r="F23" s="234">
        <f>HLOOKUP('Main calculation'!$B$17,'Monetary Values'!$D$4:$G$68,65,FALSE)</f>
        <v>0.16136145102990435</v>
      </c>
      <c r="H23" s="163"/>
      <c r="I23" s="163"/>
      <c r="J23" s="163"/>
      <c r="K23" s="163"/>
      <c r="L23" s="163"/>
      <c r="M23" s="163"/>
      <c r="N23" s="163"/>
      <c r="O23" s="163"/>
      <c r="P23" s="163"/>
      <c r="Q23" s="163"/>
      <c r="R23" s="163"/>
      <c r="S23" s="240"/>
      <c r="T23" s="188"/>
    </row>
    <row r="24" spans="1:21">
      <c r="A24" s="228" t="s">
        <v>154</v>
      </c>
      <c r="B24" s="177"/>
      <c r="C24" s="178"/>
      <c r="D24" s="178"/>
      <c r="E24" s="178"/>
      <c r="F24" s="179"/>
      <c r="H24" s="163"/>
      <c r="I24" s="163"/>
      <c r="J24" s="163"/>
      <c r="K24" s="163"/>
      <c r="L24" s="163"/>
      <c r="M24" s="163"/>
      <c r="N24" s="163"/>
      <c r="O24" s="163"/>
      <c r="P24" s="163"/>
      <c r="Q24" s="163"/>
      <c r="R24" s="163"/>
      <c r="S24" s="240"/>
      <c r="T24" s="188"/>
    </row>
    <row r="25" spans="1:21">
      <c r="A25" s="228" t="s">
        <v>155</v>
      </c>
      <c r="B25" s="177"/>
      <c r="C25" s="178"/>
      <c r="D25" s="178"/>
      <c r="E25" s="178"/>
      <c r="F25" s="179"/>
      <c r="H25" s="163"/>
      <c r="I25" s="163"/>
      <c r="J25" s="163"/>
      <c r="K25" s="163"/>
      <c r="L25" s="163"/>
      <c r="M25" s="163"/>
      <c r="N25" s="163"/>
      <c r="O25" s="163"/>
      <c r="P25" s="163"/>
      <c r="Q25" s="163"/>
      <c r="R25" s="163"/>
      <c r="S25" s="240"/>
      <c r="T25" s="188"/>
    </row>
    <row r="26" spans="1:21">
      <c r="A26" s="101"/>
      <c r="H26" s="243"/>
      <c r="I26" s="243"/>
      <c r="J26" s="243"/>
      <c r="K26" s="243"/>
      <c r="L26" s="243"/>
      <c r="M26" s="243"/>
      <c r="N26" s="243"/>
      <c r="O26" s="243"/>
      <c r="P26" s="243"/>
      <c r="Q26" s="243"/>
      <c r="R26" s="244"/>
      <c r="S26" s="188"/>
      <c r="T26" s="188"/>
    </row>
    <row r="27" spans="1:21" ht="18">
      <c r="B27" s="302" t="s">
        <v>1</v>
      </c>
      <c r="C27" s="303"/>
      <c r="D27" s="303"/>
      <c r="E27" s="303"/>
      <c r="F27" s="303"/>
      <c r="G27" s="303"/>
      <c r="H27" s="303"/>
      <c r="I27" s="303"/>
      <c r="J27" s="109"/>
      <c r="K27" s="304" t="s">
        <v>2</v>
      </c>
      <c r="L27" s="305"/>
      <c r="M27" s="305"/>
      <c r="N27" s="305"/>
      <c r="O27" s="305"/>
      <c r="P27" s="305"/>
      <c r="Q27" s="305"/>
      <c r="R27" s="305"/>
    </row>
    <row r="28" spans="1:21" ht="43.2">
      <c r="B28" s="128" t="s">
        <v>0</v>
      </c>
      <c r="C28" s="397" t="s">
        <v>153</v>
      </c>
      <c r="D28" s="397" t="s">
        <v>156</v>
      </c>
      <c r="E28" s="397" t="s">
        <v>157</v>
      </c>
      <c r="F28" s="397" t="s">
        <v>158</v>
      </c>
      <c r="G28" s="397" t="s">
        <v>159</v>
      </c>
      <c r="H28" s="397" t="s">
        <v>160</v>
      </c>
      <c r="I28" s="397" t="s">
        <v>279</v>
      </c>
      <c r="J28" s="129"/>
      <c r="K28" s="128" t="s">
        <v>0</v>
      </c>
      <c r="L28" s="397" t="s">
        <v>139</v>
      </c>
      <c r="M28" s="397" t="s">
        <v>156</v>
      </c>
      <c r="N28" s="397" t="s">
        <v>157</v>
      </c>
      <c r="O28" s="397" t="s">
        <v>158</v>
      </c>
      <c r="P28" s="397" t="s">
        <v>159</v>
      </c>
      <c r="Q28" s="397" t="s">
        <v>160</v>
      </c>
      <c r="R28" s="397" t="s">
        <v>279</v>
      </c>
      <c r="S28" s="3"/>
      <c r="T28" s="3"/>
      <c r="U28" s="3"/>
    </row>
    <row r="29" spans="1:21">
      <c r="A29" s="252" t="str">
        <f>IF('Main calculation'!$B$19=2013, "Starting year --&gt;","" )</f>
        <v/>
      </c>
      <c r="B29" s="128">
        <f>'Main calculation'!C26</f>
        <v>2013</v>
      </c>
      <c r="C29" s="93"/>
      <c r="D29" s="334">
        <f t="shared" ref="D29:D46" si="0">$C29*B$25*B$23*1000</f>
        <v>0</v>
      </c>
      <c r="E29" s="334">
        <f t="shared" ref="E29:E46" si="1">$C29*C$25*C$23*1000</f>
        <v>0</v>
      </c>
      <c r="F29" s="334">
        <f t="shared" ref="F29:F46" si="2">$C29*D$25*D$23*1000</f>
        <v>0</v>
      </c>
      <c r="G29" s="334">
        <f t="shared" ref="G29:G46" si="3">$C29*E$25*E$23*1000</f>
        <v>0</v>
      </c>
      <c r="H29" s="334">
        <f t="shared" ref="H29:H46" si="4">$C29*F$25*F$23*1000</f>
        <v>0</v>
      </c>
      <c r="I29" s="110">
        <f>SUM(D29:H29)</f>
        <v>0</v>
      </c>
      <c r="J29" s="112"/>
      <c r="K29" s="128">
        <f>'Main calculation'!C26</f>
        <v>2013</v>
      </c>
      <c r="L29" s="93"/>
      <c r="M29" s="334">
        <f t="shared" ref="M29:M46" si="5">$C29*B$24*B$23*1000</f>
        <v>0</v>
      </c>
      <c r="N29" s="334">
        <f t="shared" ref="N29:N46" si="6">$C29*C$24*C$23*1000</f>
        <v>0</v>
      </c>
      <c r="O29" s="334">
        <f t="shared" ref="O29:O46" si="7">$C29*D$24*D$23*1000</f>
        <v>0</v>
      </c>
      <c r="P29" s="334">
        <f t="shared" ref="P29:P46" si="8">$C29*E$24*E$23*1000</f>
        <v>0</v>
      </c>
      <c r="Q29" s="334">
        <f t="shared" ref="Q29:Q46" si="9">$C29*F$24*F$23*1000</f>
        <v>0</v>
      </c>
      <c r="R29" s="110">
        <f t="shared" ref="R29:R46" si="10">L29*(B$23*M29/1000+C$23*N29+D$23*O29+E$23*P29+F$23*Q29)</f>
        <v>0</v>
      </c>
      <c r="S29" s="161"/>
      <c r="T29" s="161"/>
      <c r="U29" s="161"/>
    </row>
    <row r="30" spans="1:21">
      <c r="A30" s="252" t="str">
        <f>IF('Main calculation'!$B$19=2014, "Starting year --&gt;","" )</f>
        <v>Starting year --&gt;</v>
      </c>
      <c r="B30" s="128">
        <f>'Main calculation'!C27</f>
        <v>2014</v>
      </c>
      <c r="C30" s="93"/>
      <c r="D30" s="334">
        <f t="shared" si="0"/>
        <v>0</v>
      </c>
      <c r="E30" s="334">
        <f t="shared" si="1"/>
        <v>0</v>
      </c>
      <c r="F30" s="334">
        <f t="shared" si="2"/>
        <v>0</v>
      </c>
      <c r="G30" s="334">
        <f t="shared" si="3"/>
        <v>0</v>
      </c>
      <c r="H30" s="334">
        <f t="shared" si="4"/>
        <v>0</v>
      </c>
      <c r="I30" s="110">
        <f>SUM(D30:H30)</f>
        <v>0</v>
      </c>
      <c r="J30" s="112"/>
      <c r="K30" s="128">
        <f>'Main calculation'!C27</f>
        <v>2014</v>
      </c>
      <c r="L30" s="93"/>
      <c r="M30" s="334">
        <f t="shared" si="5"/>
        <v>0</v>
      </c>
      <c r="N30" s="334">
        <f t="shared" si="6"/>
        <v>0</v>
      </c>
      <c r="O30" s="334">
        <f t="shared" si="7"/>
        <v>0</v>
      </c>
      <c r="P30" s="334">
        <f t="shared" si="8"/>
        <v>0</v>
      </c>
      <c r="Q30" s="334">
        <f t="shared" si="9"/>
        <v>0</v>
      </c>
      <c r="R30" s="110">
        <f t="shared" si="10"/>
        <v>0</v>
      </c>
      <c r="S30" s="161"/>
      <c r="T30" s="161"/>
      <c r="U30" s="161"/>
    </row>
    <row r="31" spans="1:21">
      <c r="A31" s="252" t="str">
        <f>IF('Main calculation'!$B$19=2015, "Starting year --&gt;","" )</f>
        <v/>
      </c>
      <c r="B31" s="128">
        <f>'Main calculation'!C28</f>
        <v>2015</v>
      </c>
      <c r="C31" s="93"/>
      <c r="D31" s="334">
        <f t="shared" si="0"/>
        <v>0</v>
      </c>
      <c r="E31" s="334">
        <f t="shared" si="1"/>
        <v>0</v>
      </c>
      <c r="F31" s="334">
        <f t="shared" si="2"/>
        <v>0</v>
      </c>
      <c r="G31" s="334">
        <f t="shared" si="3"/>
        <v>0</v>
      </c>
      <c r="H31" s="334">
        <f t="shared" si="4"/>
        <v>0</v>
      </c>
      <c r="I31" s="110">
        <f>SUM(D31:H31)</f>
        <v>0</v>
      </c>
      <c r="J31" s="129"/>
      <c r="K31" s="128">
        <f>'Main calculation'!C28</f>
        <v>2015</v>
      </c>
      <c r="L31" s="93"/>
      <c r="M31" s="334">
        <f t="shared" si="5"/>
        <v>0</v>
      </c>
      <c r="N31" s="334">
        <f t="shared" si="6"/>
        <v>0</v>
      </c>
      <c r="O31" s="334">
        <f t="shared" si="7"/>
        <v>0</v>
      </c>
      <c r="P31" s="334">
        <f t="shared" si="8"/>
        <v>0</v>
      </c>
      <c r="Q31" s="334">
        <f t="shared" si="9"/>
        <v>0</v>
      </c>
      <c r="R31" s="110">
        <f t="shared" si="10"/>
        <v>0</v>
      </c>
      <c r="S31" s="4"/>
      <c r="T31" s="4"/>
      <c r="U31" s="4"/>
    </row>
    <row r="32" spans="1:21">
      <c r="A32" s="252" t="str">
        <f>IF('Main calculation'!$B$19=2016, "Starting year --&gt;","" )</f>
        <v/>
      </c>
      <c r="B32" s="128">
        <f>'Main calculation'!C29</f>
        <v>2016</v>
      </c>
      <c r="C32" s="93"/>
      <c r="D32" s="334">
        <f t="shared" si="0"/>
        <v>0</v>
      </c>
      <c r="E32" s="334">
        <f t="shared" si="1"/>
        <v>0</v>
      </c>
      <c r="F32" s="334">
        <f t="shared" si="2"/>
        <v>0</v>
      </c>
      <c r="G32" s="334">
        <f t="shared" si="3"/>
        <v>0</v>
      </c>
      <c r="H32" s="334">
        <f t="shared" si="4"/>
        <v>0</v>
      </c>
      <c r="I32" s="110">
        <f t="shared" ref="I32:I46" si="11">SUM(D32:H32)</f>
        <v>0</v>
      </c>
      <c r="J32" s="129"/>
      <c r="K32" s="128">
        <f>'Main calculation'!C29</f>
        <v>2016</v>
      </c>
      <c r="L32" s="93"/>
      <c r="M32" s="334">
        <f t="shared" si="5"/>
        <v>0</v>
      </c>
      <c r="N32" s="334">
        <f t="shared" si="6"/>
        <v>0</v>
      </c>
      <c r="O32" s="334">
        <f t="shared" si="7"/>
        <v>0</v>
      </c>
      <c r="P32" s="334">
        <f t="shared" si="8"/>
        <v>0</v>
      </c>
      <c r="Q32" s="334">
        <f t="shared" si="9"/>
        <v>0</v>
      </c>
      <c r="R32" s="110">
        <f t="shared" si="10"/>
        <v>0</v>
      </c>
      <c r="S32" s="4"/>
      <c r="T32" s="4"/>
      <c r="U32" s="4"/>
    </row>
    <row r="33" spans="1:21">
      <c r="A33" s="252" t="str">
        <f>IF('Main calculation'!$B$19=2017, "Starting year --&gt;","" )</f>
        <v/>
      </c>
      <c r="B33" s="128">
        <f>'Main calculation'!C30</f>
        <v>2017</v>
      </c>
      <c r="C33" s="93"/>
      <c r="D33" s="334">
        <f t="shared" si="0"/>
        <v>0</v>
      </c>
      <c r="E33" s="334">
        <f t="shared" si="1"/>
        <v>0</v>
      </c>
      <c r="F33" s="334">
        <f t="shared" si="2"/>
        <v>0</v>
      </c>
      <c r="G33" s="334">
        <f t="shared" si="3"/>
        <v>0</v>
      </c>
      <c r="H33" s="334">
        <f t="shared" si="4"/>
        <v>0</v>
      </c>
      <c r="I33" s="110">
        <f t="shared" si="11"/>
        <v>0</v>
      </c>
      <c r="J33" s="129"/>
      <c r="K33" s="128">
        <f>'Main calculation'!C30</f>
        <v>2017</v>
      </c>
      <c r="L33" s="93"/>
      <c r="M33" s="334">
        <f t="shared" si="5"/>
        <v>0</v>
      </c>
      <c r="N33" s="334">
        <f t="shared" si="6"/>
        <v>0</v>
      </c>
      <c r="O33" s="334">
        <f t="shared" si="7"/>
        <v>0</v>
      </c>
      <c r="P33" s="334">
        <f t="shared" si="8"/>
        <v>0</v>
      </c>
      <c r="Q33" s="334">
        <f t="shared" si="9"/>
        <v>0</v>
      </c>
      <c r="R33" s="110">
        <f t="shared" si="10"/>
        <v>0</v>
      </c>
      <c r="S33" s="4"/>
      <c r="T33" s="4"/>
      <c r="U33" s="4"/>
    </row>
    <row r="34" spans="1:21">
      <c r="A34" s="252" t="str">
        <f>IF('Main calculation'!$B$19=2018, "Starting year --&gt;","" )</f>
        <v/>
      </c>
      <c r="B34" s="128">
        <f>'Main calculation'!C31</f>
        <v>2018</v>
      </c>
      <c r="C34" s="93"/>
      <c r="D34" s="334">
        <f t="shared" si="0"/>
        <v>0</v>
      </c>
      <c r="E34" s="334">
        <f t="shared" si="1"/>
        <v>0</v>
      </c>
      <c r="F34" s="334">
        <f t="shared" si="2"/>
        <v>0</v>
      </c>
      <c r="G34" s="334">
        <f t="shared" si="3"/>
        <v>0</v>
      </c>
      <c r="H34" s="334">
        <f t="shared" si="4"/>
        <v>0</v>
      </c>
      <c r="I34" s="110">
        <f t="shared" si="11"/>
        <v>0</v>
      </c>
      <c r="J34" s="129"/>
      <c r="K34" s="128">
        <f>'Main calculation'!C31</f>
        <v>2018</v>
      </c>
      <c r="L34" s="93"/>
      <c r="M34" s="334">
        <f t="shared" si="5"/>
        <v>0</v>
      </c>
      <c r="N34" s="334">
        <f t="shared" si="6"/>
        <v>0</v>
      </c>
      <c r="O34" s="334">
        <f t="shared" si="7"/>
        <v>0</v>
      </c>
      <c r="P34" s="334">
        <f t="shared" si="8"/>
        <v>0</v>
      </c>
      <c r="Q34" s="334">
        <f t="shared" si="9"/>
        <v>0</v>
      </c>
      <c r="R34" s="110">
        <f t="shared" si="10"/>
        <v>0</v>
      </c>
      <c r="S34" s="4"/>
      <c r="T34" s="4"/>
      <c r="U34" s="4"/>
    </row>
    <row r="35" spans="1:21">
      <c r="A35" s="252" t="str">
        <f>IF('Main calculation'!$B$19=2019, "Starting year --&gt;","" )</f>
        <v/>
      </c>
      <c r="B35" s="128">
        <f>'Main calculation'!C32</f>
        <v>2019</v>
      </c>
      <c r="C35" s="93"/>
      <c r="D35" s="334">
        <f t="shared" si="0"/>
        <v>0</v>
      </c>
      <c r="E35" s="334">
        <f t="shared" si="1"/>
        <v>0</v>
      </c>
      <c r="F35" s="334">
        <f t="shared" si="2"/>
        <v>0</v>
      </c>
      <c r="G35" s="334">
        <f t="shared" si="3"/>
        <v>0</v>
      </c>
      <c r="H35" s="334">
        <f t="shared" si="4"/>
        <v>0</v>
      </c>
      <c r="I35" s="110">
        <f t="shared" si="11"/>
        <v>0</v>
      </c>
      <c r="J35" s="129"/>
      <c r="K35" s="128">
        <f>'Main calculation'!C32</f>
        <v>2019</v>
      </c>
      <c r="L35" s="93"/>
      <c r="M35" s="334">
        <f t="shared" si="5"/>
        <v>0</v>
      </c>
      <c r="N35" s="334">
        <f t="shared" si="6"/>
        <v>0</v>
      </c>
      <c r="O35" s="334">
        <f t="shared" si="7"/>
        <v>0</v>
      </c>
      <c r="P35" s="334">
        <f t="shared" si="8"/>
        <v>0</v>
      </c>
      <c r="Q35" s="334">
        <f t="shared" si="9"/>
        <v>0</v>
      </c>
      <c r="R35" s="110">
        <f t="shared" si="10"/>
        <v>0</v>
      </c>
      <c r="S35" s="4"/>
      <c r="T35" s="4"/>
      <c r="U35" s="4"/>
    </row>
    <row r="36" spans="1:21">
      <c r="A36" s="252" t="str">
        <f>IF('Main calculation'!$B$19=2020, "Starting year --&gt;","" )</f>
        <v/>
      </c>
      <c r="B36" s="128">
        <f>'Main calculation'!C33</f>
        <v>2020</v>
      </c>
      <c r="C36" s="93"/>
      <c r="D36" s="334">
        <f t="shared" si="0"/>
        <v>0</v>
      </c>
      <c r="E36" s="334">
        <f t="shared" si="1"/>
        <v>0</v>
      </c>
      <c r="F36" s="334">
        <f t="shared" si="2"/>
        <v>0</v>
      </c>
      <c r="G36" s="334">
        <f t="shared" si="3"/>
        <v>0</v>
      </c>
      <c r="H36" s="334">
        <f t="shared" si="4"/>
        <v>0</v>
      </c>
      <c r="I36" s="110">
        <f t="shared" si="11"/>
        <v>0</v>
      </c>
      <c r="J36" s="129"/>
      <c r="K36" s="128">
        <f>'Main calculation'!C33</f>
        <v>2020</v>
      </c>
      <c r="L36" s="93"/>
      <c r="M36" s="334">
        <f t="shared" si="5"/>
        <v>0</v>
      </c>
      <c r="N36" s="334">
        <f t="shared" si="6"/>
        <v>0</v>
      </c>
      <c r="O36" s="334">
        <f t="shared" si="7"/>
        <v>0</v>
      </c>
      <c r="P36" s="334">
        <f t="shared" si="8"/>
        <v>0</v>
      </c>
      <c r="Q36" s="334">
        <f t="shared" si="9"/>
        <v>0</v>
      </c>
      <c r="R36" s="110">
        <f t="shared" si="10"/>
        <v>0</v>
      </c>
      <c r="S36" s="4"/>
      <c r="T36" s="4"/>
      <c r="U36" s="4"/>
    </row>
    <row r="37" spans="1:21">
      <c r="A37" s="252" t="str">
        <f>IF('Main calculation'!$B$19=2021, "Starting year --&gt;","" )</f>
        <v/>
      </c>
      <c r="B37" s="128">
        <f>'Main calculation'!C34</f>
        <v>2021</v>
      </c>
      <c r="C37" s="93"/>
      <c r="D37" s="334">
        <f t="shared" si="0"/>
        <v>0</v>
      </c>
      <c r="E37" s="334">
        <f t="shared" si="1"/>
        <v>0</v>
      </c>
      <c r="F37" s="334">
        <f t="shared" si="2"/>
        <v>0</v>
      </c>
      <c r="G37" s="334">
        <f t="shared" si="3"/>
        <v>0</v>
      </c>
      <c r="H37" s="334">
        <f t="shared" si="4"/>
        <v>0</v>
      </c>
      <c r="I37" s="110">
        <f t="shared" si="11"/>
        <v>0</v>
      </c>
      <c r="J37" s="129"/>
      <c r="K37" s="128">
        <f>'Main calculation'!C34</f>
        <v>2021</v>
      </c>
      <c r="L37" s="93"/>
      <c r="M37" s="334">
        <f t="shared" si="5"/>
        <v>0</v>
      </c>
      <c r="N37" s="334">
        <f t="shared" si="6"/>
        <v>0</v>
      </c>
      <c r="O37" s="334">
        <f t="shared" si="7"/>
        <v>0</v>
      </c>
      <c r="P37" s="334">
        <f t="shared" si="8"/>
        <v>0</v>
      </c>
      <c r="Q37" s="334">
        <f t="shared" si="9"/>
        <v>0</v>
      </c>
      <c r="R37" s="110">
        <f t="shared" si="10"/>
        <v>0</v>
      </c>
      <c r="S37" s="4"/>
      <c r="T37" s="4"/>
      <c r="U37" s="4"/>
    </row>
    <row r="38" spans="1:21">
      <c r="A38" s="252" t="str">
        <f>IF('Main calculation'!$B$19=2022, "Starting year --&gt;","" )</f>
        <v/>
      </c>
      <c r="B38" s="128">
        <f>'Main calculation'!C35</f>
        <v>2022</v>
      </c>
      <c r="C38" s="93"/>
      <c r="D38" s="334">
        <f t="shared" si="0"/>
        <v>0</v>
      </c>
      <c r="E38" s="334">
        <f t="shared" si="1"/>
        <v>0</v>
      </c>
      <c r="F38" s="334">
        <f t="shared" si="2"/>
        <v>0</v>
      </c>
      <c r="G38" s="334">
        <f t="shared" si="3"/>
        <v>0</v>
      </c>
      <c r="H38" s="334">
        <f t="shared" si="4"/>
        <v>0</v>
      </c>
      <c r="I38" s="110">
        <f t="shared" si="11"/>
        <v>0</v>
      </c>
      <c r="J38" s="129"/>
      <c r="K38" s="128">
        <f>'Main calculation'!C35</f>
        <v>2022</v>
      </c>
      <c r="L38" s="93"/>
      <c r="M38" s="334">
        <f t="shared" si="5"/>
        <v>0</v>
      </c>
      <c r="N38" s="334">
        <f t="shared" si="6"/>
        <v>0</v>
      </c>
      <c r="O38" s="334">
        <f t="shared" si="7"/>
        <v>0</v>
      </c>
      <c r="P38" s="334">
        <f t="shared" si="8"/>
        <v>0</v>
      </c>
      <c r="Q38" s="334">
        <f t="shared" si="9"/>
        <v>0</v>
      </c>
      <c r="R38" s="110">
        <f t="shared" si="10"/>
        <v>0</v>
      </c>
      <c r="S38" s="4"/>
      <c r="T38" s="4"/>
      <c r="U38" s="4"/>
    </row>
    <row r="39" spans="1:21">
      <c r="A39" s="252" t="str">
        <f>IF('Main calculation'!$B$19=2023, "Starting year --&gt;","" )</f>
        <v/>
      </c>
      <c r="B39" s="128">
        <f>'Main calculation'!C36</f>
        <v>2023</v>
      </c>
      <c r="C39" s="93"/>
      <c r="D39" s="334">
        <f t="shared" si="0"/>
        <v>0</v>
      </c>
      <c r="E39" s="334">
        <f t="shared" si="1"/>
        <v>0</v>
      </c>
      <c r="F39" s="334">
        <f t="shared" si="2"/>
        <v>0</v>
      </c>
      <c r="G39" s="334">
        <f t="shared" si="3"/>
        <v>0</v>
      </c>
      <c r="H39" s="334">
        <f t="shared" si="4"/>
        <v>0</v>
      </c>
      <c r="I39" s="110">
        <f t="shared" si="11"/>
        <v>0</v>
      </c>
      <c r="J39" s="129"/>
      <c r="K39" s="128">
        <f>'Main calculation'!C36</f>
        <v>2023</v>
      </c>
      <c r="L39" s="93"/>
      <c r="M39" s="334">
        <f t="shared" si="5"/>
        <v>0</v>
      </c>
      <c r="N39" s="334">
        <f t="shared" si="6"/>
        <v>0</v>
      </c>
      <c r="O39" s="334">
        <f t="shared" si="7"/>
        <v>0</v>
      </c>
      <c r="P39" s="334">
        <f t="shared" si="8"/>
        <v>0</v>
      </c>
      <c r="Q39" s="334">
        <f t="shared" si="9"/>
        <v>0</v>
      </c>
      <c r="R39" s="110">
        <f t="shared" si="10"/>
        <v>0</v>
      </c>
      <c r="S39" s="4"/>
      <c r="T39" s="4"/>
      <c r="U39" s="4"/>
    </row>
    <row r="40" spans="1:21">
      <c r="A40" s="252" t="str">
        <f>IF('Main calculation'!$B$19=2024, "Starting year --&gt;","" )</f>
        <v/>
      </c>
      <c r="B40" s="128">
        <f>'Main calculation'!C37</f>
        <v>2024</v>
      </c>
      <c r="C40" s="93"/>
      <c r="D40" s="334">
        <f t="shared" si="0"/>
        <v>0</v>
      </c>
      <c r="E40" s="334">
        <f t="shared" si="1"/>
        <v>0</v>
      </c>
      <c r="F40" s="334">
        <f t="shared" si="2"/>
        <v>0</v>
      </c>
      <c r="G40" s="334">
        <f t="shared" si="3"/>
        <v>0</v>
      </c>
      <c r="H40" s="334">
        <f t="shared" si="4"/>
        <v>0</v>
      </c>
      <c r="I40" s="110">
        <f t="shared" si="11"/>
        <v>0</v>
      </c>
      <c r="J40" s="129"/>
      <c r="K40" s="128">
        <f>'Main calculation'!C37</f>
        <v>2024</v>
      </c>
      <c r="L40" s="93"/>
      <c r="M40" s="334">
        <f t="shared" si="5"/>
        <v>0</v>
      </c>
      <c r="N40" s="334">
        <f t="shared" si="6"/>
        <v>0</v>
      </c>
      <c r="O40" s="334">
        <f t="shared" si="7"/>
        <v>0</v>
      </c>
      <c r="P40" s="334">
        <f t="shared" si="8"/>
        <v>0</v>
      </c>
      <c r="Q40" s="334">
        <f t="shared" si="9"/>
        <v>0</v>
      </c>
      <c r="R40" s="110">
        <f t="shared" si="10"/>
        <v>0</v>
      </c>
      <c r="S40" s="4"/>
      <c r="T40" s="4"/>
      <c r="U40" s="4"/>
    </row>
    <row r="41" spans="1:21">
      <c r="A41" s="252" t="str">
        <f>IF('Main calculation'!$B$19=2025, "Starting year --&gt;","" )</f>
        <v/>
      </c>
      <c r="B41" s="128">
        <f>'Main calculation'!C38</f>
        <v>2025</v>
      </c>
      <c r="C41" s="93"/>
      <c r="D41" s="334">
        <f t="shared" si="0"/>
        <v>0</v>
      </c>
      <c r="E41" s="334">
        <f t="shared" si="1"/>
        <v>0</v>
      </c>
      <c r="F41" s="334">
        <f t="shared" si="2"/>
        <v>0</v>
      </c>
      <c r="G41" s="334">
        <f t="shared" si="3"/>
        <v>0</v>
      </c>
      <c r="H41" s="334">
        <f t="shared" si="4"/>
        <v>0</v>
      </c>
      <c r="I41" s="110">
        <f t="shared" si="11"/>
        <v>0</v>
      </c>
      <c r="J41" s="129"/>
      <c r="K41" s="128">
        <f>'Main calculation'!C38</f>
        <v>2025</v>
      </c>
      <c r="L41" s="93"/>
      <c r="M41" s="334">
        <f t="shared" si="5"/>
        <v>0</v>
      </c>
      <c r="N41" s="334">
        <f t="shared" si="6"/>
        <v>0</v>
      </c>
      <c r="O41" s="334">
        <f t="shared" si="7"/>
        <v>0</v>
      </c>
      <c r="P41" s="334">
        <f t="shared" si="8"/>
        <v>0</v>
      </c>
      <c r="Q41" s="334">
        <f t="shared" si="9"/>
        <v>0</v>
      </c>
      <c r="R41" s="110">
        <f t="shared" si="10"/>
        <v>0</v>
      </c>
      <c r="S41" s="4"/>
      <c r="T41" s="4"/>
      <c r="U41" s="4"/>
    </row>
    <row r="42" spans="1:21">
      <c r="A42" s="252" t="str">
        <f>IF('Main calculation'!$B$19=2026, "Starting year --&gt;","" )</f>
        <v/>
      </c>
      <c r="B42" s="128">
        <f>'Main calculation'!C39</f>
        <v>2026</v>
      </c>
      <c r="C42" s="93"/>
      <c r="D42" s="334">
        <f t="shared" si="0"/>
        <v>0</v>
      </c>
      <c r="E42" s="334">
        <f t="shared" si="1"/>
        <v>0</v>
      </c>
      <c r="F42" s="334">
        <f t="shared" si="2"/>
        <v>0</v>
      </c>
      <c r="G42" s="334">
        <f t="shared" si="3"/>
        <v>0</v>
      </c>
      <c r="H42" s="334">
        <f t="shared" si="4"/>
        <v>0</v>
      </c>
      <c r="I42" s="110">
        <f t="shared" si="11"/>
        <v>0</v>
      </c>
      <c r="J42" s="129"/>
      <c r="K42" s="128">
        <f>'Main calculation'!C39</f>
        <v>2026</v>
      </c>
      <c r="L42" s="93"/>
      <c r="M42" s="334">
        <f t="shared" si="5"/>
        <v>0</v>
      </c>
      <c r="N42" s="334">
        <f t="shared" si="6"/>
        <v>0</v>
      </c>
      <c r="O42" s="334">
        <f t="shared" si="7"/>
        <v>0</v>
      </c>
      <c r="P42" s="334">
        <f t="shared" si="8"/>
        <v>0</v>
      </c>
      <c r="Q42" s="334">
        <f t="shared" si="9"/>
        <v>0</v>
      </c>
      <c r="R42" s="110">
        <f t="shared" si="10"/>
        <v>0</v>
      </c>
      <c r="S42" s="4"/>
      <c r="T42" s="4"/>
      <c r="U42" s="4"/>
    </row>
    <row r="43" spans="1:21">
      <c r="A43" s="252" t="str">
        <f>IF('Main calculation'!$B$19=2027, "Starting year --&gt;","" )</f>
        <v/>
      </c>
      <c r="B43" s="128">
        <f>'Main calculation'!C40</f>
        <v>2027</v>
      </c>
      <c r="C43" s="93"/>
      <c r="D43" s="334">
        <f t="shared" si="0"/>
        <v>0</v>
      </c>
      <c r="E43" s="334">
        <f t="shared" si="1"/>
        <v>0</v>
      </c>
      <c r="F43" s="334">
        <f t="shared" si="2"/>
        <v>0</v>
      </c>
      <c r="G43" s="334">
        <f t="shared" si="3"/>
        <v>0</v>
      </c>
      <c r="H43" s="334">
        <f t="shared" si="4"/>
        <v>0</v>
      </c>
      <c r="I43" s="110">
        <f t="shared" si="11"/>
        <v>0</v>
      </c>
      <c r="J43" s="129"/>
      <c r="K43" s="128">
        <f>'Main calculation'!C40</f>
        <v>2027</v>
      </c>
      <c r="L43" s="93"/>
      <c r="M43" s="334">
        <f t="shared" si="5"/>
        <v>0</v>
      </c>
      <c r="N43" s="334">
        <f t="shared" si="6"/>
        <v>0</v>
      </c>
      <c r="O43" s="334">
        <f t="shared" si="7"/>
        <v>0</v>
      </c>
      <c r="P43" s="334">
        <f t="shared" si="8"/>
        <v>0</v>
      </c>
      <c r="Q43" s="334">
        <f t="shared" si="9"/>
        <v>0</v>
      </c>
      <c r="R43" s="110">
        <f t="shared" si="10"/>
        <v>0</v>
      </c>
      <c r="S43" s="4"/>
      <c r="T43" s="4"/>
      <c r="U43" s="4"/>
    </row>
    <row r="44" spans="1:21">
      <c r="A44" s="252" t="str">
        <f>IF('Main calculation'!$B$20=2028, "Finishing year --&gt;","" )</f>
        <v>Finishing year --&gt;</v>
      </c>
      <c r="B44" s="128">
        <f>'Main calculation'!C41</f>
        <v>2028</v>
      </c>
      <c r="C44" s="93"/>
      <c r="D44" s="334">
        <f t="shared" si="0"/>
        <v>0</v>
      </c>
      <c r="E44" s="334">
        <f t="shared" si="1"/>
        <v>0</v>
      </c>
      <c r="F44" s="334">
        <f t="shared" si="2"/>
        <v>0</v>
      </c>
      <c r="G44" s="334">
        <f t="shared" si="3"/>
        <v>0</v>
      </c>
      <c r="H44" s="334">
        <f t="shared" si="4"/>
        <v>0</v>
      </c>
      <c r="I44" s="110">
        <f t="shared" si="11"/>
        <v>0</v>
      </c>
      <c r="J44" s="129"/>
      <c r="K44" s="128">
        <f>'Main calculation'!C41</f>
        <v>2028</v>
      </c>
      <c r="L44" s="93"/>
      <c r="M44" s="334">
        <f t="shared" si="5"/>
        <v>0</v>
      </c>
      <c r="N44" s="334">
        <f t="shared" si="6"/>
        <v>0</v>
      </c>
      <c r="O44" s="334">
        <f t="shared" si="7"/>
        <v>0</v>
      </c>
      <c r="P44" s="334">
        <f t="shared" si="8"/>
        <v>0</v>
      </c>
      <c r="Q44" s="334">
        <f t="shared" si="9"/>
        <v>0</v>
      </c>
      <c r="R44" s="110">
        <f t="shared" si="10"/>
        <v>0</v>
      </c>
      <c r="S44" s="4"/>
      <c r="T44" s="4"/>
      <c r="U44" s="4"/>
    </row>
    <row r="45" spans="1:21">
      <c r="A45" s="252" t="str">
        <f>IF('Main calculation'!$B$20=2029, "Finishing year --&gt;","" )</f>
        <v/>
      </c>
      <c r="B45" s="128">
        <f>'Main calculation'!C42</f>
        <v>2029</v>
      </c>
      <c r="C45" s="93"/>
      <c r="D45" s="334">
        <f t="shared" si="0"/>
        <v>0</v>
      </c>
      <c r="E45" s="334">
        <f t="shared" si="1"/>
        <v>0</v>
      </c>
      <c r="F45" s="334">
        <f t="shared" si="2"/>
        <v>0</v>
      </c>
      <c r="G45" s="334">
        <f t="shared" si="3"/>
        <v>0</v>
      </c>
      <c r="H45" s="334">
        <f t="shared" si="4"/>
        <v>0</v>
      </c>
      <c r="I45" s="110">
        <f t="shared" si="11"/>
        <v>0</v>
      </c>
      <c r="J45" s="129"/>
      <c r="K45" s="128">
        <f>'Main calculation'!C42</f>
        <v>2029</v>
      </c>
      <c r="L45" s="93"/>
      <c r="M45" s="334">
        <f t="shared" si="5"/>
        <v>0</v>
      </c>
      <c r="N45" s="334">
        <f t="shared" si="6"/>
        <v>0</v>
      </c>
      <c r="O45" s="334">
        <f t="shared" si="7"/>
        <v>0</v>
      </c>
      <c r="P45" s="334">
        <f t="shared" si="8"/>
        <v>0</v>
      </c>
      <c r="Q45" s="334">
        <f t="shared" si="9"/>
        <v>0</v>
      </c>
      <c r="R45" s="110">
        <f t="shared" si="10"/>
        <v>0</v>
      </c>
      <c r="S45" s="4"/>
      <c r="T45" s="4"/>
      <c r="U45" s="4"/>
    </row>
    <row r="46" spans="1:21">
      <c r="A46" s="252" t="str">
        <f>IF('Main calculation'!$B$20=2030, "Finishing year --&gt;","" )</f>
        <v/>
      </c>
      <c r="B46" s="128">
        <f>'Main calculation'!C43</f>
        <v>2030</v>
      </c>
      <c r="C46" s="93"/>
      <c r="D46" s="334">
        <f t="shared" si="0"/>
        <v>0</v>
      </c>
      <c r="E46" s="334">
        <f t="shared" si="1"/>
        <v>0</v>
      </c>
      <c r="F46" s="334">
        <f t="shared" si="2"/>
        <v>0</v>
      </c>
      <c r="G46" s="334">
        <f t="shared" si="3"/>
        <v>0</v>
      </c>
      <c r="H46" s="334">
        <f t="shared" si="4"/>
        <v>0</v>
      </c>
      <c r="I46" s="110">
        <f t="shared" si="11"/>
        <v>0</v>
      </c>
      <c r="J46" s="129"/>
      <c r="K46" s="128">
        <f>'Main calculation'!C43</f>
        <v>2030</v>
      </c>
      <c r="L46" s="93"/>
      <c r="M46" s="334">
        <f t="shared" si="5"/>
        <v>0</v>
      </c>
      <c r="N46" s="334">
        <f t="shared" si="6"/>
        <v>0</v>
      </c>
      <c r="O46" s="334">
        <f t="shared" si="7"/>
        <v>0</v>
      </c>
      <c r="P46" s="334">
        <f t="shared" si="8"/>
        <v>0</v>
      </c>
      <c r="Q46" s="334">
        <f t="shared" si="9"/>
        <v>0</v>
      </c>
      <c r="R46" s="110">
        <f t="shared" si="10"/>
        <v>0</v>
      </c>
      <c r="S46" s="4"/>
      <c r="T46" s="4"/>
      <c r="U46" s="4"/>
    </row>
    <row r="47" spans="1:21">
      <c r="A47" s="252" t="str">
        <f>IF('Main calculation'!$B$20=2031, "Finishing year --&gt;","" )</f>
        <v/>
      </c>
    </row>
    <row r="48" spans="1:21">
      <c r="A48" s="252" t="str">
        <f>IF('Main calculation'!$B$20=2032, "Finishing year --&gt;","" )</f>
        <v/>
      </c>
    </row>
    <row r="49" spans="1:16">
      <c r="A49" s="252" t="str">
        <f>IF('Main calculation'!$B$20=2033, "Finishing year --&gt;","" )</f>
        <v/>
      </c>
    </row>
    <row r="51" spans="1:16">
      <c r="G51" s="92"/>
      <c r="H51" s="180"/>
      <c r="I51" s="92"/>
      <c r="J51" s="92"/>
      <c r="K51" s="92"/>
      <c r="L51" s="92"/>
      <c r="M51" s="92"/>
      <c r="N51" s="92"/>
      <c r="O51" s="92"/>
      <c r="P51" s="92"/>
    </row>
    <row r="52" spans="1:16">
      <c r="G52" s="92"/>
      <c r="H52" s="163"/>
      <c r="I52" s="163"/>
      <c r="J52" s="163"/>
      <c r="K52" s="163"/>
      <c r="L52" s="163"/>
      <c r="M52" s="163"/>
      <c r="N52" s="163"/>
      <c r="O52" s="163"/>
      <c r="P52" s="92"/>
    </row>
    <row r="53" spans="1:16">
      <c r="G53" s="92"/>
      <c r="H53" s="181"/>
      <c r="I53" s="181"/>
      <c r="J53" s="182"/>
      <c r="K53" s="181"/>
      <c r="L53" s="181"/>
      <c r="M53" s="181"/>
      <c r="N53" s="181"/>
      <c r="O53" s="181"/>
      <c r="P53" s="92"/>
    </row>
    <row r="54" spans="1:16">
      <c r="G54" s="92"/>
      <c r="H54" s="183"/>
      <c r="I54" s="183"/>
      <c r="J54" s="183"/>
      <c r="K54" s="183"/>
      <c r="L54" s="183"/>
      <c r="M54" s="183"/>
      <c r="N54" s="183"/>
      <c r="O54" s="183"/>
      <c r="P54" s="92"/>
    </row>
    <row r="55" spans="1:16">
      <c r="G55" s="92"/>
      <c r="H55" s="183"/>
      <c r="I55" s="183"/>
      <c r="J55" s="183"/>
      <c r="K55" s="183"/>
      <c r="L55" s="183"/>
      <c r="M55" s="183"/>
      <c r="N55" s="183"/>
      <c r="O55" s="183"/>
      <c r="P55" s="92"/>
    </row>
    <row r="56" spans="1:16">
      <c r="G56" s="92"/>
      <c r="H56" s="183"/>
      <c r="I56" s="183"/>
      <c r="J56" s="183"/>
      <c r="K56" s="183"/>
      <c r="L56" s="183"/>
      <c r="M56" s="183"/>
      <c r="N56" s="183"/>
      <c r="O56" s="183"/>
      <c r="P56" s="92"/>
    </row>
    <row r="57" spans="1:16">
      <c r="G57" s="92"/>
      <c r="H57" s="183"/>
      <c r="I57" s="183"/>
      <c r="J57" s="183"/>
      <c r="K57" s="183"/>
      <c r="L57" s="183"/>
      <c r="M57" s="183"/>
      <c r="N57" s="183"/>
      <c r="O57" s="183"/>
      <c r="P57" s="92"/>
    </row>
    <row r="58" spans="1:16">
      <c r="G58" s="92"/>
      <c r="H58" s="183"/>
      <c r="I58" s="184"/>
      <c r="J58" s="184"/>
      <c r="K58" s="184"/>
      <c r="L58" s="184"/>
      <c r="M58" s="184"/>
      <c r="N58" s="184"/>
      <c r="O58" s="184"/>
      <c r="P58" s="92"/>
    </row>
    <row r="59" spans="1:16">
      <c r="G59" s="92"/>
      <c r="H59" s="183"/>
      <c r="I59" s="183"/>
      <c r="J59" s="183"/>
      <c r="K59" s="183"/>
      <c r="L59" s="183"/>
      <c r="M59" s="183"/>
      <c r="N59" s="183"/>
      <c r="O59" s="186"/>
      <c r="P59" s="92"/>
    </row>
    <row r="60" spans="1:16">
      <c r="G60" s="92"/>
      <c r="H60" s="183"/>
      <c r="I60" s="183"/>
      <c r="J60" s="183"/>
      <c r="K60" s="183"/>
      <c r="L60" s="183"/>
      <c r="M60" s="183"/>
      <c r="N60" s="183"/>
      <c r="O60" s="186"/>
      <c r="P60" s="92"/>
    </row>
    <row r="61" spans="1:16">
      <c r="G61" s="92"/>
      <c r="H61" s="183"/>
      <c r="I61" s="183"/>
      <c r="J61" s="183"/>
      <c r="K61" s="183"/>
      <c r="L61" s="183"/>
      <c r="M61" s="183"/>
      <c r="N61" s="183"/>
      <c r="O61" s="183"/>
      <c r="P61" s="92"/>
    </row>
    <row r="62" spans="1:16">
      <c r="G62" s="92"/>
      <c r="H62" s="183"/>
      <c r="I62" s="183"/>
      <c r="J62" s="183"/>
      <c r="K62" s="183"/>
      <c r="L62" s="183"/>
      <c r="M62" s="183"/>
      <c r="N62" s="183"/>
      <c r="O62" s="183"/>
      <c r="P62" s="92"/>
    </row>
    <row r="63" spans="1:16">
      <c r="G63" s="92"/>
      <c r="H63" s="183"/>
      <c r="I63" s="185"/>
      <c r="J63" s="183"/>
      <c r="K63" s="183"/>
      <c r="L63" s="183"/>
      <c r="M63" s="183"/>
      <c r="N63" s="183"/>
      <c r="O63" s="163"/>
      <c r="P63" s="92"/>
    </row>
    <row r="64" spans="1:16">
      <c r="G64" s="92"/>
      <c r="H64" s="163"/>
      <c r="I64" s="163"/>
      <c r="J64" s="163"/>
      <c r="K64" s="163"/>
      <c r="L64" s="163"/>
      <c r="M64" s="163"/>
      <c r="N64" s="163"/>
      <c r="O64" s="163"/>
      <c r="P64" s="92"/>
    </row>
    <row r="65" spans="7:16">
      <c r="G65" s="92"/>
      <c r="H65" s="163"/>
      <c r="I65" s="163"/>
      <c r="J65" s="163"/>
      <c r="K65" s="163"/>
      <c r="L65" s="163"/>
      <c r="M65" s="163"/>
      <c r="N65" s="163"/>
      <c r="O65" s="163"/>
      <c r="P65" s="92"/>
    </row>
  </sheetData>
  <mergeCells count="7">
    <mergeCell ref="A3:I3"/>
    <mergeCell ref="A6:I6"/>
    <mergeCell ref="J9:K9"/>
    <mergeCell ref="A12:E12"/>
    <mergeCell ref="A10:E10"/>
    <mergeCell ref="A11:E11"/>
    <mergeCell ref="A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L36"/>
  <sheetViews>
    <sheetView zoomScale="85" zoomScaleNormal="85" workbookViewId="0"/>
  </sheetViews>
  <sheetFormatPr defaultRowHeight="14.4"/>
  <cols>
    <col min="1" max="1" width="16" customWidth="1"/>
    <col min="2" max="6" width="15.6640625" customWidth="1"/>
    <col min="7" max="7" width="5.5546875" customWidth="1"/>
    <col min="8" max="12" width="15.6640625" customWidth="1"/>
  </cols>
  <sheetData>
    <row r="1" spans="1:12" ht="18">
      <c r="A1" s="157" t="s">
        <v>262</v>
      </c>
    </row>
    <row r="2" spans="1:12">
      <c r="A2" s="160" t="s">
        <v>251</v>
      </c>
    </row>
    <row r="3" spans="1:12" ht="45.75" customHeight="1">
      <c r="A3" s="417" t="s">
        <v>281</v>
      </c>
      <c r="B3" s="417"/>
      <c r="C3" s="417"/>
      <c r="D3" s="417"/>
      <c r="E3" s="417"/>
      <c r="F3" s="417"/>
      <c r="G3" s="161"/>
      <c r="H3" s="161"/>
      <c r="I3" s="161"/>
      <c r="J3" s="161"/>
      <c r="K3" s="161"/>
    </row>
    <row r="4" spans="1:12">
      <c r="A4" s="160"/>
    </row>
    <row r="5" spans="1:12">
      <c r="A5" s="160" t="s">
        <v>237</v>
      </c>
      <c r="B5" s="160"/>
    </row>
    <row r="6" spans="1:12">
      <c r="A6" t="s">
        <v>260</v>
      </c>
    </row>
    <row r="7" spans="1:12">
      <c r="A7" t="s">
        <v>261</v>
      </c>
    </row>
    <row r="8" spans="1:12">
      <c r="A8" s="415" t="s">
        <v>245</v>
      </c>
      <c r="B8" s="415"/>
      <c r="C8" s="415"/>
      <c r="D8" s="415"/>
      <c r="E8" s="415"/>
    </row>
    <row r="10" spans="1:12">
      <c r="A10" s="5"/>
      <c r="B10" s="5"/>
      <c r="E10" s="21" t="str">
        <f>HLOOKUP('Main calculation'!$B$17,'Monetary Values'!$D$4:$G$74,67,FALSE)</f>
        <v>EURg/km</v>
      </c>
    </row>
    <row r="11" spans="1:12">
      <c r="A11" s="187" t="s">
        <v>287</v>
      </c>
      <c r="B11" s="187"/>
      <c r="C11" s="187"/>
      <c r="D11" s="187"/>
      <c r="E11" s="227">
        <f>HLOOKUP('Main calculation'!$B$17,'Monetary Values'!$D$4:$G$74,71,FALSE)</f>
        <v>7.8101272607337707E-2</v>
      </c>
    </row>
    <row r="12" spans="1:12">
      <c r="A12" s="187" t="s">
        <v>178</v>
      </c>
      <c r="B12" s="187"/>
      <c r="C12" s="187"/>
      <c r="D12" s="187"/>
      <c r="E12" s="227">
        <f>HLOOKUP('Main calculation'!$B$17,'Monetary Values'!$D$4:$G$74,65,FALSE)</f>
        <v>0.16136145102990435</v>
      </c>
    </row>
    <row r="14" spans="1:12" ht="18">
      <c r="B14" s="302" t="s">
        <v>1</v>
      </c>
      <c r="C14" s="302"/>
      <c r="D14" s="303"/>
      <c r="E14" s="303"/>
      <c r="F14" s="303"/>
      <c r="G14" s="112"/>
      <c r="H14" s="304" t="s">
        <v>2</v>
      </c>
      <c r="I14" s="304"/>
      <c r="J14" s="305"/>
      <c r="K14" s="305"/>
      <c r="L14" s="305"/>
    </row>
    <row r="15" spans="1:12" ht="43.2">
      <c r="B15" s="334" t="s">
        <v>0</v>
      </c>
      <c r="C15" s="398" t="s">
        <v>153</v>
      </c>
      <c r="D15" s="398" t="s">
        <v>166</v>
      </c>
      <c r="E15" s="398" t="s">
        <v>10</v>
      </c>
      <c r="F15" s="398" t="s">
        <v>176</v>
      </c>
      <c r="G15" s="129"/>
      <c r="H15" s="334" t="s">
        <v>0</v>
      </c>
      <c r="I15" s="398" t="s">
        <v>153</v>
      </c>
      <c r="J15" s="398" t="s">
        <v>166</v>
      </c>
      <c r="K15" s="398" t="s">
        <v>10</v>
      </c>
      <c r="L15" s="398" t="s">
        <v>176</v>
      </c>
    </row>
    <row r="16" spans="1:12">
      <c r="A16" s="252" t="str">
        <f>IF('Main calculation'!$B$19=2013, "Starting year --&gt;","" )</f>
        <v/>
      </c>
      <c r="B16" s="334">
        <f>'Main calculation'!C26</f>
        <v>2013</v>
      </c>
      <c r="C16" s="94"/>
      <c r="D16" s="93"/>
      <c r="E16" s="334">
        <f>'Main calculation'!$B$21</f>
        <v>300</v>
      </c>
      <c r="F16" s="110">
        <f>($E$11*D16*E16)+$E$12*C16</f>
        <v>0</v>
      </c>
      <c r="G16" s="129"/>
      <c r="H16" s="334">
        <f>'Main calculation'!C26</f>
        <v>2013</v>
      </c>
      <c r="I16" s="94"/>
      <c r="J16" s="93"/>
      <c r="K16" s="334">
        <f>E16</f>
        <v>300</v>
      </c>
      <c r="L16" s="110">
        <f t="shared" ref="L16:L33" si="0">($E$11*J16)*K16+$E$12*I16</f>
        <v>0</v>
      </c>
    </row>
    <row r="17" spans="1:12">
      <c r="A17" s="252" t="str">
        <f>IF('Main calculation'!$B$19=2014, "Starting year --&gt;","" )</f>
        <v>Starting year --&gt;</v>
      </c>
      <c r="B17" s="334">
        <f>'Main calculation'!C27</f>
        <v>2014</v>
      </c>
      <c r="C17" s="94"/>
      <c r="D17" s="93"/>
      <c r="E17" s="334">
        <f>'Main calculation'!$B$21</f>
        <v>300</v>
      </c>
      <c r="F17" s="110">
        <f t="shared" ref="F17:F33" si="1">($E$11*D17)*E17+$E$12*C17</f>
        <v>0</v>
      </c>
      <c r="G17" s="129"/>
      <c r="H17" s="334">
        <f>'Main calculation'!C27</f>
        <v>2014</v>
      </c>
      <c r="I17" s="94"/>
      <c r="J17" s="93"/>
      <c r="K17" s="334">
        <f>E17</f>
        <v>300</v>
      </c>
      <c r="L17" s="110">
        <f t="shared" si="0"/>
        <v>0</v>
      </c>
    </row>
    <row r="18" spans="1:12">
      <c r="A18" s="252" t="str">
        <f>IF('Main calculation'!$B$19=2015, "Starting year --&gt;","" )</f>
        <v/>
      </c>
      <c r="B18" s="334">
        <f>'Main calculation'!C28</f>
        <v>2015</v>
      </c>
      <c r="C18" s="94"/>
      <c r="D18" s="93"/>
      <c r="E18" s="334">
        <f>'Main calculation'!$B$21</f>
        <v>300</v>
      </c>
      <c r="F18" s="110">
        <f t="shared" si="1"/>
        <v>0</v>
      </c>
      <c r="G18" s="129"/>
      <c r="H18" s="334">
        <f>'Main calculation'!C28</f>
        <v>2015</v>
      </c>
      <c r="I18" s="94"/>
      <c r="J18" s="93"/>
      <c r="K18" s="334">
        <f>E18</f>
        <v>300</v>
      </c>
      <c r="L18" s="110">
        <f t="shared" si="0"/>
        <v>0</v>
      </c>
    </row>
    <row r="19" spans="1:12">
      <c r="A19" s="252" t="str">
        <f>IF('Main calculation'!$B$19=2016, "Starting year --&gt;","" )</f>
        <v/>
      </c>
      <c r="B19" s="334">
        <f>'Main calculation'!C29</f>
        <v>2016</v>
      </c>
      <c r="C19" s="94"/>
      <c r="D19" s="93"/>
      <c r="E19" s="334">
        <f>'Main calculation'!$B$21</f>
        <v>300</v>
      </c>
      <c r="F19" s="110">
        <f t="shared" si="1"/>
        <v>0</v>
      </c>
      <c r="G19" s="129"/>
      <c r="H19" s="334">
        <f>'Main calculation'!C29</f>
        <v>2016</v>
      </c>
      <c r="I19" s="94"/>
      <c r="J19" s="93"/>
      <c r="K19" s="334">
        <f t="shared" ref="K19:K33" si="2">E19</f>
        <v>300</v>
      </c>
      <c r="L19" s="110">
        <f t="shared" si="0"/>
        <v>0</v>
      </c>
    </row>
    <row r="20" spans="1:12">
      <c r="A20" s="252" t="str">
        <f>IF('Main calculation'!$B$19=2017, "Starting year --&gt;","" )</f>
        <v/>
      </c>
      <c r="B20" s="334">
        <f>'Main calculation'!C30</f>
        <v>2017</v>
      </c>
      <c r="C20" s="94"/>
      <c r="D20" s="93"/>
      <c r="E20" s="334">
        <f>'Main calculation'!$B$21</f>
        <v>300</v>
      </c>
      <c r="F20" s="110">
        <f t="shared" si="1"/>
        <v>0</v>
      </c>
      <c r="G20" s="129"/>
      <c r="H20" s="334">
        <f>'Main calculation'!C30</f>
        <v>2017</v>
      </c>
      <c r="I20" s="94"/>
      <c r="J20" s="93"/>
      <c r="K20" s="334">
        <f t="shared" si="2"/>
        <v>300</v>
      </c>
      <c r="L20" s="110">
        <f t="shared" si="0"/>
        <v>0</v>
      </c>
    </row>
    <row r="21" spans="1:12">
      <c r="A21" s="252" t="str">
        <f>IF('Main calculation'!$B$19=2018, "Starting year --&gt;","" )</f>
        <v/>
      </c>
      <c r="B21" s="334">
        <f>'Main calculation'!C31</f>
        <v>2018</v>
      </c>
      <c r="C21" s="94"/>
      <c r="D21" s="93"/>
      <c r="E21" s="334">
        <f>'Main calculation'!$B$21</f>
        <v>300</v>
      </c>
      <c r="F21" s="110">
        <f t="shared" si="1"/>
        <v>0</v>
      </c>
      <c r="G21" s="129"/>
      <c r="H21" s="334">
        <f>'Main calculation'!C31</f>
        <v>2018</v>
      </c>
      <c r="I21" s="94"/>
      <c r="J21" s="93"/>
      <c r="K21" s="334">
        <f t="shared" si="2"/>
        <v>300</v>
      </c>
      <c r="L21" s="110">
        <f t="shared" si="0"/>
        <v>0</v>
      </c>
    </row>
    <row r="22" spans="1:12">
      <c r="A22" s="252" t="str">
        <f>IF('Main calculation'!$B$19=2019, "Starting year --&gt;","" )</f>
        <v/>
      </c>
      <c r="B22" s="334">
        <f>'Main calculation'!C32</f>
        <v>2019</v>
      </c>
      <c r="C22" s="94"/>
      <c r="D22" s="93"/>
      <c r="E22" s="334">
        <f>'Main calculation'!$B$21</f>
        <v>300</v>
      </c>
      <c r="F22" s="110">
        <f t="shared" si="1"/>
        <v>0</v>
      </c>
      <c r="G22" s="129"/>
      <c r="H22" s="334">
        <f>'Main calculation'!C32</f>
        <v>2019</v>
      </c>
      <c r="I22" s="94"/>
      <c r="J22" s="93"/>
      <c r="K22" s="334">
        <f t="shared" si="2"/>
        <v>300</v>
      </c>
      <c r="L22" s="110">
        <f t="shared" si="0"/>
        <v>0</v>
      </c>
    </row>
    <row r="23" spans="1:12">
      <c r="A23" s="252" t="str">
        <f>IF('Main calculation'!$B$19=2020, "Starting year --&gt;","" )</f>
        <v/>
      </c>
      <c r="B23" s="334">
        <f>'Main calculation'!C33</f>
        <v>2020</v>
      </c>
      <c r="C23" s="94"/>
      <c r="D23" s="93"/>
      <c r="E23" s="334">
        <f>'Main calculation'!$B$21</f>
        <v>300</v>
      </c>
      <c r="F23" s="110">
        <f t="shared" si="1"/>
        <v>0</v>
      </c>
      <c r="G23" s="129"/>
      <c r="H23" s="334">
        <f>'Main calculation'!C33</f>
        <v>2020</v>
      </c>
      <c r="I23" s="94"/>
      <c r="J23" s="93"/>
      <c r="K23" s="334">
        <f t="shared" si="2"/>
        <v>300</v>
      </c>
      <c r="L23" s="110">
        <f t="shared" si="0"/>
        <v>0</v>
      </c>
    </row>
    <row r="24" spans="1:12">
      <c r="A24" s="252" t="str">
        <f>IF('Main calculation'!$B$19=2021, "Starting year --&gt;","" )</f>
        <v/>
      </c>
      <c r="B24" s="334">
        <f>'Main calculation'!C34</f>
        <v>2021</v>
      </c>
      <c r="C24" s="94"/>
      <c r="D24" s="93"/>
      <c r="E24" s="334">
        <f>'Main calculation'!$B$21</f>
        <v>300</v>
      </c>
      <c r="F24" s="110">
        <f t="shared" si="1"/>
        <v>0</v>
      </c>
      <c r="G24" s="129"/>
      <c r="H24" s="334">
        <f>'Main calculation'!C34</f>
        <v>2021</v>
      </c>
      <c r="I24" s="94"/>
      <c r="J24" s="93"/>
      <c r="K24" s="334">
        <f t="shared" si="2"/>
        <v>300</v>
      </c>
      <c r="L24" s="110">
        <f t="shared" si="0"/>
        <v>0</v>
      </c>
    </row>
    <row r="25" spans="1:12">
      <c r="A25" s="252" t="str">
        <f>IF('Main calculation'!$B$19=2022, "Starting year --&gt;","" )</f>
        <v/>
      </c>
      <c r="B25" s="334">
        <f>'Main calculation'!C35</f>
        <v>2022</v>
      </c>
      <c r="C25" s="94"/>
      <c r="D25" s="93"/>
      <c r="E25" s="334">
        <f>'Main calculation'!$B$21</f>
        <v>300</v>
      </c>
      <c r="F25" s="110">
        <f t="shared" si="1"/>
        <v>0</v>
      </c>
      <c r="G25" s="129"/>
      <c r="H25" s="334">
        <f>'Main calculation'!C35</f>
        <v>2022</v>
      </c>
      <c r="I25" s="94"/>
      <c r="J25" s="93"/>
      <c r="K25" s="334">
        <f t="shared" si="2"/>
        <v>300</v>
      </c>
      <c r="L25" s="110">
        <f t="shared" si="0"/>
        <v>0</v>
      </c>
    </row>
    <row r="26" spans="1:12">
      <c r="A26" s="252" t="str">
        <f>IF('Main calculation'!$B$19=2023, "Starting year --&gt;","" )</f>
        <v/>
      </c>
      <c r="B26" s="334">
        <f>'Main calculation'!C36</f>
        <v>2023</v>
      </c>
      <c r="C26" s="94"/>
      <c r="D26" s="93"/>
      <c r="E26" s="334">
        <f>'Main calculation'!$B$21</f>
        <v>300</v>
      </c>
      <c r="F26" s="110">
        <f t="shared" si="1"/>
        <v>0</v>
      </c>
      <c r="G26" s="129"/>
      <c r="H26" s="334">
        <f>'Main calculation'!C36</f>
        <v>2023</v>
      </c>
      <c r="I26" s="94"/>
      <c r="J26" s="93"/>
      <c r="K26" s="334">
        <f t="shared" si="2"/>
        <v>300</v>
      </c>
      <c r="L26" s="110">
        <f t="shared" si="0"/>
        <v>0</v>
      </c>
    </row>
    <row r="27" spans="1:12">
      <c r="A27" s="252" t="str">
        <f>IF('Main calculation'!$B$19=2024, "Starting year --&gt;","" )</f>
        <v/>
      </c>
      <c r="B27" s="334">
        <f>'Main calculation'!C37</f>
        <v>2024</v>
      </c>
      <c r="C27" s="94"/>
      <c r="D27" s="93"/>
      <c r="E27" s="334">
        <f>'Main calculation'!$B$21</f>
        <v>300</v>
      </c>
      <c r="F27" s="110">
        <f t="shared" si="1"/>
        <v>0</v>
      </c>
      <c r="G27" s="129"/>
      <c r="H27" s="334">
        <f>'Main calculation'!C37</f>
        <v>2024</v>
      </c>
      <c r="I27" s="94"/>
      <c r="J27" s="93"/>
      <c r="K27" s="334">
        <f t="shared" si="2"/>
        <v>300</v>
      </c>
      <c r="L27" s="110">
        <f t="shared" si="0"/>
        <v>0</v>
      </c>
    </row>
    <row r="28" spans="1:12">
      <c r="A28" s="252" t="str">
        <f>IF('Main calculation'!$B$19=2025, "Starting year --&gt;","" )</f>
        <v/>
      </c>
      <c r="B28" s="334">
        <f>'Main calculation'!C38</f>
        <v>2025</v>
      </c>
      <c r="C28" s="94"/>
      <c r="D28" s="93"/>
      <c r="E28" s="334">
        <f>'Main calculation'!$B$21</f>
        <v>300</v>
      </c>
      <c r="F28" s="110">
        <f t="shared" si="1"/>
        <v>0</v>
      </c>
      <c r="G28" s="129"/>
      <c r="H28" s="334">
        <f>'Main calculation'!C38</f>
        <v>2025</v>
      </c>
      <c r="I28" s="94"/>
      <c r="J28" s="93"/>
      <c r="K28" s="334">
        <f t="shared" si="2"/>
        <v>300</v>
      </c>
      <c r="L28" s="110">
        <f t="shared" si="0"/>
        <v>0</v>
      </c>
    </row>
    <row r="29" spans="1:12">
      <c r="A29" s="252" t="str">
        <f>IF('Main calculation'!$B$19=2026, "Starting year --&gt;","" )</f>
        <v/>
      </c>
      <c r="B29" s="334">
        <f>'Main calculation'!C39</f>
        <v>2026</v>
      </c>
      <c r="C29" s="94"/>
      <c r="D29" s="93"/>
      <c r="E29" s="334">
        <f>'Main calculation'!$B$21</f>
        <v>300</v>
      </c>
      <c r="F29" s="110">
        <f t="shared" si="1"/>
        <v>0</v>
      </c>
      <c r="G29" s="129"/>
      <c r="H29" s="334">
        <f>'Main calculation'!C39</f>
        <v>2026</v>
      </c>
      <c r="I29" s="94"/>
      <c r="J29" s="93"/>
      <c r="K29" s="334">
        <f t="shared" si="2"/>
        <v>300</v>
      </c>
      <c r="L29" s="110">
        <f t="shared" si="0"/>
        <v>0</v>
      </c>
    </row>
    <row r="30" spans="1:12">
      <c r="A30" s="252" t="str">
        <f>IF('Main calculation'!$B$19=2027, "Starting year --&gt;","" )</f>
        <v/>
      </c>
      <c r="B30" s="334">
        <f>'Main calculation'!C40</f>
        <v>2027</v>
      </c>
      <c r="C30" s="94"/>
      <c r="D30" s="93"/>
      <c r="E30" s="334">
        <f>'Main calculation'!$B$21</f>
        <v>300</v>
      </c>
      <c r="F30" s="110">
        <f t="shared" si="1"/>
        <v>0</v>
      </c>
      <c r="G30" s="129"/>
      <c r="H30" s="334">
        <f>'Main calculation'!C40</f>
        <v>2027</v>
      </c>
      <c r="I30" s="94"/>
      <c r="J30" s="93"/>
      <c r="K30" s="334">
        <f t="shared" si="2"/>
        <v>300</v>
      </c>
      <c r="L30" s="110">
        <f t="shared" si="0"/>
        <v>0</v>
      </c>
    </row>
    <row r="31" spans="1:12">
      <c r="A31" s="252" t="str">
        <f>IF('Main calculation'!$B$20=2028, "Finishing year --&gt;","" )</f>
        <v>Finishing year --&gt;</v>
      </c>
      <c r="B31" s="334">
        <f>'Main calculation'!C41</f>
        <v>2028</v>
      </c>
      <c r="C31" s="94"/>
      <c r="D31" s="93"/>
      <c r="E31" s="334">
        <f>'Main calculation'!$B$21</f>
        <v>300</v>
      </c>
      <c r="F31" s="110">
        <f t="shared" si="1"/>
        <v>0</v>
      </c>
      <c r="G31" s="129"/>
      <c r="H31" s="334">
        <f>'Main calculation'!C41</f>
        <v>2028</v>
      </c>
      <c r="I31" s="94"/>
      <c r="J31" s="93"/>
      <c r="K31" s="334">
        <f t="shared" si="2"/>
        <v>300</v>
      </c>
      <c r="L31" s="110">
        <f t="shared" si="0"/>
        <v>0</v>
      </c>
    </row>
    <row r="32" spans="1:12">
      <c r="A32" s="252" t="str">
        <f>IF('Main calculation'!$B$20=2029, "Finishing year --&gt;","" )</f>
        <v/>
      </c>
      <c r="B32" s="334">
        <f>'Main calculation'!C42</f>
        <v>2029</v>
      </c>
      <c r="C32" s="94"/>
      <c r="D32" s="93"/>
      <c r="E32" s="334">
        <f>'Main calculation'!$B$21</f>
        <v>300</v>
      </c>
      <c r="F32" s="110">
        <f t="shared" si="1"/>
        <v>0</v>
      </c>
      <c r="G32" s="129"/>
      <c r="H32" s="334">
        <f>'Main calculation'!C42</f>
        <v>2029</v>
      </c>
      <c r="I32" s="94"/>
      <c r="J32" s="93"/>
      <c r="K32" s="334">
        <f t="shared" si="2"/>
        <v>300</v>
      </c>
      <c r="L32" s="110">
        <f t="shared" si="0"/>
        <v>0</v>
      </c>
    </row>
    <row r="33" spans="1:12">
      <c r="A33" s="252" t="str">
        <f>IF('Main calculation'!$B$20=2030, "Finishing year --&gt;","" )</f>
        <v/>
      </c>
      <c r="B33" s="334">
        <f>'Main calculation'!C43</f>
        <v>2030</v>
      </c>
      <c r="C33" s="94"/>
      <c r="D33" s="93"/>
      <c r="E33" s="334">
        <f>'Main calculation'!$B$21</f>
        <v>300</v>
      </c>
      <c r="F33" s="110">
        <f t="shared" si="1"/>
        <v>0</v>
      </c>
      <c r="G33" s="129"/>
      <c r="H33" s="334">
        <f>'Main calculation'!C43</f>
        <v>2030</v>
      </c>
      <c r="I33" s="94"/>
      <c r="J33" s="93"/>
      <c r="K33" s="334">
        <f t="shared" si="2"/>
        <v>300</v>
      </c>
      <c r="L33" s="110">
        <f t="shared" si="0"/>
        <v>0</v>
      </c>
    </row>
    <row r="34" spans="1:12">
      <c r="A34" s="252" t="str">
        <f>IF('Main calculation'!$B$20=2031, "Finishing year --&gt;","" )</f>
        <v/>
      </c>
    </row>
    <row r="35" spans="1:12">
      <c r="A35" s="252" t="str">
        <f>IF('Main calculation'!$B$20=2032, "Finishing year --&gt;","" )</f>
        <v/>
      </c>
      <c r="E35" s="300"/>
    </row>
    <row r="36" spans="1:12">
      <c r="A36" s="252" t="str">
        <f>IF('Main calculation'!$B$20=2033, "Finishing year --&gt;","" )</f>
        <v/>
      </c>
    </row>
  </sheetData>
  <mergeCells count="2">
    <mergeCell ref="A8:E8"/>
    <mergeCell ref="A3:F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J33"/>
  <sheetViews>
    <sheetView zoomScale="85" zoomScaleNormal="85" workbookViewId="0"/>
  </sheetViews>
  <sheetFormatPr defaultRowHeight="14.4"/>
  <cols>
    <col min="1" max="1" width="16" customWidth="1"/>
    <col min="2" max="10" width="15.6640625" customWidth="1"/>
  </cols>
  <sheetData>
    <row r="1" spans="1:10" ht="18">
      <c r="A1" s="157" t="s">
        <v>286</v>
      </c>
    </row>
    <row r="2" spans="1:10">
      <c r="A2" s="160" t="s">
        <v>251</v>
      </c>
    </row>
    <row r="3" spans="1:10" ht="30" customHeight="1">
      <c r="A3" s="415" t="s">
        <v>200</v>
      </c>
      <c r="B3" s="415"/>
      <c r="C3" s="415"/>
      <c r="D3" s="415"/>
      <c r="E3" s="415"/>
      <c r="F3" s="415"/>
      <c r="G3" s="415"/>
      <c r="H3" s="415"/>
      <c r="I3" s="415"/>
    </row>
    <row r="5" spans="1:10">
      <c r="A5" s="160" t="s">
        <v>237</v>
      </c>
    </row>
    <row r="6" spans="1:10">
      <c r="A6" t="s">
        <v>263</v>
      </c>
      <c r="C6" s="176"/>
    </row>
    <row r="7" spans="1:10" ht="15" customHeight="1">
      <c r="A7" s="360" t="s">
        <v>245</v>
      </c>
      <c r="B7" s="360"/>
      <c r="C7" s="360"/>
      <c r="D7" s="360"/>
      <c r="E7" s="360"/>
    </row>
    <row r="8" spans="1:10">
      <c r="C8" s="176"/>
    </row>
    <row r="9" spans="1:10">
      <c r="A9" s="187" t="s">
        <v>150</v>
      </c>
      <c r="B9" s="187"/>
      <c r="C9" s="187"/>
      <c r="D9" s="326">
        <f>HLOOKUP('Main calculation'!$B$17,'Monetary Values'!$D$4:$G$72,69,FALSE)</f>
        <v>5.2813852814021824E-3</v>
      </c>
    </row>
    <row r="10" spans="1:10">
      <c r="A10" s="170"/>
      <c r="B10" s="175"/>
    </row>
    <row r="11" spans="1:10" ht="18">
      <c r="B11" s="302" t="s">
        <v>1</v>
      </c>
      <c r="C11" s="303"/>
      <c r="D11" s="303"/>
      <c r="E11" s="303"/>
      <c r="F11" s="112"/>
      <c r="G11" s="304" t="s">
        <v>2</v>
      </c>
      <c r="H11" s="305"/>
      <c r="I11" s="305"/>
      <c r="J11" s="305"/>
    </row>
    <row r="12" spans="1:10" ht="43.2">
      <c r="B12" s="334" t="s">
        <v>0</v>
      </c>
      <c r="C12" s="398" t="s">
        <v>202</v>
      </c>
      <c r="D12" s="398" t="s">
        <v>10</v>
      </c>
      <c r="E12" s="398" t="s">
        <v>161</v>
      </c>
      <c r="F12" s="129"/>
      <c r="G12" s="334" t="s">
        <v>0</v>
      </c>
      <c r="H12" s="398" t="s">
        <v>202</v>
      </c>
      <c r="I12" s="398" t="s">
        <v>10</v>
      </c>
      <c r="J12" s="398" t="s">
        <v>161</v>
      </c>
    </row>
    <row r="13" spans="1:10">
      <c r="A13" s="252" t="str">
        <f>IF('Main calculation'!$B$19=2013, "Starting year --&gt;","" )</f>
        <v/>
      </c>
      <c r="B13" s="334">
        <f>'Main calculation'!C26</f>
        <v>2013</v>
      </c>
      <c r="C13" s="93"/>
      <c r="D13" s="334">
        <f>'Main calculation'!$B$21</f>
        <v>300</v>
      </c>
      <c r="E13" s="110">
        <f t="shared" ref="E13:E30" si="0">$D$9*C13*D13</f>
        <v>0</v>
      </c>
      <c r="F13" s="129"/>
      <c r="G13" s="334">
        <f>'Main calculation'!C26</f>
        <v>2013</v>
      </c>
      <c r="H13" s="93"/>
      <c r="I13" s="334">
        <f>D13</f>
        <v>300</v>
      </c>
      <c r="J13" s="110">
        <f t="shared" ref="J13:J30" si="1">$D$9*H13*I13</f>
        <v>0</v>
      </c>
    </row>
    <row r="14" spans="1:10">
      <c r="A14" s="252" t="str">
        <f>IF('Main calculation'!$B$19=2014, "Starting year --&gt;","" )</f>
        <v>Starting year --&gt;</v>
      </c>
      <c r="B14" s="334">
        <f>'Main calculation'!C27</f>
        <v>2014</v>
      </c>
      <c r="C14" s="93">
        <v>5600</v>
      </c>
      <c r="D14" s="334">
        <f>'Main calculation'!$B$21</f>
        <v>300</v>
      </c>
      <c r="E14" s="110">
        <f t="shared" si="0"/>
        <v>8872.7272727556665</v>
      </c>
      <c r="F14" s="129"/>
      <c r="G14" s="334">
        <f>'Main calculation'!C27</f>
        <v>2014</v>
      </c>
      <c r="H14" s="93">
        <v>7000</v>
      </c>
      <c r="I14" s="334">
        <f>D14</f>
        <v>300</v>
      </c>
      <c r="J14" s="110">
        <f t="shared" si="1"/>
        <v>11090.909090944582</v>
      </c>
    </row>
    <row r="15" spans="1:10">
      <c r="A15" s="252" t="str">
        <f>IF('Main calculation'!$B$19=2015, "Starting year --&gt;","" )</f>
        <v/>
      </c>
      <c r="B15" s="334">
        <f>'Main calculation'!C28</f>
        <v>2015</v>
      </c>
      <c r="C15" s="93">
        <v>5600</v>
      </c>
      <c r="D15" s="334">
        <f>'Main calculation'!$B$21</f>
        <v>300</v>
      </c>
      <c r="E15" s="110">
        <f t="shared" si="0"/>
        <v>8872.7272727556665</v>
      </c>
      <c r="F15" s="129"/>
      <c r="G15" s="334">
        <f>'Main calculation'!C28</f>
        <v>2015</v>
      </c>
      <c r="H15" s="93">
        <v>7000</v>
      </c>
      <c r="I15" s="334">
        <f t="shared" ref="I15:I30" si="2">D15</f>
        <v>300</v>
      </c>
      <c r="J15" s="110">
        <f t="shared" si="1"/>
        <v>11090.909090944582</v>
      </c>
    </row>
    <row r="16" spans="1:10">
      <c r="A16" s="252" t="str">
        <f>IF('Main calculation'!$B$19=2016, "Starting year --&gt;","" )</f>
        <v/>
      </c>
      <c r="B16" s="334">
        <f>'Main calculation'!C29</f>
        <v>2016</v>
      </c>
      <c r="C16" s="93">
        <v>5600</v>
      </c>
      <c r="D16" s="334">
        <f>'Main calculation'!$B$21</f>
        <v>300</v>
      </c>
      <c r="E16" s="110">
        <f t="shared" si="0"/>
        <v>8872.7272727556665</v>
      </c>
      <c r="F16" s="129"/>
      <c r="G16" s="334">
        <f>'Main calculation'!C29</f>
        <v>2016</v>
      </c>
      <c r="H16" s="93">
        <v>7000</v>
      </c>
      <c r="I16" s="334">
        <f t="shared" si="2"/>
        <v>300</v>
      </c>
      <c r="J16" s="110">
        <f t="shared" si="1"/>
        <v>11090.909090944582</v>
      </c>
    </row>
    <row r="17" spans="1:10">
      <c r="A17" s="252" t="str">
        <f>IF('Main calculation'!$B$19=2017, "Starting year --&gt;","" )</f>
        <v/>
      </c>
      <c r="B17" s="334">
        <f>'Main calculation'!C30</f>
        <v>2017</v>
      </c>
      <c r="C17" s="93">
        <v>5600</v>
      </c>
      <c r="D17" s="334">
        <f>'Main calculation'!$B$21</f>
        <v>300</v>
      </c>
      <c r="E17" s="110">
        <f t="shared" si="0"/>
        <v>8872.7272727556665</v>
      </c>
      <c r="F17" s="129"/>
      <c r="G17" s="334">
        <f>'Main calculation'!C30</f>
        <v>2017</v>
      </c>
      <c r="H17" s="93">
        <v>7000</v>
      </c>
      <c r="I17" s="334">
        <f t="shared" si="2"/>
        <v>300</v>
      </c>
      <c r="J17" s="110">
        <f t="shared" si="1"/>
        <v>11090.909090944582</v>
      </c>
    </row>
    <row r="18" spans="1:10">
      <c r="A18" s="252" t="str">
        <f>IF('Main calculation'!$B$19=2018, "Starting year --&gt;","" )</f>
        <v/>
      </c>
      <c r="B18" s="334">
        <f>'Main calculation'!C31</f>
        <v>2018</v>
      </c>
      <c r="C18" s="93">
        <v>5600</v>
      </c>
      <c r="D18" s="334">
        <f>'Main calculation'!$B$21</f>
        <v>300</v>
      </c>
      <c r="E18" s="110">
        <f t="shared" si="0"/>
        <v>8872.7272727556665</v>
      </c>
      <c r="F18" s="129"/>
      <c r="G18" s="334">
        <f>'Main calculation'!C31</f>
        <v>2018</v>
      </c>
      <c r="H18" s="93">
        <v>7000</v>
      </c>
      <c r="I18" s="334">
        <f t="shared" si="2"/>
        <v>300</v>
      </c>
      <c r="J18" s="110">
        <f t="shared" si="1"/>
        <v>11090.909090944582</v>
      </c>
    </row>
    <row r="19" spans="1:10">
      <c r="A19" s="252" t="str">
        <f>IF('Main calculation'!$B$19=2019, "Starting year --&gt;","" )</f>
        <v/>
      </c>
      <c r="B19" s="334">
        <f>'Main calculation'!C32</f>
        <v>2019</v>
      </c>
      <c r="C19" s="93">
        <v>5600</v>
      </c>
      <c r="D19" s="334">
        <f>'Main calculation'!$B$21</f>
        <v>300</v>
      </c>
      <c r="E19" s="110">
        <f t="shared" si="0"/>
        <v>8872.7272727556665</v>
      </c>
      <c r="F19" s="129"/>
      <c r="G19" s="334">
        <f>'Main calculation'!C32</f>
        <v>2019</v>
      </c>
      <c r="H19" s="93">
        <v>7000</v>
      </c>
      <c r="I19" s="334">
        <f t="shared" si="2"/>
        <v>300</v>
      </c>
      <c r="J19" s="110">
        <f t="shared" si="1"/>
        <v>11090.909090944582</v>
      </c>
    </row>
    <row r="20" spans="1:10">
      <c r="A20" s="252" t="str">
        <f>IF('Main calculation'!$B$19=2020, "Starting year --&gt;","" )</f>
        <v/>
      </c>
      <c r="B20" s="334">
        <f>'Main calculation'!C33</f>
        <v>2020</v>
      </c>
      <c r="C20" s="93">
        <v>5600</v>
      </c>
      <c r="D20" s="334">
        <f>'Main calculation'!$B$21</f>
        <v>300</v>
      </c>
      <c r="E20" s="110">
        <f t="shared" si="0"/>
        <v>8872.7272727556665</v>
      </c>
      <c r="F20" s="129"/>
      <c r="G20" s="334">
        <f>'Main calculation'!C33</f>
        <v>2020</v>
      </c>
      <c r="H20" s="93">
        <v>7000</v>
      </c>
      <c r="I20" s="334">
        <f t="shared" si="2"/>
        <v>300</v>
      </c>
      <c r="J20" s="110">
        <f t="shared" si="1"/>
        <v>11090.909090944582</v>
      </c>
    </row>
    <row r="21" spans="1:10">
      <c r="A21" s="252" t="str">
        <f>IF('Main calculation'!$B$19=2021, "Starting year --&gt;","" )</f>
        <v/>
      </c>
      <c r="B21" s="334">
        <f>'Main calculation'!C34</f>
        <v>2021</v>
      </c>
      <c r="C21" s="93">
        <v>5600</v>
      </c>
      <c r="D21" s="334">
        <f>'Main calculation'!$B$21</f>
        <v>300</v>
      </c>
      <c r="E21" s="110">
        <f t="shared" si="0"/>
        <v>8872.7272727556665</v>
      </c>
      <c r="F21" s="129"/>
      <c r="G21" s="334">
        <f>'Main calculation'!C34</f>
        <v>2021</v>
      </c>
      <c r="H21" s="93">
        <v>7000</v>
      </c>
      <c r="I21" s="334">
        <f t="shared" si="2"/>
        <v>300</v>
      </c>
      <c r="J21" s="110">
        <f t="shared" si="1"/>
        <v>11090.909090944582</v>
      </c>
    </row>
    <row r="22" spans="1:10">
      <c r="A22" s="252" t="str">
        <f>IF('Main calculation'!$B$19=2022, "Starting year --&gt;","" )</f>
        <v/>
      </c>
      <c r="B22" s="334">
        <f>'Main calculation'!C35</f>
        <v>2022</v>
      </c>
      <c r="C22" s="93">
        <v>5600</v>
      </c>
      <c r="D22" s="334">
        <f>'Main calculation'!$B$21</f>
        <v>300</v>
      </c>
      <c r="E22" s="110">
        <f t="shared" si="0"/>
        <v>8872.7272727556665</v>
      </c>
      <c r="F22" s="129"/>
      <c r="G22" s="334">
        <f>'Main calculation'!C35</f>
        <v>2022</v>
      </c>
      <c r="H22" s="93">
        <v>7000</v>
      </c>
      <c r="I22" s="334">
        <f t="shared" si="2"/>
        <v>300</v>
      </c>
      <c r="J22" s="110">
        <f t="shared" si="1"/>
        <v>11090.909090944582</v>
      </c>
    </row>
    <row r="23" spans="1:10">
      <c r="A23" s="252" t="str">
        <f>IF('Main calculation'!$B$19=2023, "Starting year --&gt;","" )</f>
        <v/>
      </c>
      <c r="B23" s="334">
        <f>'Main calculation'!C36</f>
        <v>2023</v>
      </c>
      <c r="C23" s="93">
        <v>5600</v>
      </c>
      <c r="D23" s="334">
        <f>'Main calculation'!$B$21</f>
        <v>300</v>
      </c>
      <c r="E23" s="110">
        <f t="shared" si="0"/>
        <v>8872.7272727556665</v>
      </c>
      <c r="F23" s="129"/>
      <c r="G23" s="334">
        <f>'Main calculation'!C36</f>
        <v>2023</v>
      </c>
      <c r="H23" s="93">
        <v>7000</v>
      </c>
      <c r="I23" s="334">
        <f t="shared" si="2"/>
        <v>300</v>
      </c>
      <c r="J23" s="110">
        <f t="shared" si="1"/>
        <v>11090.909090944582</v>
      </c>
    </row>
    <row r="24" spans="1:10">
      <c r="A24" s="252" t="str">
        <f>IF('Main calculation'!$B$19=2024, "Starting year --&gt;","" )</f>
        <v/>
      </c>
      <c r="B24" s="334">
        <f>'Main calculation'!C37</f>
        <v>2024</v>
      </c>
      <c r="C24" s="93">
        <v>5600</v>
      </c>
      <c r="D24" s="334">
        <f>'Main calculation'!$B$21</f>
        <v>300</v>
      </c>
      <c r="E24" s="110">
        <f t="shared" si="0"/>
        <v>8872.7272727556665</v>
      </c>
      <c r="F24" s="129"/>
      <c r="G24" s="334">
        <f>'Main calculation'!C37</f>
        <v>2024</v>
      </c>
      <c r="H24" s="93">
        <v>7000</v>
      </c>
      <c r="I24" s="334">
        <f t="shared" si="2"/>
        <v>300</v>
      </c>
      <c r="J24" s="110">
        <f t="shared" si="1"/>
        <v>11090.909090944582</v>
      </c>
    </row>
    <row r="25" spans="1:10">
      <c r="A25" s="252" t="str">
        <f>IF('Main calculation'!$B$19=2025, "Starting year --&gt;","" )</f>
        <v/>
      </c>
      <c r="B25" s="334">
        <f>'Main calculation'!C38</f>
        <v>2025</v>
      </c>
      <c r="C25" s="93">
        <v>5600</v>
      </c>
      <c r="D25" s="334">
        <f>'Main calculation'!$B$21</f>
        <v>300</v>
      </c>
      <c r="E25" s="110">
        <f t="shared" si="0"/>
        <v>8872.7272727556665</v>
      </c>
      <c r="F25" s="129"/>
      <c r="G25" s="334">
        <f>'Main calculation'!C38</f>
        <v>2025</v>
      </c>
      <c r="H25" s="93">
        <v>7000</v>
      </c>
      <c r="I25" s="334">
        <f t="shared" si="2"/>
        <v>300</v>
      </c>
      <c r="J25" s="110">
        <f t="shared" si="1"/>
        <v>11090.909090944582</v>
      </c>
    </row>
    <row r="26" spans="1:10">
      <c r="A26" s="252" t="str">
        <f>IF('Main calculation'!$B$19=2026, "Starting year --&gt;","" )</f>
        <v/>
      </c>
      <c r="B26" s="334">
        <f>'Main calculation'!C39</f>
        <v>2026</v>
      </c>
      <c r="C26" s="93">
        <v>5600</v>
      </c>
      <c r="D26" s="334">
        <f>'Main calculation'!$B$21</f>
        <v>300</v>
      </c>
      <c r="E26" s="110">
        <f t="shared" si="0"/>
        <v>8872.7272727556665</v>
      </c>
      <c r="F26" s="129"/>
      <c r="G26" s="334">
        <f>'Main calculation'!C39</f>
        <v>2026</v>
      </c>
      <c r="H26" s="93">
        <v>7000</v>
      </c>
      <c r="I26" s="334">
        <f t="shared" si="2"/>
        <v>300</v>
      </c>
      <c r="J26" s="110">
        <f t="shared" si="1"/>
        <v>11090.909090944582</v>
      </c>
    </row>
    <row r="27" spans="1:10">
      <c r="A27" s="252" t="str">
        <f>IF('Main calculation'!$B$19=2027, "Starting year --&gt;","" )</f>
        <v/>
      </c>
      <c r="B27" s="334">
        <f>'Main calculation'!C40</f>
        <v>2027</v>
      </c>
      <c r="C27" s="93">
        <v>5600</v>
      </c>
      <c r="D27" s="334">
        <f>'Main calculation'!$B$21</f>
        <v>300</v>
      </c>
      <c r="E27" s="110">
        <f t="shared" si="0"/>
        <v>8872.7272727556665</v>
      </c>
      <c r="F27" s="129"/>
      <c r="G27" s="334">
        <f>'Main calculation'!C40</f>
        <v>2027</v>
      </c>
      <c r="H27" s="93">
        <v>7000</v>
      </c>
      <c r="I27" s="334">
        <f t="shared" si="2"/>
        <v>300</v>
      </c>
      <c r="J27" s="110">
        <f t="shared" si="1"/>
        <v>11090.909090944582</v>
      </c>
    </row>
    <row r="28" spans="1:10">
      <c r="A28" s="252" t="str">
        <f>IF('Main calculation'!$B$20=2028, "Finishing year --&gt;","" )</f>
        <v>Finishing year --&gt;</v>
      </c>
      <c r="B28" s="334">
        <f>'Main calculation'!C41</f>
        <v>2028</v>
      </c>
      <c r="C28" s="93">
        <v>5600</v>
      </c>
      <c r="D28" s="334">
        <f>'Main calculation'!$B$21</f>
        <v>300</v>
      </c>
      <c r="E28" s="110">
        <f t="shared" si="0"/>
        <v>8872.7272727556665</v>
      </c>
      <c r="F28" s="129"/>
      <c r="G28" s="334">
        <f>'Main calculation'!C41</f>
        <v>2028</v>
      </c>
      <c r="H28" s="93">
        <v>7000</v>
      </c>
      <c r="I28" s="334">
        <f t="shared" si="2"/>
        <v>300</v>
      </c>
      <c r="J28" s="110">
        <f t="shared" si="1"/>
        <v>11090.909090944582</v>
      </c>
    </row>
    <row r="29" spans="1:10">
      <c r="A29" s="252" t="str">
        <f>IF('Main calculation'!$B$20=2029, "Finishing year --&gt;","" )</f>
        <v/>
      </c>
      <c r="B29" s="334">
        <f>'Main calculation'!C42</f>
        <v>2029</v>
      </c>
      <c r="C29" s="93"/>
      <c r="D29" s="334">
        <f>'Main calculation'!$B$21</f>
        <v>300</v>
      </c>
      <c r="E29" s="110">
        <f t="shared" si="0"/>
        <v>0</v>
      </c>
      <c r="F29" s="129"/>
      <c r="G29" s="334">
        <f>'Main calculation'!C42</f>
        <v>2029</v>
      </c>
      <c r="H29" s="93"/>
      <c r="I29" s="334">
        <f t="shared" si="2"/>
        <v>300</v>
      </c>
      <c r="J29" s="110">
        <f t="shared" si="1"/>
        <v>0</v>
      </c>
    </row>
    <row r="30" spans="1:10">
      <c r="A30" s="252" t="str">
        <f>IF('Main calculation'!$B$20=2030, "Finishing year --&gt;","" )</f>
        <v/>
      </c>
      <c r="B30" s="334">
        <f>'Main calculation'!C43</f>
        <v>2030</v>
      </c>
      <c r="C30" s="93"/>
      <c r="D30" s="334">
        <f>'Main calculation'!$B$21</f>
        <v>300</v>
      </c>
      <c r="E30" s="110">
        <f t="shared" si="0"/>
        <v>0</v>
      </c>
      <c r="F30" s="129"/>
      <c r="G30" s="334">
        <f>'Main calculation'!C43</f>
        <v>2030</v>
      </c>
      <c r="H30" s="93"/>
      <c r="I30" s="334">
        <f t="shared" si="2"/>
        <v>300</v>
      </c>
      <c r="J30" s="110">
        <f t="shared" si="1"/>
        <v>0</v>
      </c>
    </row>
    <row r="31" spans="1:10">
      <c r="A31" s="252" t="str">
        <f>IF('Main calculation'!$B$20=2031, "Finishing year --&gt;","" )</f>
        <v/>
      </c>
    </row>
    <row r="32" spans="1:10">
      <c r="A32" s="252" t="str">
        <f>IF('Main calculation'!$B$20=2032, "Finishing year --&gt;","" )</f>
        <v/>
      </c>
    </row>
    <row r="33" spans="1:1">
      <c r="A33" s="252" t="str">
        <f>IF('Main calculation'!$B$20=2033, "Finishing year --&gt;","" )</f>
        <v/>
      </c>
    </row>
  </sheetData>
  <mergeCells count="1">
    <mergeCell ref="A3:I3"/>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L34"/>
  <sheetViews>
    <sheetView zoomScale="85" zoomScaleNormal="85" workbookViewId="0"/>
  </sheetViews>
  <sheetFormatPr defaultRowHeight="14.4"/>
  <cols>
    <col min="1" max="1" width="16" customWidth="1"/>
    <col min="2" max="4" width="15.6640625" customWidth="1"/>
    <col min="5" max="5" width="5.5546875" customWidth="1"/>
    <col min="6" max="8" width="15.6640625" customWidth="1"/>
  </cols>
  <sheetData>
    <row r="1" spans="1:9" ht="18">
      <c r="A1" s="157" t="s">
        <v>264</v>
      </c>
    </row>
    <row r="2" spans="1:9" s="251" customFormat="1">
      <c r="A2" s="160" t="s">
        <v>268</v>
      </c>
    </row>
    <row r="3" spans="1:9" ht="30" customHeight="1">
      <c r="A3" s="415" t="s">
        <v>269</v>
      </c>
      <c r="B3" s="415"/>
      <c r="C3" s="415"/>
      <c r="D3" s="415"/>
      <c r="E3" s="415"/>
      <c r="F3" s="415"/>
      <c r="G3" s="415"/>
      <c r="H3" s="415"/>
      <c r="I3" s="415"/>
    </row>
    <row r="4" spans="1:9">
      <c r="A4" s="337"/>
      <c r="B4" s="337"/>
      <c r="C4" s="337"/>
      <c r="D4" s="337"/>
      <c r="E4" s="337"/>
      <c r="F4" s="337"/>
      <c r="G4" s="337"/>
      <c r="H4" s="337"/>
      <c r="I4" s="337"/>
    </row>
    <row r="5" spans="1:9">
      <c r="A5" s="253" t="s">
        <v>265</v>
      </c>
      <c r="B5" s="337"/>
      <c r="C5" s="337"/>
      <c r="D5" s="337"/>
      <c r="E5" s="337"/>
      <c r="F5" s="337"/>
      <c r="G5" s="337"/>
      <c r="H5" s="337"/>
      <c r="I5" s="337"/>
    </row>
    <row r="6" spans="1:9">
      <c r="A6" s="254" t="s">
        <v>266</v>
      </c>
      <c r="B6" s="337"/>
      <c r="C6" s="337"/>
      <c r="D6" s="337"/>
      <c r="E6" s="337"/>
      <c r="F6" s="337"/>
      <c r="G6" s="337"/>
      <c r="H6" s="337"/>
      <c r="I6" s="337"/>
    </row>
    <row r="7" spans="1:9">
      <c r="A7" s="254" t="s">
        <v>267</v>
      </c>
      <c r="B7" s="337"/>
      <c r="C7" s="337"/>
      <c r="D7" s="337"/>
      <c r="E7" s="337"/>
      <c r="F7" s="337"/>
      <c r="G7" s="337"/>
      <c r="H7" s="337"/>
      <c r="I7" s="337"/>
    </row>
    <row r="8" spans="1:9" ht="15" customHeight="1">
      <c r="A8" s="360" t="s">
        <v>245</v>
      </c>
      <c r="B8" s="360"/>
      <c r="C8" s="360"/>
      <c r="D8" s="360"/>
      <c r="E8" s="360"/>
      <c r="F8" s="337"/>
      <c r="G8" s="337"/>
      <c r="H8" s="337"/>
      <c r="I8" s="337"/>
    </row>
    <row r="9" spans="1:9">
      <c r="A9" s="95"/>
      <c r="B9" s="95"/>
      <c r="C9" s="95"/>
      <c r="E9" s="95"/>
      <c r="F9" s="95"/>
    </row>
    <row r="10" spans="1:9">
      <c r="A10" s="187" t="s">
        <v>288</v>
      </c>
      <c r="B10" s="187"/>
      <c r="C10" s="187"/>
      <c r="D10" s="373">
        <f>HLOOKUP('Main calculation'!$B$17,'Monetary Values'!$D$4:$G$68,35,FALSE)</f>
        <v>91103.896104187646</v>
      </c>
    </row>
    <row r="12" spans="1:9" ht="18">
      <c r="B12" s="302" t="s">
        <v>1</v>
      </c>
      <c r="C12" s="303"/>
      <c r="D12" s="303"/>
      <c r="E12" s="109"/>
      <c r="F12" s="304" t="s">
        <v>2</v>
      </c>
      <c r="G12" s="305"/>
      <c r="H12" s="305"/>
    </row>
    <row r="13" spans="1:9" ht="43.2">
      <c r="B13" s="334" t="s">
        <v>0</v>
      </c>
      <c r="C13" s="398" t="s">
        <v>105</v>
      </c>
      <c r="D13" s="398" t="s">
        <v>280</v>
      </c>
      <c r="E13" s="109"/>
      <c r="F13" s="334" t="s">
        <v>0</v>
      </c>
      <c r="G13" s="398" t="s">
        <v>105</v>
      </c>
      <c r="H13" s="398" t="s">
        <v>280</v>
      </c>
      <c r="I13" s="3"/>
    </row>
    <row r="14" spans="1:9">
      <c r="A14" s="252" t="str">
        <f>IF('Main calculation'!$B$19=2013, "Starting year --&gt;","" )</f>
        <v/>
      </c>
      <c r="B14" s="334">
        <f>'Main calculation'!C26</f>
        <v>2013</v>
      </c>
      <c r="C14" s="93"/>
      <c r="D14" s="399">
        <f t="shared" ref="D14:D31" si="0">C14*$D$10</f>
        <v>0</v>
      </c>
      <c r="E14" s="393"/>
      <c r="F14" s="334">
        <f>'Main calculation'!C26</f>
        <v>2013</v>
      </c>
      <c r="G14" s="93"/>
      <c r="H14" s="399">
        <f t="shared" ref="H14:H31" si="1">G14*$D$10</f>
        <v>0</v>
      </c>
      <c r="I14" s="161"/>
    </row>
    <row r="15" spans="1:9">
      <c r="A15" s="252" t="str">
        <f>IF('Main calculation'!$B$19=2014, "Starting year --&gt;","" )</f>
        <v>Starting year --&gt;</v>
      </c>
      <c r="B15" s="334">
        <f>'Main calculation'!C27</f>
        <v>2014</v>
      </c>
      <c r="C15" s="93">
        <v>4</v>
      </c>
      <c r="D15" s="399">
        <f t="shared" si="0"/>
        <v>364415.58441675059</v>
      </c>
      <c r="E15" s="393"/>
      <c r="F15" s="334">
        <f>'Main calculation'!C27</f>
        <v>2014</v>
      </c>
      <c r="G15" s="93">
        <v>2</v>
      </c>
      <c r="H15" s="399">
        <f t="shared" si="1"/>
        <v>182207.79220837529</v>
      </c>
      <c r="I15" s="161"/>
    </row>
    <row r="16" spans="1:9">
      <c r="A16" s="252" t="str">
        <f>IF('Main calculation'!$B$19=2015, "Starting year --&gt;","" )</f>
        <v/>
      </c>
      <c r="B16" s="334">
        <f>'Main calculation'!C28</f>
        <v>2015</v>
      </c>
      <c r="C16" s="93">
        <v>4</v>
      </c>
      <c r="D16" s="399">
        <f t="shared" si="0"/>
        <v>364415.58441675059</v>
      </c>
      <c r="E16" s="393"/>
      <c r="F16" s="334">
        <f>'Main calculation'!C28</f>
        <v>2015</v>
      </c>
      <c r="G16" s="93">
        <v>2</v>
      </c>
      <c r="H16" s="399">
        <f t="shared" si="1"/>
        <v>182207.79220837529</v>
      </c>
    </row>
    <row r="17" spans="1:12">
      <c r="A17" s="252" t="str">
        <f>IF('Main calculation'!$B$19=2016, "Starting year --&gt;","" )</f>
        <v/>
      </c>
      <c r="B17" s="334">
        <f>'Main calculation'!C29</f>
        <v>2016</v>
      </c>
      <c r="C17" s="93">
        <v>4</v>
      </c>
      <c r="D17" s="399">
        <f t="shared" si="0"/>
        <v>364415.58441675059</v>
      </c>
      <c r="E17" s="393"/>
      <c r="F17" s="334">
        <f>'Main calculation'!C29</f>
        <v>2016</v>
      </c>
      <c r="G17" s="93">
        <v>2</v>
      </c>
      <c r="H17" s="399">
        <f t="shared" si="1"/>
        <v>182207.79220837529</v>
      </c>
    </row>
    <row r="18" spans="1:12">
      <c r="A18" s="252" t="str">
        <f>IF('Main calculation'!$B$19=2017, "Starting year --&gt;","" )</f>
        <v/>
      </c>
      <c r="B18" s="334">
        <f>'Main calculation'!C30</f>
        <v>2017</v>
      </c>
      <c r="C18" s="93">
        <v>4</v>
      </c>
      <c r="D18" s="399">
        <f t="shared" si="0"/>
        <v>364415.58441675059</v>
      </c>
      <c r="E18" s="393"/>
      <c r="F18" s="334">
        <f>'Main calculation'!C30</f>
        <v>2017</v>
      </c>
      <c r="G18" s="93">
        <v>2</v>
      </c>
      <c r="H18" s="399">
        <f t="shared" si="1"/>
        <v>182207.79220837529</v>
      </c>
    </row>
    <row r="19" spans="1:12">
      <c r="A19" s="252" t="str">
        <f>IF('Main calculation'!$B$19=2018, "Starting year --&gt;","" )</f>
        <v/>
      </c>
      <c r="B19" s="334">
        <f>'Main calculation'!C31</f>
        <v>2018</v>
      </c>
      <c r="C19" s="93">
        <v>4</v>
      </c>
      <c r="D19" s="399">
        <f t="shared" si="0"/>
        <v>364415.58441675059</v>
      </c>
      <c r="E19" s="393"/>
      <c r="F19" s="334">
        <f>'Main calculation'!C31</f>
        <v>2018</v>
      </c>
      <c r="G19" s="93">
        <v>2</v>
      </c>
      <c r="H19" s="399">
        <f t="shared" si="1"/>
        <v>182207.79220837529</v>
      </c>
    </row>
    <row r="20" spans="1:12">
      <c r="A20" s="252" t="str">
        <f>IF('Main calculation'!$B$19=2019, "Starting year --&gt;","" )</f>
        <v/>
      </c>
      <c r="B20" s="334">
        <f>'Main calculation'!C32</f>
        <v>2019</v>
      </c>
      <c r="C20" s="93">
        <v>4</v>
      </c>
      <c r="D20" s="399">
        <f t="shared" si="0"/>
        <v>364415.58441675059</v>
      </c>
      <c r="E20" s="393"/>
      <c r="F20" s="334">
        <f>'Main calculation'!C32</f>
        <v>2019</v>
      </c>
      <c r="G20" s="93">
        <v>2</v>
      </c>
      <c r="H20" s="399">
        <f t="shared" si="1"/>
        <v>182207.79220837529</v>
      </c>
    </row>
    <row r="21" spans="1:12">
      <c r="A21" s="252" t="str">
        <f>IF('Main calculation'!$B$19=2020, "Starting year --&gt;","" )</f>
        <v/>
      </c>
      <c r="B21" s="334">
        <f>'Main calculation'!C33</f>
        <v>2020</v>
      </c>
      <c r="C21" s="93">
        <v>4</v>
      </c>
      <c r="D21" s="399">
        <f t="shared" si="0"/>
        <v>364415.58441675059</v>
      </c>
      <c r="E21" s="393"/>
      <c r="F21" s="334">
        <f>'Main calculation'!C33</f>
        <v>2020</v>
      </c>
      <c r="G21" s="93">
        <v>2</v>
      </c>
      <c r="H21" s="399">
        <f t="shared" si="1"/>
        <v>182207.79220837529</v>
      </c>
      <c r="L21" s="92"/>
    </row>
    <row r="22" spans="1:12">
      <c r="A22" s="252" t="str">
        <f>IF('Main calculation'!$B$19=2021, "Starting year --&gt;","" )</f>
        <v/>
      </c>
      <c r="B22" s="334">
        <f>'Main calculation'!C34</f>
        <v>2021</v>
      </c>
      <c r="C22" s="93">
        <v>4</v>
      </c>
      <c r="D22" s="399">
        <f t="shared" si="0"/>
        <v>364415.58441675059</v>
      </c>
      <c r="E22" s="393"/>
      <c r="F22" s="334">
        <f>'Main calculation'!C34</f>
        <v>2021</v>
      </c>
      <c r="G22" s="93">
        <v>2</v>
      </c>
      <c r="H22" s="399">
        <f t="shared" si="1"/>
        <v>182207.79220837529</v>
      </c>
    </row>
    <row r="23" spans="1:12">
      <c r="A23" s="252" t="str">
        <f>IF('Main calculation'!$B$19=2022, "Starting year --&gt;","" )</f>
        <v/>
      </c>
      <c r="B23" s="334">
        <f>'Main calculation'!C35</f>
        <v>2022</v>
      </c>
      <c r="C23" s="93">
        <v>4</v>
      </c>
      <c r="D23" s="399">
        <f t="shared" si="0"/>
        <v>364415.58441675059</v>
      </c>
      <c r="E23" s="393"/>
      <c r="F23" s="334">
        <f>'Main calculation'!C35</f>
        <v>2022</v>
      </c>
      <c r="G23" s="93">
        <v>2</v>
      </c>
      <c r="H23" s="399">
        <f t="shared" si="1"/>
        <v>182207.79220837529</v>
      </c>
    </row>
    <row r="24" spans="1:12">
      <c r="A24" s="252" t="str">
        <f>IF('Main calculation'!$B$19=2023, "Starting year --&gt;","" )</f>
        <v/>
      </c>
      <c r="B24" s="334">
        <f>'Main calculation'!C36</f>
        <v>2023</v>
      </c>
      <c r="C24" s="93">
        <v>4</v>
      </c>
      <c r="D24" s="399">
        <f t="shared" si="0"/>
        <v>364415.58441675059</v>
      </c>
      <c r="E24" s="393"/>
      <c r="F24" s="334">
        <f>'Main calculation'!C36</f>
        <v>2023</v>
      </c>
      <c r="G24" s="93">
        <v>2</v>
      </c>
      <c r="H24" s="399">
        <f t="shared" si="1"/>
        <v>182207.79220837529</v>
      </c>
    </row>
    <row r="25" spans="1:12">
      <c r="A25" s="252" t="str">
        <f>IF('Main calculation'!$B$19=2024, "Starting year --&gt;","" )</f>
        <v/>
      </c>
      <c r="B25" s="334">
        <f>'Main calculation'!C37</f>
        <v>2024</v>
      </c>
      <c r="C25" s="93">
        <v>4</v>
      </c>
      <c r="D25" s="399">
        <f t="shared" si="0"/>
        <v>364415.58441675059</v>
      </c>
      <c r="E25" s="393"/>
      <c r="F25" s="334">
        <f>'Main calculation'!C37</f>
        <v>2024</v>
      </c>
      <c r="G25" s="93">
        <v>2</v>
      </c>
      <c r="H25" s="399">
        <f t="shared" si="1"/>
        <v>182207.79220837529</v>
      </c>
    </row>
    <row r="26" spans="1:12">
      <c r="A26" s="252" t="str">
        <f>IF('Main calculation'!$B$19=2025, "Starting year --&gt;","" )</f>
        <v/>
      </c>
      <c r="B26" s="334">
        <f>'Main calculation'!C38</f>
        <v>2025</v>
      </c>
      <c r="C26" s="93">
        <v>4</v>
      </c>
      <c r="D26" s="399">
        <f t="shared" si="0"/>
        <v>364415.58441675059</v>
      </c>
      <c r="E26" s="393"/>
      <c r="F26" s="334">
        <f>'Main calculation'!C38</f>
        <v>2025</v>
      </c>
      <c r="G26" s="93">
        <v>2</v>
      </c>
      <c r="H26" s="399">
        <f t="shared" si="1"/>
        <v>182207.79220837529</v>
      </c>
    </row>
    <row r="27" spans="1:12">
      <c r="A27" s="252" t="str">
        <f>IF('Main calculation'!$B$19=2026, "Starting year --&gt;","" )</f>
        <v/>
      </c>
      <c r="B27" s="334">
        <f>'Main calculation'!C39</f>
        <v>2026</v>
      </c>
      <c r="C27" s="93">
        <v>4</v>
      </c>
      <c r="D27" s="399">
        <f t="shared" si="0"/>
        <v>364415.58441675059</v>
      </c>
      <c r="E27" s="393"/>
      <c r="F27" s="334">
        <f>'Main calculation'!C39</f>
        <v>2026</v>
      </c>
      <c r="G27" s="93">
        <v>2</v>
      </c>
      <c r="H27" s="399">
        <f t="shared" si="1"/>
        <v>182207.79220837529</v>
      </c>
    </row>
    <row r="28" spans="1:12">
      <c r="A28" s="252" t="str">
        <f>IF('Main calculation'!$B$19=2027, "Starting year --&gt;","" )</f>
        <v/>
      </c>
      <c r="B28" s="334">
        <f>'Main calculation'!C40</f>
        <v>2027</v>
      </c>
      <c r="C28" s="93">
        <v>4</v>
      </c>
      <c r="D28" s="399">
        <f t="shared" si="0"/>
        <v>364415.58441675059</v>
      </c>
      <c r="E28" s="393"/>
      <c r="F28" s="334">
        <f>'Main calculation'!C40</f>
        <v>2027</v>
      </c>
      <c r="G28" s="93">
        <v>2</v>
      </c>
      <c r="H28" s="399">
        <f t="shared" si="1"/>
        <v>182207.79220837529</v>
      </c>
    </row>
    <row r="29" spans="1:12">
      <c r="A29" s="252" t="str">
        <f>IF('Main calculation'!$B$20=2028, "Finishing year --&gt;","" )</f>
        <v>Finishing year --&gt;</v>
      </c>
      <c r="B29" s="334">
        <f>'Main calculation'!C41</f>
        <v>2028</v>
      </c>
      <c r="C29" s="93">
        <v>4</v>
      </c>
      <c r="D29" s="399">
        <f t="shared" si="0"/>
        <v>364415.58441675059</v>
      </c>
      <c r="E29" s="393"/>
      <c r="F29" s="334">
        <f>'Main calculation'!C41</f>
        <v>2028</v>
      </c>
      <c r="G29" s="93">
        <v>2</v>
      </c>
      <c r="H29" s="399">
        <f t="shared" si="1"/>
        <v>182207.79220837529</v>
      </c>
    </row>
    <row r="30" spans="1:12">
      <c r="A30" s="252" t="str">
        <f>IF('Main calculation'!$B$20=2029, "Finishing year --&gt;","" )</f>
        <v/>
      </c>
      <c r="B30" s="334">
        <f>'Main calculation'!C42</f>
        <v>2029</v>
      </c>
      <c r="C30" s="93"/>
      <c r="D30" s="399">
        <f t="shared" si="0"/>
        <v>0</v>
      </c>
      <c r="E30" s="393"/>
      <c r="F30" s="334">
        <f>'Main calculation'!C42</f>
        <v>2029</v>
      </c>
      <c r="G30" s="93"/>
      <c r="H30" s="399">
        <f t="shared" si="1"/>
        <v>0</v>
      </c>
    </row>
    <row r="31" spans="1:12">
      <c r="A31" s="252" t="str">
        <f>IF('Main calculation'!$B$20=2030, "Finishing year --&gt;","" )</f>
        <v/>
      </c>
      <c r="B31" s="334">
        <f>'Main calculation'!C43</f>
        <v>2030</v>
      </c>
      <c r="C31" s="93"/>
      <c r="D31" s="399">
        <f t="shared" si="0"/>
        <v>0</v>
      </c>
      <c r="E31" s="393"/>
      <c r="F31" s="334">
        <f>'Main calculation'!C43</f>
        <v>2030</v>
      </c>
      <c r="G31" s="93"/>
      <c r="H31" s="399">
        <f t="shared" si="1"/>
        <v>0</v>
      </c>
    </row>
    <row r="32" spans="1:12">
      <c r="A32" s="252" t="str">
        <f>IF('Main calculation'!$B$20=2031, "Finishing year --&gt;","" )</f>
        <v/>
      </c>
    </row>
    <row r="33" spans="1:1">
      <c r="A33" s="252" t="str">
        <f>IF('Main calculation'!$B$20=2032, "Finishing year --&gt;","" )</f>
        <v/>
      </c>
    </row>
    <row r="34" spans="1:1">
      <c r="A34" s="252" t="str">
        <f>IF('Main calculation'!$B$20=2033, "Finishing year --&gt;","" )</f>
        <v/>
      </c>
    </row>
  </sheetData>
  <mergeCells count="1">
    <mergeCell ref="A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13</vt:i4>
      </vt:variant>
      <vt:variant>
        <vt:lpstr>Named Ranges</vt:lpstr>
      </vt:variant>
      <vt:variant>
        <vt:i4>1</vt:i4>
      </vt:variant>
    </vt:vector>
  </HeadingPairs>
  <TitlesOfParts>
    <vt:vector baseType="lpstr" size="14">
      <vt:lpstr>Main calculation</vt:lpstr>
      <vt:lpstr>Construction Investment</vt:lpstr>
      <vt:lpstr>Time</vt:lpstr>
      <vt:lpstr>Op cost New Public Vehicles</vt:lpstr>
      <vt:lpstr>Op cost NO New Vehicles</vt:lpstr>
      <vt:lpstr>Pollutants New Vehicles</vt:lpstr>
      <vt:lpstr>Pollutants Public Transport</vt:lpstr>
      <vt:lpstr>Pollutants Private Cars</vt:lpstr>
      <vt:lpstr>Safety</vt:lpstr>
      <vt:lpstr>Noise</vt:lpstr>
      <vt:lpstr>Health</vt:lpstr>
      <vt:lpstr>Ticket income and user charges</vt:lpstr>
      <vt:lpstr>Monetary Values</vt:lpstr>
      <vt:lpstr>Country</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