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F DRIVE\ALL\ALEXY\financial projections template\"/>
    </mc:Choice>
  </mc:AlternateContent>
  <bookViews>
    <workbookView xWindow="0" yWindow="0" windowWidth="20490" windowHeight="7755" tabRatio="895" firstSheet="1" activeTab="3"/>
  </bookViews>
  <sheets>
    <sheet name="WELCOME" sheetId="39" r:id="rId1"/>
    <sheet name="INSTRUCTIONS" sheetId="19" r:id="rId2"/>
    <sheet name="COMPS" sheetId="29" r:id="rId3"/>
    <sheet name="REVENUE" sheetId="13" r:id="rId4"/>
    <sheet name="COST OF REV" sheetId="7" r:id="rId5"/>
    <sheet name="OPER EXP" sheetId="10" r:id="rId6"/>
    <sheet name="PERSONNEL" sheetId="14" r:id="rId7"/>
    <sheet name="EXTRA" sheetId="8" r:id="rId8"/>
    <sheet name="TAXES" sheetId="15" r:id="rId9"/>
    <sheet name="PROP &amp; EQUIP" sheetId="12" r:id="rId10"/>
    <sheet name="WORKCAP" sheetId="16" r:id="rId11"/>
    <sheet name="FUNDING" sheetId="9" r:id="rId12"/>
    <sheet name="INCOME" sheetId="3" r:id="rId13"/>
    <sheet name="BALANCE" sheetId="4" r:id="rId14"/>
    <sheet name="CASHFLOW" sheetId="5" r:id="rId15"/>
    <sheet name="BREAKEVEN" sheetId="22" r:id="rId16"/>
    <sheet name="INCOME-MOS" sheetId="27" r:id="rId17"/>
    <sheet name="CASHFLOW-MOS" sheetId="28" r:id="rId18"/>
    <sheet name="SUMMARY" sheetId="17" r:id="rId19"/>
    <sheet name="VAL-1" sheetId="34" r:id="rId20"/>
    <sheet name="VAL-2" sheetId="37" r:id="rId21"/>
  </sheets>
  <definedNames>
    <definedName name="_1995" localSheetId="16">'INCOME-MOS'!#REF!</definedName>
    <definedName name="_1996" localSheetId="16">'INCOME-MOS'!#REF!</definedName>
    <definedName name="_1997" localSheetId="16">'INCOME-MOS'!#REF!</definedName>
    <definedName name="_1998" localSheetId="16">'INCOME-MOS'!#REF!</definedName>
    <definedName name="_1999" localSheetId="16">'INCOME-MOS'!#REF!</definedName>
    <definedName name="ACQUISITION_COST" localSheetId="17">'CASHFLOW-MOS'!#REF!</definedName>
    <definedName name="AMORTIZATION" localSheetId="17">'CASHFLOW-MOS'!#REF!</definedName>
    <definedName name="AMORTIZATION" localSheetId="16">'INCOME-MOS'!#REF!</definedName>
    <definedName name="AP" localSheetId="10">WORKCAP!$C$31:$G$31</definedName>
    <definedName name="AP_CHANGE" localSheetId="17">'CASHFLOW-MOS'!#REF!</definedName>
    <definedName name="AP_CHANGE" localSheetId="10">WORKCAP!$C$32:$G$32</definedName>
    <definedName name="AR" localSheetId="10">WORKCAP!$C$12:$G$12</definedName>
    <definedName name="AR_CHANGE" localSheetId="17">'CASHFLOW-MOS'!#REF!</definedName>
    <definedName name="AR_CHANGE" localSheetId="10">WORKCAP!$C$13:$G$13</definedName>
    <definedName name="ARdata">WORKCAP!$A$67:$G$78</definedName>
    <definedName name="ARMonths">WORKCAP!$A$67:$A$78</definedName>
    <definedName name="CAP_EXPEND" localSheetId="17">'CASHFLOW-MOS'!#REF!</definedName>
    <definedName name="CAP_EXPEND" localSheetId="9">'PROP &amp; EQUIP'!$C$13:$G$13</definedName>
    <definedName name="CASH" localSheetId="17">'CASHFLOW-MOS'!#REF!</definedName>
    <definedName name="Cash_Begin" localSheetId="17">'CASHFLOW-MOS'!$B$13</definedName>
    <definedName name="COMMON_CHANGE" localSheetId="17">'CASHFLOW-MOS'!#REF!</definedName>
    <definedName name="CURR_POR_LTD_CHANGE" localSheetId="17">'CASHFLOW-MOS'!#REF!</definedName>
    <definedName name="DEPRECIATION" localSheetId="17">'CASHFLOW-MOS'!#REF!</definedName>
    <definedName name="DEPRECIATION" localSheetId="9">'PROP &amp; EQUIP'!$C$34:$G$34</definedName>
    <definedName name="DIVIDENDS" localSheetId="17">'CASHFLOW-MOS'!#REF!</definedName>
    <definedName name="EARNINGS_BEFORE_INTEREST___TAXES" localSheetId="17">'CASHFLOW-MOS'!$B$26:$B$26</definedName>
    <definedName name="EARNINGS_BEFORE_INTEREST___TAXES" localSheetId="16">'INCOME-MOS'!$B$27:$B$27</definedName>
    <definedName name="EXTR_INC_EXCL_INT_INCOME" localSheetId="7">EXTRA!$C$22:$G$22</definedName>
    <definedName name="FA_DEBT_CHANGE" localSheetId="17">'CASHFLOW-MOS'!#REF!</definedName>
    <definedName name="GEN_ADMIN" localSheetId="16">'INCOME-MOS'!#REF!</definedName>
    <definedName name="GEN_ADMIN" localSheetId="5">'OPER EXP'!#REF!</definedName>
    <definedName name="INC_TAX_CHANGE" localSheetId="17">'CASHFLOW-MOS'!#REF!</definedName>
    <definedName name="INC_TAX_CHANGE" localSheetId="10">WORKCAP!$C$38:$G$38</definedName>
    <definedName name="INC_TAX_LIAB" localSheetId="10">WORKCAP!$C$37:$G$37</definedName>
    <definedName name="INC_TAX_RATE" localSheetId="16">'INCOME-MOS'!#REF!</definedName>
    <definedName name="INC_TAX_RATE" localSheetId="8">TAXES!$C$9:$G$9</definedName>
    <definedName name="INTEREST" localSheetId="16">'INCOME-MOS'!#REF!</definedName>
    <definedName name="INV" localSheetId="10">WORKCAP!$C$19:$G$19</definedName>
    <definedName name="INV_CHANGE" localSheetId="17">'CASHFLOW-MOS'!#REF!</definedName>
    <definedName name="INV_CHANGE" localSheetId="10">WORKCAP!$C$20:$G$20</definedName>
    <definedName name="investment">'VAL-2'!$B$8</definedName>
    <definedName name="MEZZ_DEBT_CHANGE" localSheetId="17">'CASHFLOW-MOS'!#REF!</definedName>
    <definedName name="Name" localSheetId="17">REVENUE!$A$1</definedName>
    <definedName name="Name" localSheetId="16">REVENUE!$A$1</definedName>
    <definedName name="NET_EARN" localSheetId="17">'CASHFLOW-MOS'!#REF!</definedName>
    <definedName name="NET_EARN" localSheetId="16">'INCOME-MOS'!#REF!</definedName>
    <definedName name="NET_EARNINGS" localSheetId="16">'INCOME-MOS'!$B$35:$B$35</definedName>
    <definedName name="NET_PL_EQUIP" localSheetId="9">'PROP &amp; EQUIP'!$C$53:$G$53</definedName>
    <definedName name="OTHER_CA" localSheetId="10">WORKCAP!$C$25:$G$25</definedName>
    <definedName name="OTHER_CA_CHANGE" localSheetId="17">'CASHFLOW-MOS'!#REF!</definedName>
    <definedName name="OTHER_CA_CHANGE" localSheetId="10">WORKCAP!$C$26:$G$26</definedName>
    <definedName name="PE">'VAL-2'!$B$7</definedName>
    <definedName name="PREFERRED_CHANGE" localSheetId="17">'CASHFLOW-MOS'!#REF!</definedName>
    <definedName name="_xlnm.Print_Area" localSheetId="15">BREAKEVEN!$A$1:$G$25</definedName>
    <definedName name="_xlnm.Print_Area" localSheetId="17">'CASHFLOW-MOS'!$A$7:$P$75,'CASHFLOW-MOS'!$A$78:$T$111</definedName>
    <definedName name="_xlnm.Print_Area" localSheetId="2">COMPS!$A$1:$J$35</definedName>
    <definedName name="_xlnm.Print_Area" localSheetId="4">'COST OF REV'!$A$1:$G$59</definedName>
    <definedName name="_xlnm.Print_Area" localSheetId="7">EXTRA!$A$1:$G$40</definedName>
    <definedName name="_xlnm.Print_Area" localSheetId="11">FUNDING!$A$1:$G$52</definedName>
    <definedName name="_xlnm.Print_Area" localSheetId="16">'INCOME-MOS'!$A$6:$P$68,'INCOME-MOS'!$A$72:$T$105</definedName>
    <definedName name="_xlnm.Print_Area" localSheetId="5">'OPER EXP'!$A$1:$G$113</definedName>
    <definedName name="_xlnm.Print_Area" localSheetId="6">PERSONNEL!$A$1:$G$89</definedName>
    <definedName name="_xlnm.Print_Area" localSheetId="9">'PROP &amp; EQUIP'!$A$1:$G$77</definedName>
    <definedName name="_xlnm.Print_Area" localSheetId="3">REVENUE!$A$1:$G$45</definedName>
    <definedName name="_xlnm.Print_Area" localSheetId="8">TAXES!$A$1:$G$15</definedName>
    <definedName name="_xlnm.Print_Area" localSheetId="19">'VAL-1'!$A$1:$O$27</definedName>
    <definedName name="_xlnm.Print_Area" localSheetId="20">'VAL-2'!$A$1:$F$37</definedName>
    <definedName name="_xlnm.Print_Area" localSheetId="10">WORKCAP!$A$1:$G$146</definedName>
    <definedName name="_xlnm.Print_Titles" localSheetId="5">'OPER EXP'!#REF!</definedName>
    <definedName name="Rate">'VAL-2'!$B$6</definedName>
    <definedName name="RES_DEVELOP" localSheetId="16">'INCOME-MOS'!#REF!</definedName>
    <definedName name="RES_DEVELOP" localSheetId="5">'OPER EXP'!#REF!</definedName>
    <definedName name="SALES_MARKET" localSheetId="16">'INCOME-MOS'!#REF!</definedName>
    <definedName name="SALES_MARKET" localSheetId="5">'OPER EXP'!#REF!</definedName>
    <definedName name="STD_CHANGE" localSheetId="17">'CASHFLOW-MOS'!#REF!</definedName>
    <definedName name="TAXES" localSheetId="17">'CASHFLOW-MOS'!#REF!</definedName>
    <definedName name="TAXES" localSheetId="16">'INCOME-MOS'!$B$33:$B$33</definedName>
    <definedName name="TOT_EXTR_INC_EXP" localSheetId="7">EXTRA!$C$17:$G$17</definedName>
    <definedName name="TOT_EXTR_INC_EXP" localSheetId="16">'INCOME-MOS'!#REF!</definedName>
    <definedName name="TOTAL_COG" localSheetId="16">'INCOME-MOS'!#REF!</definedName>
    <definedName name="TOTAL_COG" localSheetId="10">WORKCAP!$C$28:$G$28</definedName>
    <definedName name="TOTAL_OPER_EXP" localSheetId="5">'OPER EXP'!#REF!</definedName>
    <definedName name="TOTAL_REVENUE" localSheetId="16">'INCOME-MOS'!#REF!</definedName>
    <definedName name="TOTAL_REVENUE" localSheetId="5">'OPER EXP'!#REF!</definedName>
    <definedName name="TOTAL_REVENUE" localSheetId="10">WORKCAP!#REF!</definedName>
    <definedName name="WORK_CAP_CHANGE" localSheetId="10">WORKCAP!$C$40:$G$40</definedName>
  </definedNames>
  <calcPr calcId="152511"/>
</workbook>
</file>

<file path=xl/calcChain.xml><?xml version="1.0" encoding="utf-8"?>
<calcChain xmlns="http://schemas.openxmlformats.org/spreadsheetml/2006/main">
  <c r="C18" i="12" l="1"/>
  <c r="D18" i="12" s="1"/>
  <c r="C119" i="16"/>
  <c r="C30" i="16"/>
  <c r="C120" i="16" s="1"/>
  <c r="C118" i="16"/>
  <c r="C47" i="16"/>
  <c r="C137" i="16"/>
  <c r="C46" i="16"/>
  <c r="C45" i="16"/>
  <c r="C135" i="16"/>
  <c r="C28" i="12"/>
  <c r="D28" i="12" s="1"/>
  <c r="C38" i="12"/>
  <c r="D18" i="16"/>
  <c r="D17" i="16"/>
  <c r="E18" i="16"/>
  <c r="E17" i="16" s="1"/>
  <c r="F18" i="16"/>
  <c r="F17" i="16"/>
  <c r="G18" i="16"/>
  <c r="G17" i="16" s="1"/>
  <c r="C18" i="16"/>
  <c r="C17" i="16"/>
  <c r="B13" i="12"/>
  <c r="B51" i="12" s="1"/>
  <c r="B53" i="12" s="1"/>
  <c r="B14" i="4" s="1"/>
  <c r="B15" i="4" s="1"/>
  <c r="D9" i="13"/>
  <c r="D16" i="13" s="1"/>
  <c r="D13" i="13"/>
  <c r="C24" i="16"/>
  <c r="D24" i="16"/>
  <c r="E24" i="16"/>
  <c r="E112" i="16" s="1"/>
  <c r="E25" i="16" s="1"/>
  <c r="F24" i="16"/>
  <c r="G24" i="16"/>
  <c r="C9" i="13"/>
  <c r="C13" i="13"/>
  <c r="C16" i="13" s="1"/>
  <c r="C36" i="16"/>
  <c r="C136" i="16" s="1"/>
  <c r="D36" i="16"/>
  <c r="E36" i="16"/>
  <c r="F36" i="16"/>
  <c r="G36" i="16"/>
  <c r="C17" i="14"/>
  <c r="C20" i="14"/>
  <c r="C21" i="14"/>
  <c r="C11" i="10" s="1"/>
  <c r="G43" i="12"/>
  <c r="F42" i="12"/>
  <c r="G42" i="12"/>
  <c r="E41" i="12"/>
  <c r="F41" i="12" s="1"/>
  <c r="D40" i="12"/>
  <c r="G33" i="12"/>
  <c r="D20" i="12"/>
  <c r="E20" i="12" s="1"/>
  <c r="D36" i="13"/>
  <c r="D59" i="16" s="1"/>
  <c r="D146" i="16" s="1"/>
  <c r="D37" i="16" s="1"/>
  <c r="D30" i="16"/>
  <c r="C19" i="4"/>
  <c r="D19" i="4"/>
  <c r="E19" i="4"/>
  <c r="F19" i="4"/>
  <c r="G19" i="4"/>
  <c r="B19" i="4"/>
  <c r="B23" i="4" s="1"/>
  <c r="B32" i="4" s="1"/>
  <c r="B9" i="4"/>
  <c r="B22" i="4"/>
  <c r="E25" i="4"/>
  <c r="D25" i="4"/>
  <c r="B13" i="4"/>
  <c r="B25" i="4"/>
  <c r="B28" i="4"/>
  <c r="C25" i="4"/>
  <c r="F25" i="4"/>
  <c r="G25" i="4"/>
  <c r="C22" i="4"/>
  <c r="D22" i="4"/>
  <c r="E22" i="4"/>
  <c r="F22" i="4"/>
  <c r="G22" i="4"/>
  <c r="C28" i="4"/>
  <c r="D28" i="4"/>
  <c r="E28" i="4"/>
  <c r="F28" i="4"/>
  <c r="G28" i="4"/>
  <c r="A1" i="4"/>
  <c r="B13" i="9"/>
  <c r="B29" i="4" s="1"/>
  <c r="B31" i="4" s="1"/>
  <c r="C13" i="9"/>
  <c r="C29" i="4" s="1"/>
  <c r="G13" i="9"/>
  <c r="G29" i="4"/>
  <c r="F13" i="9"/>
  <c r="F29" i="4" s="1"/>
  <c r="E13" i="9"/>
  <c r="E29" i="4"/>
  <c r="D13" i="9"/>
  <c r="D29" i="4" s="1"/>
  <c r="C13" i="12"/>
  <c r="C51" i="12"/>
  <c r="C19" i="12"/>
  <c r="C29" i="12"/>
  <c r="C39" i="12"/>
  <c r="D13" i="12"/>
  <c r="D51" i="12"/>
  <c r="E51" i="12" s="1"/>
  <c r="E13" i="12"/>
  <c r="D19" i="12"/>
  <c r="D29" i="12"/>
  <c r="E29" i="12" s="1"/>
  <c r="F29" i="12" s="1"/>
  <c r="D30" i="12"/>
  <c r="D39" i="12"/>
  <c r="E21" i="12"/>
  <c r="E30" i="12"/>
  <c r="F30" i="12" s="1"/>
  <c r="E31" i="12"/>
  <c r="E39" i="12"/>
  <c r="F13" i="12"/>
  <c r="F51" i="12"/>
  <c r="G51" i="12" s="1"/>
  <c r="F21" i="12"/>
  <c r="F22" i="12"/>
  <c r="G22" i="12" s="1"/>
  <c r="F31" i="12"/>
  <c r="G31" i="12" s="1"/>
  <c r="F32" i="12"/>
  <c r="G32" i="12" s="1"/>
  <c r="F39" i="12"/>
  <c r="G39" i="12" s="1"/>
  <c r="G13" i="12"/>
  <c r="G21" i="12"/>
  <c r="G23" i="12"/>
  <c r="G30" i="12"/>
  <c r="E60" i="16"/>
  <c r="F60" i="16"/>
  <c r="F112" i="16" s="1"/>
  <c r="F25" i="16" s="1"/>
  <c r="F146" i="16"/>
  <c r="F37" i="16" s="1"/>
  <c r="F21" i="4" s="1"/>
  <c r="G60" i="16"/>
  <c r="G146" i="16"/>
  <c r="G37" i="16" s="1"/>
  <c r="G21" i="4" s="1"/>
  <c r="G112" i="16"/>
  <c r="G25" i="16"/>
  <c r="G12" i="4"/>
  <c r="G30" i="16"/>
  <c r="G129" i="16"/>
  <c r="G31" i="16"/>
  <c r="G20" i="4"/>
  <c r="F30" i="16"/>
  <c r="F129" i="16"/>
  <c r="F31" i="16" s="1"/>
  <c r="E30" i="16"/>
  <c r="E129" i="16" s="1"/>
  <c r="E31" i="16" s="1"/>
  <c r="C14" i="7"/>
  <c r="C16" i="7" s="1"/>
  <c r="C15" i="7"/>
  <c r="C69" i="14"/>
  <c r="C72" i="14"/>
  <c r="C73" i="14"/>
  <c r="C17" i="7" s="1"/>
  <c r="C77" i="14"/>
  <c r="C80" i="14"/>
  <c r="C61" i="14"/>
  <c r="C64" i="14"/>
  <c r="C31" i="14"/>
  <c r="C46" i="14"/>
  <c r="C50" i="14" s="1"/>
  <c r="C30" i="10" s="1"/>
  <c r="C11" i="8"/>
  <c r="C17" i="8" s="1"/>
  <c r="C24" i="3" s="1"/>
  <c r="C16" i="8"/>
  <c r="C39" i="9"/>
  <c r="C24" i="9"/>
  <c r="C40" i="9"/>
  <c r="C41" i="9"/>
  <c r="C28" i="3" s="1"/>
  <c r="G9" i="13"/>
  <c r="G13" i="13"/>
  <c r="G16" i="13" s="1"/>
  <c r="G14" i="7"/>
  <c r="G15" i="7"/>
  <c r="G16" i="7"/>
  <c r="G69" i="14"/>
  <c r="G72" i="14"/>
  <c r="G73" i="14"/>
  <c r="G17" i="7"/>
  <c r="G77" i="14"/>
  <c r="G80" i="14"/>
  <c r="G81" i="14" s="1"/>
  <c r="G21" i="7" s="1"/>
  <c r="G61" i="14"/>
  <c r="G64" i="14"/>
  <c r="G65" i="14"/>
  <c r="G24" i="7" s="1"/>
  <c r="G17" i="14"/>
  <c r="G20" i="14"/>
  <c r="G31" i="14"/>
  <c r="G34" i="14"/>
  <c r="G35" i="14" s="1"/>
  <c r="G21" i="10" s="1"/>
  <c r="G46" i="14"/>
  <c r="G49" i="14" s="1"/>
  <c r="G11" i="8"/>
  <c r="G17" i="8" s="1"/>
  <c r="G24" i="3" s="1"/>
  <c r="G16" i="8"/>
  <c r="G39" i="9"/>
  <c r="G41" i="9" s="1"/>
  <c r="G28" i="3" s="1"/>
  <c r="G24" i="9"/>
  <c r="G40" i="9" s="1"/>
  <c r="F9" i="13"/>
  <c r="F13" i="13"/>
  <c r="F14" i="7"/>
  <c r="F15" i="7"/>
  <c r="F69" i="14"/>
  <c r="F72" i="14"/>
  <c r="F73" i="14" s="1"/>
  <c r="F17" i="7" s="1"/>
  <c r="F77" i="14"/>
  <c r="F61" i="14"/>
  <c r="F64" i="14" s="1"/>
  <c r="F17" i="14"/>
  <c r="F31" i="14"/>
  <c r="F34" i="14"/>
  <c r="F35" i="14" s="1"/>
  <c r="F21" i="10" s="1"/>
  <c r="F46" i="14"/>
  <c r="F11" i="8"/>
  <c r="F17" i="8" s="1"/>
  <c r="F24" i="3" s="1"/>
  <c r="F16" i="8"/>
  <c r="F39" i="9"/>
  <c r="F24" i="9"/>
  <c r="F40" i="9" s="1"/>
  <c r="F41" i="9" s="1"/>
  <c r="F28" i="3" s="1"/>
  <c r="E9" i="13"/>
  <c r="E16" i="13" s="1"/>
  <c r="E7" i="3" s="1"/>
  <c r="E13" i="13"/>
  <c r="E14" i="7"/>
  <c r="E16" i="7" s="1"/>
  <c r="E15" i="7"/>
  <c r="E69" i="14"/>
  <c r="E72" i="14"/>
  <c r="E73" i="14" s="1"/>
  <c r="E17" i="7" s="1"/>
  <c r="E77" i="14"/>
  <c r="E61" i="14"/>
  <c r="E7" i="7"/>
  <c r="E31" i="7" s="1"/>
  <c r="E17" i="14"/>
  <c r="E21" i="14" s="1"/>
  <c r="E11" i="10" s="1"/>
  <c r="E20" i="14"/>
  <c r="E7" i="10"/>
  <c r="E36" i="10" s="1"/>
  <c r="E31" i="14"/>
  <c r="E46" i="14"/>
  <c r="E50" i="14" s="1"/>
  <c r="E30" i="10" s="1"/>
  <c r="E49" i="14"/>
  <c r="E11" i="8"/>
  <c r="E17" i="8" s="1"/>
  <c r="E16" i="8"/>
  <c r="E24" i="3"/>
  <c r="E39" i="9"/>
  <c r="E24" i="9"/>
  <c r="E40" i="9"/>
  <c r="D7" i="3"/>
  <c r="D14" i="7"/>
  <c r="D15" i="7"/>
  <c r="D16" i="7"/>
  <c r="D69" i="14"/>
  <c r="D73" i="14" s="1"/>
  <c r="D72" i="14"/>
  <c r="D17" i="7"/>
  <c r="D77" i="14"/>
  <c r="D80" i="14" s="1"/>
  <c r="D81" i="14" s="1"/>
  <c r="D21" i="7" s="1"/>
  <c r="D61" i="14"/>
  <c r="D64" i="14" s="1"/>
  <c r="D65" i="14"/>
  <c r="D24" i="7" s="1"/>
  <c r="D7" i="7"/>
  <c r="D31" i="7" s="1"/>
  <c r="D17" i="14"/>
  <c r="D20" i="14"/>
  <c r="D21" i="14" s="1"/>
  <c r="D11" i="10" s="1"/>
  <c r="D7" i="10"/>
  <c r="D24" i="10" s="1"/>
  <c r="D15" i="10"/>
  <c r="D31" i="14"/>
  <c r="D34" i="14" s="1"/>
  <c r="D35" i="14"/>
  <c r="D21" i="10" s="1"/>
  <c r="D25" i="10" s="1"/>
  <c r="D46" i="14"/>
  <c r="D49" i="14"/>
  <c r="D50" i="14" s="1"/>
  <c r="D30" i="10" s="1"/>
  <c r="D36" i="10"/>
  <c r="D11" i="8"/>
  <c r="D16" i="8"/>
  <c r="D17" i="8" s="1"/>
  <c r="D24" i="3" s="1"/>
  <c r="D39" i="9"/>
  <c r="D41" i="9" s="1"/>
  <c r="D24" i="9"/>
  <c r="D40" i="9"/>
  <c r="D28" i="3"/>
  <c r="B34" i="5"/>
  <c r="C33" i="5"/>
  <c r="C18" i="5"/>
  <c r="C20" i="5"/>
  <c r="C19" i="9"/>
  <c r="C23" i="5"/>
  <c r="C29" i="5" s="1"/>
  <c r="C27" i="9"/>
  <c r="C24" i="5"/>
  <c r="C28" i="9"/>
  <c r="C25" i="5"/>
  <c r="C9" i="9"/>
  <c r="C26" i="5"/>
  <c r="C14" i="9"/>
  <c r="C27" i="5"/>
  <c r="C28" i="5"/>
  <c r="D18" i="5"/>
  <c r="D20" i="5"/>
  <c r="D19" i="9"/>
  <c r="D23" i="5"/>
  <c r="D27" i="9"/>
  <c r="D24" i="5"/>
  <c r="D28" i="9"/>
  <c r="D25" i="5"/>
  <c r="D9" i="9"/>
  <c r="D26" i="5"/>
  <c r="D14" i="9"/>
  <c r="D27" i="5"/>
  <c r="D28" i="5"/>
  <c r="D29" i="5"/>
  <c r="E18" i="5"/>
  <c r="E20" i="5"/>
  <c r="E19" i="9"/>
  <c r="E23" i="5"/>
  <c r="E29" i="5" s="1"/>
  <c r="E27" i="9"/>
  <c r="E24" i="5"/>
  <c r="E28" i="9"/>
  <c r="E25" i="5"/>
  <c r="E9" i="9"/>
  <c r="E26" i="5"/>
  <c r="E14" i="9"/>
  <c r="E27" i="5"/>
  <c r="E28" i="5"/>
  <c r="F18" i="5"/>
  <c r="F20" i="5"/>
  <c r="F19" i="9"/>
  <c r="F23" i="5"/>
  <c r="F27" i="9"/>
  <c r="F24" i="5"/>
  <c r="F28" i="9"/>
  <c r="F25" i="5"/>
  <c r="F9" i="9"/>
  <c r="F26" i="5"/>
  <c r="F28" i="5"/>
  <c r="G26" i="16"/>
  <c r="G12" i="5" s="1"/>
  <c r="G38" i="16"/>
  <c r="G14" i="5" s="1"/>
  <c r="G18" i="5"/>
  <c r="G20" i="5"/>
  <c r="G19" i="9"/>
  <c r="G23" i="5" s="1"/>
  <c r="G27" i="9"/>
  <c r="G24" i="5"/>
  <c r="G28" i="9"/>
  <c r="G25" i="5" s="1"/>
  <c r="G9" i="9"/>
  <c r="G26" i="5"/>
  <c r="G14" i="9"/>
  <c r="G27" i="5" s="1"/>
  <c r="T104" i="28" s="1"/>
  <c r="G28" i="5"/>
  <c r="A8" i="22"/>
  <c r="B8" i="22"/>
  <c r="A1" i="22"/>
  <c r="C6" i="22"/>
  <c r="D6" i="22"/>
  <c r="E6" i="22"/>
  <c r="G6" i="22"/>
  <c r="A1" i="5"/>
  <c r="P105" i="28"/>
  <c r="K105" i="28"/>
  <c r="F105" i="28"/>
  <c r="N69" i="28"/>
  <c r="N33" i="28"/>
  <c r="M59" i="28"/>
  <c r="C95" i="28"/>
  <c r="C97" i="28"/>
  <c r="D95" i="28"/>
  <c r="D97" i="28" s="1"/>
  <c r="E95" i="28"/>
  <c r="E97" i="28"/>
  <c r="H95" i="28"/>
  <c r="H97" i="28" s="1"/>
  <c r="I95" i="28"/>
  <c r="I97" i="28"/>
  <c r="J95" i="28"/>
  <c r="J97" i="28" s="1"/>
  <c r="M95" i="28"/>
  <c r="M97" i="28"/>
  <c r="N95" i="28"/>
  <c r="N97" i="28" s="1"/>
  <c r="O95" i="28"/>
  <c r="O97" i="28"/>
  <c r="C59" i="28"/>
  <c r="C61" i="28" s="1"/>
  <c r="D59" i="28"/>
  <c r="D61" i="28"/>
  <c r="E59" i="28"/>
  <c r="E61" i="28" s="1"/>
  <c r="F59" i="28"/>
  <c r="F61" i="28"/>
  <c r="G59" i="28"/>
  <c r="G61" i="28" s="1"/>
  <c r="H59" i="28"/>
  <c r="H61" i="28"/>
  <c r="I59" i="28"/>
  <c r="I61" i="28" s="1"/>
  <c r="J59" i="28"/>
  <c r="J61" i="28"/>
  <c r="K59" i="28"/>
  <c r="K61" i="28" s="1"/>
  <c r="L59" i="28"/>
  <c r="L61" i="28"/>
  <c r="M61" i="28"/>
  <c r="N59" i="28"/>
  <c r="N61" i="28" s="1"/>
  <c r="Q105" i="28"/>
  <c r="L105" i="28"/>
  <c r="L96" i="28"/>
  <c r="N106" i="28"/>
  <c r="O106" i="28"/>
  <c r="I106" i="28"/>
  <c r="J106" i="28"/>
  <c r="D106" i="28"/>
  <c r="E106" i="28"/>
  <c r="G96" i="28"/>
  <c r="G105" i="28"/>
  <c r="P57" i="28"/>
  <c r="P58" i="28"/>
  <c r="P60" i="28"/>
  <c r="P62" i="28"/>
  <c r="P63" i="28"/>
  <c r="P71" i="28"/>
  <c r="R96" i="28"/>
  <c r="S96" i="28"/>
  <c r="T96" i="28"/>
  <c r="P50" i="28"/>
  <c r="D70" i="28"/>
  <c r="E70" i="28"/>
  <c r="F70" i="28"/>
  <c r="G70" i="28"/>
  <c r="H70" i="28"/>
  <c r="I70" i="28"/>
  <c r="J70" i="28"/>
  <c r="K70" i="28"/>
  <c r="L70" i="28"/>
  <c r="M70" i="28"/>
  <c r="B75" i="28"/>
  <c r="O59" i="28"/>
  <c r="O60" i="28"/>
  <c r="O69" i="28"/>
  <c r="N23" i="28"/>
  <c r="N25" i="28" s="1"/>
  <c r="M23" i="28"/>
  <c r="L23" i="28"/>
  <c r="K23" i="28"/>
  <c r="J23" i="28"/>
  <c r="J25" i="28" s="1"/>
  <c r="I23" i="28"/>
  <c r="H23" i="28"/>
  <c r="G23" i="28"/>
  <c r="F23" i="28"/>
  <c r="F25" i="28" s="1"/>
  <c r="E23" i="28"/>
  <c r="O23" i="28" s="1"/>
  <c r="O25" i="28" s="1"/>
  <c r="D23" i="28"/>
  <c r="C23" i="28"/>
  <c r="P24" i="28"/>
  <c r="B39" i="28"/>
  <c r="O24" i="28"/>
  <c r="D34" i="28"/>
  <c r="E34" i="28"/>
  <c r="F34" i="28"/>
  <c r="G34" i="28"/>
  <c r="H34" i="28"/>
  <c r="I34" i="28"/>
  <c r="J34" i="28"/>
  <c r="K34" i="28"/>
  <c r="L34" i="28"/>
  <c r="M34" i="28"/>
  <c r="O33" i="28"/>
  <c r="D25" i="28"/>
  <c r="E25" i="28"/>
  <c r="G25" i="28"/>
  <c r="H25" i="28"/>
  <c r="I25" i="28"/>
  <c r="K25" i="28"/>
  <c r="L25" i="28"/>
  <c r="M25" i="28"/>
  <c r="C25" i="28"/>
  <c r="A1" i="28"/>
  <c r="A78" i="28"/>
  <c r="F95" i="28"/>
  <c r="G95" i="28" s="1"/>
  <c r="K95" i="28"/>
  <c r="K97" i="28" s="1"/>
  <c r="P95" i="28"/>
  <c r="P97" i="28" s="1"/>
  <c r="Q97" i="28" s="1"/>
  <c r="L95" i="28"/>
  <c r="P69" i="28"/>
  <c r="P33" i="28"/>
  <c r="T105" i="28"/>
  <c r="S105" i="28"/>
  <c r="R105" i="28"/>
  <c r="C38" i="28"/>
  <c r="P38" i="28"/>
  <c r="P23" i="28"/>
  <c r="P25" i="28"/>
  <c r="P61" i="28"/>
  <c r="P59" i="28"/>
  <c r="R95" i="28"/>
  <c r="R97" i="28"/>
  <c r="S97" i="28"/>
  <c r="S95" i="28"/>
  <c r="T97" i="28"/>
  <c r="T95" i="28"/>
  <c r="P103" i="28"/>
  <c r="M103" i="28"/>
  <c r="Q103" i="28" s="1"/>
  <c r="T103" i="28"/>
  <c r="K103" i="28"/>
  <c r="F103" i="28"/>
  <c r="N31" i="28"/>
  <c r="N67" i="28"/>
  <c r="O67" i="28" s="1"/>
  <c r="H103" i="28"/>
  <c r="L103" i="28" s="1"/>
  <c r="S103" i="28"/>
  <c r="R103" i="28"/>
  <c r="C103" i="28"/>
  <c r="G103" i="28" s="1"/>
  <c r="C67" i="28"/>
  <c r="P67" i="28"/>
  <c r="P31" i="28"/>
  <c r="C31" i="28"/>
  <c r="O31" i="28"/>
  <c r="N32" i="28"/>
  <c r="O32" i="28" s="1"/>
  <c r="P32" i="28"/>
  <c r="C32" i="28"/>
  <c r="N29" i="28"/>
  <c r="N34" i="28" s="1"/>
  <c r="N30" i="28"/>
  <c r="N66" i="28"/>
  <c r="P30" i="28"/>
  <c r="C30" i="28"/>
  <c r="O30" i="28" s="1"/>
  <c r="P29" i="28"/>
  <c r="C29" i="28"/>
  <c r="O29" i="28" s="1"/>
  <c r="P66" i="28"/>
  <c r="C66" i="28"/>
  <c r="O66" i="28"/>
  <c r="N65" i="28"/>
  <c r="O65" i="28" s="1"/>
  <c r="C65" i="28"/>
  <c r="P65" i="28"/>
  <c r="N68" i="28"/>
  <c r="C68" i="28"/>
  <c r="P68" i="28"/>
  <c r="R104" i="28"/>
  <c r="F104" i="28"/>
  <c r="C104" i="28"/>
  <c r="G104" i="28"/>
  <c r="P104" i="28"/>
  <c r="M104" i="28"/>
  <c r="Q104" i="28"/>
  <c r="P101" i="28"/>
  <c r="Q101" i="28" s="1"/>
  <c r="K101" i="28"/>
  <c r="F101" i="28"/>
  <c r="C101" i="28"/>
  <c r="C106" i="28" s="1"/>
  <c r="R101" i="28"/>
  <c r="T101" i="28"/>
  <c r="S101" i="28"/>
  <c r="H101" i="28"/>
  <c r="L101" i="28" s="1"/>
  <c r="M101" i="28"/>
  <c r="F102" i="28"/>
  <c r="G102" i="28" s="1"/>
  <c r="R102" i="28"/>
  <c r="C102" i="28"/>
  <c r="K102" i="28"/>
  <c r="L102" i="28" s="1"/>
  <c r="H102" i="28"/>
  <c r="S102" i="28"/>
  <c r="P102" i="28"/>
  <c r="Q102" i="28" s="1"/>
  <c r="M102" i="28"/>
  <c r="T102" i="28"/>
  <c r="R100" i="28"/>
  <c r="C100" i="28"/>
  <c r="F100" i="28"/>
  <c r="G100" i="28"/>
  <c r="P64" i="28"/>
  <c r="C64" i="28"/>
  <c r="N64" i="28"/>
  <c r="O64" i="28"/>
  <c r="C28" i="28"/>
  <c r="N28" i="28"/>
  <c r="P28" i="28"/>
  <c r="P34" i="28"/>
  <c r="P70" i="28"/>
  <c r="C70" i="28"/>
  <c r="R106" i="28"/>
  <c r="M100" i="28"/>
  <c r="M106" i="28" s="1"/>
  <c r="P100" i="28"/>
  <c r="K100" i="28"/>
  <c r="L100" i="28" s="1"/>
  <c r="H100" i="28"/>
  <c r="S100" i="28"/>
  <c r="Q100" i="28"/>
  <c r="D19" i="28"/>
  <c r="E19" i="28"/>
  <c r="C27" i="13"/>
  <c r="C50" i="16" s="1"/>
  <c r="C105" i="16" s="1"/>
  <c r="C26" i="13"/>
  <c r="C49" i="16" s="1"/>
  <c r="C28" i="13"/>
  <c r="C51" i="16"/>
  <c r="C30" i="13"/>
  <c r="C53" i="16" s="1"/>
  <c r="C31" i="13"/>
  <c r="C54" i="16"/>
  <c r="C32" i="13"/>
  <c r="C55" i="16" s="1"/>
  <c r="C139" i="16"/>
  <c r="C19" i="28"/>
  <c r="D23" i="13"/>
  <c r="D46" i="16" s="1"/>
  <c r="D136" i="16" s="1"/>
  <c r="D22" i="13"/>
  <c r="D45" i="16" s="1"/>
  <c r="D24" i="13"/>
  <c r="D47" i="16" s="1"/>
  <c r="D26" i="13"/>
  <c r="D49" i="16" s="1"/>
  <c r="D138" i="16" s="1"/>
  <c r="D27" i="13"/>
  <c r="D50" i="16" s="1"/>
  <c r="D139" i="16"/>
  <c r="D28" i="13"/>
  <c r="D51" i="16" s="1"/>
  <c r="D140" i="16"/>
  <c r="H55" i="28"/>
  <c r="D31" i="13"/>
  <c r="D54" i="16"/>
  <c r="D142" i="16"/>
  <c r="D32" i="13"/>
  <c r="D55" i="16" s="1"/>
  <c r="D34" i="13"/>
  <c r="D57" i="16" s="1"/>
  <c r="D123" i="16"/>
  <c r="D101" i="16"/>
  <c r="D103" i="16"/>
  <c r="D105" i="16"/>
  <c r="H53" i="28" s="1"/>
  <c r="D106" i="16"/>
  <c r="D108" i="16"/>
  <c r="E52" i="16"/>
  <c r="E123" i="16"/>
  <c r="D90" i="28" s="1"/>
  <c r="E48" i="16"/>
  <c r="E137" i="16" s="1"/>
  <c r="E120" i="16"/>
  <c r="E106" i="16"/>
  <c r="E103" i="16"/>
  <c r="D89" i="28"/>
  <c r="E140" i="16"/>
  <c r="E56" i="16"/>
  <c r="E109" i="16" s="1"/>
  <c r="F52" i="16"/>
  <c r="F123" i="16"/>
  <c r="I90" i="28" s="1"/>
  <c r="F48" i="16"/>
  <c r="F120" i="16"/>
  <c r="F106" i="16"/>
  <c r="I89" i="28" s="1"/>
  <c r="F103" i="16"/>
  <c r="F140" i="16"/>
  <c r="I91" i="28" s="1"/>
  <c r="F137" i="16"/>
  <c r="F56" i="16"/>
  <c r="F109" i="16" s="1"/>
  <c r="F143" i="16"/>
  <c r="K91" i="28" s="1"/>
  <c r="J91" i="28"/>
  <c r="F126" i="16"/>
  <c r="J90" i="28"/>
  <c r="H89" i="28"/>
  <c r="K90" i="28"/>
  <c r="H90" i="28"/>
  <c r="G52" i="16"/>
  <c r="G140" i="16"/>
  <c r="N91" i="28" s="1"/>
  <c r="G48" i="16"/>
  <c r="G120" i="16" s="1"/>
  <c r="G137" i="16"/>
  <c r="M91" i="28" s="1"/>
  <c r="G106" i="16"/>
  <c r="G103" i="16"/>
  <c r="N89" i="28"/>
  <c r="G123" i="16"/>
  <c r="G56" i="16"/>
  <c r="G126" i="16" s="1"/>
  <c r="M89" i="28"/>
  <c r="T89" i="28"/>
  <c r="T91" i="28"/>
  <c r="C85" i="16"/>
  <c r="D16" i="28" s="1"/>
  <c r="C84" i="16"/>
  <c r="C102" i="16"/>
  <c r="C101" i="16"/>
  <c r="C17" i="28" s="1"/>
  <c r="D17" i="28"/>
  <c r="C86" i="16"/>
  <c r="C103" i="16"/>
  <c r="E17" i="28" s="1"/>
  <c r="C88" i="16"/>
  <c r="H16" i="28" s="1"/>
  <c r="C89" i="16"/>
  <c r="C91" i="16"/>
  <c r="C16" i="28"/>
  <c r="D18" i="28"/>
  <c r="E18" i="28"/>
  <c r="C123" i="16"/>
  <c r="C18" i="28"/>
  <c r="M78" i="27"/>
  <c r="G27" i="8"/>
  <c r="M92" i="27"/>
  <c r="C124" i="27"/>
  <c r="D124" i="27"/>
  <c r="O96" i="27" s="1"/>
  <c r="M96" i="27"/>
  <c r="N78" i="27"/>
  <c r="G31" i="8"/>
  <c r="N92" i="27"/>
  <c r="N96" i="27"/>
  <c r="O78" i="27"/>
  <c r="G35" i="8"/>
  <c r="O92" i="27"/>
  <c r="P78" i="27"/>
  <c r="G39" i="8"/>
  <c r="P92" i="27"/>
  <c r="P96" i="27"/>
  <c r="H78" i="27"/>
  <c r="F27" i="8"/>
  <c r="H92" i="27"/>
  <c r="C123" i="27"/>
  <c r="D123" i="27"/>
  <c r="J96" i="27" s="1"/>
  <c r="H96" i="27"/>
  <c r="I78" i="27"/>
  <c r="F31" i="8"/>
  <c r="I92" i="27" s="1"/>
  <c r="I96" i="27"/>
  <c r="J78" i="27"/>
  <c r="F35" i="8"/>
  <c r="J92" i="27"/>
  <c r="K78" i="27"/>
  <c r="F39" i="8"/>
  <c r="K92" i="27"/>
  <c r="K96" i="27"/>
  <c r="C78" i="27"/>
  <c r="E27" i="8"/>
  <c r="C92" i="27" s="1"/>
  <c r="D78" i="27"/>
  <c r="E31" i="8"/>
  <c r="D92" i="27" s="1"/>
  <c r="E78" i="27"/>
  <c r="E35" i="8"/>
  <c r="E92" i="27" s="1"/>
  <c r="F78" i="27"/>
  <c r="E39" i="8"/>
  <c r="F92" i="27"/>
  <c r="C44" i="27"/>
  <c r="D26" i="10"/>
  <c r="D75" i="10" s="1"/>
  <c r="C52" i="27" s="1"/>
  <c r="C58" i="27"/>
  <c r="C121" i="27"/>
  <c r="D121" i="27" s="1"/>
  <c r="D44" i="27"/>
  <c r="D58" i="27"/>
  <c r="E44" i="27"/>
  <c r="D77" i="10"/>
  <c r="E52" i="27" s="1"/>
  <c r="E58" i="27"/>
  <c r="F44" i="27"/>
  <c r="F58" i="27"/>
  <c r="G44" i="27"/>
  <c r="D80" i="10"/>
  <c r="G52" i="27" s="1"/>
  <c r="G58" i="27"/>
  <c r="H44" i="27"/>
  <c r="H58" i="27"/>
  <c r="I58" i="27"/>
  <c r="J44" i="27"/>
  <c r="J58" i="27"/>
  <c r="K44" i="27"/>
  <c r="D85" i="10"/>
  <c r="K52" i="27" s="1"/>
  <c r="K58" i="27"/>
  <c r="L44" i="27"/>
  <c r="L58" i="27"/>
  <c r="M58" i="27"/>
  <c r="N44" i="27"/>
  <c r="N58" i="27"/>
  <c r="C11" i="27"/>
  <c r="C25" i="27"/>
  <c r="C120" i="27"/>
  <c r="D120" i="27"/>
  <c r="D11" i="27"/>
  <c r="D25" i="27"/>
  <c r="E11" i="27"/>
  <c r="E25" i="27"/>
  <c r="F11" i="27"/>
  <c r="F25" i="27"/>
  <c r="G11" i="27"/>
  <c r="G25" i="27"/>
  <c r="H11" i="27"/>
  <c r="H25" i="27"/>
  <c r="I11" i="27"/>
  <c r="I25" i="27"/>
  <c r="J11" i="27"/>
  <c r="J25" i="27"/>
  <c r="J29" i="27"/>
  <c r="K11" i="27"/>
  <c r="K25" i="27"/>
  <c r="L25" i="27"/>
  <c r="L29" i="27"/>
  <c r="M25" i="27"/>
  <c r="N25" i="27"/>
  <c r="N29" i="27"/>
  <c r="G10" i="29"/>
  <c r="H10" i="29"/>
  <c r="I10" i="29"/>
  <c r="J10" i="29"/>
  <c r="F10" i="29"/>
  <c r="F9" i="29"/>
  <c r="H34" i="29"/>
  <c r="G19" i="29"/>
  <c r="C7" i="12"/>
  <c r="E7" i="12"/>
  <c r="G7" i="12"/>
  <c r="D7" i="12"/>
  <c r="A1" i="7"/>
  <c r="C25" i="13"/>
  <c r="C29" i="13"/>
  <c r="C33" i="13"/>
  <c r="G38" i="13"/>
  <c r="D25" i="13"/>
  <c r="D29" i="13"/>
  <c r="E38" i="13"/>
  <c r="F38" i="13"/>
  <c r="D39" i="8"/>
  <c r="D35" i="8"/>
  <c r="D31" i="8"/>
  <c r="D27" i="8"/>
  <c r="D40" i="8"/>
  <c r="E40" i="8"/>
  <c r="F40" i="8"/>
  <c r="G40" i="8"/>
  <c r="C39" i="8"/>
  <c r="C35" i="8"/>
  <c r="C31" i="8"/>
  <c r="C27" i="8"/>
  <c r="C40" i="8"/>
  <c r="A1" i="8"/>
  <c r="C15" i="9"/>
  <c r="C31" i="9"/>
  <c r="D15" i="9"/>
  <c r="D31" i="9" s="1"/>
  <c r="E15" i="9"/>
  <c r="E31" i="9"/>
  <c r="F15" i="9"/>
  <c r="F31" i="9" s="1"/>
  <c r="G15" i="9"/>
  <c r="G31" i="9"/>
  <c r="B15" i="9"/>
  <c r="B31" i="9" s="1"/>
  <c r="E29" i="9"/>
  <c r="F29" i="9"/>
  <c r="G29" i="9"/>
  <c r="D29" i="9"/>
  <c r="C29" i="9"/>
  <c r="A1" i="9"/>
  <c r="A1" i="3"/>
  <c r="D17" i="3"/>
  <c r="S79" i="27"/>
  <c r="T79" i="27"/>
  <c r="R79" i="27"/>
  <c r="O58" i="27"/>
  <c r="O25" i="27"/>
  <c r="G78" i="27"/>
  <c r="L78" i="27"/>
  <c r="Q78" i="27"/>
  <c r="A1" i="27"/>
  <c r="A72" i="27"/>
  <c r="A39" i="27"/>
  <c r="A6" i="27"/>
  <c r="Q92" i="27"/>
  <c r="L92" i="27"/>
  <c r="G92" i="27"/>
  <c r="Q96" i="27"/>
  <c r="L96" i="27"/>
  <c r="P58" i="27"/>
  <c r="R92" i="27"/>
  <c r="T92" i="27"/>
  <c r="S92" i="27"/>
  <c r="P25" i="27"/>
  <c r="T96" i="27"/>
  <c r="S96" i="27"/>
  <c r="P62" i="27"/>
  <c r="P29" i="27"/>
  <c r="P44" i="27"/>
  <c r="R78" i="27"/>
  <c r="P52" i="27"/>
  <c r="A1" i="10"/>
  <c r="D78" i="10"/>
  <c r="D82" i="10"/>
  <c r="D83" i="14"/>
  <c r="D88" i="14" s="1"/>
  <c r="D89" i="14" s="1"/>
  <c r="G83" i="14"/>
  <c r="D87" i="14"/>
  <c r="G87" i="14"/>
  <c r="D86" i="14"/>
  <c r="E86" i="14"/>
  <c r="F86" i="14"/>
  <c r="G86" i="14"/>
  <c r="C86" i="14"/>
  <c r="A1" i="14"/>
  <c r="C7" i="14"/>
  <c r="C22" i="14" s="1"/>
  <c r="C51" i="14"/>
  <c r="D7" i="14"/>
  <c r="D51" i="14" s="1"/>
  <c r="D84" i="14"/>
  <c r="D36" i="14"/>
  <c r="D22" i="14"/>
  <c r="E7" i="14"/>
  <c r="E22" i="14" s="1"/>
  <c r="G7" i="14"/>
  <c r="G36" i="14"/>
  <c r="D64" i="12"/>
  <c r="D68" i="12"/>
  <c r="D72" i="12"/>
  <c r="D76" i="12"/>
  <c r="E77" i="12"/>
  <c r="F77" i="12"/>
  <c r="G77" i="12"/>
  <c r="C64" i="12"/>
  <c r="C68" i="12"/>
  <c r="C72" i="12"/>
  <c r="C76" i="12"/>
  <c r="A1" i="12"/>
  <c r="C14" i="12"/>
  <c r="D14" i="12"/>
  <c r="E14" i="12"/>
  <c r="G14" i="12"/>
  <c r="G42" i="13"/>
  <c r="E42" i="13"/>
  <c r="D42" i="13"/>
  <c r="C42" i="13"/>
  <c r="G41" i="13"/>
  <c r="E41" i="13"/>
  <c r="D41" i="13"/>
  <c r="C41" i="13"/>
  <c r="A1" i="13"/>
  <c r="D14" i="17"/>
  <c r="F14" i="17"/>
  <c r="G14" i="17"/>
  <c r="C14" i="17"/>
  <c r="D15" i="17"/>
  <c r="E15" i="17"/>
  <c r="F15" i="17"/>
  <c r="G15" i="17"/>
  <c r="C15" i="17"/>
  <c r="E18" i="17"/>
  <c r="F18" i="17"/>
  <c r="G18" i="17"/>
  <c r="D18" i="17"/>
  <c r="C18" i="17"/>
  <c r="D13" i="17"/>
  <c r="C13" i="17"/>
  <c r="E13" i="17"/>
  <c r="F13" i="17"/>
  <c r="G13" i="17"/>
  <c r="A1" i="17"/>
  <c r="D7" i="17"/>
  <c r="E7" i="17"/>
  <c r="E21" i="17" s="1"/>
  <c r="G7" i="15"/>
  <c r="E7" i="15"/>
  <c r="D7" i="15"/>
  <c r="C7" i="15"/>
  <c r="A1" i="15"/>
  <c r="J24" i="34"/>
  <c r="E16" i="34"/>
  <c r="E17" i="34"/>
  <c r="E18" i="34"/>
  <c r="E15" i="34"/>
  <c r="J25" i="34"/>
  <c r="J26" i="34"/>
  <c r="J27" i="34"/>
  <c r="J23" i="34"/>
  <c r="J15" i="34"/>
  <c r="J16" i="34"/>
  <c r="J17" i="34"/>
  <c r="J18" i="34"/>
  <c r="J14" i="34"/>
  <c r="E14" i="34"/>
  <c r="A1" i="34"/>
  <c r="A1" i="37"/>
  <c r="B18" i="37"/>
  <c r="B24" i="37"/>
  <c r="B27" i="37" s="1"/>
  <c r="C18" i="37"/>
  <c r="C24" i="37"/>
  <c r="D18" i="37"/>
  <c r="D24" i="37"/>
  <c r="D26" i="37" s="1"/>
  <c r="D27" i="37"/>
  <c r="C27" i="37"/>
  <c r="B26" i="37"/>
  <c r="D17" i="37"/>
  <c r="C17" i="37"/>
  <c r="B17" i="37"/>
  <c r="A1" i="16"/>
  <c r="D6" i="16"/>
  <c r="E6" i="16"/>
  <c r="G6" i="16"/>
  <c r="C6" i="16"/>
  <c r="C56" i="16"/>
  <c r="D52" i="16"/>
  <c r="C52" i="16"/>
  <c r="D48" i="16"/>
  <c r="C48" i="16"/>
  <c r="G46" i="16"/>
  <c r="E45" i="16"/>
  <c r="F45" i="16"/>
  <c r="G45" i="16"/>
  <c r="E46" i="16"/>
  <c r="F46" i="16"/>
  <c r="E47" i="16"/>
  <c r="F47" i="16"/>
  <c r="G47" i="16"/>
  <c r="E49" i="16"/>
  <c r="F49" i="16"/>
  <c r="G49" i="16"/>
  <c r="E50" i="16"/>
  <c r="F50" i="16"/>
  <c r="G50" i="16"/>
  <c r="E51" i="16"/>
  <c r="F51" i="16"/>
  <c r="G51" i="16"/>
  <c r="E53" i="16"/>
  <c r="F53" i="16"/>
  <c r="G53" i="16"/>
  <c r="E54" i="16"/>
  <c r="F54" i="16"/>
  <c r="G54" i="16"/>
  <c r="E55" i="16"/>
  <c r="F55" i="16"/>
  <c r="G55" i="16"/>
  <c r="E57" i="16"/>
  <c r="F57" i="16"/>
  <c r="G57" i="16"/>
  <c r="E58" i="16"/>
  <c r="F58" i="16"/>
  <c r="G58" i="16"/>
  <c r="E59" i="16"/>
  <c r="F59" i="16"/>
  <c r="G59" i="16"/>
  <c r="E61" i="16"/>
  <c r="F61" i="16"/>
  <c r="G61" i="16"/>
  <c r="C11" i="16"/>
  <c r="C68" i="16"/>
  <c r="C69" i="16"/>
  <c r="E15" i="28" s="1"/>
  <c r="C71" i="16"/>
  <c r="C74" i="16"/>
  <c r="F8" i="29"/>
  <c r="F11" i="29"/>
  <c r="G11" i="16"/>
  <c r="G78" i="16" s="1"/>
  <c r="F11" i="16"/>
  <c r="F72" i="16" s="1"/>
  <c r="F78" i="16"/>
  <c r="F12" i="16" s="1"/>
  <c r="F10" i="4" s="1"/>
  <c r="E11" i="16"/>
  <c r="E78" i="16"/>
  <c r="E12" i="16" s="1"/>
  <c r="E10" i="4"/>
  <c r="D11" i="16"/>
  <c r="D78" i="16" s="1"/>
  <c r="G72" i="16"/>
  <c r="F69" i="16"/>
  <c r="H87" i="28" s="1"/>
  <c r="F75" i="16"/>
  <c r="E69" i="16"/>
  <c r="E72" i="16"/>
  <c r="D87" i="28" s="1"/>
  <c r="E75" i="16"/>
  <c r="F87" i="28"/>
  <c r="D68" i="16"/>
  <c r="D69" i="16"/>
  <c r="E51" i="28"/>
  <c r="D71" i="16"/>
  <c r="D75" i="16"/>
  <c r="J8" i="29"/>
  <c r="I8" i="29"/>
  <c r="H8" i="29"/>
  <c r="G8" i="29"/>
  <c r="D95" i="16"/>
  <c r="D19" i="16" s="1"/>
  <c r="E95" i="16"/>
  <c r="F88" i="28" s="1"/>
  <c r="E19" i="16"/>
  <c r="E11" i="4" s="1"/>
  <c r="F95" i="16"/>
  <c r="F19" i="16"/>
  <c r="F11" i="4"/>
  <c r="G95" i="16"/>
  <c r="D84" i="16"/>
  <c r="D85" i="16"/>
  <c r="D52" i="28" s="1"/>
  <c r="D86" i="16"/>
  <c r="E52" i="28" s="1"/>
  <c r="D87" i="16"/>
  <c r="D88" i="16"/>
  <c r="G52" i="28"/>
  <c r="D89" i="16"/>
  <c r="D91" i="16"/>
  <c r="D92" i="16"/>
  <c r="D93" i="16"/>
  <c r="L52" i="28"/>
  <c r="E86" i="16"/>
  <c r="C88" i="28" s="1"/>
  <c r="E89" i="16"/>
  <c r="D88" i="28"/>
  <c r="E92" i="16"/>
  <c r="F20" i="16"/>
  <c r="F11" i="5" s="1"/>
  <c r="S88" i="28" s="1"/>
  <c r="F86" i="16"/>
  <c r="H88" i="28"/>
  <c r="F89" i="16"/>
  <c r="I88" i="28"/>
  <c r="F92" i="16"/>
  <c r="K88" i="28" s="1"/>
  <c r="J88" i="28"/>
  <c r="L88" i="28"/>
  <c r="G86" i="16"/>
  <c r="M88" i="28" s="1"/>
  <c r="G89" i="16"/>
  <c r="N88" i="28"/>
  <c r="G92" i="16"/>
  <c r="O88" i="28" s="1"/>
  <c r="G9" i="29"/>
  <c r="H9" i="29"/>
  <c r="I9" i="29"/>
  <c r="J9" i="29"/>
  <c r="H11" i="29"/>
  <c r="I11" i="29"/>
  <c r="J11" i="29"/>
  <c r="G11" i="29"/>
  <c r="D12" i="16" l="1"/>
  <c r="I87" i="28"/>
  <c r="L87" i="28" s="1"/>
  <c r="J87" i="28"/>
  <c r="G12" i="16"/>
  <c r="P87" i="28"/>
  <c r="D11" i="4"/>
  <c r="K52" i="28"/>
  <c r="F52" i="28"/>
  <c r="E87" i="28"/>
  <c r="F13" i="16"/>
  <c r="F10" i="5" s="1"/>
  <c r="S87" i="28" s="1"/>
  <c r="G69" i="16"/>
  <c r="M87" i="28" s="1"/>
  <c r="C73" i="16"/>
  <c r="C70" i="16"/>
  <c r="F15" i="28" s="1"/>
  <c r="C26" i="37"/>
  <c r="E13" i="16"/>
  <c r="E10" i="5" s="1"/>
  <c r="R87" i="28" s="1"/>
  <c r="E88" i="28"/>
  <c r="G88" i="28" s="1"/>
  <c r="H52" i="28"/>
  <c r="G19" i="16"/>
  <c r="P88" i="28"/>
  <c r="Q88" i="28" s="1"/>
  <c r="K87" i="28"/>
  <c r="G75" i="16"/>
  <c r="O87" i="28" s="1"/>
  <c r="D67" i="16"/>
  <c r="D70" i="16"/>
  <c r="D72" i="16"/>
  <c r="H51" i="28" s="1"/>
  <c r="D74" i="16"/>
  <c r="D76" i="16"/>
  <c r="L51" i="28" s="1"/>
  <c r="C75" i="16"/>
  <c r="K15" i="28" s="1"/>
  <c r="C72" i="16"/>
  <c r="H15" i="28" s="1"/>
  <c r="C67" i="16"/>
  <c r="C15" i="28" s="1"/>
  <c r="E20" i="16"/>
  <c r="E11" i="5" s="1"/>
  <c r="R88" i="28" s="1"/>
  <c r="N87" i="28"/>
  <c r="J15" i="28"/>
  <c r="C87" i="28"/>
  <c r="G87" i="28" s="1"/>
  <c r="D15" i="28"/>
  <c r="D77" i="12"/>
  <c r="C62" i="27"/>
  <c r="E62" i="27"/>
  <c r="G62" i="27"/>
  <c r="I62" i="27"/>
  <c r="K62" i="27"/>
  <c r="D62" i="27"/>
  <c r="F62" i="27"/>
  <c r="H62" i="27"/>
  <c r="J62" i="27"/>
  <c r="L62" i="27"/>
  <c r="N62" i="27"/>
  <c r="M62" i="27"/>
  <c r="C77" i="12"/>
  <c r="E51" i="14"/>
  <c r="G84" i="14"/>
  <c r="C29" i="27"/>
  <c r="E29" i="27"/>
  <c r="G29" i="27"/>
  <c r="I29" i="27"/>
  <c r="K29" i="27"/>
  <c r="M29" i="27"/>
  <c r="H29" i="27"/>
  <c r="F29" i="27"/>
  <c r="D29" i="27"/>
  <c r="O90" i="28"/>
  <c r="P90" i="28"/>
  <c r="K89" i="28"/>
  <c r="J89" i="28"/>
  <c r="L89" i="28" s="1"/>
  <c r="D127" i="16"/>
  <c r="D144" i="16"/>
  <c r="D110" i="16"/>
  <c r="L53" i="28" s="1"/>
  <c r="G55" i="28"/>
  <c r="C109" i="16"/>
  <c r="C92" i="16"/>
  <c r="K16" i="28" s="1"/>
  <c r="C126" i="16"/>
  <c r="K18" i="28" s="1"/>
  <c r="C143" i="16"/>
  <c r="D89" i="10"/>
  <c r="N52" i="27" s="1"/>
  <c r="D87" i="10"/>
  <c r="L52" i="27" s="1"/>
  <c r="D84" i="10"/>
  <c r="J52" i="27" s="1"/>
  <c r="D81" i="10"/>
  <c r="H52" i="27" s="1"/>
  <c r="D79" i="10"/>
  <c r="F52" i="27" s="1"/>
  <c r="D76" i="10"/>
  <c r="D52" i="27" s="1"/>
  <c r="L90" i="28"/>
  <c r="E89" i="28"/>
  <c r="F89" i="28"/>
  <c r="E53" i="28"/>
  <c r="D109" i="16"/>
  <c r="K53" i="28" s="1"/>
  <c r="D143" i="16"/>
  <c r="K55" i="28" s="1"/>
  <c r="D126" i="16"/>
  <c r="N90" i="28"/>
  <c r="M90" i="28"/>
  <c r="C104" i="16"/>
  <c r="F17" i="28" s="1"/>
  <c r="C138" i="16"/>
  <c r="C122" i="16"/>
  <c r="C87" i="16"/>
  <c r="F16" i="28" s="1"/>
  <c r="C121" i="16"/>
  <c r="F18" i="28" s="1"/>
  <c r="D91" i="28"/>
  <c r="C91" i="28"/>
  <c r="C107" i="16"/>
  <c r="C141" i="16"/>
  <c r="I19" i="28" s="1"/>
  <c r="C90" i="16"/>
  <c r="C124" i="16"/>
  <c r="I18" i="28" s="1"/>
  <c r="C125" i="16"/>
  <c r="E16" i="28"/>
  <c r="D104" i="16"/>
  <c r="F53" i="28" s="1"/>
  <c r="D122" i="16"/>
  <c r="C108" i="16"/>
  <c r="J17" i="28" s="1"/>
  <c r="C142" i="16"/>
  <c r="J19" i="28" s="1"/>
  <c r="C106" i="16"/>
  <c r="H17" i="28" s="1"/>
  <c r="C140" i="16"/>
  <c r="H19" i="28" s="1"/>
  <c r="G17" i="28"/>
  <c r="P106" i="28"/>
  <c r="Q106" i="28" s="1"/>
  <c r="F106" i="28"/>
  <c r="N70" i="28"/>
  <c r="O70" i="28" s="1"/>
  <c r="Q95" i="28"/>
  <c r="A43" i="28"/>
  <c r="A7" i="28"/>
  <c r="O61" i="28"/>
  <c r="T100" i="28"/>
  <c r="G29" i="5"/>
  <c r="T106" i="28" s="1"/>
  <c r="G16" i="28"/>
  <c r="G143" i="16"/>
  <c r="G109" i="16"/>
  <c r="E126" i="16"/>
  <c r="E143" i="16"/>
  <c r="E91" i="28" s="1"/>
  <c r="G53" i="28"/>
  <c r="D102" i="16"/>
  <c r="D53" i="28" s="1"/>
  <c r="O28" i="28"/>
  <c r="C34" i="28"/>
  <c r="O34" i="28" s="1"/>
  <c r="O68" i="28"/>
  <c r="F97" i="28"/>
  <c r="G97" i="28" s="1"/>
  <c r="L97" i="28"/>
  <c r="D121" i="16"/>
  <c r="G101" i="28"/>
  <c r="G106" i="28"/>
  <c r="D18" i="7"/>
  <c r="E34" i="14"/>
  <c r="E87" i="14" s="1"/>
  <c r="F81" i="14"/>
  <c r="F21" i="7" s="1"/>
  <c r="F80" i="14"/>
  <c r="E12" i="10"/>
  <c r="E16" i="10" s="1"/>
  <c r="E15" i="10"/>
  <c r="E24" i="10"/>
  <c r="F49" i="14"/>
  <c r="F50" i="14"/>
  <c r="E20" i="4"/>
  <c r="E64" i="14"/>
  <c r="E65" i="14" s="1"/>
  <c r="F20" i="4"/>
  <c r="F23" i="4" s="1"/>
  <c r="F32" i="16"/>
  <c r="F13" i="5" s="1"/>
  <c r="S90" i="28" s="1"/>
  <c r="G32" i="16"/>
  <c r="G13" i="5" s="1"/>
  <c r="T90" i="28" s="1"/>
  <c r="F12" i="4"/>
  <c r="F26" i="16"/>
  <c r="F12" i="5" s="1"/>
  <c r="S89" i="28" s="1"/>
  <c r="E41" i="9"/>
  <c r="E80" i="14"/>
  <c r="E81" i="14" s="1"/>
  <c r="E21" i="7" s="1"/>
  <c r="E18" i="7"/>
  <c r="G7" i="3"/>
  <c r="G7" i="7"/>
  <c r="G31" i="7" s="1"/>
  <c r="G7" i="10"/>
  <c r="C34" i="14"/>
  <c r="C87" i="14" s="1"/>
  <c r="C35" i="14"/>
  <c r="D21" i="4"/>
  <c r="E12" i="4"/>
  <c r="C18" i="7"/>
  <c r="E40" i="12"/>
  <c r="F40" i="12" s="1"/>
  <c r="G40" i="12" s="1"/>
  <c r="E146" i="16"/>
  <c r="C36" i="13"/>
  <c r="C34" i="13"/>
  <c r="C35" i="13"/>
  <c r="C7" i="3"/>
  <c r="C7" i="10"/>
  <c r="D38" i="12"/>
  <c r="F14" i="9"/>
  <c r="D12" i="10"/>
  <c r="D45" i="10" s="1"/>
  <c r="F20" i="14"/>
  <c r="F87" i="14" s="1"/>
  <c r="F16" i="7"/>
  <c r="F18" i="7" s="1"/>
  <c r="G21" i="14"/>
  <c r="C65" i="14"/>
  <c r="G23" i="4"/>
  <c r="D137" i="16"/>
  <c r="E55" i="28" s="1"/>
  <c r="D112" i="16"/>
  <c r="D30" i="13"/>
  <c r="D35" i="13"/>
  <c r="D34" i="12"/>
  <c r="F28" i="12"/>
  <c r="F34" i="12" s="1"/>
  <c r="F65" i="14"/>
  <c r="G50" i="14"/>
  <c r="G18" i="7"/>
  <c r="E19" i="12"/>
  <c r="F19" i="12"/>
  <c r="C24" i="12"/>
  <c r="D120" i="16"/>
  <c r="E54" i="28" s="1"/>
  <c r="D119" i="16"/>
  <c r="F16" i="13"/>
  <c r="C7" i="7"/>
  <c r="C31" i="7" s="1"/>
  <c r="C81" i="14"/>
  <c r="C21" i="7" s="1"/>
  <c r="G29" i="12"/>
  <c r="C44" i="12"/>
  <c r="E28" i="12"/>
  <c r="E34" i="12" s="1"/>
  <c r="E18" i="12"/>
  <c r="E24" i="12" s="1"/>
  <c r="D24" i="12"/>
  <c r="F20" i="12"/>
  <c r="G20" i="12" s="1"/>
  <c r="G41" i="12"/>
  <c r="C34" i="12"/>
  <c r="G28" i="12"/>
  <c r="G34" i="12" s="1"/>
  <c r="D135" i="16"/>
  <c r="E24" i="7" l="1"/>
  <c r="E83" i="14"/>
  <c r="E84" i="14" s="1"/>
  <c r="E17" i="10"/>
  <c r="E16" i="3"/>
  <c r="R85" i="27" s="1"/>
  <c r="D44" i="12"/>
  <c r="D47" i="12" s="1"/>
  <c r="C21" i="10"/>
  <c r="C36" i="14"/>
  <c r="H18" i="28"/>
  <c r="G18" i="28"/>
  <c r="O62" i="27"/>
  <c r="I15" i="28"/>
  <c r="T78" i="27"/>
  <c r="G7" i="17"/>
  <c r="F54" i="28"/>
  <c r="O91" i="28"/>
  <c r="P91" i="28"/>
  <c r="C25" i="7"/>
  <c r="C32" i="7" s="1"/>
  <c r="F18" i="12"/>
  <c r="F24" i="12" s="1"/>
  <c r="C31" i="10"/>
  <c r="C47" i="12"/>
  <c r="G36" i="7"/>
  <c r="D25" i="7"/>
  <c r="D37" i="7" s="1"/>
  <c r="D10" i="22" s="1"/>
  <c r="G11" i="10"/>
  <c r="G88" i="14"/>
  <c r="G89" i="14" s="1"/>
  <c r="G22" i="14"/>
  <c r="D14" i="22"/>
  <c r="C58" i="16"/>
  <c r="M11" i="27"/>
  <c r="D36" i="7"/>
  <c r="J18" i="28"/>
  <c r="I17" i="28"/>
  <c r="F19" i="28"/>
  <c r="G19" i="28"/>
  <c r="Q90" i="28"/>
  <c r="L55" i="28"/>
  <c r="F51" i="28"/>
  <c r="G51" i="28"/>
  <c r="Q87" i="28"/>
  <c r="G13" i="16"/>
  <c r="G10" i="5" s="1"/>
  <c r="T87" i="28" s="1"/>
  <c r="G10" i="4"/>
  <c r="D10" i="4"/>
  <c r="E31" i="10"/>
  <c r="E38" i="10" s="1"/>
  <c r="F7" i="3"/>
  <c r="J34" i="29" s="1"/>
  <c r="F6" i="22"/>
  <c r="F7" i="7"/>
  <c r="F31" i="7" s="1"/>
  <c r="F36" i="7" s="1"/>
  <c r="F7" i="10"/>
  <c r="F7" i="14"/>
  <c r="F36" i="14" s="1"/>
  <c r="F42" i="13"/>
  <c r="F41" i="13"/>
  <c r="F7" i="12"/>
  <c r="F14" i="12" s="1"/>
  <c r="F7" i="15"/>
  <c r="F6" i="16"/>
  <c r="E37" i="16"/>
  <c r="F91" i="28"/>
  <c r="G91" i="28" s="1"/>
  <c r="G30" i="10"/>
  <c r="G51" i="14"/>
  <c r="E38" i="12"/>
  <c r="E44" i="12" s="1"/>
  <c r="E47" i="12" s="1"/>
  <c r="G24" i="10"/>
  <c r="G25" i="10" s="1"/>
  <c r="G36" i="10"/>
  <c r="G12" i="10"/>
  <c r="G15" i="10"/>
  <c r="F30" i="10"/>
  <c r="E45" i="10"/>
  <c r="F90" i="28"/>
  <c r="E90" i="28"/>
  <c r="G54" i="28"/>
  <c r="H54" i="28"/>
  <c r="K17" i="28"/>
  <c r="L54" i="28"/>
  <c r="G11" i="4"/>
  <c r="G20" i="16"/>
  <c r="G11" i="5" s="1"/>
  <c r="T88" i="28" s="1"/>
  <c r="D51" i="28"/>
  <c r="D25" i="16"/>
  <c r="C89" i="28"/>
  <c r="G89" i="28" s="1"/>
  <c r="C24" i="7"/>
  <c r="C83" i="14"/>
  <c r="C84" i="14" s="1"/>
  <c r="P11" i="27"/>
  <c r="G34" i="29"/>
  <c r="C7" i="17"/>
  <c r="D21" i="17" s="1"/>
  <c r="G18" i="12"/>
  <c r="G24" i="12" s="1"/>
  <c r="D58" i="16"/>
  <c r="M44" i="27"/>
  <c r="D88" i="10"/>
  <c r="M52" i="27" s="1"/>
  <c r="D37" i="13"/>
  <c r="C37" i="13"/>
  <c r="C57" i="16"/>
  <c r="L11" i="27"/>
  <c r="E36" i="7"/>
  <c r="D31" i="10"/>
  <c r="G19" i="12"/>
  <c r="F24" i="7"/>
  <c r="F83" i="14"/>
  <c r="F84" i="14" s="1"/>
  <c r="D53" i="16"/>
  <c r="D83" i="10"/>
  <c r="I52" i="27" s="1"/>
  <c r="O52" i="27" s="1"/>
  <c r="I44" i="27"/>
  <c r="D33" i="13"/>
  <c r="F21" i="14"/>
  <c r="F27" i="5"/>
  <c r="K104" i="28"/>
  <c r="K106" i="28" s="1"/>
  <c r="H104" i="28"/>
  <c r="C12" i="10"/>
  <c r="C15" i="10"/>
  <c r="C24" i="10"/>
  <c r="C36" i="10"/>
  <c r="C59" i="16"/>
  <c r="N11" i="27"/>
  <c r="C36" i="7"/>
  <c r="E28" i="3"/>
  <c r="R96" i="27" s="1"/>
  <c r="C122" i="27"/>
  <c r="D122" i="27" s="1"/>
  <c r="E14" i="17"/>
  <c r="D16" i="10"/>
  <c r="E35" i="14"/>
  <c r="D55" i="28"/>
  <c r="P89" i="28"/>
  <c r="O89" i="28"/>
  <c r="Q89" i="28" s="1"/>
  <c r="J16" i="28"/>
  <c r="I16" i="28"/>
  <c r="F55" i="28"/>
  <c r="H91" i="28"/>
  <c r="L91" i="28" s="1"/>
  <c r="K19" i="28"/>
  <c r="O29" i="27"/>
  <c r="G15" i="28"/>
  <c r="K51" i="28"/>
  <c r="E8" i="5" l="1"/>
  <c r="R85" i="28" s="1"/>
  <c r="E85" i="28"/>
  <c r="F85" i="28"/>
  <c r="C85" i="28"/>
  <c r="G85" i="28" s="1"/>
  <c r="D85" i="28"/>
  <c r="E48" i="12"/>
  <c r="H24" i="29" s="1"/>
  <c r="F9" i="22"/>
  <c r="C9" i="3"/>
  <c r="C33" i="7"/>
  <c r="D49" i="28"/>
  <c r="H49" i="28"/>
  <c r="L49" i="28"/>
  <c r="E49" i="28"/>
  <c r="I49" i="28"/>
  <c r="M49" i="28"/>
  <c r="D8" i="5"/>
  <c r="P49" i="28" s="1"/>
  <c r="G49" i="28"/>
  <c r="J49" i="28"/>
  <c r="C49" i="28"/>
  <c r="O49" i="28" s="1"/>
  <c r="K49" i="28"/>
  <c r="F49" i="28"/>
  <c r="N49" i="28"/>
  <c r="D48" i="12"/>
  <c r="G24" i="29" s="1"/>
  <c r="E21" i="10"/>
  <c r="E88" i="14"/>
  <c r="E89" i="14" s="1"/>
  <c r="E36" i="14"/>
  <c r="C16" i="10"/>
  <c r="C45" i="10"/>
  <c r="E9" i="22"/>
  <c r="C58" i="7"/>
  <c r="C38" i="13"/>
  <c r="C60" i="16"/>
  <c r="G45" i="10"/>
  <c r="E39" i="10"/>
  <c r="E18" i="3"/>
  <c r="R87" i="27" s="1"/>
  <c r="C96" i="27"/>
  <c r="G96" i="27" s="1"/>
  <c r="D96" i="27"/>
  <c r="F96" i="27"/>
  <c r="E96" i="27"/>
  <c r="S104" i="28"/>
  <c r="F29" i="5"/>
  <c r="S106" i="28" s="1"/>
  <c r="O44" i="27"/>
  <c r="D90" i="16"/>
  <c r="D141" i="16"/>
  <c r="D125" i="16"/>
  <c r="D107" i="16"/>
  <c r="D124" i="16"/>
  <c r="I54" i="28" s="1"/>
  <c r="D73" i="16"/>
  <c r="D111" i="16"/>
  <c r="D145" i="16"/>
  <c r="D128" i="16"/>
  <c r="M54" i="28" s="1"/>
  <c r="D94" i="16"/>
  <c r="D77" i="16"/>
  <c r="D129" i="16"/>
  <c r="D9" i="22"/>
  <c r="D19" i="22" s="1"/>
  <c r="D38" i="7"/>
  <c r="D11" i="22" s="1"/>
  <c r="F38" i="12"/>
  <c r="E25" i="7"/>
  <c r="E32" i="7" s="1"/>
  <c r="Q91" i="28"/>
  <c r="C25" i="10"/>
  <c r="C46" i="10"/>
  <c r="C15" i="22" s="1"/>
  <c r="E64" i="10"/>
  <c r="E85" i="27" s="1"/>
  <c r="E56" i="10"/>
  <c r="C85" i="27" s="1"/>
  <c r="E60" i="10"/>
  <c r="D85" i="27" s="1"/>
  <c r="E68" i="10"/>
  <c r="F85" i="27" s="1"/>
  <c r="H18" i="29"/>
  <c r="E69" i="10"/>
  <c r="G85" i="27" s="1"/>
  <c r="C129" i="16"/>
  <c r="C112" i="16"/>
  <c r="C95" i="16"/>
  <c r="C78" i="16"/>
  <c r="D118" i="16"/>
  <c r="C146" i="16"/>
  <c r="F11" i="10"/>
  <c r="F88" i="14"/>
  <c r="F89" i="14" s="1"/>
  <c r="F22" i="14"/>
  <c r="D46" i="10"/>
  <c r="D38" i="10"/>
  <c r="D41" i="10" s="1"/>
  <c r="G31" i="10"/>
  <c r="G26" i="10"/>
  <c r="G17" i="3"/>
  <c r="T86" i="27" s="1"/>
  <c r="G38" i="10"/>
  <c r="I34" i="29"/>
  <c r="S78" i="27"/>
  <c r="F7" i="17"/>
  <c r="F21" i="17" s="1"/>
  <c r="G46" i="10"/>
  <c r="G15" i="22" s="1"/>
  <c r="G16" i="10"/>
  <c r="C52" i="12"/>
  <c r="C8" i="5"/>
  <c r="P13" i="28" s="1"/>
  <c r="D13" i="28"/>
  <c r="H13" i="28"/>
  <c r="L13" i="28"/>
  <c r="E13" i="28"/>
  <c r="I13" i="28"/>
  <c r="M13" i="28"/>
  <c r="G13" i="28"/>
  <c r="J13" i="28"/>
  <c r="C13" i="28"/>
  <c r="K13" i="28"/>
  <c r="F13" i="28"/>
  <c r="N13" i="28"/>
  <c r="C48" i="12"/>
  <c r="F24" i="29" s="1"/>
  <c r="F31" i="10"/>
  <c r="F38" i="10" s="1"/>
  <c r="D17" i="10"/>
  <c r="D16" i="3"/>
  <c r="P51" i="27" s="1"/>
  <c r="C9" i="22"/>
  <c r="L104" i="28"/>
  <c r="H106" i="28"/>
  <c r="L106" i="28" s="1"/>
  <c r="D86" i="10"/>
  <c r="D56" i="16"/>
  <c r="D38" i="13"/>
  <c r="C144" i="16"/>
  <c r="L19" i="28" s="1"/>
  <c r="C110" i="16"/>
  <c r="L17" i="28" s="1"/>
  <c r="C93" i="16"/>
  <c r="L16" i="28" s="1"/>
  <c r="C127" i="16"/>
  <c r="L18" i="28" s="1"/>
  <c r="C76" i="16"/>
  <c r="L15" i="28" s="1"/>
  <c r="D12" i="4"/>
  <c r="E26" i="16"/>
  <c r="E12" i="5" s="1"/>
  <c r="R89" i="28" s="1"/>
  <c r="E14" i="22"/>
  <c r="F12" i="10"/>
  <c r="F15" i="10"/>
  <c r="F24" i="10"/>
  <c r="F25" i="10" s="1"/>
  <c r="F36" i="10"/>
  <c r="C38" i="10"/>
  <c r="G21" i="17"/>
  <c r="O11" i="27"/>
  <c r="D90" i="10"/>
  <c r="D68" i="10"/>
  <c r="D60" i="16"/>
  <c r="C37" i="7"/>
  <c r="C10" i="22" s="1"/>
  <c r="C20" i="22" s="1"/>
  <c r="F51" i="14"/>
  <c r="E21" i="4"/>
  <c r="E23" i="4" s="1"/>
  <c r="E38" i="16"/>
  <c r="E14" i="5" s="1"/>
  <c r="R91" i="28" s="1"/>
  <c r="F38" i="16"/>
  <c r="F14" i="5" s="1"/>
  <c r="S91" i="28" s="1"/>
  <c r="D32" i="7"/>
  <c r="C111" i="16"/>
  <c r="C145" i="16"/>
  <c r="C94" i="16"/>
  <c r="M16" i="28" s="1"/>
  <c r="C128" i="16"/>
  <c r="M18" i="28" s="1"/>
  <c r="C77" i="16"/>
  <c r="G9" i="22"/>
  <c r="C88" i="14"/>
  <c r="C89" i="14" s="1"/>
  <c r="E37" i="7"/>
  <c r="E10" i="22" s="1"/>
  <c r="O19" i="28" l="1"/>
  <c r="F39" i="10"/>
  <c r="F18" i="3"/>
  <c r="S87" i="27" s="1"/>
  <c r="D19" i="3"/>
  <c r="P54" i="27" s="1"/>
  <c r="D42" i="10"/>
  <c r="G41" i="10"/>
  <c r="G17" i="10"/>
  <c r="G16" i="3"/>
  <c r="T85" i="27" s="1"/>
  <c r="D15" i="22"/>
  <c r="D20" i="22" s="1"/>
  <c r="D25" i="22" s="1"/>
  <c r="D47" i="10"/>
  <c r="D16" i="22" s="1"/>
  <c r="C37" i="16"/>
  <c r="N19" i="28"/>
  <c r="C55" i="28"/>
  <c r="C25" i="16"/>
  <c r="C53" i="28"/>
  <c r="N17" i="28"/>
  <c r="F44" i="12"/>
  <c r="G38" i="12"/>
  <c r="G44" i="12" s="1"/>
  <c r="C41" i="10"/>
  <c r="C17" i="10"/>
  <c r="C16" i="3"/>
  <c r="P18" i="27" s="1"/>
  <c r="M19" i="28"/>
  <c r="C39" i="10"/>
  <c r="C18" i="3"/>
  <c r="P20" i="27" s="1"/>
  <c r="D54" i="10"/>
  <c r="D51" i="27" s="1"/>
  <c r="D57" i="10"/>
  <c r="F51" i="27" s="1"/>
  <c r="D59" i="10"/>
  <c r="H51" i="27" s="1"/>
  <c r="D62" i="10"/>
  <c r="J51" i="27" s="1"/>
  <c r="D53" i="10"/>
  <c r="C51" i="27" s="1"/>
  <c r="D55" i="10"/>
  <c r="E51" i="27" s="1"/>
  <c r="D58" i="10"/>
  <c r="G51" i="27" s="1"/>
  <c r="D63" i="10"/>
  <c r="K51" i="27" s="1"/>
  <c r="D67" i="10"/>
  <c r="N51" i="27" s="1"/>
  <c r="D60" i="10"/>
  <c r="D56" i="10"/>
  <c r="G18" i="29"/>
  <c r="D65" i="10"/>
  <c r="L51" i="27" s="1"/>
  <c r="D66" i="10"/>
  <c r="M51" i="27" s="1"/>
  <c r="D61" i="10"/>
  <c r="I51" i="27" s="1"/>
  <c r="O13" i="28"/>
  <c r="C54" i="28"/>
  <c r="D54" i="28"/>
  <c r="C31" i="16"/>
  <c r="N18" i="28"/>
  <c r="O18" i="28" s="1"/>
  <c r="C26" i="10"/>
  <c r="C17" i="3"/>
  <c r="P19" i="27" s="1"/>
  <c r="D31" i="16"/>
  <c r="N54" i="28"/>
  <c r="C90" i="28"/>
  <c r="G90" i="28" s="1"/>
  <c r="M55" i="28"/>
  <c r="N55" i="28"/>
  <c r="J53" i="28"/>
  <c r="I53" i="28"/>
  <c r="F26" i="10"/>
  <c r="F17" i="3"/>
  <c r="S86" i="27" s="1"/>
  <c r="G78" i="10"/>
  <c r="M86" i="27" s="1"/>
  <c r="G82" i="10"/>
  <c r="N86" i="27" s="1"/>
  <c r="G86" i="10"/>
  <c r="O86" i="27" s="1"/>
  <c r="G90" i="10"/>
  <c r="P86" i="27" s="1"/>
  <c r="J19" i="29"/>
  <c r="G91" i="10"/>
  <c r="Q86" i="27" s="1"/>
  <c r="I52" i="28"/>
  <c r="J52" i="28"/>
  <c r="M15" i="28"/>
  <c r="O15" i="28" s="1"/>
  <c r="M17" i="28"/>
  <c r="F45" i="10"/>
  <c r="D91" i="10"/>
  <c r="D61" i="16"/>
  <c r="D69" i="10"/>
  <c r="D64" i="10"/>
  <c r="G39" i="10"/>
  <c r="G18" i="3"/>
  <c r="T87" i="27" s="1"/>
  <c r="C12" i="16"/>
  <c r="N15" i="28"/>
  <c r="C51" i="28"/>
  <c r="D23" i="22"/>
  <c r="M51" i="28"/>
  <c r="N51" i="28"/>
  <c r="M53" i="28"/>
  <c r="N53" i="28"/>
  <c r="J54" i="28"/>
  <c r="K54" i="28"/>
  <c r="E108" i="10"/>
  <c r="E87" i="27" s="1"/>
  <c r="E100" i="10"/>
  <c r="C87" i="27" s="1"/>
  <c r="E104" i="10"/>
  <c r="D87" i="27" s="1"/>
  <c r="E112" i="10"/>
  <c r="F87" i="27" s="1"/>
  <c r="H20" i="29"/>
  <c r="E113" i="10"/>
  <c r="G87" i="27" s="1"/>
  <c r="C59" i="7"/>
  <c r="C91" i="10"/>
  <c r="C69" i="10"/>
  <c r="C113" i="10"/>
  <c r="C61" i="16"/>
  <c r="E38" i="7"/>
  <c r="E11" i="22" s="1"/>
  <c r="C13" i="27"/>
  <c r="E13" i="27"/>
  <c r="E15" i="27" s="1"/>
  <c r="G13" i="27"/>
  <c r="G15" i="27" s="1"/>
  <c r="I13" i="27"/>
  <c r="I15" i="27" s="1"/>
  <c r="K13" i="27"/>
  <c r="K15" i="27" s="1"/>
  <c r="M13" i="27"/>
  <c r="M15" i="27" s="1"/>
  <c r="N13" i="27"/>
  <c r="N15" i="27" s="1"/>
  <c r="C50" i="7"/>
  <c r="C46" i="7"/>
  <c r="L13" i="27"/>
  <c r="L15" i="27" s="1"/>
  <c r="C53" i="7"/>
  <c r="C49" i="7"/>
  <c r="C45" i="7"/>
  <c r="D13" i="27"/>
  <c r="D15" i="27" s="1"/>
  <c r="F13" i="27"/>
  <c r="F15" i="27" s="1"/>
  <c r="H13" i="27"/>
  <c r="H15" i="27" s="1"/>
  <c r="J13" i="27"/>
  <c r="J15" i="27" s="1"/>
  <c r="C52" i="7"/>
  <c r="C48" i="7"/>
  <c r="C44" i="7"/>
  <c r="C43" i="7"/>
  <c r="C51" i="7"/>
  <c r="C47" i="7"/>
  <c r="C54" i="7"/>
  <c r="C56" i="7"/>
  <c r="C55" i="7"/>
  <c r="C57" i="7"/>
  <c r="D9" i="3"/>
  <c r="D33" i="7"/>
  <c r="O17" i="28"/>
  <c r="C38" i="7"/>
  <c r="C11" i="22" s="1"/>
  <c r="D52" i="12"/>
  <c r="C53" i="12"/>
  <c r="D39" i="10"/>
  <c r="D113" i="10" s="1"/>
  <c r="D18" i="3"/>
  <c r="P53" i="27" s="1"/>
  <c r="F46" i="10"/>
  <c r="F15" i="22" s="1"/>
  <c r="F16" i="10"/>
  <c r="C19" i="16"/>
  <c r="N16" i="28"/>
  <c r="O16" i="28" s="1"/>
  <c r="C52" i="28"/>
  <c r="E9" i="3"/>
  <c r="E33" i="7"/>
  <c r="M52" i="28"/>
  <c r="N52" i="28"/>
  <c r="I51" i="28"/>
  <c r="J51" i="28"/>
  <c r="I55" i="28"/>
  <c r="J55" i="28"/>
  <c r="G47" i="10"/>
  <c r="G16" i="22" s="1"/>
  <c r="G14" i="22"/>
  <c r="G19" i="22" s="1"/>
  <c r="E19" i="22"/>
  <c r="C47" i="10"/>
  <c r="C16" i="22" s="1"/>
  <c r="C14" i="22"/>
  <c r="C19" i="22" s="1"/>
  <c r="E25" i="10"/>
  <c r="E46" i="10"/>
  <c r="C10" i="3"/>
  <c r="P13" i="27"/>
  <c r="C12" i="3"/>
  <c r="G23" i="22" l="1"/>
  <c r="C23" i="22"/>
  <c r="C21" i="22"/>
  <c r="C25" i="22"/>
  <c r="C22" i="3"/>
  <c r="C13" i="3"/>
  <c r="P15" i="27"/>
  <c r="C8" i="17"/>
  <c r="E26" i="10"/>
  <c r="E17" i="3"/>
  <c r="R86" i="27" s="1"/>
  <c r="E41" i="10"/>
  <c r="C80" i="27"/>
  <c r="D80" i="27"/>
  <c r="D82" i="27" s="1"/>
  <c r="F80" i="27"/>
  <c r="F82" i="27" s="1"/>
  <c r="E80" i="27"/>
  <c r="E82" i="27" s="1"/>
  <c r="E48" i="7"/>
  <c r="E51" i="7"/>
  <c r="E57" i="7"/>
  <c r="E45" i="7"/>
  <c r="E49" i="7"/>
  <c r="E52" i="7"/>
  <c r="E56" i="7"/>
  <c r="E44" i="7"/>
  <c r="E50" i="7"/>
  <c r="E53" i="7"/>
  <c r="E55" i="7"/>
  <c r="E43" i="7"/>
  <c r="E47" i="7"/>
  <c r="E54" i="7"/>
  <c r="E58" i="7"/>
  <c r="E46" i="7"/>
  <c r="E59" i="7"/>
  <c r="O51" i="28"/>
  <c r="G104" i="10"/>
  <c r="N87" i="27" s="1"/>
  <c r="G112" i="10"/>
  <c r="P87" i="27" s="1"/>
  <c r="G100" i="10"/>
  <c r="M87" i="27" s="1"/>
  <c r="G108" i="10"/>
  <c r="O87" i="27" s="1"/>
  <c r="J20" i="29"/>
  <c r="G113" i="10"/>
  <c r="Q87" i="27" s="1"/>
  <c r="O54" i="28"/>
  <c r="N54" i="27"/>
  <c r="O51" i="27"/>
  <c r="G25" i="7"/>
  <c r="G47" i="12"/>
  <c r="C12" i="4"/>
  <c r="C26" i="16"/>
  <c r="C12" i="5" s="1"/>
  <c r="P17" i="28" s="1"/>
  <c r="D26" i="16"/>
  <c r="D12" i="5" s="1"/>
  <c r="P53" i="28" s="1"/>
  <c r="G19" i="3"/>
  <c r="T88" i="27" s="1"/>
  <c r="G42" i="10"/>
  <c r="D12" i="3"/>
  <c r="D10" i="3"/>
  <c r="P46" i="27"/>
  <c r="F25" i="7"/>
  <c r="F47" i="12"/>
  <c r="E15" i="22"/>
  <c r="E20" i="22" s="1"/>
  <c r="E25" i="22" s="1"/>
  <c r="E47" i="10"/>
  <c r="E16" i="22" s="1"/>
  <c r="O52" i="28"/>
  <c r="R80" i="27"/>
  <c r="E10" i="3"/>
  <c r="E12" i="3"/>
  <c r="C11" i="4"/>
  <c r="C20" i="16"/>
  <c r="C11" i="5" s="1"/>
  <c r="P16" i="28" s="1"/>
  <c r="D20" i="16"/>
  <c r="D11" i="5" s="1"/>
  <c r="P52" i="28" s="1"/>
  <c r="D97" i="10"/>
  <c r="C53" i="27" s="1"/>
  <c r="D98" i="10"/>
  <c r="D53" i="27" s="1"/>
  <c r="D54" i="27" s="1"/>
  <c r="D101" i="10"/>
  <c r="F53" i="27" s="1"/>
  <c r="D103" i="10"/>
  <c r="H53" i="27" s="1"/>
  <c r="D106" i="10"/>
  <c r="J53" i="27" s="1"/>
  <c r="J54" i="27" s="1"/>
  <c r="D99" i="10"/>
  <c r="E53" i="27" s="1"/>
  <c r="D102" i="10"/>
  <c r="G53" i="27" s="1"/>
  <c r="D107" i="10"/>
  <c r="K53" i="27" s="1"/>
  <c r="D109" i="10"/>
  <c r="L53" i="27" s="1"/>
  <c r="L54" i="27" s="1"/>
  <c r="D100" i="10"/>
  <c r="D111" i="10"/>
  <c r="N53" i="27" s="1"/>
  <c r="D104" i="10"/>
  <c r="G20" i="29"/>
  <c r="D110" i="10"/>
  <c r="M53" i="27" s="1"/>
  <c r="D105" i="10"/>
  <c r="I53" i="27" s="1"/>
  <c r="D112" i="10"/>
  <c r="D108" i="10"/>
  <c r="F14" i="22"/>
  <c r="F19" i="22" s="1"/>
  <c r="F47" i="10"/>
  <c r="F16" i="22" s="1"/>
  <c r="F82" i="10"/>
  <c r="I86" i="27" s="1"/>
  <c r="F90" i="10"/>
  <c r="K86" i="27" s="1"/>
  <c r="F78" i="10"/>
  <c r="H86" i="27" s="1"/>
  <c r="F86" i="10"/>
  <c r="J86" i="27" s="1"/>
  <c r="I19" i="29"/>
  <c r="F91" i="10"/>
  <c r="L86" i="27" s="1"/>
  <c r="D32" i="16"/>
  <c r="D13" i="5" s="1"/>
  <c r="P54" i="28" s="1"/>
  <c r="D20" i="4"/>
  <c r="D23" i="4" s="1"/>
  <c r="E32" i="16"/>
  <c r="E13" i="5" s="1"/>
  <c r="R90" i="28" s="1"/>
  <c r="K54" i="27"/>
  <c r="O55" i="28"/>
  <c r="F41" i="10"/>
  <c r="F17" i="10"/>
  <c r="F16" i="3"/>
  <c r="S85" i="27" s="1"/>
  <c r="C14" i="4"/>
  <c r="C54" i="12"/>
  <c r="F12" i="29" s="1"/>
  <c r="E46" i="27"/>
  <c r="E48" i="27" s="1"/>
  <c r="G46" i="27"/>
  <c r="G48" i="27" s="1"/>
  <c r="I46" i="27"/>
  <c r="I48" i="27" s="1"/>
  <c r="K46" i="27"/>
  <c r="K48" i="27" s="1"/>
  <c r="K56" i="27" s="1"/>
  <c r="K60" i="27" s="1"/>
  <c r="K64" i="27" s="1"/>
  <c r="D46" i="27"/>
  <c r="D48" i="27" s="1"/>
  <c r="F46" i="27"/>
  <c r="F48" i="27" s="1"/>
  <c r="H46" i="27"/>
  <c r="H48" i="27" s="1"/>
  <c r="J46" i="27"/>
  <c r="J48" i="27" s="1"/>
  <c r="L46" i="27"/>
  <c r="L48" i="27" s="1"/>
  <c r="N46" i="27"/>
  <c r="N48" i="27" s="1"/>
  <c r="C46" i="27"/>
  <c r="D57" i="7"/>
  <c r="D53" i="7"/>
  <c r="D49" i="7"/>
  <c r="D45" i="7"/>
  <c r="D52" i="7"/>
  <c r="D48" i="7"/>
  <c r="D44" i="7"/>
  <c r="D55" i="7"/>
  <c r="D47" i="7"/>
  <c r="D43" i="7"/>
  <c r="M46" i="27"/>
  <c r="M48" i="27" s="1"/>
  <c r="D50" i="7"/>
  <c r="D46" i="7"/>
  <c r="D51" i="7"/>
  <c r="D56" i="7"/>
  <c r="D58" i="7"/>
  <c r="D54" i="7"/>
  <c r="O13" i="27"/>
  <c r="C15" i="27"/>
  <c r="D21" i="22"/>
  <c r="C13" i="16"/>
  <c r="C10" i="5" s="1"/>
  <c r="P15" i="28" s="1"/>
  <c r="C10" i="4"/>
  <c r="D13" i="16"/>
  <c r="D10" i="5" s="1"/>
  <c r="P51" i="28" s="1"/>
  <c r="D59" i="7"/>
  <c r="C20" i="4"/>
  <c r="C32" i="16"/>
  <c r="C13" i="5" s="1"/>
  <c r="P18" i="28" s="1"/>
  <c r="I54" i="27"/>
  <c r="G54" i="27"/>
  <c r="H54" i="27"/>
  <c r="C54" i="10"/>
  <c r="D18" i="27" s="1"/>
  <c r="C57" i="10"/>
  <c r="F18" i="27" s="1"/>
  <c r="C59" i="10"/>
  <c r="H18" i="27" s="1"/>
  <c r="C62" i="10"/>
  <c r="J18" i="27" s="1"/>
  <c r="F18" i="29"/>
  <c r="C55" i="10"/>
  <c r="E18" i="27" s="1"/>
  <c r="E21" i="27" s="1"/>
  <c r="E23" i="27" s="1"/>
  <c r="E27" i="27" s="1"/>
  <c r="E31" i="27" s="1"/>
  <c r="C58" i="10"/>
  <c r="G18" i="27" s="1"/>
  <c r="C61" i="10"/>
  <c r="I18" i="27" s="1"/>
  <c r="C63" i="10"/>
  <c r="K18" i="27" s="1"/>
  <c r="C56" i="10"/>
  <c r="C53" i="10"/>
  <c r="C18" i="27" s="1"/>
  <c r="C60" i="10"/>
  <c r="C64" i="10"/>
  <c r="C66" i="10"/>
  <c r="M18" i="27" s="1"/>
  <c r="M21" i="27" s="1"/>
  <c r="M23" i="27" s="1"/>
  <c r="M27" i="27" s="1"/>
  <c r="M31" i="27" s="1"/>
  <c r="C65" i="10"/>
  <c r="L18" i="27" s="1"/>
  <c r="C67" i="10"/>
  <c r="N18" i="27" s="1"/>
  <c r="C68" i="10"/>
  <c r="F112" i="10"/>
  <c r="K87" i="27" s="1"/>
  <c r="F100" i="10"/>
  <c r="H87" i="27" s="1"/>
  <c r="F104" i="10"/>
  <c r="I87" i="27" s="1"/>
  <c r="F108" i="10"/>
  <c r="J87" i="27" s="1"/>
  <c r="I20" i="29"/>
  <c r="F113" i="10"/>
  <c r="L87" i="27" s="1"/>
  <c r="E21" i="22"/>
  <c r="E23" i="22"/>
  <c r="E52" i="12"/>
  <c r="D53" i="12"/>
  <c r="C77" i="10"/>
  <c r="E19" i="27" s="1"/>
  <c r="C80" i="10"/>
  <c r="G19" i="27" s="1"/>
  <c r="C83" i="10"/>
  <c r="I19" i="27" s="1"/>
  <c r="C85" i="10"/>
  <c r="K19" i="27" s="1"/>
  <c r="C75" i="10"/>
  <c r="C19" i="27" s="1"/>
  <c r="C76" i="10"/>
  <c r="D19" i="27" s="1"/>
  <c r="C79" i="10"/>
  <c r="F19" i="27" s="1"/>
  <c r="C81" i="10"/>
  <c r="H19" i="27" s="1"/>
  <c r="C84" i="10"/>
  <c r="J19" i="27" s="1"/>
  <c r="C78" i="10"/>
  <c r="C82" i="10"/>
  <c r="C86" i="10"/>
  <c r="F19" i="29"/>
  <c r="C88" i="10"/>
  <c r="M19" i="27" s="1"/>
  <c r="C89" i="10"/>
  <c r="N19" i="27" s="1"/>
  <c r="C87" i="10"/>
  <c r="L19" i="27" s="1"/>
  <c r="C90" i="10"/>
  <c r="M54" i="27"/>
  <c r="E54" i="27"/>
  <c r="F54" i="27"/>
  <c r="C97" i="10"/>
  <c r="C20" i="27" s="1"/>
  <c r="C98" i="10"/>
  <c r="D20" i="27" s="1"/>
  <c r="C101" i="10"/>
  <c r="F20" i="27" s="1"/>
  <c r="C103" i="10"/>
  <c r="H20" i="27" s="1"/>
  <c r="C106" i="10"/>
  <c r="J20" i="27" s="1"/>
  <c r="C108" i="10"/>
  <c r="C100" i="10"/>
  <c r="C99" i="10"/>
  <c r="E20" i="27" s="1"/>
  <c r="C107" i="10"/>
  <c r="K20" i="27" s="1"/>
  <c r="F20" i="29"/>
  <c r="C104" i="10"/>
  <c r="C102" i="10"/>
  <c r="G20" i="27" s="1"/>
  <c r="C105" i="10"/>
  <c r="I20" i="27" s="1"/>
  <c r="C110" i="10"/>
  <c r="M20" i="27" s="1"/>
  <c r="C109" i="10"/>
  <c r="L20" i="27" s="1"/>
  <c r="C111" i="10"/>
  <c r="N20" i="27" s="1"/>
  <c r="C112" i="10"/>
  <c r="C19" i="3"/>
  <c r="P21" i="27" s="1"/>
  <c r="C42" i="10"/>
  <c r="O53" i="28"/>
  <c r="C38" i="16"/>
  <c r="C14" i="5" s="1"/>
  <c r="P19" i="28" s="1"/>
  <c r="C21" i="4"/>
  <c r="D38" i="16"/>
  <c r="D14" i="5" s="1"/>
  <c r="P55" i="28" s="1"/>
  <c r="G60" i="10"/>
  <c r="N85" i="27" s="1"/>
  <c r="G56" i="10"/>
  <c r="M85" i="27" s="1"/>
  <c r="M88" i="27" s="1"/>
  <c r="G68" i="10"/>
  <c r="P85" i="27" s="1"/>
  <c r="P88" i="27" s="1"/>
  <c r="G64" i="10"/>
  <c r="O85" i="27" s="1"/>
  <c r="O88" i="27" s="1"/>
  <c r="J18" i="29"/>
  <c r="G69" i="10"/>
  <c r="Q85" i="27" s="1"/>
  <c r="G21" i="29"/>
  <c r="D20" i="3"/>
  <c r="D30" i="17" s="1"/>
  <c r="F21" i="27" l="1"/>
  <c r="F23" i="27" s="1"/>
  <c r="F27" i="27" s="1"/>
  <c r="F31" i="27" s="1"/>
  <c r="O15" i="27"/>
  <c r="J56" i="27"/>
  <c r="J60" i="27" s="1"/>
  <c r="J64" i="27" s="1"/>
  <c r="E13" i="3"/>
  <c r="R82" i="27"/>
  <c r="E8" i="17"/>
  <c r="D90" i="27"/>
  <c r="D94" i="27" s="1"/>
  <c r="D98" i="27" s="1"/>
  <c r="E82" i="10"/>
  <c r="D86" i="27" s="1"/>
  <c r="D88" i="27" s="1"/>
  <c r="E90" i="10"/>
  <c r="F86" i="27" s="1"/>
  <c r="F88" i="27" s="1"/>
  <c r="E86" i="10"/>
  <c r="E86" i="27" s="1"/>
  <c r="E88" i="27" s="1"/>
  <c r="H19" i="29"/>
  <c r="E78" i="10"/>
  <c r="C86" i="27" s="1"/>
  <c r="C88" i="27" s="1"/>
  <c r="E91" i="10"/>
  <c r="G86" i="27" s="1"/>
  <c r="C26" i="3"/>
  <c r="F22" i="29"/>
  <c r="P23" i="27"/>
  <c r="K21" i="27"/>
  <c r="K23" i="27" s="1"/>
  <c r="K27" i="27" s="1"/>
  <c r="K31" i="27" s="1"/>
  <c r="D21" i="27"/>
  <c r="D23" i="27" s="1"/>
  <c r="D27" i="27" s="1"/>
  <c r="D31" i="27" s="1"/>
  <c r="C48" i="27"/>
  <c r="O46" i="27"/>
  <c r="H56" i="27"/>
  <c r="H60" i="27" s="1"/>
  <c r="H64" i="27" s="1"/>
  <c r="I56" i="27"/>
  <c r="I60" i="27" s="1"/>
  <c r="I64" i="27" s="1"/>
  <c r="F23" i="22"/>
  <c r="D22" i="3"/>
  <c r="P48" i="27"/>
  <c r="D13" i="3"/>
  <c r="D8" i="17"/>
  <c r="G80" i="27"/>
  <c r="G82" i="27" s="1"/>
  <c r="C82" i="27"/>
  <c r="C90" i="27" s="1"/>
  <c r="F19" i="3"/>
  <c r="S88" i="27" s="1"/>
  <c r="F42" i="10"/>
  <c r="O20" i="27"/>
  <c r="O19" i="27"/>
  <c r="N21" i="27"/>
  <c r="N23" i="27" s="1"/>
  <c r="N27" i="27" s="1"/>
  <c r="N31" i="27" s="1"/>
  <c r="I21" i="27"/>
  <c r="I23" i="27" s="1"/>
  <c r="I27" i="27" s="1"/>
  <c r="I31" i="27" s="1"/>
  <c r="J21" i="27"/>
  <c r="J23" i="27" s="1"/>
  <c r="J27" i="27" s="1"/>
  <c r="J31" i="27" s="1"/>
  <c r="C23" i="4"/>
  <c r="M56" i="27"/>
  <c r="M60" i="27" s="1"/>
  <c r="M64" i="27" s="1"/>
  <c r="N56" i="27"/>
  <c r="N60" i="27" s="1"/>
  <c r="N64" i="27" s="1"/>
  <c r="F56" i="27"/>
  <c r="F60" i="27" s="1"/>
  <c r="F64" i="27" s="1"/>
  <c r="G56" i="27"/>
  <c r="G60" i="27" s="1"/>
  <c r="G64" i="27" s="1"/>
  <c r="I85" i="28"/>
  <c r="J85" i="28"/>
  <c r="F8" i="5"/>
  <c r="S85" i="28" s="1"/>
  <c r="H85" i="28"/>
  <c r="K85" i="28"/>
  <c r="F48" i="12"/>
  <c r="I24" i="29" s="1"/>
  <c r="G107" i="10"/>
  <c r="G102" i="10"/>
  <c r="G97" i="10"/>
  <c r="G85" i="10"/>
  <c r="G80" i="10"/>
  <c r="G75" i="10"/>
  <c r="G63" i="10"/>
  <c r="G58" i="10"/>
  <c r="G53" i="10"/>
  <c r="J21" i="29"/>
  <c r="G111" i="10"/>
  <c r="G106" i="10"/>
  <c r="G101" i="10"/>
  <c r="G89" i="10"/>
  <c r="G84" i="10"/>
  <c r="G79" i="10"/>
  <c r="G67" i="10"/>
  <c r="G62" i="10"/>
  <c r="G57" i="10"/>
  <c r="G110" i="10"/>
  <c r="G105" i="10"/>
  <c r="G99" i="10"/>
  <c r="G88" i="10"/>
  <c r="G83" i="10"/>
  <c r="G77" i="10"/>
  <c r="G66" i="10"/>
  <c r="G61" i="10"/>
  <c r="G55" i="10"/>
  <c r="G20" i="3"/>
  <c r="G30" i="17" s="1"/>
  <c r="G109" i="10"/>
  <c r="G81" i="10"/>
  <c r="G54" i="10"/>
  <c r="G103" i="10"/>
  <c r="G76" i="10"/>
  <c r="G98" i="10"/>
  <c r="G65" i="10"/>
  <c r="G87" i="10"/>
  <c r="G59" i="10"/>
  <c r="E90" i="27"/>
  <c r="E94" i="27" s="1"/>
  <c r="E98" i="27" s="1"/>
  <c r="E19" i="3"/>
  <c r="R88" i="27" s="1"/>
  <c r="E42" i="10"/>
  <c r="F21" i="29"/>
  <c r="C20" i="3"/>
  <c r="C30" i="17" s="1"/>
  <c r="F52" i="12"/>
  <c r="E53" i="12"/>
  <c r="O53" i="27"/>
  <c r="G37" i="7"/>
  <c r="G32" i="7"/>
  <c r="N88" i="27"/>
  <c r="Q88" i="27" s="1"/>
  <c r="D14" i="4"/>
  <c r="D54" i="12"/>
  <c r="G12" i="29" s="1"/>
  <c r="L21" i="27"/>
  <c r="L23" i="27" s="1"/>
  <c r="L27" i="27" s="1"/>
  <c r="L31" i="27" s="1"/>
  <c r="C21" i="27"/>
  <c r="O18" i="27"/>
  <c r="G21" i="27"/>
  <c r="G23" i="27" s="1"/>
  <c r="G27" i="27" s="1"/>
  <c r="G31" i="27" s="1"/>
  <c r="H21" i="27"/>
  <c r="H23" i="27" s="1"/>
  <c r="H27" i="27" s="1"/>
  <c r="H31" i="27" s="1"/>
  <c r="L56" i="27"/>
  <c r="L60" i="27" s="1"/>
  <c r="L64" i="27" s="1"/>
  <c r="D56" i="27"/>
  <c r="D60" i="27" s="1"/>
  <c r="D64" i="27" s="1"/>
  <c r="E56" i="27"/>
  <c r="E60" i="27" s="1"/>
  <c r="E64" i="27" s="1"/>
  <c r="F68" i="10"/>
  <c r="K85" i="27" s="1"/>
  <c r="K88" i="27" s="1"/>
  <c r="F64" i="10"/>
  <c r="J85" i="27" s="1"/>
  <c r="J88" i="27" s="1"/>
  <c r="F56" i="10"/>
  <c r="H85" i="27" s="1"/>
  <c r="H88" i="27" s="1"/>
  <c r="F60" i="10"/>
  <c r="I85" i="27" s="1"/>
  <c r="I88" i="27" s="1"/>
  <c r="I18" i="29"/>
  <c r="F69" i="10"/>
  <c r="L85" i="27" s="1"/>
  <c r="F32" i="7"/>
  <c r="F37" i="7"/>
  <c r="P85" i="28"/>
  <c r="M85" i="28"/>
  <c r="G8" i="5"/>
  <c r="T85" i="28" s="1"/>
  <c r="O85" i="28"/>
  <c r="N85" i="28"/>
  <c r="G48" i="12"/>
  <c r="J24" i="29" s="1"/>
  <c r="C54" i="27"/>
  <c r="O54" i="27" s="1"/>
  <c r="F90" i="27"/>
  <c r="F94" i="27" s="1"/>
  <c r="F98" i="27" s="1"/>
  <c r="F17" i="29"/>
  <c r="C29" i="17"/>
  <c r="Q85" i="28" l="1"/>
  <c r="O21" i="27"/>
  <c r="E14" i="4"/>
  <c r="E54" i="12"/>
  <c r="H12" i="29" s="1"/>
  <c r="E109" i="10"/>
  <c r="E103" i="10"/>
  <c r="E98" i="10"/>
  <c r="E87" i="10"/>
  <c r="E81" i="10"/>
  <c r="E76" i="10"/>
  <c r="E59" i="10"/>
  <c r="E67" i="10"/>
  <c r="E54" i="10"/>
  <c r="E107" i="10"/>
  <c r="E102" i="10"/>
  <c r="E97" i="10"/>
  <c r="E85" i="10"/>
  <c r="E80" i="10"/>
  <c r="E75" i="10"/>
  <c r="E61" i="10"/>
  <c r="E66" i="10"/>
  <c r="E53" i="10"/>
  <c r="H21" i="29"/>
  <c r="E20" i="3"/>
  <c r="E30" i="17" s="1"/>
  <c r="E111" i="10"/>
  <c r="E106" i="10"/>
  <c r="E101" i="10"/>
  <c r="E89" i="10"/>
  <c r="E84" i="10"/>
  <c r="E79" i="10"/>
  <c r="E57" i="10"/>
  <c r="E62" i="10"/>
  <c r="E65" i="10"/>
  <c r="E105" i="10"/>
  <c r="E77" i="10"/>
  <c r="E99" i="10"/>
  <c r="E58" i="10"/>
  <c r="E88" i="10"/>
  <c r="E63" i="10"/>
  <c r="E110" i="10"/>
  <c r="E83" i="10"/>
  <c r="E55" i="10"/>
  <c r="G17" i="29"/>
  <c r="D29" i="17"/>
  <c r="C56" i="27"/>
  <c r="O48" i="27"/>
  <c r="E22" i="3"/>
  <c r="F10" i="22"/>
  <c r="F20" i="22" s="1"/>
  <c r="F38" i="7"/>
  <c r="F11" i="22" s="1"/>
  <c r="G9" i="3"/>
  <c r="G33" i="7"/>
  <c r="G52" i="12"/>
  <c r="G53" i="12" s="1"/>
  <c r="F53" i="12"/>
  <c r="C94" i="27"/>
  <c r="G90" i="27"/>
  <c r="C30" i="3"/>
  <c r="F25" i="29"/>
  <c r="P27" i="27"/>
  <c r="F23" i="29"/>
  <c r="C10" i="17"/>
  <c r="C9" i="17"/>
  <c r="G10" i="22"/>
  <c r="G20" i="22" s="1"/>
  <c r="G38" i="7"/>
  <c r="G11" i="22" s="1"/>
  <c r="I21" i="29"/>
  <c r="F57" i="10"/>
  <c r="F62" i="10"/>
  <c r="F67" i="10"/>
  <c r="F79" i="10"/>
  <c r="F84" i="10"/>
  <c r="F89" i="10"/>
  <c r="F101" i="10"/>
  <c r="F106" i="10"/>
  <c r="F111" i="10"/>
  <c r="F53" i="10"/>
  <c r="F58" i="10"/>
  <c r="F63" i="10"/>
  <c r="F75" i="10"/>
  <c r="F80" i="10"/>
  <c r="F85" i="10"/>
  <c r="F97" i="10"/>
  <c r="F102" i="10"/>
  <c r="F107" i="10"/>
  <c r="F20" i="3"/>
  <c r="F30" i="17" s="1"/>
  <c r="F54" i="10"/>
  <c r="F59" i="10"/>
  <c r="F65" i="10"/>
  <c r="F76" i="10"/>
  <c r="F81" i="10"/>
  <c r="F87" i="10"/>
  <c r="F98" i="10"/>
  <c r="F103" i="10"/>
  <c r="F109" i="10"/>
  <c r="F77" i="10"/>
  <c r="F105" i="10"/>
  <c r="F55" i="10"/>
  <c r="F83" i="10"/>
  <c r="F110" i="10"/>
  <c r="F61" i="10"/>
  <c r="F88" i="10"/>
  <c r="F66" i="10"/>
  <c r="F99" i="10"/>
  <c r="D26" i="3"/>
  <c r="G22" i="29"/>
  <c r="P56" i="27"/>
  <c r="F9" i="3"/>
  <c r="F33" i="7"/>
  <c r="L88" i="27"/>
  <c r="L85" i="28"/>
  <c r="G88" i="27"/>
  <c r="E29" i="17"/>
  <c r="H17" i="29"/>
  <c r="C23" i="27"/>
  <c r="S80" i="27" l="1"/>
  <c r="F10" i="3"/>
  <c r="F12" i="3"/>
  <c r="D30" i="3"/>
  <c r="G25" i="29"/>
  <c r="G23" i="29"/>
  <c r="D9" i="17"/>
  <c r="P60" i="27"/>
  <c r="D10" i="17"/>
  <c r="G10" i="3"/>
  <c r="T80" i="27"/>
  <c r="G12" i="3"/>
  <c r="F25" i="22"/>
  <c r="F21" i="22"/>
  <c r="C60" i="27"/>
  <c r="O56" i="27"/>
  <c r="H80" i="27"/>
  <c r="I80" i="27"/>
  <c r="I82" i="27" s="1"/>
  <c r="I90" i="27" s="1"/>
  <c r="I94" i="27" s="1"/>
  <c r="I98" i="27" s="1"/>
  <c r="J80" i="27"/>
  <c r="J82" i="27" s="1"/>
  <c r="J90" i="27" s="1"/>
  <c r="J94" i="27" s="1"/>
  <c r="J98" i="27" s="1"/>
  <c r="K80" i="27"/>
  <c r="K82" i="27" s="1"/>
  <c r="K90" i="27" s="1"/>
  <c r="K94" i="27" s="1"/>
  <c r="K98" i="27" s="1"/>
  <c r="F46" i="7"/>
  <c r="F50" i="7"/>
  <c r="F54" i="7"/>
  <c r="F58" i="7"/>
  <c r="F43" i="7"/>
  <c r="F47" i="7"/>
  <c r="F51" i="7"/>
  <c r="F55" i="7"/>
  <c r="F44" i="7"/>
  <c r="F48" i="7"/>
  <c r="F52" i="7"/>
  <c r="F56" i="7"/>
  <c r="F59" i="7"/>
  <c r="F57" i="7"/>
  <c r="F45" i="7"/>
  <c r="F49" i="7"/>
  <c r="F53" i="7"/>
  <c r="C27" i="27"/>
  <c r="O23" i="27"/>
  <c r="F14" i="4"/>
  <c r="F54" i="12"/>
  <c r="I12" i="29" s="1"/>
  <c r="E26" i="3"/>
  <c r="R90" i="27"/>
  <c r="H22" i="29"/>
  <c r="G25" i="22"/>
  <c r="G21" i="22"/>
  <c r="C11" i="15"/>
  <c r="P31" i="27"/>
  <c r="C98" i="27"/>
  <c r="G94" i="27"/>
  <c r="G14" i="4"/>
  <c r="G54" i="12"/>
  <c r="J12" i="29" s="1"/>
  <c r="M80" i="27"/>
  <c r="N80" i="27"/>
  <c r="N82" i="27" s="1"/>
  <c r="N90" i="27" s="1"/>
  <c r="N94" i="27" s="1"/>
  <c r="N98" i="27" s="1"/>
  <c r="O80" i="27"/>
  <c r="O82" i="27" s="1"/>
  <c r="O90" i="27" s="1"/>
  <c r="O94" i="27" s="1"/>
  <c r="O98" i="27" s="1"/>
  <c r="P80" i="27"/>
  <c r="P82" i="27" s="1"/>
  <c r="P90" i="27" s="1"/>
  <c r="P94" i="27" s="1"/>
  <c r="P98" i="27" s="1"/>
  <c r="G46" i="7"/>
  <c r="G50" i="7"/>
  <c r="G54" i="7"/>
  <c r="G58" i="7"/>
  <c r="G43" i="7"/>
  <c r="G47" i="7"/>
  <c r="G51" i="7"/>
  <c r="G55" i="7"/>
  <c r="G44" i="7"/>
  <c r="G48" i="7"/>
  <c r="G52" i="7"/>
  <c r="G56" i="7"/>
  <c r="G57" i="7"/>
  <c r="G45" i="7"/>
  <c r="G49" i="7"/>
  <c r="G53" i="7"/>
  <c r="G59" i="7"/>
  <c r="L80" i="27" l="1"/>
  <c r="L82" i="27" s="1"/>
  <c r="H82" i="27"/>
  <c r="H90" i="27" s="1"/>
  <c r="C12" i="15"/>
  <c r="C14" i="15" s="1"/>
  <c r="D33" i="27"/>
  <c r="D35" i="27" s="1"/>
  <c r="D12" i="28" s="1"/>
  <c r="D20" i="28" s="1"/>
  <c r="D36" i="28" s="1"/>
  <c r="F33" i="27"/>
  <c r="F35" i="27" s="1"/>
  <c r="F12" i="28" s="1"/>
  <c r="F20" i="28" s="1"/>
  <c r="F36" i="28" s="1"/>
  <c r="H33" i="27"/>
  <c r="H35" i="27" s="1"/>
  <c r="H12" i="28" s="1"/>
  <c r="H20" i="28" s="1"/>
  <c r="H36" i="28" s="1"/>
  <c r="J33" i="27"/>
  <c r="J35" i="27" s="1"/>
  <c r="J12" i="28" s="1"/>
  <c r="J20" i="28" s="1"/>
  <c r="J36" i="28" s="1"/>
  <c r="L33" i="27"/>
  <c r="L35" i="27" s="1"/>
  <c r="L12" i="28" s="1"/>
  <c r="L20" i="28" s="1"/>
  <c r="L36" i="28" s="1"/>
  <c r="N33" i="27"/>
  <c r="N35" i="27" s="1"/>
  <c r="N12" i="28" s="1"/>
  <c r="N20" i="28" s="1"/>
  <c r="N36" i="28" s="1"/>
  <c r="M33" i="27"/>
  <c r="M35" i="27" s="1"/>
  <c r="M12" i="28" s="1"/>
  <c r="M20" i="28" s="1"/>
  <c r="M36" i="28" s="1"/>
  <c r="I33" i="27"/>
  <c r="I35" i="27" s="1"/>
  <c r="I12" i="28" s="1"/>
  <c r="I20" i="28" s="1"/>
  <c r="I36" i="28" s="1"/>
  <c r="C33" i="27"/>
  <c r="E33" i="27"/>
  <c r="E35" i="27" s="1"/>
  <c r="E12" i="28" s="1"/>
  <c r="E20" i="28" s="1"/>
  <c r="E36" i="28" s="1"/>
  <c r="K33" i="27"/>
  <c r="K35" i="27" s="1"/>
  <c r="K12" i="28" s="1"/>
  <c r="K20" i="28" s="1"/>
  <c r="K36" i="28" s="1"/>
  <c r="G33" i="27"/>
  <c r="G35" i="27" s="1"/>
  <c r="G12" i="28" s="1"/>
  <c r="G20" i="28" s="1"/>
  <c r="G36" i="28" s="1"/>
  <c r="G22" i="3"/>
  <c r="G13" i="3"/>
  <c r="G8" i="17"/>
  <c r="T82" i="27"/>
  <c r="D11" i="15"/>
  <c r="P64" i="27"/>
  <c r="C64" i="27"/>
  <c r="O60" i="27"/>
  <c r="F22" i="3"/>
  <c r="F13" i="3"/>
  <c r="S82" i="27"/>
  <c r="F8" i="17"/>
  <c r="Q80" i="27"/>
  <c r="Q82" i="27" s="1"/>
  <c r="M82" i="27"/>
  <c r="M90" i="27" s="1"/>
  <c r="G98" i="27"/>
  <c r="E30" i="3"/>
  <c r="H25" i="29"/>
  <c r="H23" i="29"/>
  <c r="R94" i="27"/>
  <c r="E10" i="17"/>
  <c r="E9" i="17"/>
  <c r="C31" i="27"/>
  <c r="O27" i="27"/>
  <c r="O64" i="27" l="1"/>
  <c r="C32" i="3"/>
  <c r="C15" i="15"/>
  <c r="M94" i="27"/>
  <c r="Q90" i="27"/>
  <c r="I17" i="29"/>
  <c r="F29" i="17"/>
  <c r="J17" i="29"/>
  <c r="G29" i="17"/>
  <c r="C35" i="27"/>
  <c r="O31" i="27"/>
  <c r="C112" i="27"/>
  <c r="D112" i="27" s="1"/>
  <c r="E112" i="27" s="1"/>
  <c r="F112" i="27" s="1"/>
  <c r="G112" i="27" s="1"/>
  <c r="H112" i="27" s="1"/>
  <c r="I112" i="27" s="1"/>
  <c r="J112" i="27" s="1"/>
  <c r="K112" i="27" s="1"/>
  <c r="L112" i="27" s="1"/>
  <c r="M112" i="27" s="1"/>
  <c r="N112" i="27" s="1"/>
  <c r="C113" i="27" s="1"/>
  <c r="D113" i="27" s="1"/>
  <c r="E113" i="27" s="1"/>
  <c r="F113" i="27" s="1"/>
  <c r="G113" i="27" s="1"/>
  <c r="H113" i="27" s="1"/>
  <c r="I113" i="27" s="1"/>
  <c r="J113" i="27" s="1"/>
  <c r="K113" i="27" s="1"/>
  <c r="L113" i="27" s="1"/>
  <c r="M113" i="27" s="1"/>
  <c r="N113" i="27" s="1"/>
  <c r="C117" i="27" s="1"/>
  <c r="D117" i="27" s="1"/>
  <c r="E117" i="27" s="1"/>
  <c r="F117" i="27" s="1"/>
  <c r="E11" i="15"/>
  <c r="R98" i="27"/>
  <c r="F26" i="3"/>
  <c r="I22" i="29"/>
  <c r="S90" i="27"/>
  <c r="D12" i="15"/>
  <c r="G26" i="3"/>
  <c r="J22" i="29"/>
  <c r="T90" i="27"/>
  <c r="H94" i="27"/>
  <c r="L90" i="27"/>
  <c r="O33" i="27"/>
  <c r="H117" i="27" l="1"/>
  <c r="I117" i="27" s="1"/>
  <c r="J117" i="27" s="1"/>
  <c r="K117" i="27" s="1"/>
  <c r="M117" i="27" s="1"/>
  <c r="N117" i="27" s="1"/>
  <c r="O117" i="27" s="1"/>
  <c r="P117" i="27" s="1"/>
  <c r="H98" i="27"/>
  <c r="L94" i="27"/>
  <c r="D14" i="15"/>
  <c r="D66" i="27"/>
  <c r="D68" i="27" s="1"/>
  <c r="D48" i="28" s="1"/>
  <c r="D56" i="28" s="1"/>
  <c r="D72" i="28" s="1"/>
  <c r="F66" i="27"/>
  <c r="F68" i="27" s="1"/>
  <c r="F48" i="28" s="1"/>
  <c r="F56" i="28" s="1"/>
  <c r="F72" i="28" s="1"/>
  <c r="H66" i="27"/>
  <c r="H68" i="27" s="1"/>
  <c r="H48" i="28" s="1"/>
  <c r="H56" i="28" s="1"/>
  <c r="H72" i="28" s="1"/>
  <c r="J66" i="27"/>
  <c r="J68" i="27" s="1"/>
  <c r="J48" i="28" s="1"/>
  <c r="J56" i="28" s="1"/>
  <c r="J72" i="28" s="1"/>
  <c r="C66" i="27"/>
  <c r="E66" i="27"/>
  <c r="E68" i="27" s="1"/>
  <c r="E48" i="28" s="1"/>
  <c r="E56" i="28" s="1"/>
  <c r="E72" i="28" s="1"/>
  <c r="G66" i="27"/>
  <c r="G68" i="27" s="1"/>
  <c r="G48" i="28" s="1"/>
  <c r="G56" i="28" s="1"/>
  <c r="G72" i="28" s="1"/>
  <c r="I66" i="27"/>
  <c r="I68" i="27" s="1"/>
  <c r="I48" i="28" s="1"/>
  <c r="I56" i="28" s="1"/>
  <c r="I72" i="28" s="1"/>
  <c r="K66" i="27"/>
  <c r="K68" i="27" s="1"/>
  <c r="K48" i="28" s="1"/>
  <c r="K56" i="28" s="1"/>
  <c r="K72" i="28" s="1"/>
  <c r="M66" i="27"/>
  <c r="M68" i="27" s="1"/>
  <c r="M48" i="28" s="1"/>
  <c r="M56" i="28" s="1"/>
  <c r="M72" i="28" s="1"/>
  <c r="L66" i="27"/>
  <c r="L68" i="27" s="1"/>
  <c r="L48" i="28" s="1"/>
  <c r="L56" i="28" s="1"/>
  <c r="L72" i="28" s="1"/>
  <c r="N66" i="27"/>
  <c r="N68" i="27" s="1"/>
  <c r="N48" i="28" s="1"/>
  <c r="N56" i="28" s="1"/>
  <c r="N72" i="28" s="1"/>
  <c r="F30" i="3"/>
  <c r="I23" i="29"/>
  <c r="F10" i="17"/>
  <c r="I25" i="29"/>
  <c r="F9" i="17"/>
  <c r="S94" i="27"/>
  <c r="E12" i="15"/>
  <c r="C12" i="28"/>
  <c r="O35" i="27"/>
  <c r="P33" i="27"/>
  <c r="C34" i="3"/>
  <c r="G30" i="3"/>
  <c r="J23" i="29"/>
  <c r="T94" i="27"/>
  <c r="G9" i="17"/>
  <c r="J25" i="29"/>
  <c r="G10" i="17"/>
  <c r="M98" i="27"/>
  <c r="Q94" i="27"/>
  <c r="F11" i="15" l="1"/>
  <c r="F12" i="15" s="1"/>
  <c r="S98" i="27"/>
  <c r="O66" i="27"/>
  <c r="C68" i="27"/>
  <c r="G11" i="15"/>
  <c r="G12" i="15" s="1"/>
  <c r="T98" i="27"/>
  <c r="O12" i="28"/>
  <c r="O20" i="28" s="1"/>
  <c r="C20" i="28"/>
  <c r="C36" i="28" s="1"/>
  <c r="D32" i="3"/>
  <c r="D15" i="15"/>
  <c r="C7" i="5"/>
  <c r="C48" i="9"/>
  <c r="C50" i="9" s="1"/>
  <c r="C52" i="9" s="1"/>
  <c r="C35" i="3"/>
  <c r="F26" i="29" s="1"/>
  <c r="P35" i="27"/>
  <c r="C14" i="34"/>
  <c r="C11" i="17"/>
  <c r="C31" i="17" s="1"/>
  <c r="E14" i="15"/>
  <c r="C100" i="27"/>
  <c r="D100" i="27"/>
  <c r="D102" i="27" s="1"/>
  <c r="D84" i="28" s="1"/>
  <c r="D92" i="28" s="1"/>
  <c r="D108" i="28" s="1"/>
  <c r="F100" i="27"/>
  <c r="F102" i="27" s="1"/>
  <c r="F84" i="28" s="1"/>
  <c r="F92" i="28" s="1"/>
  <c r="F108" i="28" s="1"/>
  <c r="E100" i="27"/>
  <c r="E102" i="27" s="1"/>
  <c r="E84" i="28" s="1"/>
  <c r="E92" i="28" s="1"/>
  <c r="E108" i="28" s="1"/>
  <c r="Q98" i="27"/>
  <c r="L98" i="27"/>
  <c r="P12" i="28" l="1"/>
  <c r="C15" i="5"/>
  <c r="C48" i="28"/>
  <c r="O68" i="27"/>
  <c r="F14" i="34"/>
  <c r="D14" i="34"/>
  <c r="P66" i="27"/>
  <c r="D34" i="3"/>
  <c r="E32" i="3"/>
  <c r="E15" i="15"/>
  <c r="G100" i="27"/>
  <c r="C102" i="27"/>
  <c r="C30" i="4"/>
  <c r="C31" i="4" s="1"/>
  <c r="D51" i="9"/>
  <c r="C17" i="17"/>
  <c r="O36" i="28"/>
  <c r="C39" i="28"/>
  <c r="D38" i="28" s="1"/>
  <c r="D39" i="28" s="1"/>
  <c r="E38" i="28" s="1"/>
  <c r="E39" i="28" s="1"/>
  <c r="F38" i="28" s="1"/>
  <c r="F39" i="28" s="1"/>
  <c r="G38" i="28" s="1"/>
  <c r="G39" i="28" s="1"/>
  <c r="H38" i="28" s="1"/>
  <c r="H39" i="28" s="1"/>
  <c r="I38" i="28" s="1"/>
  <c r="I39" i="28" s="1"/>
  <c r="J38" i="28" s="1"/>
  <c r="J39" i="28" s="1"/>
  <c r="K38" i="28" s="1"/>
  <c r="K39" i="28" s="1"/>
  <c r="L38" i="28" s="1"/>
  <c r="L39" i="28" s="1"/>
  <c r="M38" i="28" s="1"/>
  <c r="M39" i="28" s="1"/>
  <c r="N38" i="28" s="1"/>
  <c r="N39" i="28" s="1"/>
  <c r="C74" i="28" s="1"/>
  <c r="G14" i="15"/>
  <c r="M100" i="27"/>
  <c r="P100" i="27"/>
  <c r="P102" i="27" s="1"/>
  <c r="P84" i="28" s="1"/>
  <c r="P92" i="28" s="1"/>
  <c r="P108" i="28" s="1"/>
  <c r="N100" i="27"/>
  <c r="N102" i="27" s="1"/>
  <c r="N84" i="28" s="1"/>
  <c r="N92" i="28" s="1"/>
  <c r="N108" i="28" s="1"/>
  <c r="O100" i="27"/>
  <c r="O102" i="27" s="1"/>
  <c r="O84" i="28" s="1"/>
  <c r="O92" i="28" s="1"/>
  <c r="O108" i="28" s="1"/>
  <c r="F14" i="15"/>
  <c r="H100" i="27"/>
  <c r="K100" i="27"/>
  <c r="K102" i="27" s="1"/>
  <c r="K84" i="28" s="1"/>
  <c r="K92" i="28" s="1"/>
  <c r="K108" i="28" s="1"/>
  <c r="I100" i="27"/>
  <c r="I102" i="27" s="1"/>
  <c r="I84" i="28" s="1"/>
  <c r="I92" i="28" s="1"/>
  <c r="I108" i="28" s="1"/>
  <c r="J100" i="27"/>
  <c r="J102" i="27" s="1"/>
  <c r="J84" i="28" s="1"/>
  <c r="J92" i="28" s="1"/>
  <c r="J108" i="28" s="1"/>
  <c r="G32" i="3" l="1"/>
  <c r="G15" i="15"/>
  <c r="D48" i="9"/>
  <c r="D50" i="9" s="1"/>
  <c r="D52" i="9" s="1"/>
  <c r="D7" i="5"/>
  <c r="D35" i="3"/>
  <c r="G26" i="29" s="1"/>
  <c r="G35" i="29"/>
  <c r="P68" i="27"/>
  <c r="D11" i="17"/>
  <c r="D31" i="17" s="1"/>
  <c r="C15" i="34"/>
  <c r="D22" i="17"/>
  <c r="F14" i="29"/>
  <c r="C26" i="17"/>
  <c r="C32" i="4"/>
  <c r="C35" i="17"/>
  <c r="C36" i="17"/>
  <c r="F31" i="29"/>
  <c r="F30" i="29"/>
  <c r="L100" i="27"/>
  <c r="H102" i="27"/>
  <c r="C84" i="28"/>
  <c r="G102" i="27"/>
  <c r="R100" i="27"/>
  <c r="E34" i="3"/>
  <c r="G14" i="34"/>
  <c r="G23" i="34"/>
  <c r="I14" i="34"/>
  <c r="O48" i="28"/>
  <c r="C56" i="28"/>
  <c r="Q100" i="27"/>
  <c r="M102" i="27"/>
  <c r="C31" i="5"/>
  <c r="P20" i="28"/>
  <c r="C12" i="17"/>
  <c r="F32" i="3"/>
  <c r="F15" i="15"/>
  <c r="P36" i="28" l="1"/>
  <c r="C34" i="5"/>
  <c r="T100" i="27"/>
  <c r="G34" i="3"/>
  <c r="S100" i="27"/>
  <c r="F34" i="3"/>
  <c r="M84" i="28"/>
  <c r="Q102" i="27"/>
  <c r="D15" i="34"/>
  <c r="F15" i="34"/>
  <c r="P48" i="28"/>
  <c r="D15" i="5"/>
  <c r="H84" i="28"/>
  <c r="L102" i="27"/>
  <c r="K23" i="34"/>
  <c r="I23" i="34"/>
  <c r="H23" i="34"/>
  <c r="E51" i="9"/>
  <c r="D30" i="4"/>
  <c r="D31" i="4" s="1"/>
  <c r="D17" i="17"/>
  <c r="E7" i="5"/>
  <c r="E48" i="9"/>
  <c r="E50" i="9" s="1"/>
  <c r="E52" i="9" s="1"/>
  <c r="H35" i="29"/>
  <c r="E22" i="17"/>
  <c r="E35" i="3"/>
  <c r="H26" i="29" s="1"/>
  <c r="R102" i="27"/>
  <c r="E11" i="17"/>
  <c r="E31" i="17" s="1"/>
  <c r="C16" i="34"/>
  <c r="O56" i="28"/>
  <c r="C72" i="28"/>
  <c r="K14" i="34"/>
  <c r="H14" i="34"/>
  <c r="G84" i="28"/>
  <c r="C92" i="28"/>
  <c r="G92" i="28" l="1"/>
  <c r="C108" i="28"/>
  <c r="O72" i="28"/>
  <c r="C75" i="28"/>
  <c r="D74" i="28" s="1"/>
  <c r="D75" i="28" s="1"/>
  <c r="E74" i="28" s="1"/>
  <c r="E75" i="28" s="1"/>
  <c r="F74" i="28" s="1"/>
  <c r="F75" i="28" s="1"/>
  <c r="G74" i="28" s="1"/>
  <c r="G75" i="28" s="1"/>
  <c r="H74" i="28" s="1"/>
  <c r="H75" i="28" s="1"/>
  <c r="I74" i="28" s="1"/>
  <c r="I75" i="28" s="1"/>
  <c r="J74" i="28" s="1"/>
  <c r="J75" i="28" s="1"/>
  <c r="K74" i="28" s="1"/>
  <c r="K75" i="28" s="1"/>
  <c r="L74" i="28" s="1"/>
  <c r="L75" i="28" s="1"/>
  <c r="M74" i="28" s="1"/>
  <c r="M75" i="28" s="1"/>
  <c r="N74" i="28" s="1"/>
  <c r="N75" i="28" s="1"/>
  <c r="C110" i="28" s="1"/>
  <c r="D16" i="34"/>
  <c r="F16" i="34"/>
  <c r="P56" i="28"/>
  <c r="D31" i="5"/>
  <c r="P72" i="28" s="1"/>
  <c r="D12" i="17"/>
  <c r="G48" i="9"/>
  <c r="G50" i="9" s="1"/>
  <c r="G7" i="5"/>
  <c r="J35" i="29"/>
  <c r="G35" i="3"/>
  <c r="J26" i="29" s="1"/>
  <c r="G22" i="17"/>
  <c r="T102" i="27"/>
  <c r="G11" i="17"/>
  <c r="G31" i="17" s="1"/>
  <c r="C18" i="34"/>
  <c r="B10" i="37"/>
  <c r="B21" i="37" s="1"/>
  <c r="G14" i="29"/>
  <c r="D26" i="17"/>
  <c r="D32" i="4"/>
  <c r="G31" i="29"/>
  <c r="D36" i="17"/>
  <c r="D35" i="17"/>
  <c r="G30" i="29"/>
  <c r="Q84" i="28"/>
  <c r="M92" i="28"/>
  <c r="E30" i="4"/>
  <c r="E31" i="4" s="1"/>
  <c r="F51" i="9"/>
  <c r="E17" i="17"/>
  <c r="F7" i="5"/>
  <c r="F48" i="9"/>
  <c r="F50" i="9" s="1"/>
  <c r="F52" i="9" s="1"/>
  <c r="F35" i="3"/>
  <c r="I26" i="29" s="1"/>
  <c r="I35" i="29"/>
  <c r="S102" i="27"/>
  <c r="F22" i="17"/>
  <c r="F11" i="17"/>
  <c r="F31" i="17" s="1"/>
  <c r="C17" i="34"/>
  <c r="D33" i="5"/>
  <c r="P39" i="28"/>
  <c r="C9" i="4"/>
  <c r="R84" i="28"/>
  <c r="E15" i="5"/>
  <c r="L84" i="28"/>
  <c r="H92" i="28"/>
  <c r="I15" i="34"/>
  <c r="G24" i="34"/>
  <c r="G15" i="34"/>
  <c r="L15" i="34" l="1"/>
  <c r="H15" i="34"/>
  <c r="D17" i="34"/>
  <c r="F17" i="34"/>
  <c r="H24" i="34"/>
  <c r="L24" i="34"/>
  <c r="I24" i="34"/>
  <c r="E31" i="5"/>
  <c r="R108" i="28" s="1"/>
  <c r="E12" i="17"/>
  <c r="R92" i="28"/>
  <c r="P74" i="28"/>
  <c r="D34" i="5"/>
  <c r="T84" i="28"/>
  <c r="G15" i="5"/>
  <c r="G51" i="9"/>
  <c r="F30" i="4"/>
  <c r="F31" i="4" s="1"/>
  <c r="F17" i="17"/>
  <c r="H14" i="29"/>
  <c r="E26" i="17"/>
  <c r="E32" i="4"/>
  <c r="E35" i="17"/>
  <c r="E36" i="17"/>
  <c r="H31" i="29"/>
  <c r="H30" i="29"/>
  <c r="D35" i="37"/>
  <c r="B25" i="37"/>
  <c r="B35" i="37"/>
  <c r="C35" i="37"/>
  <c r="D25" i="37"/>
  <c r="C25" i="37"/>
  <c r="G52" i="9"/>
  <c r="C111" i="28"/>
  <c r="D110" i="28" s="1"/>
  <c r="D111" i="28" s="1"/>
  <c r="E110" i="28" s="1"/>
  <c r="E111" i="28" s="1"/>
  <c r="F110" i="28" s="1"/>
  <c r="F111" i="28" s="1"/>
  <c r="H110" i="28" s="1"/>
  <c r="G108" i="28"/>
  <c r="L92" i="28"/>
  <c r="H108" i="28"/>
  <c r="C16" i="17"/>
  <c r="C13" i="4"/>
  <c r="S84" i="28"/>
  <c r="F15" i="5"/>
  <c r="M108" i="28"/>
  <c r="Q92" i="28"/>
  <c r="D18" i="34"/>
  <c r="F18" i="34"/>
  <c r="G16" i="34"/>
  <c r="G25" i="34"/>
  <c r="M16" i="34" l="1"/>
  <c r="I16" i="34" s="1"/>
  <c r="H16" i="34"/>
  <c r="C36" i="37"/>
  <c r="C37" i="37"/>
  <c r="I14" i="29"/>
  <c r="F26" i="17"/>
  <c r="F32" i="4"/>
  <c r="I31" i="29"/>
  <c r="F36" i="17"/>
  <c r="F35" i="17"/>
  <c r="I30" i="29"/>
  <c r="D9" i="4"/>
  <c r="E33" i="5"/>
  <c r="P75" i="28"/>
  <c r="Q108" i="28"/>
  <c r="F31" i="5"/>
  <c r="S108" i="28" s="1"/>
  <c r="F12" i="17"/>
  <c r="S92" i="28"/>
  <c r="G30" i="4"/>
  <c r="G31" i="4" s="1"/>
  <c r="G17" i="17"/>
  <c r="B36" i="37"/>
  <c r="B37" i="37"/>
  <c r="G17" i="34"/>
  <c r="G26" i="34"/>
  <c r="G18" i="34"/>
  <c r="G27" i="34"/>
  <c r="D29" i="37"/>
  <c r="D30" i="37" s="1"/>
  <c r="B29" i="37"/>
  <c r="B30" i="37" s="1"/>
  <c r="C29" i="37"/>
  <c r="C30" i="37" s="1"/>
  <c r="G12" i="17"/>
  <c r="T92" i="28"/>
  <c r="G31" i="5"/>
  <c r="T108" i="28" s="1"/>
  <c r="L108" i="28"/>
  <c r="H111" i="28"/>
  <c r="I110" i="28" s="1"/>
  <c r="I111" i="28" s="1"/>
  <c r="J110" i="28" s="1"/>
  <c r="J111" i="28" s="1"/>
  <c r="K110" i="28" s="1"/>
  <c r="K111" i="28" s="1"/>
  <c r="M110" i="28" s="1"/>
  <c r="M111" i="28" s="1"/>
  <c r="N110" i="28" s="1"/>
  <c r="N111" i="28" s="1"/>
  <c r="O110" i="28" s="1"/>
  <c r="O111" i="28" s="1"/>
  <c r="P110" i="28" s="1"/>
  <c r="P111" i="28" s="1"/>
  <c r="M25" i="34"/>
  <c r="H25" i="34"/>
  <c r="I25" i="34"/>
  <c r="C15" i="4"/>
  <c r="F13" i="29"/>
  <c r="C25" i="17"/>
  <c r="D36" i="37"/>
  <c r="D37" i="37"/>
  <c r="O27" i="34" l="1"/>
  <c r="H27" i="34"/>
  <c r="I27" i="34"/>
  <c r="J14" i="29"/>
  <c r="G26" i="17"/>
  <c r="G32" i="4"/>
  <c r="J31" i="29"/>
  <c r="G36" i="17"/>
  <c r="J30" i="29"/>
  <c r="G35" i="17"/>
  <c r="D13" i="4"/>
  <c r="D16" i="17"/>
  <c r="O18" i="34"/>
  <c r="I18" i="34" s="1"/>
  <c r="H18" i="34"/>
  <c r="N17" i="34"/>
  <c r="I17" i="34" s="1"/>
  <c r="H17" i="34"/>
  <c r="C34" i="17"/>
  <c r="F29" i="29"/>
  <c r="N26" i="34"/>
  <c r="H26" i="34"/>
  <c r="I26" i="34"/>
  <c r="E34" i="5"/>
  <c r="R110" i="28"/>
  <c r="G13" i="29" l="1"/>
  <c r="D25" i="17"/>
  <c r="D15" i="4"/>
  <c r="F33" i="5"/>
  <c r="E9" i="4"/>
  <c r="R111" i="28"/>
  <c r="G29" i="29" l="1"/>
  <c r="D34" i="17"/>
  <c r="F34" i="5"/>
  <c r="S110" i="28"/>
  <c r="E13" i="4"/>
  <c r="E16" i="17"/>
  <c r="S111" i="28" l="1"/>
  <c r="G33" i="5"/>
  <c r="F9" i="4"/>
  <c r="E15" i="4"/>
  <c r="E25" i="17"/>
  <c r="H13" i="29"/>
  <c r="H29" i="29" l="1"/>
  <c r="E34" i="17"/>
  <c r="G34" i="5"/>
  <c r="T110" i="28"/>
  <c r="F13" i="4"/>
  <c r="F16" i="17"/>
  <c r="G9" i="4" l="1"/>
  <c r="T111" i="28"/>
  <c r="F15" i="4"/>
  <c r="I13" i="29"/>
  <c r="F25" i="17"/>
  <c r="I29" i="29" l="1"/>
  <c r="F34" i="17"/>
  <c r="G13" i="4"/>
  <c r="G16" i="17"/>
  <c r="J13" i="29" l="1"/>
  <c r="G15" i="4"/>
  <c r="G25" i="17"/>
  <c r="J29" i="29" l="1"/>
  <c r="G34" i="17"/>
</calcChain>
</file>

<file path=xl/comments1.xml><?xml version="1.0" encoding="utf-8"?>
<comments xmlns="http://schemas.openxmlformats.org/spreadsheetml/2006/main">
  <authors>
    <author>Compaq</author>
  </authors>
  <commentList>
    <comment ref="G1" authorId="0" shapeId="0">
      <text>
        <r>
          <rPr>
            <b/>
            <sz val="10"/>
            <color indexed="81"/>
            <rFont val="Tahoma"/>
            <family val="2"/>
          </rPr>
          <t xml:space="preserve">   Comparison of Financial Projections 
               with Peer Companies</t>
        </r>
        <r>
          <rPr>
            <sz val="10"/>
            <color indexed="81"/>
            <rFont val="Tahoma"/>
            <family val="2"/>
          </rPr>
          <t xml:space="preserve">
Identify two or three companies that are similar to your venture where you can obtain financial information. Good sources are publicly traded companies in your industry, particularly those that have recently done an IPO. In more traditional industries you may find financial information by NAIC codes in Dun and Bradstreet or the Almanac of Business and Industrial Financial Ratios.
When selecting peer companies, you need to consider how many years have they been in business. The financial measures of a company that has been in business for 10 years is likely to be considerable different than a start-up. For example, a start-up’s Sales &amp; Marketing expenses, as a % of revenue, should be considerable greater than a mature company. In that case you should consider the peer company’s measures as a target that you may reach in year 5.
</t>
        </r>
      </text>
    </comment>
  </commentList>
</comments>
</file>

<file path=xl/comments10.xml><?xml version="1.0" encoding="utf-8"?>
<comments xmlns="http://schemas.openxmlformats.org/spreadsheetml/2006/main">
  <authors>
    <author>Compaq</author>
  </authors>
  <commentList>
    <comment ref="H1" authorId="0" shapeId="0">
      <text>
        <r>
          <rPr>
            <b/>
            <sz val="10"/>
            <color indexed="81"/>
            <rFont val="Tahoma"/>
            <family val="2"/>
          </rPr>
          <t xml:space="preserve">                                     Funding</t>
        </r>
        <r>
          <rPr>
            <sz val="10"/>
            <color indexed="81"/>
            <rFont val="Tahoma"/>
            <family val="2"/>
          </rPr>
          <t xml:space="preserve">
Look at Cash Flow projections to determine the amount of funding required. Decide whether equity or debt is most appropriate. For most start-ups, equity is required in the initial years.
If you decide to use debt, determine the type of loan (long term or short term); repayment terms and interest rate.
Interest Income not calculated automatically. Suggest look at cash balance on spreadsheet and make a rough approximation of the interest income, e.g. 
     Cash balance at the beginning of the year is    $250,000 
     Cash balance at the end of the year is                   500,000
     Average balance for the year                                     375,000
     Interest rate on 30 day Treasury bills is                        5%
     Interest income for Year 3 is                                         18,750
Timing of Funding
The model assumes that equity and new debt funding occurs at the beginning of each year.  Debt repayments take place at the end of each year and interest expense is calculated accordingly. If this is not the case, then manual adjustments to the monthly income statements, balance sheets and cash flow statements are required.
</t>
        </r>
      </text>
    </comment>
  </commentList>
</comments>
</file>

<file path=xl/comments11.xml><?xml version="1.0" encoding="utf-8"?>
<comments xmlns="http://schemas.openxmlformats.org/spreadsheetml/2006/main">
  <authors>
    <author>Compaq</author>
  </authors>
  <commentList>
    <comment ref="H1" authorId="0" shapeId="0">
      <text>
        <r>
          <rPr>
            <b/>
            <sz val="10"/>
            <color indexed="81"/>
            <rFont val="Tahoma"/>
            <family val="2"/>
          </rPr>
          <t xml:space="preserve">                  Break-even Analysis
</t>
        </r>
        <r>
          <rPr>
            <sz val="10"/>
            <color indexed="81"/>
            <rFont val="Tahoma"/>
            <family val="2"/>
          </rPr>
          <t>Look at the Costs of Revenues and determine which costs are fixed and variable. Conduct a similar analysis of the Operating Expenses. Input these numbers in the appropriate cells of those worksheets. The break-even revenue is calculated automatically. To determine the break-even quantity, divide the break-even revenue by the average selling price per customer or unit sold that is assumed in the REVENUE spreadsheet.</t>
        </r>
        <r>
          <rPr>
            <b/>
            <sz val="10"/>
            <color indexed="81"/>
            <rFont val="Tahoma"/>
            <family val="2"/>
          </rPr>
          <t xml:space="preserve">
</t>
        </r>
        <r>
          <rPr>
            <sz val="10"/>
            <color indexed="81"/>
            <rFont val="Tahoma"/>
            <family val="2"/>
          </rPr>
          <t xml:space="preserve">
</t>
        </r>
      </text>
    </comment>
  </commentList>
</comments>
</file>

<file path=xl/comments12.xml><?xml version="1.0" encoding="utf-8"?>
<comments xmlns="http://schemas.openxmlformats.org/spreadsheetml/2006/main">
  <authors>
    <author>Compaq</author>
  </authors>
  <commentList>
    <comment ref="H1" authorId="0" shapeId="0">
      <text>
        <r>
          <rPr>
            <b/>
            <sz val="10"/>
            <color indexed="81"/>
            <rFont val="Tahoma"/>
            <family val="2"/>
          </rPr>
          <t xml:space="preserve">                                         Valuation
</t>
        </r>
        <r>
          <rPr>
            <sz val="10"/>
            <color indexed="81"/>
            <rFont val="Tahoma"/>
            <family val="2"/>
          </rPr>
          <t xml:space="preserve">The venture capital method assumes that a firm will undertake an Initial Public Offering (IPO) at some point in the future or be acquired, ie a “liquidity event”.  The future value of the firm is determined by multiplying the earnings of the firm in the year of the liquidity event by the expected price/earnings (P/E) ratio that the market will support.  (The long-run P/E ratio of NYSE stocks is about 15.)  This provides the expected future value of the firm.  
The present value of the firm is then calculated using a risk adjusted discount rate.  Discount rates of 50 to 100% (and more) are frequently used in valuing start-up businesses to capture the inherently risky nature of new ventures.  Similarly, venture capitalists frequently demand an Internal Rate of Return (IRR) of 100% (or more) in order to justify investing in a risky startup.  (An IRR of 100% is equivalent to doubling the value of an investment every year.)
There are two valuation worksheets provided in the model:
VAL-1 estimates the value of the company based on an initial investment of the start of the venture and a one-time liquidity event. The net income estimates for each of the five years need to be inputted manually, but you can easily make links directly to Net Income line in the Income Statement projections. Use the Negotiation Workspace to test various dilution assumptions.
Val-2 estimates the value of the company based on multiple rounds of investment. The timing of the each round of Investment and the IPO can be modified. Use the Negotiation Workspace to test various dilution assumptions.
</t>
        </r>
      </text>
    </comment>
  </commentList>
</comments>
</file>

<file path=xl/comments13.xml><?xml version="1.0" encoding="utf-8"?>
<comments xmlns="http://schemas.openxmlformats.org/spreadsheetml/2006/main">
  <authors>
    <author>Compaq</author>
  </authors>
  <commentList>
    <comment ref="G1" authorId="0" shapeId="0">
      <text>
        <r>
          <rPr>
            <b/>
            <sz val="10"/>
            <color indexed="81"/>
            <rFont val="Tahoma"/>
            <family val="2"/>
          </rPr>
          <t xml:space="preserve">                                      Valuation
</t>
        </r>
        <r>
          <rPr>
            <sz val="10"/>
            <color indexed="81"/>
            <rFont val="Tahoma"/>
            <family val="2"/>
          </rPr>
          <t xml:space="preserve">The venture capital method assumes that a firm will undertake an Initial Public Offering (IPO) at some point in the future or be acquired, ie a “Liquidity Event”.  The future value of the firm is determined by multiplying the earnings of the firm in the year of the Liquidity Event by the expected price/earnings (P/E) ratio that the market will support.  (The long-run P/E ratio of NYSE stocks is about 15.)  This provides the expected future value of the firm.  
The present value of the firm is then calculated using a risk adjusted discount rate.  Discount rates of 50 to 100% (and more) are frequently used in valuing start-up businesses to capture the inherently risky nature of new ventures.  Similarly, venture capitalists frequently demand an Internal Rate of Return (IRR) of 100% (or more) in order to justify investing in a risky startup.  (An IRR of 100% is equivalent to doubling the value of an investment every year.)
There are two valuation worksheets provided in the model:
VAL-1 estimates the value of the company based on an initial investment of the start of the venture and a one-time liquidity event. The net income estimates for each of the five years need to be inputted manually, but you can easily make links directly to Net Income line in the Income Statement projections. Use the Negotiation Workspace to test various dilution assumptions.
Val-2 estimates the value of the company based on multiple rounds of investment. The timing of the each round of Investment and the IPO can be modified. Use the Negotiation Workspace to test various dilution assumptions.
</t>
        </r>
      </text>
    </comment>
  </commentList>
</comments>
</file>

<file path=xl/comments2.xml><?xml version="1.0" encoding="utf-8"?>
<comments xmlns="http://schemas.openxmlformats.org/spreadsheetml/2006/main">
  <authors>
    <author>Compaq</author>
  </authors>
  <commentList>
    <comment ref="H1" authorId="0" shapeId="0">
      <text>
        <r>
          <rPr>
            <sz val="10"/>
            <color indexed="81"/>
            <rFont val="Tahoma"/>
            <family val="2"/>
          </rPr>
          <t xml:space="preserve">                                     </t>
        </r>
        <r>
          <rPr>
            <b/>
            <sz val="10"/>
            <color indexed="81"/>
            <rFont val="Tahoma"/>
            <family val="2"/>
          </rPr>
          <t xml:space="preserve"> Revenue Projections</t>
        </r>
        <r>
          <rPr>
            <sz val="10"/>
            <color indexed="81"/>
            <rFont val="Tahoma"/>
            <family val="2"/>
          </rPr>
          <t xml:space="preserve">
To project revenues:
1) Determine the key revenue drivers for your business, e.g. 
a) Number of customers, transactions or units 
b) Price per customer, transaction or unit
c) Average revenue per customer or transaction
d) Distribution channel discount
e) Market penetration
f) Response rate
g) Churn rate (proportion of customers lost each year)
h) Growth rate
i) New services or products
2) Forecast revenues for the 5 years.
3) Estimate revenues by months for years 1 &amp; 2 and by quarters for years 3, 4 and 5. It is critical that these be estimated as accurately as possible, as it forms the basis for projections of Cost of Revenue, Operating Expenses, Plant and Equipment, Working Capital, and Funding, Consider such factors as:
a) Timing of product or service roll-out
b) Growth rate within the year
c) Seasonality
d) When orders will be received
</t>
        </r>
      </text>
    </comment>
  </commentList>
</comments>
</file>

<file path=xl/comments3.xml><?xml version="1.0" encoding="utf-8"?>
<comments xmlns="http://schemas.openxmlformats.org/spreadsheetml/2006/main">
  <authors>
    <author>Compaq</author>
    <author>Frank Moyes</author>
  </authors>
  <commentList>
    <comment ref="H1" authorId="0" shapeId="0">
      <text>
        <r>
          <rPr>
            <sz val="10"/>
            <color indexed="81"/>
            <rFont val="Tahoma"/>
            <family val="2"/>
          </rPr>
          <t xml:space="preserve">                                      </t>
        </r>
        <r>
          <rPr>
            <b/>
            <sz val="10"/>
            <color indexed="81"/>
            <rFont val="Tahoma"/>
            <family val="2"/>
          </rPr>
          <t xml:space="preserve"> Cost of Revenue Projections</t>
        </r>
        <r>
          <rPr>
            <sz val="10"/>
            <color indexed="81"/>
            <rFont val="Tahoma"/>
            <family val="2"/>
          </rPr>
          <t xml:space="preserve">
To project Cost of Revenues:                                 
1) Determine the key drivers of costs to provide the service or product, e.g.
a) Personnel costs (this is calculated automatically when you estimate people expenses - wage rates/salaries, incentives, number of employees -  in the PERSONNEL worksheet)
b) Depreciation resulting from large capital expenditures (this is calculated automatically when you estimate capital expenditures in PROP &amp; EQUIP spreadsheet)
c) Materials costs
d) Yields or scrap rates
e) Website operating costs
f) Systems costs
g) Warehouse and shipping expenses
h) Maintenance expenses
i) Returns
j) Outsourcing expenses
k) Lease and/or rental expenses
l) Cost reductions
m) Capacity utilization
2) Estimate All Other Costs that will be required to produce and deliver the product/services by projecting a % of Revenue. The model assumes the same % over the 5-year period. If this is not the case, then change the formula in each cell.
3) Evaluate these cost projections in relation to comparable companies (see the COMPS worksheet). Is the Cost of Revenue/Revenue ratio reasonable when compared to companies similar to yours? 
4) Analyze the Cost of Revenues to determine which are variable and fixed costs. Enter these into the worksheet where shown. This allocation will be used in the BREAKEVEN spreadsheet to determine the break-even point. 
5) Estimate Cost of Revenues by months for years 1 &amp; 2 and by quarters for years 3, 4 and 5. The model assumes that the Cost of Revenue/Revenue ratio for a particular year is consistent through out the year. This may not be the case, particular in the first and second years. Consider such factors as:
a) Product or service roll out timing
b) Cost reduction timing
c) Inefficiencies when starting up new plant and equipment
d) Growth rate
e) Seasonality
</t>
        </r>
        <r>
          <rPr>
            <b/>
            <sz val="10"/>
            <color indexed="81"/>
            <rFont val="Tahoma"/>
            <family val="2"/>
          </rPr>
          <t xml:space="preserve">
</t>
        </r>
        <r>
          <rPr>
            <sz val="10"/>
            <color indexed="81"/>
            <rFont val="Tahoma"/>
            <family val="2"/>
          </rPr>
          <t xml:space="preserve">
    </t>
        </r>
      </text>
    </comment>
    <comment ref="H36" authorId="1" shapeId="0">
      <text>
        <r>
          <rPr>
            <b/>
            <sz val="10"/>
            <color indexed="81"/>
            <rFont val="Tahoma"/>
            <family val="2"/>
          </rPr>
          <t>Variable Expenses</t>
        </r>
        <r>
          <rPr>
            <sz val="8"/>
            <color indexed="81"/>
            <rFont val="Tahoma"/>
          </rPr>
          <t xml:space="preserve">
</t>
        </r>
        <r>
          <rPr>
            <sz val="10"/>
            <color indexed="81"/>
            <rFont val="Tahoma"/>
            <family val="2"/>
          </rPr>
          <t>Decide which of the Costs of Revenue are variable</t>
        </r>
      </text>
    </comment>
    <comment ref="H37" authorId="1" shapeId="0">
      <text>
        <r>
          <rPr>
            <b/>
            <sz val="10"/>
            <color indexed="81"/>
            <rFont val="Tahoma"/>
            <family val="2"/>
          </rPr>
          <t>Fixed Expenses</t>
        </r>
        <r>
          <rPr>
            <sz val="8"/>
            <color indexed="81"/>
            <rFont val="Tahoma"/>
          </rPr>
          <t xml:space="preserve">
</t>
        </r>
        <r>
          <rPr>
            <sz val="10"/>
            <color indexed="81"/>
            <rFont val="Tahoma"/>
            <family val="2"/>
          </rPr>
          <t>Decide which of the Costs of Revenue are fixed</t>
        </r>
      </text>
    </comment>
  </commentList>
</comments>
</file>

<file path=xl/comments4.xml><?xml version="1.0" encoding="utf-8"?>
<comments xmlns="http://schemas.openxmlformats.org/spreadsheetml/2006/main">
  <authors>
    <author>Compaq</author>
    <author>Frank Moyes</author>
  </authors>
  <commentList>
    <comment ref="H1" authorId="0" shapeId="0">
      <text>
        <r>
          <rPr>
            <b/>
            <sz val="10"/>
            <color indexed="81"/>
            <rFont val="Tahoma"/>
            <family val="2"/>
          </rPr>
          <t xml:space="preserve">              Operating Expense Projections</t>
        </r>
        <r>
          <rPr>
            <sz val="10"/>
            <color indexed="81"/>
            <rFont val="Tahoma"/>
            <family val="2"/>
          </rPr>
          <t xml:space="preserve">
To project operating expenses:
1) Determine the key drivers of operating expenses, e.g.
a) Sales &amp; Marketing
i) Personnel expenses (this is calculated automatically when you estimate people expenses - wage rates/salaries, incentives, number of employees -  in the PERSONNEL worksheet)
ii) Customer acquisition cost
iii) Sales commissions
iv) Exhibitions
v) Brand building
vi) Catalog
vii) Customer service
viii) Tech support
ix) Customer service
b) Research and Development
i) Personnel expenses (this is calculated automatically when you estimate people expenses - wage rates/salaries, incentives, number of employees -  in the PERSONNEL worksheet)
ii) Beta testing
iii) Time to market
iv) Patent and copyright application 
v) Prototyping
vi) Subcontracting
c) General and Administration
i) Personnel expenses (this is calculated automatically when you estimate people expenses - wage rates/salaries, incentives, number of employees -  in the PERSONNEL worksheet)
ii) Depreciation resulting from large capital expenditures (this is calculated automatically when you estimate capital expenditures in PROP &amp; EQUIP spreadsheet)
iii) Legal, accounting and other service provider expenses
iv) Credit card transaction fees
v) Recruiting expenses
vi) MIS expenses
vii) Office rent and utilities
2) Make provisions in each of the operating expenses categories for all the other operating expenses that are not significant enough to be considered a driver. These might include marketing materials, travel and entertainment, insurance, leasing, telecommunications, etc.
3) Evaluate the projection of the Operating Expense/Revenue ratio for Sales &amp; Marketing, Research &amp; Development, and General &amp; Administration in relation to comparable companies (see the COMPS worksheet). Is the Operating Expense/Revenue ratio reasonable when compared to companies similar to yours? 
4) Estimate operating expenses for Sales &amp; Marketing, Research &amp; Development, and General &amp; Administration by months for years 1 &amp; 2 and by quarters for years 3, 4 and 5. 
The model automatically projects the monthly and quarterly expenses by multiplying each month’s or quarter’s Revenue by the year’s operating expense/revenue ratio. This may not be accurate, particularly in the first and second years. Consider such factors as:
a) Product or service roll out timing
b) Major events, e.g. opening a new location, product launch
c) Growth rate
d) Seasonality
Also, in many new businesses there are little or no revenues in the early months. Conversely, operating expenses can be very high, as you get ready to launch the business.  The operating expense/revenue ratio may vastly underestimate these early month expenses and you should make suitable adjustments.
</t>
        </r>
      </text>
    </comment>
    <comment ref="H45" authorId="1" shapeId="0">
      <text>
        <r>
          <rPr>
            <b/>
            <sz val="10"/>
            <color indexed="81"/>
            <rFont val="Tahoma"/>
            <family val="2"/>
          </rPr>
          <t>Variable Expenses</t>
        </r>
        <r>
          <rPr>
            <sz val="8"/>
            <color indexed="81"/>
            <rFont val="Tahoma"/>
          </rPr>
          <t xml:space="preserve">
</t>
        </r>
        <r>
          <rPr>
            <sz val="10"/>
            <color indexed="81"/>
            <rFont val="Tahoma"/>
            <family val="2"/>
          </rPr>
          <t>Decide which of the Operating Expenses are variable</t>
        </r>
      </text>
    </comment>
    <comment ref="H46" authorId="1" shapeId="0">
      <text>
        <r>
          <rPr>
            <b/>
            <sz val="10"/>
            <color indexed="81"/>
            <rFont val="Tahoma"/>
            <family val="2"/>
          </rPr>
          <t>Fixed Expenses</t>
        </r>
        <r>
          <rPr>
            <sz val="8"/>
            <color indexed="81"/>
            <rFont val="Tahoma"/>
          </rPr>
          <t xml:space="preserve">
</t>
        </r>
        <r>
          <rPr>
            <sz val="10"/>
            <color indexed="81"/>
            <rFont val="Tahoma"/>
            <family val="2"/>
          </rPr>
          <t>Decide which of the Operating Expenses are fixed</t>
        </r>
      </text>
    </comment>
  </commentList>
</comments>
</file>

<file path=xl/comments5.xml><?xml version="1.0" encoding="utf-8"?>
<comments xmlns="http://schemas.openxmlformats.org/spreadsheetml/2006/main">
  <authors>
    <author>Compaq</author>
  </authors>
  <commentList>
    <comment ref="H1" authorId="0" shapeId="0">
      <text>
        <r>
          <rPr>
            <b/>
            <sz val="10"/>
            <color indexed="81"/>
            <rFont val="Tahoma"/>
            <family val="2"/>
          </rPr>
          <t xml:space="preserve">                               Personnel Expenses</t>
        </r>
        <r>
          <rPr>
            <sz val="10"/>
            <color indexed="81"/>
            <rFont val="Tahoma"/>
            <family val="2"/>
          </rPr>
          <t xml:space="preserve">
To project personnel expenses:
1) Determine key personnel to be recruited
a) Sales and Marketing
b) Research and Development
c) General and Administrative
d) Cost of Revenue
i) Salary
ii) Hourly
2) For each of the above areas indicate
a) Position or title
b) Number of employees
c) When will be hired
d) Salary or wages.
3) If you are projecting significant growth over the period, then you should make sure that salaries of the key employees are roughly comparable to companies in the same industry and size. For example, you may be successful in attracting the Chief Marketing Officer to your company with a generous options package, but “low” salary of $100,000 in the first two years of operations. If your company grows to $50 million in revenues in year 3, then you will have to begin the pay close the market rate for company of that size.
One of the most common mistakes new entrepreneurs make is to vastly underestimate the salary levels that the company must pay to attract key personnel. You need to determine the market rate in your area and industry for personnel.
4) Determine the benefits package as a % of base pay. This should include legally required employer deductions such as FICA and Workman’s comp, as well as health insurance, pensions and other benefits. 
5) Determine incentive plan (options, profit sharing, bonus). Estimate the cost and include it in the Administrative Expense section of the Operating Expenses worksheet.
      </t>
        </r>
      </text>
    </comment>
  </commentList>
</comments>
</file>

<file path=xl/comments6.xml><?xml version="1.0" encoding="utf-8"?>
<comments xmlns="http://schemas.openxmlformats.org/spreadsheetml/2006/main">
  <authors>
    <author>Compaq</author>
  </authors>
  <commentList>
    <comment ref="H1" authorId="0" shapeId="0">
      <text>
        <r>
          <rPr>
            <b/>
            <sz val="12"/>
            <color indexed="81"/>
            <rFont val="Tahoma"/>
            <family val="2"/>
          </rPr>
          <t xml:space="preserve">      </t>
        </r>
        <r>
          <rPr>
            <b/>
            <sz val="10"/>
            <color indexed="81"/>
            <rFont val="Tahoma"/>
            <family val="2"/>
          </rPr>
          <t>Extraordinary Income &amp; Expense</t>
        </r>
        <r>
          <rPr>
            <sz val="10"/>
            <color indexed="81"/>
            <rFont val="Tahoma"/>
            <family val="2"/>
          </rPr>
          <t xml:space="preserve">
To project extraordinary Income &amp; Expense, estimate those amounts that are one of a kind or nonrecurring.
Estimate Extraordinary Income &amp; Expenses by months for years 1 &amp; 2 and by quarters for years 3, 4 and 5. Consider major events such as product or service rollout, acquisition, initial public offering, etc.</t>
        </r>
      </text>
    </comment>
  </commentList>
</comments>
</file>

<file path=xl/comments7.xml><?xml version="1.0" encoding="utf-8"?>
<comments xmlns="http://schemas.openxmlformats.org/spreadsheetml/2006/main">
  <authors>
    <author>Compaq</author>
  </authors>
  <commentList>
    <comment ref="H1" authorId="0" shapeId="0">
      <text>
        <r>
          <rPr>
            <b/>
            <sz val="12"/>
            <color indexed="81"/>
            <rFont val="Tahoma"/>
            <family val="2"/>
          </rPr>
          <t xml:space="preserve">                  </t>
        </r>
        <r>
          <rPr>
            <b/>
            <sz val="10"/>
            <color indexed="81"/>
            <rFont val="Tahoma"/>
            <family val="2"/>
          </rPr>
          <t>Taxes</t>
        </r>
        <r>
          <rPr>
            <sz val="10"/>
            <color indexed="81"/>
            <rFont val="Tahoma"/>
            <family val="2"/>
          </rPr>
          <t xml:space="preserve">
Determine the appropriate federal, state and local income tax rates. If you have losses in the initial years, the loss carry-forward is automatically calculated.
</t>
        </r>
      </text>
    </comment>
  </commentList>
</comments>
</file>

<file path=xl/comments8.xml><?xml version="1.0" encoding="utf-8"?>
<comments xmlns="http://schemas.openxmlformats.org/spreadsheetml/2006/main">
  <authors>
    <author>Compaq</author>
    <author>Frank Moyes</author>
  </authors>
  <commentList>
    <comment ref="H1" authorId="0" shapeId="0">
      <text>
        <r>
          <rPr>
            <sz val="10"/>
            <color indexed="81"/>
            <rFont val="Tahoma"/>
            <family val="2"/>
          </rPr>
          <t xml:space="preserve">                                         </t>
        </r>
        <r>
          <rPr>
            <b/>
            <sz val="10"/>
            <color indexed="81"/>
            <rFont val="Tahoma"/>
            <family val="2"/>
          </rPr>
          <t>Property &amp; Equipment</t>
        </r>
        <r>
          <rPr>
            <sz val="10"/>
            <color indexed="81"/>
            <rFont val="Tahoma"/>
            <family val="2"/>
          </rPr>
          <t xml:space="preserve">
To project property and equipment, capital expenditures, depreciation, accumulated depreciation:
1) Determine the major capital expenditure projects for 5 years, e.g. property, plant, equipment, computers, servers, systems, software, furniture and fixtures, etc. Keep in mind that software, system design, training can be equal to or greater than the cost of hardware.
Sometimes a new business may be able to purchase the assets of an existing business. The depreciation rates for these assets may be different than that of new capital expenditures. The model will calculate the depreciation and net asset value of the expenditures.
2) Estimate the level on-going capital expenditures.
3) Determine the expected life for the each of the expenditures. Depreciation will be calculated on a straight-line basis. The model assumes that full 12-month’s depreciation is taken in the year that the expenditure takes place. The model groups expenditures into three categories:
a) Computers, software and office equipment (depreciation allocated to General &amp; Administrative expenses)
b) Plant and equipment (depreciation allocated to Cost of Revenue)
c) Other (depreciation allocated to General &amp; Administrative expenses)
If you are a capital-intensive business, you may need more categories of expenditures with different depreciation rates. The model can be modified, but you will need to establish links to the appropriate cost/expense spreadsheets.
4) Estimate capital expenditure by months for years 1 &amp; 2 and by quarters for years 3, 4 and 5. Consider such factors as:
a) Product or service roll out timing
b) Capacity utilization
c) New process development and technology
d) Equipment and systems obsolecence
e) Cost reduction timing
f) Growth rate
g) Seasonality
 </t>
        </r>
      </text>
    </comment>
    <comment ref="B5" authorId="1" shapeId="0">
      <text>
        <r>
          <rPr>
            <b/>
            <sz val="10"/>
            <color indexed="81"/>
            <rFont val="Tahoma"/>
            <family val="2"/>
          </rPr>
          <t>Purchased Assets</t>
        </r>
        <r>
          <rPr>
            <sz val="10"/>
            <color indexed="81"/>
            <rFont val="Tahoma"/>
            <family val="2"/>
          </rPr>
          <t xml:space="preserve">
To be used when your venture purchases an existing business.</t>
        </r>
      </text>
    </comment>
  </commentList>
</comments>
</file>

<file path=xl/comments9.xml><?xml version="1.0" encoding="utf-8"?>
<comments xmlns="http://schemas.openxmlformats.org/spreadsheetml/2006/main">
  <authors>
    <author>Compaq</author>
    <author>Moyes</author>
    <author>Frank Moyes</author>
  </authors>
  <commentList>
    <comment ref="H1" authorId="0" shapeId="0">
      <text>
        <r>
          <rPr>
            <sz val="12"/>
            <color indexed="81"/>
            <rFont val="Tahoma"/>
            <family val="2"/>
          </rPr>
          <t xml:space="preserve">                                                         </t>
        </r>
        <r>
          <rPr>
            <b/>
            <sz val="12"/>
            <color indexed="81"/>
            <rFont val="Tahoma"/>
            <family val="2"/>
          </rPr>
          <t xml:space="preserve"> Working Capital</t>
        </r>
        <r>
          <rPr>
            <sz val="12"/>
            <color indexed="81"/>
            <rFont val="Tahoma"/>
            <family val="2"/>
          </rPr>
          <t xml:space="preserve">
To project working capital:
1) Accounts Receivable
Determine for each year accounts receivables as a % of Rrevenue (the average number of days outstanding is automatically calculated). Use the information collected in the Financial COMP's analysis to help estimate the percentage. The model will calculate the accounts receivable outstanding at the end of the year and month/quarter, based upon the monthly and quarterly revenue projections. The formula for calculating accounts receivable has a maximum of 120 days. If you expect the days outstanding to be greater than 120, then you will need to adjust the formula, or perhaps consider a different credit policy.
2) Inventory
Determine for each year inventory as a % of Revenue (the inventory turns are automatically calculated). Use the information collected in the Financial COMP's analysis to help estimate the percentage. The model will calculate the inventory at the end of the year and month/quarter, based upon the monthly and quarterly revenue projections. The formula for calculating inventory has a minimum of 3 turns. If you inventory turns are less than 3, then you will need to adjust the formula. 
3) Other Current Assets
Estimate for each year Other Current Assets as a % of Revenue. See limitation of 120 days described above.
4) Accounts Payable and Accrued Expenses
Estimate for each year payables and accrued expenses a % of Revenue. The model shows the equivalent days outstanding. The formula for calculating payables and accrued expenses has a maximum of 120 days. If you expect to take longer than 120 days to pay your bills, then you will need to adjust the formula. For most industries, credit terms beyond 120 days is very unusual. 
5) Other Current Liabilities
Estimate for each year Other Current Liabilities as a % of Revenue. See limitation of 120 days described above.</t>
        </r>
        <r>
          <rPr>
            <b/>
            <sz val="12"/>
            <color indexed="81"/>
            <rFont val="Tahoma"/>
            <family val="2"/>
          </rPr>
          <t xml:space="preserve">
</t>
        </r>
      </text>
    </comment>
    <comment ref="H10" authorId="1" shapeId="0">
      <text>
        <r>
          <rPr>
            <b/>
            <sz val="10"/>
            <color indexed="81"/>
            <rFont val="Tahoma"/>
            <family val="2"/>
          </rPr>
          <t>Accounts Receivable</t>
        </r>
        <r>
          <rPr>
            <sz val="10"/>
            <color indexed="81"/>
            <rFont val="Tahoma"/>
            <family val="2"/>
          </rPr>
          <t xml:space="preserve">
See Notes above for restriction on Days Outstanding in calculating Accounts Receivable.</t>
        </r>
      </text>
    </comment>
    <comment ref="H16" authorId="2" shapeId="0">
      <text>
        <r>
          <rPr>
            <b/>
            <sz val="10"/>
            <color indexed="81"/>
            <rFont val="Tahoma"/>
            <family val="2"/>
          </rPr>
          <t>Inventory</t>
        </r>
        <r>
          <rPr>
            <sz val="8"/>
            <color indexed="81"/>
            <rFont val="Tahoma"/>
          </rPr>
          <t xml:space="preserve">
</t>
        </r>
        <r>
          <rPr>
            <sz val="10"/>
            <color indexed="81"/>
            <rFont val="Tahoma"/>
            <family val="2"/>
          </rPr>
          <t>See  Notes above for restrictions on Turns in calculating Inventory.</t>
        </r>
      </text>
    </comment>
    <comment ref="B17" authorId="1" shapeId="0">
      <text>
        <r>
          <rPr>
            <b/>
            <sz val="8"/>
            <color indexed="81"/>
            <rFont val="Tahoma"/>
          </rPr>
          <t>Moyes:</t>
        </r>
        <r>
          <rPr>
            <sz val="8"/>
            <color indexed="81"/>
            <rFont val="Tahoma"/>
          </rPr>
          <t xml:space="preserve">
</t>
        </r>
        <r>
          <rPr>
            <sz val="10"/>
            <color indexed="81"/>
            <rFont val="Tahoma"/>
            <family val="2"/>
          </rPr>
          <t>Inventory turns chancges each year to reflect the differnet mix of product and services</t>
        </r>
      </text>
    </comment>
  </commentList>
</comments>
</file>

<file path=xl/sharedStrings.xml><?xml version="1.0" encoding="utf-8"?>
<sst xmlns="http://schemas.openxmlformats.org/spreadsheetml/2006/main" count="1256" uniqueCount="455">
  <si>
    <t>EBIT</t>
  </si>
  <si>
    <t>Interest Expense</t>
  </si>
  <si>
    <t>Capital Expenditures</t>
  </si>
  <si>
    <t>Revenue</t>
  </si>
  <si>
    <t>Net Earnings</t>
  </si>
  <si>
    <t>Return on Equity</t>
  </si>
  <si>
    <t>Income Statement</t>
  </si>
  <si>
    <t xml:space="preserve">          % of Revenues</t>
  </si>
  <si>
    <t>OPERATING EXPENSES</t>
  </si>
  <si>
    <t xml:space="preserve">   General and Administration</t>
  </si>
  <si>
    <t xml:space="preserve">      Total Operating Expenses</t>
  </si>
  <si>
    <t>EARNINGS FROM OPERATIONS</t>
  </si>
  <si>
    <t>EXTRAORDINARY INCOME / (EXPENSE)</t>
  </si>
  <si>
    <t>EARNINGS BEFORE INTEREST &amp; TAXES</t>
  </si>
  <si>
    <t>NET EARNINGS BEFORE TAXES</t>
  </si>
  <si>
    <t>TAXES</t>
  </si>
  <si>
    <t>NET EARNINGS</t>
  </si>
  <si>
    <t>Balance Sheet</t>
  </si>
  <si>
    <t>ASSETS</t>
  </si>
  <si>
    <t xml:space="preserve">   CURRENT ASSETS</t>
  </si>
  <si>
    <t xml:space="preserve">      Cash</t>
  </si>
  <si>
    <t xml:space="preserve">      Accounts Receivable</t>
  </si>
  <si>
    <t xml:space="preserve">      Inventories</t>
  </si>
  <si>
    <t xml:space="preserve">      Other Current Assets</t>
  </si>
  <si>
    <t xml:space="preserve">      Total Current Assets</t>
  </si>
  <si>
    <t>LIABILITIES &amp; SHAREHOLDERS' EQUITY</t>
  </si>
  <si>
    <t xml:space="preserve">   CURRENT LIABILITIES</t>
  </si>
  <si>
    <t xml:space="preserve">      Short Term Debt</t>
  </si>
  <si>
    <t xml:space="preserve">      Accounts Payable &amp; Accrued Expen</t>
  </si>
  <si>
    <t xml:space="preserve">      Current portion of long term debt</t>
  </si>
  <si>
    <t xml:space="preserve">      Total Current Liabilities</t>
  </si>
  <si>
    <t xml:space="preserve">   STOCKHOLDERS' EQUITY</t>
  </si>
  <si>
    <t xml:space="preserve">      CommonStock</t>
  </si>
  <si>
    <t xml:space="preserve">      Preferred Stock</t>
  </si>
  <si>
    <t xml:space="preserve">      Retained Earnings</t>
  </si>
  <si>
    <t>Cash Flow Statememt</t>
  </si>
  <si>
    <t>OPERATING ACTIVITIES</t>
  </si>
  <si>
    <t xml:space="preserve">   Net Earnings</t>
  </si>
  <si>
    <t xml:space="preserve">   Depreciation</t>
  </si>
  <si>
    <t xml:space="preserve">   Working Capital Changes</t>
  </si>
  <si>
    <t>INVESTING ACTIVITIES</t>
  </si>
  <si>
    <t xml:space="preserve">   Net Cash Used in Investing Activities</t>
  </si>
  <si>
    <t>FINANCING ACTIVITIES</t>
  </si>
  <si>
    <t xml:space="preserve">   Increase/(Decrease) Short Term Debt</t>
  </si>
  <si>
    <t xml:space="preserve">   Increase/(Decrease) Curr. Portion LTD</t>
  </si>
  <si>
    <t xml:space="preserve">   Increase/(Decrease) Common Stock</t>
  </si>
  <si>
    <t xml:space="preserve">   Increase/(Decrease) Preferred Stock</t>
  </si>
  <si>
    <t xml:space="preserve">   Dividends Declared</t>
  </si>
  <si>
    <t xml:space="preserve">   Net Cash Provided / (Used) by Financing </t>
  </si>
  <si>
    <t>CASH AT END OF YEAR</t>
  </si>
  <si>
    <t>Gross Profit %</t>
  </si>
  <si>
    <t>Extraordinary Income &amp; Expense</t>
  </si>
  <si>
    <t>Funding Projections</t>
  </si>
  <si>
    <t>Depreciation</t>
  </si>
  <si>
    <t>Operating Expenses</t>
  </si>
  <si>
    <t xml:space="preserve">      % of Revenue</t>
  </si>
  <si>
    <t>Net Revenues</t>
  </si>
  <si>
    <t xml:space="preserve">   Depreciation Rate: Years</t>
  </si>
  <si>
    <t xml:space="preserve">   Year 0</t>
  </si>
  <si>
    <t xml:space="preserve">   Year 1</t>
  </si>
  <si>
    <t xml:space="preserve">   Year 2</t>
  </si>
  <si>
    <t xml:space="preserve">   Year 3</t>
  </si>
  <si>
    <t xml:space="preserve">   Year 4</t>
  </si>
  <si>
    <t xml:space="preserve">   Year 5</t>
  </si>
  <si>
    <t>Revenue Projections</t>
  </si>
  <si>
    <t>Sales &amp; Marketing</t>
  </si>
  <si>
    <t xml:space="preserve">   Total S &amp; M Compensation</t>
  </si>
  <si>
    <t>Research and Development</t>
  </si>
  <si>
    <t>Taxes</t>
  </si>
  <si>
    <t>Working Capital</t>
  </si>
  <si>
    <t xml:space="preserve">   Revenue Growth Rate - CAGR:</t>
  </si>
  <si>
    <t>Years 1 to 5</t>
  </si>
  <si>
    <t>Year 1</t>
  </si>
  <si>
    <t>Year 2</t>
  </si>
  <si>
    <t>Year 3</t>
  </si>
  <si>
    <t>Year 4</t>
  </si>
  <si>
    <t>Year 5</t>
  </si>
  <si>
    <t>Start-up expenses</t>
  </si>
  <si>
    <t>Interest Rate</t>
  </si>
  <si>
    <t xml:space="preserve">   Increase/(Decrease) Long Term Debt</t>
  </si>
  <si>
    <t>Gross Profit</t>
  </si>
  <si>
    <t>Net Income</t>
  </si>
  <si>
    <t>Operating Expenses %</t>
  </si>
  <si>
    <t>Dividends</t>
  </si>
  <si>
    <t xml:space="preserve">Cash </t>
  </si>
  <si>
    <t>Total Equity</t>
  </si>
  <si>
    <t>Total Debt</t>
  </si>
  <si>
    <t>Return on Assets</t>
  </si>
  <si>
    <t xml:space="preserve">   Net Earnings Growth Rate - CAGR:</t>
  </si>
  <si>
    <t>Net Earnings %</t>
  </si>
  <si>
    <t>Summary</t>
  </si>
  <si>
    <t xml:space="preserve">   Research &amp; Development</t>
  </si>
  <si>
    <t xml:space="preserve">   Sales &amp; Marketing</t>
  </si>
  <si>
    <t>Income</t>
  </si>
  <si>
    <t>($)</t>
  </si>
  <si>
    <t>General &amp; Administration</t>
  </si>
  <si>
    <t>TOTAL LIABILITIES &amp; EQUITY</t>
  </si>
  <si>
    <t>Short Term Debt</t>
  </si>
  <si>
    <t>Long Term Debt</t>
  </si>
  <si>
    <t>Total Long Term Debt</t>
  </si>
  <si>
    <t>Common</t>
  </si>
  <si>
    <t>Preferred</t>
  </si>
  <si>
    <t>Total Interest</t>
  </si>
  <si>
    <t>Plant &amp; Equipment</t>
  </si>
  <si>
    <t>Net Revenue</t>
  </si>
  <si>
    <t>CASH AT BEGINNING OF YEAR</t>
  </si>
  <si>
    <t>INCREASE/(DECREASE) IN CASH</t>
  </si>
  <si>
    <t>(Increase)/Decrease Accounts Receivable</t>
  </si>
  <si>
    <t>(Increase)/Decrease Inventories</t>
  </si>
  <si>
    <t>(Increase)/Decrease Other Current Assets</t>
  </si>
  <si>
    <t xml:space="preserve">   Other</t>
  </si>
  <si>
    <t>Increase / (Decrease) Retained Earnings</t>
  </si>
  <si>
    <t>Beginning Retained Earnings</t>
  </si>
  <si>
    <t>Ending Retained Earnings</t>
  </si>
  <si>
    <t>Return on Capital (LT Debt + Equity)</t>
  </si>
  <si>
    <t xml:space="preserve">   Debt to Capital (LT Debt + Equity)</t>
  </si>
  <si>
    <t>INTEREST INCOME / (EXPENSE)</t>
  </si>
  <si>
    <t>Increase/(Decrease) Accts Pay &amp; Accrd Expenses</t>
  </si>
  <si>
    <t>Interest Income</t>
  </si>
  <si>
    <t>Accounts Receivable</t>
  </si>
  <si>
    <t>Inventory</t>
  </si>
  <si>
    <t>Other Current Assets</t>
  </si>
  <si>
    <t>Accounts Payable &amp; Accrued Expenses</t>
  </si>
  <si>
    <t xml:space="preserve">   Gross Asset Value</t>
  </si>
  <si>
    <t xml:space="preserve">   Total Depreciation</t>
  </si>
  <si>
    <t xml:space="preserve">   (Item…)</t>
  </si>
  <si>
    <t>Equity</t>
  </si>
  <si>
    <t>Debt</t>
  </si>
  <si>
    <t xml:space="preserve">   Long Term Debt</t>
  </si>
  <si>
    <t xml:space="preserve">   Short Term Debt</t>
  </si>
  <si>
    <t>Retained Earnings</t>
  </si>
  <si>
    <t xml:space="preserve">   Accumulated Depreciation</t>
  </si>
  <si>
    <t>Total Operating Expenses</t>
  </si>
  <si>
    <t>Total Capital Expenditures</t>
  </si>
  <si>
    <t>Other Current Liabilites</t>
  </si>
  <si>
    <t>R &amp; D Manager</t>
  </si>
  <si>
    <t>Total Reaserch &amp; Development</t>
  </si>
  <si>
    <t>Research &amp; Development</t>
  </si>
  <si>
    <t>Total General &amp; Administration</t>
  </si>
  <si>
    <t>Break-Even Point Revenues</t>
  </si>
  <si>
    <t>Net Earnings Before Taxes</t>
  </si>
  <si>
    <t>Cumulative</t>
  </si>
  <si>
    <t>Other</t>
  </si>
  <si>
    <t>Total Sales and Marketing</t>
  </si>
  <si>
    <t xml:space="preserve">      Other Current Liab</t>
  </si>
  <si>
    <t>% of Revenue</t>
  </si>
  <si>
    <t>Rent and Utilities</t>
  </si>
  <si>
    <t>Vaiable</t>
  </si>
  <si>
    <t>Fixed</t>
  </si>
  <si>
    <t>Variable</t>
  </si>
  <si>
    <t>Total</t>
  </si>
  <si>
    <t>Income Tax (Rate Federal &amp; State)</t>
  </si>
  <si>
    <t>Increase/(Decrease) Other Current Liab</t>
  </si>
  <si>
    <t xml:space="preserve">   Current Ratio</t>
  </si>
  <si>
    <t>Summary Financials ($)</t>
  </si>
  <si>
    <t>Growth</t>
  </si>
  <si>
    <t>Ratios</t>
  </si>
  <si>
    <t>Profitability</t>
  </si>
  <si>
    <t>Returns</t>
  </si>
  <si>
    <t>NET REVENUES</t>
  </si>
  <si>
    <t>GROSS PROFIT</t>
  </si>
  <si>
    <t>TOTAL ASSETS</t>
  </si>
  <si>
    <t>Legal</t>
  </si>
  <si>
    <t>Relocation</t>
  </si>
  <si>
    <r>
      <t xml:space="preserve">   </t>
    </r>
    <r>
      <rPr>
        <b/>
        <sz val="10"/>
        <rFont val="Arial"/>
        <family val="2"/>
      </rPr>
      <t>LONG TERM DEBT</t>
    </r>
    <r>
      <rPr>
        <sz val="10"/>
        <rFont val="Arial"/>
        <family val="2"/>
      </rPr>
      <t xml:space="preserve"> (less current portion)</t>
    </r>
  </si>
  <si>
    <t>Net Cash from Operating Activities</t>
  </si>
  <si>
    <t>Begin</t>
  </si>
  <si>
    <t xml:space="preserve">  Percent of Revenues</t>
  </si>
  <si>
    <t>Total Benefits</t>
  </si>
  <si>
    <t>Comparison</t>
  </si>
  <si>
    <t>Year 1 by Months</t>
  </si>
  <si>
    <t>Estimated</t>
  </si>
  <si>
    <t>Month 1</t>
  </si>
  <si>
    <t>Month 2</t>
  </si>
  <si>
    <t>Month 3</t>
  </si>
  <si>
    <t>Month 4</t>
  </si>
  <si>
    <t>Month 5</t>
  </si>
  <si>
    <t>Month 6</t>
  </si>
  <si>
    <t>Month 7</t>
  </si>
  <si>
    <t>Month 8</t>
  </si>
  <si>
    <t>Month 9</t>
  </si>
  <si>
    <t>Month 10</t>
  </si>
  <si>
    <t>Month 11</t>
  </si>
  <si>
    <t>Month 12</t>
  </si>
  <si>
    <t>Number of Customers</t>
  </si>
  <si>
    <t xml:space="preserve">Total </t>
  </si>
  <si>
    <t>Total 1st Quarter</t>
  </si>
  <si>
    <t>Total 2nd Quarter</t>
  </si>
  <si>
    <t>Total 3rd Quarter</t>
  </si>
  <si>
    <t>Total 4th Quarter</t>
  </si>
  <si>
    <t>Total for year</t>
  </si>
  <si>
    <t>Revenues by Months &amp; Quarters</t>
  </si>
  <si>
    <t>Cost of Revenues</t>
  </si>
  <si>
    <t>Cost of Revenue</t>
  </si>
  <si>
    <t>Fee per Customer</t>
  </si>
  <si>
    <t xml:space="preserve"> Cost of Revenues by Months &amp; Quarters</t>
  </si>
  <si>
    <t>Tech support</t>
  </si>
  <si>
    <t>Subcontract</t>
  </si>
  <si>
    <t>Total benefit costs</t>
  </si>
  <si>
    <t>Number of employees</t>
  </si>
  <si>
    <t>Total wages</t>
  </si>
  <si>
    <t>Total Salary &amp; Wages</t>
  </si>
  <si>
    <t>Total Compensation</t>
  </si>
  <si>
    <t>Average wages per employee</t>
  </si>
  <si>
    <t>Hourly Personnel</t>
  </si>
  <si>
    <t>Total Wage Costs</t>
  </si>
  <si>
    <t>Total Salary Costs</t>
  </si>
  <si>
    <t>Facility costs (rent, energy)</t>
  </si>
  <si>
    <t>Drivers</t>
  </si>
  <si>
    <t>Total Cost of Revenues</t>
  </si>
  <si>
    <t>Salaries and Benefits</t>
  </si>
  <si>
    <t>Property and Equipment</t>
  </si>
  <si>
    <t>Computers, Software &amp; Office Equipment</t>
  </si>
  <si>
    <t>Engineers</t>
  </si>
  <si>
    <t>Technicians</t>
  </si>
  <si>
    <t>Accounts Receivable % of Rev</t>
  </si>
  <si>
    <t>Gross Profit % of Rev</t>
  </si>
  <si>
    <t>Operating Expenses % of Rev</t>
  </si>
  <si>
    <t>Earnings from Operations % of Rev</t>
  </si>
  <si>
    <t>EBIT % of Rev</t>
  </si>
  <si>
    <t>EBITDA % of Rev</t>
  </si>
  <si>
    <t>Net Earnings % of Rev</t>
  </si>
  <si>
    <t>Inventory % of Rev</t>
  </si>
  <si>
    <t>Accounts Payable % of Rev</t>
  </si>
  <si>
    <t>Working Capital % of Rev</t>
  </si>
  <si>
    <t>Net Fixed Assets % of Rev</t>
  </si>
  <si>
    <t>PROPERTY &amp; EQUIPMENT</t>
  </si>
  <si>
    <t xml:space="preserve">   Property &amp; Equipment</t>
  </si>
  <si>
    <t xml:space="preserve">   Net Property and Equipment</t>
  </si>
  <si>
    <t>Property &amp; Equipment</t>
  </si>
  <si>
    <t xml:space="preserve">     % of Revenue</t>
  </si>
  <si>
    <t xml:space="preserve">       % of Revenue</t>
  </si>
  <si>
    <t>Total Depreciation</t>
  </si>
  <si>
    <t>Total Extraordinary Income/(Expense)</t>
  </si>
  <si>
    <t>COST OF REVENUE</t>
  </si>
  <si>
    <t xml:space="preserve">   Net Cash Provided/(Used) by Operating Activities</t>
  </si>
  <si>
    <t>Capital Expenditures by Months &amp; Quarters</t>
  </si>
  <si>
    <t>Inventory by Months &amp; Quarters</t>
  </si>
  <si>
    <t>Accounts Payble &amp; Accrued Expenses by Months &amp; Quarters</t>
  </si>
  <si>
    <t>Company A</t>
  </si>
  <si>
    <t>Company B</t>
  </si>
  <si>
    <t>Peer Company Comparisons</t>
  </si>
  <si>
    <t>Company C</t>
  </si>
  <si>
    <t>Select Best</t>
  </si>
  <si>
    <t>Projections</t>
  </si>
  <si>
    <t xml:space="preserve">Interest </t>
  </si>
  <si>
    <t>Increase / (Decrease) Previous Period</t>
  </si>
  <si>
    <t>Current Portion</t>
  </si>
  <si>
    <t>Long Term Protion</t>
  </si>
  <si>
    <t>Current  Portion</t>
  </si>
  <si>
    <t>Long Term Portion</t>
  </si>
  <si>
    <t>Annual</t>
  </si>
  <si>
    <t>Income Statements</t>
  </si>
  <si>
    <t>5 Years by Months &amp; Quarters</t>
  </si>
  <si>
    <t>Year 2 by Months</t>
  </si>
  <si>
    <t>1st Qtr</t>
  </si>
  <si>
    <t>Months</t>
  </si>
  <si>
    <t>2nd Qrtr</t>
  </si>
  <si>
    <t>3rd Qrtr</t>
  </si>
  <si>
    <t>4th Qrtr</t>
  </si>
  <si>
    <t>2nd Qtr</t>
  </si>
  <si>
    <t>3rd Qtr</t>
  </si>
  <si>
    <t>4th Qtr</t>
  </si>
  <si>
    <t>12 Months</t>
  </si>
  <si>
    <t>Projection</t>
  </si>
  <si>
    <t>Years 3, 4 &amp; 5 by Quarters</t>
  </si>
  <si>
    <t>Interest Income/(Expense)</t>
  </si>
  <si>
    <t>Total Year</t>
  </si>
  <si>
    <t>Per Month/Qtr</t>
  </si>
  <si>
    <t>Cash Flow Statement</t>
  </si>
  <si>
    <t>Accounts Receivable by Months &amp; Quarters</t>
  </si>
  <si>
    <t>Other Current Liabilities by Months &amp; Quarters</t>
  </si>
  <si>
    <t>Days</t>
  </si>
  <si>
    <t>AP &amp; Accrued Value</t>
  </si>
  <si>
    <t>Days Outstanding</t>
  </si>
  <si>
    <t xml:space="preserve">Accounts Receivable </t>
  </si>
  <si>
    <t>Inventory Days</t>
  </si>
  <si>
    <t xml:space="preserve">Inventory </t>
  </si>
  <si>
    <t>Other CA Value</t>
  </si>
  <si>
    <t>Other Current Liabilities</t>
  </si>
  <si>
    <t>Other Current Assets by Months &amp; Quarters</t>
  </si>
  <si>
    <t>(Increase)/Decrease from Prev. Period</t>
  </si>
  <si>
    <t>Increase/(Decrease) from Prev. Period</t>
  </si>
  <si>
    <t>Quarter 1</t>
  </si>
  <si>
    <t>Quarter 2</t>
  </si>
  <si>
    <t>Quarter 3</t>
  </si>
  <si>
    <t>Quarter 4</t>
  </si>
  <si>
    <t>Do Not Delete</t>
  </si>
  <si>
    <t>Extraordinary Income and Expense by Months &amp; Quarters</t>
  </si>
  <si>
    <t>All other costs % of Revenue</t>
  </si>
  <si>
    <t>Depreciation % of Rev</t>
  </si>
  <si>
    <t>Commissions % of Revenue</t>
  </si>
  <si>
    <t>Beginning Cash</t>
  </si>
  <si>
    <t>Total Equity &amp; Debt</t>
  </si>
  <si>
    <t>Personnel</t>
  </si>
  <si>
    <t>Depreciation Computers, Sofware &amp; Office Equipment (allocated to General &amp; Administrative Expenses)</t>
  </si>
  <si>
    <t>Depreciation on Plant and Equipment (allocated to Cost of Revenue)</t>
  </si>
  <si>
    <t>Depreciation Other (allocated to Cost of Revenue)</t>
  </si>
  <si>
    <t>A Round</t>
  </si>
  <si>
    <t>B Round</t>
  </si>
  <si>
    <t>Total Preferred</t>
  </si>
  <si>
    <t>Assumptions</t>
  </si>
  <si>
    <t>Ref</t>
  </si>
  <si>
    <t>Calculation</t>
  </si>
  <si>
    <t>Month of IPO</t>
  </si>
  <si>
    <t>A</t>
  </si>
  <si>
    <t>Forecast annualized earnings at IPO</t>
  </si>
  <si>
    <t>B</t>
  </si>
  <si>
    <t>P/E ratio at IPO</t>
  </si>
  <si>
    <t>C</t>
  </si>
  <si>
    <t>Investment Round</t>
  </si>
  <si>
    <t>First</t>
  </si>
  <si>
    <t>Second</t>
  </si>
  <si>
    <t xml:space="preserve">Third </t>
  </si>
  <si>
    <t>Month of Investment</t>
  </si>
  <si>
    <t>Investor required IRR</t>
  </si>
  <si>
    <t>D</t>
  </si>
  <si>
    <t>Amount of Investment</t>
  </si>
  <si>
    <t>E</t>
  </si>
  <si>
    <t>Required Monthly IRR</t>
  </si>
  <si>
    <t>F</t>
  </si>
  <si>
    <t>D/12</t>
  </si>
  <si>
    <t>Duration of Investment</t>
  </si>
  <si>
    <t>G</t>
  </si>
  <si>
    <t>A-C</t>
  </si>
  <si>
    <t>Calculations</t>
  </si>
  <si>
    <t>Market Capitalization at IPO</t>
  </si>
  <si>
    <t>H</t>
  </si>
  <si>
    <t>B*C</t>
  </si>
  <si>
    <t>Required FV for Investor at IPO</t>
  </si>
  <si>
    <t>I</t>
  </si>
  <si>
    <t>E*(1+F)^G</t>
  </si>
  <si>
    <t>Individual Investor's Share</t>
  </si>
  <si>
    <t>J</t>
  </si>
  <si>
    <t>I/H</t>
  </si>
  <si>
    <t>Individual Investor's ROI</t>
  </si>
  <si>
    <t>K</t>
  </si>
  <si>
    <t>I/E</t>
  </si>
  <si>
    <t>Individual Investor's IRR</t>
  </si>
  <si>
    <t>L</t>
  </si>
  <si>
    <t>(I/E)^(12/G)-1</t>
  </si>
  <si>
    <t>M</t>
  </si>
  <si>
    <t>sum(J)</t>
  </si>
  <si>
    <t>N</t>
  </si>
  <si>
    <t>1-M</t>
  </si>
  <si>
    <t>FV for Investor at IPO</t>
  </si>
  <si>
    <t xml:space="preserve">Valuation  </t>
  </si>
  <si>
    <t>Venture Capital Method</t>
  </si>
  <si>
    <t>Multiple Rounds</t>
  </si>
  <si>
    <t>Assumptions:</t>
  </si>
  <si>
    <t>P/E ratio at IPO or acquisition</t>
  </si>
  <si>
    <t>Initial investment</t>
  </si>
  <si>
    <t xml:space="preserve">I </t>
  </si>
  <si>
    <t>Year</t>
  </si>
  <si>
    <t xml:space="preserve">Market
Capitalization </t>
  </si>
  <si>
    <t>Required Future Value (Investor)</t>
  </si>
  <si>
    <t>Investor's
Share</t>
  </si>
  <si>
    <t>Investor's
Return</t>
  </si>
  <si>
    <t>Investor's
ROI</t>
  </si>
  <si>
    <t>Investor's
IRR</t>
  </si>
  <si>
    <t>B * E</t>
  </si>
  <si>
    <t>FV(F,D)</t>
  </si>
  <si>
    <t>C / G</t>
  </si>
  <si>
    <t>F * H</t>
  </si>
  <si>
    <t>I / C</t>
  </si>
  <si>
    <t>IRR(I,C,D)</t>
  </si>
  <si>
    <t>Start</t>
  </si>
  <si>
    <t>FV(A,C)</t>
  </si>
  <si>
    <t>G/F</t>
  </si>
  <si>
    <t>IRR(D,G)</t>
  </si>
  <si>
    <t>Negotiations Round</t>
  </si>
  <si>
    <t>Cumulative Investors' Share</t>
  </si>
  <si>
    <t>Cumulative Founders' Share</t>
  </si>
  <si>
    <t>Liquidity Event in Year 1</t>
  </si>
  <si>
    <t>Liquidity Event in Year 2</t>
  </si>
  <si>
    <t>Liquidity Event in Year 3</t>
  </si>
  <si>
    <t>Liquidity Event in Year 4</t>
  </si>
  <si>
    <t>Liquidity Event in Year 5</t>
  </si>
  <si>
    <t>Valuation Calculation</t>
  </si>
  <si>
    <t>IRR Calculation Workspace</t>
  </si>
  <si>
    <t>Income Stmt</t>
  </si>
  <si>
    <t>REF</t>
  </si>
  <si>
    <t>Negotiation Workspace</t>
  </si>
  <si>
    <t>XYZ Company</t>
  </si>
  <si>
    <t>Total Costs &amp; Expenses</t>
  </si>
  <si>
    <t xml:space="preserve">Average Revenue </t>
  </si>
  <si>
    <t>by Month</t>
  </si>
  <si>
    <t>by Quarter</t>
  </si>
  <si>
    <t>Allocation of Cost of Revenue between:</t>
  </si>
  <si>
    <t>All other expenses % of Revenue</t>
  </si>
  <si>
    <t>Assets</t>
  </si>
  <si>
    <t>Purchased</t>
  </si>
  <si>
    <t>Year 0</t>
  </si>
  <si>
    <t>Allocation of Operating Expenses between:</t>
  </si>
  <si>
    <t>Variable Costs/Revenue Ratio</t>
  </si>
  <si>
    <t>EBITDA</t>
  </si>
  <si>
    <t>Sales &amp; Marketing by Months &amp; Quarters</t>
  </si>
  <si>
    <t>Research &amp; Development by Months &amp; Quarters</t>
  </si>
  <si>
    <t>General &amp; Administrative by Months &amp; Quarters</t>
  </si>
  <si>
    <t>CASH AT END OF PERIOD</t>
  </si>
  <si>
    <t>CASH AT BEGINNING OF PERIOD</t>
  </si>
  <si>
    <t>Calculation Area</t>
  </si>
  <si>
    <t>Tax Loss Carry Forward</t>
  </si>
  <si>
    <t xml:space="preserve">Cumulative Net Earning Before Taxes </t>
  </si>
  <si>
    <t>Current Ratio</t>
  </si>
  <si>
    <t>Debt to Capital (LT Debt + Equity)</t>
  </si>
  <si>
    <t>Service B</t>
  </si>
  <si>
    <t>System Costs</t>
  </si>
  <si>
    <t>Direct Mail Campaign</t>
  </si>
  <si>
    <t>Sales Manager</t>
  </si>
  <si>
    <t>Marketing Manager</t>
  </si>
  <si>
    <t>Customer service</t>
  </si>
  <si>
    <t>(other…)</t>
  </si>
  <si>
    <t>Total Salary</t>
  </si>
  <si>
    <t>Benefits</t>
  </si>
  <si>
    <t>Percent (%)</t>
  </si>
  <si>
    <t>Testing</t>
  </si>
  <si>
    <t>Chief Executive Officer</t>
  </si>
  <si>
    <t>Accounting</t>
  </si>
  <si>
    <t>Secretarial</t>
  </si>
  <si>
    <t>Total G &amp; A Compensation</t>
  </si>
  <si>
    <t>Total R &amp; D Compensation</t>
  </si>
  <si>
    <t>Operations Manager</t>
  </si>
  <si>
    <t>(other...)</t>
  </si>
  <si>
    <t>Total COR's Compensation</t>
  </si>
  <si>
    <t>Research &amp; Development % of Rev</t>
  </si>
  <si>
    <t>Sales &amp; Marketing % of Rev</t>
  </si>
  <si>
    <t>General &amp; Administration % of Rev</t>
  </si>
  <si>
    <t>Product A</t>
  </si>
  <si>
    <t>Number of Units</t>
  </si>
  <si>
    <t>Price per unit</t>
  </si>
  <si>
    <t>Material Costs per Unit</t>
  </si>
  <si>
    <t>Total Direct Costs per Unit</t>
  </si>
  <si>
    <t>Subcontact Costs per Unit</t>
  </si>
  <si>
    <t>Unit Sales</t>
  </si>
  <si>
    <t>Total Direct Costs</t>
  </si>
  <si>
    <t>Salary Expenses</t>
  </si>
  <si>
    <t>Salary per employee</t>
  </si>
  <si>
    <t>Total salaries</t>
  </si>
  <si>
    <t xml:space="preserve">Quality Assurance </t>
  </si>
  <si>
    <t>Materials and Logistics</t>
  </si>
  <si>
    <t xml:space="preserve">Engineering </t>
  </si>
  <si>
    <t>Other personnel</t>
  </si>
  <si>
    <t xml:space="preserve">Total Direct Costs </t>
  </si>
  <si>
    <t>Labor Costs</t>
  </si>
  <si>
    <t>Service Personnel Costs</t>
  </si>
  <si>
    <t>Other Expenses</t>
  </si>
  <si>
    <t>Clerks and admin personnel</t>
  </si>
  <si>
    <t>Manufacturing Personnel</t>
  </si>
  <si>
    <t>Service Personnel</t>
  </si>
  <si>
    <t>Break-Even Analysis</t>
  </si>
  <si>
    <t>Chief Financial Officer</t>
  </si>
  <si>
    <t xml:space="preserve">   </t>
  </si>
  <si>
    <t>Notes</t>
  </si>
  <si>
    <t>Inventory Turns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</si>
</sst>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164" formatCode="0.0%"/>
    <numFmt numFmtId="165" formatCode="0.0"/>
    <numFmt numFmtId="166" formatCode="0.0000"/>
    <numFmt numFmtId="167" formatCode="_(* #,##0_);_(* \(#,##0\);_(* &quot;-&quot;??_);_(@_)"/>
    <numFmt numFmtId="168" formatCode="0.0_);\(0.0\)"/>
    <numFmt numFmtId="169" formatCode="0_);\(0\)"/>
    <numFmt numFmtId="170" formatCode="0.00_);\(0.00\)"/>
  </numFmts>
  <fonts count="54">
    <font>
      <sz val="10"/>
      <name val="Geneva"/>
    </font>
    <font>
      <b/>
      <sz val="10"/>
      <name val="Geneva"/>
    </font>
    <font>
      <b/>
      <i/>
      <sz val="10"/>
      <name val="Geneva"/>
    </font>
    <font>
      <sz val="10"/>
      <name val="Geneva"/>
    </font>
    <font>
      <sz val="10"/>
      <name val="MS Sans Serif"/>
    </font>
    <font>
      <sz val="12"/>
      <name val="MS Sans Serif"/>
    </font>
    <font>
      <sz val="12"/>
      <name val="Arial"/>
    </font>
    <font>
      <sz val="10"/>
      <name val="Arial"/>
    </font>
    <font>
      <u/>
      <sz val="12"/>
      <name val="Arial"/>
    </font>
    <font>
      <u/>
      <sz val="10"/>
      <name val="MS Sans Serif"/>
    </font>
    <font>
      <sz val="10"/>
      <name val="Arial"/>
      <family val="2"/>
    </font>
    <font>
      <sz val="10"/>
      <name val="Garamond"/>
      <family val="1"/>
    </font>
    <font>
      <sz val="12"/>
      <name val="Geneva"/>
    </font>
    <font>
      <u/>
      <sz val="12"/>
      <name val="Arial"/>
      <family val="2"/>
    </font>
    <font>
      <b/>
      <sz val="10"/>
      <name val="Arial"/>
      <family val="2"/>
    </font>
    <font>
      <b/>
      <u/>
      <sz val="12"/>
      <name val="Arial"/>
      <family val="2"/>
    </font>
    <font>
      <b/>
      <u/>
      <sz val="10"/>
      <name val="Arial"/>
      <family val="2"/>
    </font>
    <font>
      <i/>
      <sz val="10"/>
      <name val="Arial"/>
      <family val="2"/>
    </font>
    <font>
      <b/>
      <sz val="12"/>
      <name val="Geneva"/>
    </font>
    <font>
      <sz val="14"/>
      <name val="Arial"/>
      <family val="2"/>
    </font>
    <font>
      <sz val="12"/>
      <name val="Arial"/>
      <family val="2"/>
    </font>
    <font>
      <u/>
      <sz val="10"/>
      <name val="Arial"/>
      <family val="2"/>
    </font>
    <font>
      <b/>
      <sz val="12"/>
      <name val="Arial"/>
      <family val="2"/>
    </font>
    <font>
      <b/>
      <sz val="20"/>
      <name val="Arial"/>
      <family val="2"/>
    </font>
    <font>
      <b/>
      <sz val="10"/>
      <color indexed="17"/>
      <name val="Arial"/>
      <family val="2"/>
    </font>
    <font>
      <b/>
      <sz val="10"/>
      <color indexed="12"/>
      <name val="Arial"/>
      <family val="2"/>
    </font>
    <font>
      <b/>
      <sz val="10"/>
      <color indexed="20"/>
      <name val="Arial"/>
      <family val="2"/>
    </font>
    <font>
      <b/>
      <sz val="18"/>
      <name val="Arial"/>
      <family val="2"/>
    </font>
    <font>
      <sz val="18"/>
      <name val="Arial"/>
      <family val="2"/>
    </font>
    <font>
      <sz val="18"/>
      <name val="Arial"/>
    </font>
    <font>
      <sz val="18"/>
      <name val="MS Sans Serif"/>
    </font>
    <font>
      <b/>
      <sz val="16"/>
      <name val="Arial"/>
      <family val="2"/>
    </font>
    <font>
      <sz val="16"/>
      <name val="Arial"/>
      <family val="2"/>
    </font>
    <font>
      <sz val="10"/>
      <color indexed="81"/>
      <name val="Tahoma"/>
      <family val="2"/>
    </font>
    <font>
      <b/>
      <sz val="10"/>
      <color indexed="81"/>
      <name val="Tahoma"/>
      <family val="2"/>
    </font>
    <font>
      <b/>
      <sz val="10"/>
      <name val="MS Sans Serif"/>
      <family val="2"/>
    </font>
    <font>
      <b/>
      <u/>
      <sz val="10"/>
      <name val="Geneva"/>
    </font>
    <font>
      <b/>
      <sz val="12"/>
      <name val="MS Sans Serif"/>
      <family val="2"/>
    </font>
    <font>
      <b/>
      <sz val="12"/>
      <color indexed="81"/>
      <name val="Tahoma"/>
      <family val="2"/>
    </font>
    <font>
      <sz val="10"/>
      <name val="MS Sans Serif"/>
      <family val="2"/>
    </font>
    <font>
      <b/>
      <sz val="10"/>
      <name val="Arial"/>
    </font>
    <font>
      <b/>
      <sz val="10"/>
      <color indexed="10"/>
      <name val="Arial"/>
      <family val="2"/>
    </font>
    <font>
      <sz val="10"/>
      <name val="Geneva"/>
    </font>
    <font>
      <b/>
      <i/>
      <sz val="12"/>
      <name val="Arial"/>
      <family val="2"/>
    </font>
    <font>
      <b/>
      <sz val="24"/>
      <name val="Arial"/>
      <family val="2"/>
    </font>
    <font>
      <sz val="10"/>
      <name val="Geneva"/>
    </font>
    <font>
      <b/>
      <sz val="14"/>
      <name val="Geneva"/>
    </font>
    <font>
      <sz val="10"/>
      <name val="Geneva"/>
    </font>
    <font>
      <b/>
      <sz val="14"/>
      <name val="Arial"/>
      <family val="2"/>
    </font>
    <font>
      <sz val="10"/>
      <name val="Geneva"/>
    </font>
    <font>
      <sz val="12"/>
      <color indexed="81"/>
      <name val="Tahoma"/>
      <family val="2"/>
    </font>
    <font>
      <sz val="8"/>
      <color indexed="81"/>
      <name val="Tahoma"/>
    </font>
    <font>
      <b/>
      <sz val="8"/>
      <color indexed="81"/>
      <name val="Tahoma"/>
    </font>
    <font>
      <sz val="10"/>
      <color indexed="13"/>
      <name val="Arial"/>
      <family val="2"/>
    </font>
  </fonts>
  <fills count="9">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10"/>
        <bgColor indexed="64"/>
      </patternFill>
    </fill>
  </fills>
  <borders count="7">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6">
    <xf numFmtId="0" fontId="0" fillId="0" borderId="0"/>
    <xf numFmtId="40" fontId="3" fillId="0" borderId="0" applyFont="0" applyFill="0" applyBorder="0" applyAlignment="0" applyProtection="0"/>
    <xf numFmtId="8" fontId="3" fillId="0" borderId="0" applyFont="0" applyFill="0" applyBorder="0" applyAlignment="0" applyProtection="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3" fillId="0" borderId="0" applyFont="0" applyFill="0" applyBorder="0" applyAlignment="0" applyProtection="0"/>
  </cellStyleXfs>
  <cellXfs count="618">
    <xf numFmtId="0" fontId="0" fillId="0" borderId="0" xfId="0"/>
    <xf numFmtId="0" fontId="7" fillId="0" borderId="0" xfId="8" applyFont="1"/>
    <xf numFmtId="0" fontId="4" fillId="0" borderId="0" xfId="8"/>
    <xf numFmtId="0" fontId="7" fillId="0" borderId="0" xfId="3" applyFont="1"/>
    <xf numFmtId="0" fontId="20" fillId="0" borderId="0" xfId="3"/>
    <xf numFmtId="37" fontId="7" fillId="0" borderId="0" xfId="3" applyNumberFormat="1" applyFont="1"/>
    <xf numFmtId="37" fontId="20" fillId="0" borderId="0" xfId="3" applyNumberFormat="1"/>
    <xf numFmtId="0" fontId="7" fillId="0" borderId="0" xfId="4" applyFont="1"/>
    <xf numFmtId="0" fontId="4" fillId="0" borderId="0" xfId="4"/>
    <xf numFmtId="0" fontId="7" fillId="0" borderId="0" xfId="5" applyFont="1"/>
    <xf numFmtId="0" fontId="4" fillId="0" borderId="0" xfId="5"/>
    <xf numFmtId="0" fontId="4" fillId="0" borderId="0" xfId="6"/>
    <xf numFmtId="0" fontId="7" fillId="0" borderId="0" xfId="7" applyFont="1"/>
    <xf numFmtId="0" fontId="4" fillId="0" borderId="0" xfId="7"/>
    <xf numFmtId="37" fontId="7" fillId="0" borderId="0" xfId="7" applyNumberFormat="1" applyFont="1"/>
    <xf numFmtId="0" fontId="8" fillId="0" borderId="0" xfId="7" applyFont="1"/>
    <xf numFmtId="0" fontId="4" fillId="0" borderId="0" xfId="7" applyFont="1"/>
    <xf numFmtId="0" fontId="7" fillId="0" borderId="0" xfId="7" applyFont="1" applyAlignment="1"/>
    <xf numFmtId="0" fontId="7" fillId="0" borderId="0" xfId="9" applyFont="1"/>
    <xf numFmtId="0" fontId="4" fillId="0" borderId="0" xfId="9"/>
    <xf numFmtId="0" fontId="7" fillId="0" borderId="0" xfId="10" applyFont="1"/>
    <xf numFmtId="0" fontId="4" fillId="0" borderId="0" xfId="10"/>
    <xf numFmtId="37" fontId="7" fillId="0" borderId="0" xfId="10" applyNumberFormat="1" applyFont="1"/>
    <xf numFmtId="37" fontId="4" fillId="0" borderId="0" xfId="10" applyNumberFormat="1"/>
    <xf numFmtId="10" fontId="9" fillId="0" borderId="0" xfId="10" applyNumberFormat="1" applyFont="1"/>
    <xf numFmtId="0" fontId="7" fillId="0" borderId="0" xfId="11" applyFont="1"/>
    <xf numFmtId="0" fontId="4" fillId="0" borderId="0" xfId="11"/>
    <xf numFmtId="0" fontId="7" fillId="0" borderId="0" xfId="12" applyFont="1"/>
    <xf numFmtId="0" fontId="4" fillId="0" borderId="0" xfId="12"/>
    <xf numFmtId="37" fontId="0" fillId="0" borderId="0" xfId="0" applyNumberFormat="1"/>
    <xf numFmtId="0" fontId="4" fillId="0" borderId="0" xfId="5" applyFont="1"/>
    <xf numFmtId="37" fontId="10" fillId="0" borderId="0" xfId="8" applyNumberFormat="1" applyFont="1" applyBorder="1"/>
    <xf numFmtId="0" fontId="4" fillId="0" borderId="0" xfId="10" applyFont="1"/>
    <xf numFmtId="0" fontId="0" fillId="0" borderId="0" xfId="0" applyAlignment="1">
      <alignment horizontal="left" indent="1"/>
    </xf>
    <xf numFmtId="0" fontId="4" fillId="0" borderId="0" xfId="7" applyFont="1" applyAlignment="1">
      <alignment horizontal="left" indent="2"/>
    </xf>
    <xf numFmtId="0" fontId="10" fillId="0" borderId="0" xfId="12" applyFont="1"/>
    <xf numFmtId="0" fontId="10" fillId="0" borderId="0" xfId="0" applyFont="1"/>
    <xf numFmtId="0" fontId="10" fillId="0" borderId="0" xfId="7" applyFont="1"/>
    <xf numFmtId="0" fontId="10" fillId="0" borderId="0" xfId="4" applyFont="1"/>
    <xf numFmtId="0" fontId="10" fillId="0" borderId="0" xfId="14" applyFont="1"/>
    <xf numFmtId="0" fontId="10" fillId="0" borderId="0" xfId="10" applyFont="1"/>
    <xf numFmtId="0" fontId="10" fillId="0" borderId="0" xfId="3" applyFont="1"/>
    <xf numFmtId="0" fontId="10" fillId="0" borderId="0" xfId="13" applyFont="1"/>
    <xf numFmtId="0" fontId="10" fillId="0" borderId="0" xfId="6" applyFont="1"/>
    <xf numFmtId="0" fontId="10" fillId="0" borderId="0" xfId="9" applyFont="1"/>
    <xf numFmtId="0" fontId="10" fillId="0" borderId="0" xfId="5" applyFont="1"/>
    <xf numFmtId="0" fontId="10" fillId="0" borderId="0" xfId="11" applyFont="1"/>
    <xf numFmtId="0" fontId="10" fillId="0" borderId="0" xfId="8" applyFont="1"/>
    <xf numFmtId="37" fontId="10" fillId="0" borderId="0" xfId="14" applyNumberFormat="1" applyFont="1" applyFill="1"/>
    <xf numFmtId="37" fontId="4" fillId="0" borderId="0" xfId="7" applyNumberFormat="1"/>
    <xf numFmtId="0" fontId="0" fillId="0" borderId="0" xfId="0" applyFill="1"/>
    <xf numFmtId="0" fontId="4" fillId="0" borderId="0" xfId="11" applyProtection="1">
      <protection locked="0"/>
    </xf>
    <xf numFmtId="37" fontId="7" fillId="2" borderId="0" xfId="4" applyNumberFormat="1" applyFont="1" applyFill="1"/>
    <xf numFmtId="0" fontId="14" fillId="0" borderId="0" xfId="8" applyFont="1"/>
    <xf numFmtId="0" fontId="4" fillId="0" borderId="0" xfId="9" applyFont="1"/>
    <xf numFmtId="0" fontId="15" fillId="0" borderId="0" xfId="9" applyFont="1" applyAlignment="1">
      <alignment horizontal="right"/>
    </xf>
    <xf numFmtId="0" fontId="14" fillId="0" borderId="0" xfId="9" applyFont="1"/>
    <xf numFmtId="0" fontId="15" fillId="0" borderId="0" xfId="5" applyFont="1" applyAlignment="1">
      <alignment horizontal="right"/>
    </xf>
    <xf numFmtId="0" fontId="16" fillId="0" borderId="0" xfId="5" applyFont="1" applyAlignment="1">
      <alignment horizontal="right"/>
    </xf>
    <xf numFmtId="0" fontId="15" fillId="0" borderId="0" xfId="11" applyFont="1" applyAlignment="1">
      <alignment horizontal="right"/>
    </xf>
    <xf numFmtId="0" fontId="15" fillId="0" borderId="0" xfId="6" applyFont="1" applyAlignment="1">
      <alignment horizontal="right"/>
    </xf>
    <xf numFmtId="0" fontId="15" fillId="0" borderId="0" xfId="14" applyFont="1" applyAlignment="1">
      <alignment horizontal="center"/>
    </xf>
    <xf numFmtId="0" fontId="14" fillId="0" borderId="0" xfId="14" applyFont="1" applyAlignment="1">
      <alignment horizontal="left"/>
    </xf>
    <xf numFmtId="0" fontId="14" fillId="0" borderId="0" xfId="14" applyFont="1"/>
    <xf numFmtId="0" fontId="15" fillId="0" borderId="0" xfId="10" applyFont="1" applyAlignment="1">
      <alignment horizontal="right"/>
    </xf>
    <xf numFmtId="0" fontId="14" fillId="0" borderId="0" xfId="10" applyFont="1"/>
    <xf numFmtId="0" fontId="15" fillId="0" borderId="0" xfId="13" applyFont="1" applyAlignment="1">
      <alignment horizontal="right"/>
    </xf>
    <xf numFmtId="0" fontId="14" fillId="0" borderId="0" xfId="13" applyFont="1"/>
    <xf numFmtId="0" fontId="15" fillId="0" borderId="0" xfId="12" applyFont="1" applyAlignment="1">
      <alignment horizontal="right"/>
    </xf>
    <xf numFmtId="0" fontId="14" fillId="0" borderId="0" xfId="12" applyFont="1"/>
    <xf numFmtId="0" fontId="17" fillId="0" borderId="0" xfId="12" applyFont="1"/>
    <xf numFmtId="0" fontId="15" fillId="0" borderId="0" xfId="4" applyFont="1" applyAlignment="1">
      <alignment horizontal="right"/>
    </xf>
    <xf numFmtId="0" fontId="1" fillId="0" borderId="0" xfId="0" applyFont="1"/>
    <xf numFmtId="0" fontId="17" fillId="0" borderId="0" xfId="10" applyFont="1" applyAlignment="1">
      <alignment horizontal="left" indent="1"/>
    </xf>
    <xf numFmtId="0" fontId="12" fillId="0" borderId="0" xfId="0" applyFont="1"/>
    <xf numFmtId="0" fontId="18" fillId="0" borderId="0" xfId="0" applyFont="1" applyAlignment="1">
      <alignment horizontal="center"/>
    </xf>
    <xf numFmtId="0" fontId="16" fillId="0" borderId="0" xfId="10" applyFont="1" applyAlignment="1">
      <alignment horizontal="right"/>
    </xf>
    <xf numFmtId="0" fontId="16" fillId="0" borderId="0" xfId="12" applyFont="1" applyAlignment="1">
      <alignment horizontal="right"/>
    </xf>
    <xf numFmtId="0" fontId="4" fillId="0" borderId="0" xfId="12" applyFont="1"/>
    <xf numFmtId="40" fontId="0" fillId="0" borderId="0" xfId="0" applyNumberFormat="1" applyFill="1" applyBorder="1"/>
    <xf numFmtId="37" fontId="7" fillId="3" borderId="0" xfId="4" applyNumberFormat="1" applyFont="1" applyFill="1"/>
    <xf numFmtId="0" fontId="2" fillId="0" borderId="0" xfId="0" applyFont="1" applyAlignment="1">
      <alignment horizontal="right"/>
    </xf>
    <xf numFmtId="37" fontId="0" fillId="3" borderId="0" xfId="0" applyNumberFormat="1" applyFill="1"/>
    <xf numFmtId="0" fontId="10" fillId="0" borderId="0" xfId="12" applyFont="1" applyAlignment="1">
      <alignment horizontal="left" indent="1"/>
    </xf>
    <xf numFmtId="0" fontId="10" fillId="0" borderId="0" xfId="9" applyFont="1" applyAlignment="1">
      <alignment horizontal="left" indent="1"/>
    </xf>
    <xf numFmtId="0" fontId="21" fillId="0" borderId="0" xfId="12" quotePrefix="1" applyFont="1" applyAlignment="1">
      <alignment horizontal="right"/>
    </xf>
    <xf numFmtId="37" fontId="10" fillId="0" borderId="0" xfId="9" applyNumberFormat="1" applyFont="1" applyFill="1"/>
    <xf numFmtId="37" fontId="10" fillId="2" borderId="0" xfId="9" applyNumberFormat="1" applyFont="1" applyFill="1"/>
    <xf numFmtId="37" fontId="10" fillId="0" borderId="0" xfId="12" applyNumberFormat="1" applyFont="1"/>
    <xf numFmtId="37" fontId="10" fillId="4" borderId="0" xfId="12" applyNumberFormat="1" applyFont="1" applyFill="1"/>
    <xf numFmtId="37" fontId="10" fillId="0" borderId="0" xfId="12" applyNumberFormat="1" applyFont="1" applyBorder="1"/>
    <xf numFmtId="37" fontId="10" fillId="4" borderId="1" xfId="12" applyNumberFormat="1" applyFont="1" applyFill="1" applyBorder="1"/>
    <xf numFmtId="37" fontId="10" fillId="0" borderId="0" xfId="12" applyNumberFormat="1" applyFont="1" applyFill="1"/>
    <xf numFmtId="37" fontId="10" fillId="5" borderId="2" xfId="12" applyNumberFormat="1" applyFont="1" applyFill="1" applyBorder="1"/>
    <xf numFmtId="164" fontId="10" fillId="3" borderId="0" xfId="15" applyNumberFormat="1" applyFont="1" applyFill="1"/>
    <xf numFmtId="9" fontId="10" fillId="0" borderId="0" xfId="5" applyNumberFormat="1" applyFont="1" applyFill="1"/>
    <xf numFmtId="164" fontId="10" fillId="0" borderId="0" xfId="15" applyNumberFormat="1" applyFont="1" applyFill="1"/>
    <xf numFmtId="37" fontId="10" fillId="3" borderId="1" xfId="12" applyNumberFormat="1" applyFont="1" applyFill="1" applyBorder="1"/>
    <xf numFmtId="37" fontId="10" fillId="3" borderId="0" xfId="12" applyNumberFormat="1" applyFont="1" applyFill="1"/>
    <xf numFmtId="0" fontId="14" fillId="0" borderId="0" xfId="5" applyFont="1"/>
    <xf numFmtId="37" fontId="10" fillId="2" borderId="0" xfId="5" applyNumberFormat="1" applyFont="1" applyFill="1"/>
    <xf numFmtId="3" fontId="10" fillId="0" borderId="0" xfId="5" applyNumberFormat="1" applyFont="1"/>
    <xf numFmtId="0" fontId="10" fillId="0" borderId="0" xfId="5" applyFont="1" applyFill="1"/>
    <xf numFmtId="3" fontId="10" fillId="0" borderId="0" xfId="5" applyNumberFormat="1" applyFont="1" applyFill="1"/>
    <xf numFmtId="9" fontId="10" fillId="0" borderId="0" xfId="5" applyNumberFormat="1" applyFont="1"/>
    <xf numFmtId="37" fontId="10" fillId="0" borderId="0" xfId="5" applyNumberFormat="1" applyFont="1"/>
    <xf numFmtId="0" fontId="13" fillId="0" borderId="0" xfId="11" quotePrefix="1" applyFont="1" applyAlignment="1">
      <alignment horizontal="right"/>
    </xf>
    <xf numFmtId="0" fontId="14" fillId="0" borderId="0" xfId="11" applyFont="1"/>
    <xf numFmtId="37" fontId="10" fillId="0" borderId="0" xfId="11" applyNumberFormat="1" applyFont="1"/>
    <xf numFmtId="37" fontId="10" fillId="4" borderId="0" xfId="11" applyNumberFormat="1" applyFont="1" applyFill="1" applyProtection="1"/>
    <xf numFmtId="8" fontId="10" fillId="4" borderId="0" xfId="2" applyFont="1" applyFill="1" applyProtection="1"/>
    <xf numFmtId="0" fontId="10" fillId="0" borderId="0" xfId="0" applyFont="1" applyFill="1"/>
    <xf numFmtId="0" fontId="10" fillId="0" borderId="0" xfId="0" applyFont="1" applyAlignment="1">
      <alignment horizontal="left" indent="1"/>
    </xf>
    <xf numFmtId="0" fontId="14" fillId="0" borderId="0" xfId="0" applyFont="1"/>
    <xf numFmtId="38" fontId="10" fillId="3" borderId="0" xfId="1" applyNumberFormat="1" applyFont="1" applyFill="1"/>
    <xf numFmtId="37" fontId="10" fillId="2" borderId="0" xfId="0" applyNumberFormat="1" applyFont="1" applyFill="1"/>
    <xf numFmtId="37" fontId="10" fillId="3" borderId="0" xfId="0" applyNumberFormat="1" applyFont="1" applyFill="1"/>
    <xf numFmtId="0" fontId="10" fillId="0" borderId="0" xfId="0" applyFont="1" applyAlignment="1">
      <alignment horizontal="left" indent="2"/>
    </xf>
    <xf numFmtId="37" fontId="10" fillId="0" borderId="0" xfId="0" applyNumberFormat="1" applyFont="1" applyFill="1"/>
    <xf numFmtId="9" fontId="10" fillId="0" borderId="0" xfId="15" applyFont="1" applyFill="1"/>
    <xf numFmtId="9" fontId="10" fillId="4" borderId="0" xfId="12" applyNumberFormat="1" applyFont="1" applyFill="1"/>
    <xf numFmtId="0" fontId="10" fillId="0" borderId="0" xfId="9" quotePrefix="1" applyFont="1"/>
    <xf numFmtId="37" fontId="10" fillId="0" borderId="0" xfId="9" applyNumberFormat="1" applyFont="1"/>
    <xf numFmtId="0" fontId="13" fillId="0" borderId="0" xfId="8" quotePrefix="1" applyFont="1" applyAlignment="1">
      <alignment horizontal="right"/>
    </xf>
    <xf numFmtId="0" fontId="13" fillId="0" borderId="0" xfId="8" applyFont="1" applyAlignment="1">
      <alignment horizontal="right"/>
    </xf>
    <xf numFmtId="37" fontId="10" fillId="0" borderId="0" xfId="8" applyNumberFormat="1" applyFont="1"/>
    <xf numFmtId="37" fontId="10" fillId="0" borderId="0" xfId="8" applyNumberFormat="1" applyFont="1" applyFill="1"/>
    <xf numFmtId="37" fontId="10" fillId="2" borderId="1" xfId="8" applyNumberFormat="1" applyFont="1" applyFill="1" applyBorder="1"/>
    <xf numFmtId="9" fontId="10" fillId="0" borderId="0" xfId="8" applyNumberFormat="1" applyFont="1"/>
    <xf numFmtId="37" fontId="10" fillId="2" borderId="0" xfId="8" applyNumberFormat="1" applyFont="1" applyFill="1"/>
    <xf numFmtId="0" fontId="10" fillId="0" borderId="0" xfId="8" applyFont="1" applyAlignment="1">
      <alignment horizontal="left"/>
    </xf>
    <xf numFmtId="37" fontId="10" fillId="0" borderId="1" xfId="8" applyNumberFormat="1" applyFont="1" applyFill="1" applyBorder="1"/>
    <xf numFmtId="0" fontId="10" fillId="0" borderId="0" xfId="8" applyFont="1" applyBorder="1"/>
    <xf numFmtId="9" fontId="10" fillId="0" borderId="0" xfId="8" applyNumberFormat="1" applyFont="1" applyBorder="1"/>
    <xf numFmtId="0" fontId="10" fillId="0" borderId="0" xfId="3" applyFont="1" applyAlignment="1">
      <alignment horizontal="left" indent="1"/>
    </xf>
    <xf numFmtId="37" fontId="10" fillId="0" borderId="0" xfId="3" applyNumberFormat="1" applyFont="1" applyFill="1"/>
    <xf numFmtId="37" fontId="10" fillId="2" borderId="0" xfId="10" applyNumberFormat="1" applyFont="1" applyFill="1"/>
    <xf numFmtId="37" fontId="10" fillId="2" borderId="0" xfId="3" applyNumberFormat="1" applyFont="1" applyFill="1"/>
    <xf numFmtId="37" fontId="10" fillId="2" borderId="1" xfId="3" applyNumberFormat="1" applyFont="1" applyFill="1" applyBorder="1"/>
    <xf numFmtId="37" fontId="10" fillId="2" borderId="0" xfId="3" applyNumberFormat="1" applyFont="1" applyFill="1" applyBorder="1"/>
    <xf numFmtId="0" fontId="10" fillId="0" borderId="0" xfId="0" applyFont="1" applyAlignment="1">
      <alignment horizontal="left" indent="3"/>
    </xf>
    <xf numFmtId="37" fontId="10" fillId="3" borderId="0" xfId="1" applyNumberFormat="1" applyFont="1" applyFill="1"/>
    <xf numFmtId="0" fontId="10" fillId="0" borderId="0" xfId="10" applyFont="1" applyAlignment="1">
      <alignment horizontal="left" indent="1"/>
    </xf>
    <xf numFmtId="37" fontId="10" fillId="2" borderId="0" xfId="1" applyNumberFormat="1" applyFont="1" applyFill="1"/>
    <xf numFmtId="0" fontId="20" fillId="0" borderId="0" xfId="0" applyFont="1"/>
    <xf numFmtId="0" fontId="15" fillId="0" borderId="0" xfId="0" applyFont="1" applyAlignment="1">
      <alignment horizontal="right"/>
    </xf>
    <xf numFmtId="0" fontId="10" fillId="0" borderId="0" xfId="4" applyFont="1" applyAlignment="1">
      <alignment horizontal="left" indent="1"/>
    </xf>
    <xf numFmtId="9" fontId="10" fillId="0" borderId="0" xfId="0" applyNumberFormat="1" applyFont="1"/>
    <xf numFmtId="3" fontId="10" fillId="0" borderId="0" xfId="0" applyNumberFormat="1" applyFont="1"/>
    <xf numFmtId="37" fontId="10" fillId="0" borderId="0" xfId="0" applyNumberFormat="1" applyFont="1"/>
    <xf numFmtId="165" fontId="10" fillId="2" borderId="0" xfId="0" applyNumberFormat="1" applyFont="1" applyFill="1"/>
    <xf numFmtId="164" fontId="10" fillId="2" borderId="0" xfId="8" applyNumberFormat="1" applyFont="1" applyFill="1"/>
    <xf numFmtId="164" fontId="10" fillId="2" borderId="0" xfId="0" applyNumberFormat="1" applyFont="1" applyFill="1"/>
    <xf numFmtId="164" fontId="10" fillId="2" borderId="0" xfId="15" applyNumberFormat="1" applyFont="1" applyFill="1"/>
    <xf numFmtId="0" fontId="13" fillId="0" borderId="0" xfId="6" quotePrefix="1" applyFont="1" applyAlignment="1">
      <alignment horizontal="right"/>
    </xf>
    <xf numFmtId="0" fontId="13" fillId="0" borderId="0" xfId="6" applyFont="1" applyAlignment="1">
      <alignment horizontal="right"/>
    </xf>
    <xf numFmtId="0" fontId="14" fillId="0" borderId="0" xfId="6" applyFont="1"/>
    <xf numFmtId="37" fontId="10" fillId="0" borderId="0" xfId="6" applyNumberFormat="1" applyFont="1" applyFill="1"/>
    <xf numFmtId="37" fontId="10" fillId="4" borderId="0" xfId="6" applyNumberFormat="1" applyFont="1" applyFill="1"/>
    <xf numFmtId="37" fontId="10" fillId="0" borderId="0" xfId="6" applyNumberFormat="1" applyFont="1"/>
    <xf numFmtId="37" fontId="10" fillId="5" borderId="2" xfId="6" applyNumberFormat="1" applyFont="1" applyFill="1" applyBorder="1"/>
    <xf numFmtId="0" fontId="21" fillId="0" borderId="0" xfId="10" quotePrefix="1" applyFont="1" applyAlignment="1">
      <alignment horizontal="right"/>
    </xf>
    <xf numFmtId="37" fontId="10" fillId="0" borderId="0" xfId="10" applyNumberFormat="1" applyFont="1"/>
    <xf numFmtId="37" fontId="10" fillId="4" borderId="0" xfId="10" applyNumberFormat="1" applyFont="1" applyFill="1"/>
    <xf numFmtId="37" fontId="10" fillId="4" borderId="0" xfId="10" applyNumberFormat="1" applyFont="1" applyFill="1" applyBorder="1"/>
    <xf numFmtId="37" fontId="10" fillId="5" borderId="2" xfId="10" applyNumberFormat="1" applyFont="1" applyFill="1" applyBorder="1"/>
    <xf numFmtId="37" fontId="10" fillId="3" borderId="0" xfId="10" applyNumberFormat="1" applyFont="1" applyFill="1"/>
    <xf numFmtId="37" fontId="10" fillId="3" borderId="1" xfId="10" applyNumberFormat="1" applyFont="1" applyFill="1" applyBorder="1"/>
    <xf numFmtId="0" fontId="10" fillId="0" borderId="0" xfId="9" applyFont="1" applyAlignment="1">
      <alignment horizontal="left" indent="2"/>
    </xf>
    <xf numFmtId="0" fontId="13" fillId="0" borderId="0" xfId="4" quotePrefix="1" applyFont="1" applyAlignment="1">
      <alignment horizontal="right"/>
    </xf>
    <xf numFmtId="37" fontId="10" fillId="0" borderId="0" xfId="4" applyNumberFormat="1" applyFont="1"/>
    <xf numFmtId="37" fontId="10" fillId="2" borderId="0" xfId="4" applyNumberFormat="1" applyFont="1" applyFill="1"/>
    <xf numFmtId="37" fontId="10" fillId="0" borderId="0" xfId="4" applyNumberFormat="1" applyFont="1" applyFill="1"/>
    <xf numFmtId="0" fontId="10" fillId="0" borderId="0" xfId="4" applyFont="1" applyAlignment="1">
      <alignment horizontal="left" indent="2"/>
    </xf>
    <xf numFmtId="37" fontId="10" fillId="2" borderId="0" xfId="14" applyNumberFormat="1" applyFont="1" applyFill="1"/>
    <xf numFmtId="37" fontId="10" fillId="0" borderId="0" xfId="4" applyNumberFormat="1" applyFont="1" applyBorder="1"/>
    <xf numFmtId="37" fontId="10" fillId="0" borderId="1" xfId="4" applyNumberFormat="1" applyFont="1" applyFill="1" applyBorder="1"/>
    <xf numFmtId="37" fontId="10" fillId="3" borderId="0" xfId="4" applyNumberFormat="1" applyFont="1" applyFill="1"/>
    <xf numFmtId="0" fontId="10" fillId="0" borderId="0" xfId="4" applyFont="1" applyAlignment="1">
      <alignment horizontal="left"/>
    </xf>
    <xf numFmtId="37" fontId="10" fillId="2" borderId="1" xfId="4" applyNumberFormat="1" applyFont="1" applyFill="1" applyBorder="1"/>
    <xf numFmtId="37" fontId="10" fillId="3" borderId="1" xfId="4" applyNumberFormat="1" applyFont="1" applyFill="1" applyBorder="1"/>
    <xf numFmtId="0" fontId="10" fillId="0" borderId="0" xfId="6" applyFont="1" applyAlignment="1">
      <alignment horizontal="left" indent="1"/>
    </xf>
    <xf numFmtId="0" fontId="10" fillId="0" borderId="0" xfId="6" applyFont="1" applyAlignment="1">
      <alignment horizontal="left" indent="2"/>
    </xf>
    <xf numFmtId="0" fontId="4" fillId="0" borderId="0" xfId="6" applyFont="1" applyAlignment="1">
      <alignment horizontal="left" indent="2"/>
    </xf>
    <xf numFmtId="37" fontId="10" fillId="3" borderId="0" xfId="6" applyNumberFormat="1" applyFont="1" applyFill="1"/>
    <xf numFmtId="37" fontId="10" fillId="3" borderId="1" xfId="6" applyNumberFormat="1" applyFont="1" applyFill="1" applyBorder="1"/>
    <xf numFmtId="37" fontId="10" fillId="2" borderId="0" xfId="11" applyNumberFormat="1" applyFont="1" applyFill="1"/>
    <xf numFmtId="37" fontId="10" fillId="4" borderId="0" xfId="9" applyNumberFormat="1" applyFont="1" applyFill="1"/>
    <xf numFmtId="37" fontId="10" fillId="4" borderId="1" xfId="9" applyNumberFormat="1" applyFont="1" applyFill="1" applyBorder="1"/>
    <xf numFmtId="37" fontId="10" fillId="5" borderId="0" xfId="9" applyNumberFormat="1" applyFont="1" applyFill="1"/>
    <xf numFmtId="37" fontId="10" fillId="4" borderId="0" xfId="9" applyNumberFormat="1" applyFont="1" applyFill="1" applyBorder="1"/>
    <xf numFmtId="0" fontId="15" fillId="0" borderId="0" xfId="14" applyFont="1" applyAlignment="1">
      <alignment horizontal="right"/>
    </xf>
    <xf numFmtId="0" fontId="15" fillId="0" borderId="0" xfId="5" applyFont="1" applyAlignment="1">
      <alignment horizontal="center"/>
    </xf>
    <xf numFmtId="0" fontId="14" fillId="0" borderId="0" xfId="3" applyFont="1"/>
    <xf numFmtId="0" fontId="14" fillId="0" borderId="0" xfId="3" applyFont="1" applyAlignment="1">
      <alignment horizontal="left" indent="1"/>
    </xf>
    <xf numFmtId="0" fontId="14" fillId="0" borderId="0" xfId="4" applyFont="1"/>
    <xf numFmtId="0" fontId="14" fillId="0" borderId="0" xfId="7" applyFont="1"/>
    <xf numFmtId="0" fontId="10" fillId="0" borderId="0" xfId="7" applyFont="1" applyAlignment="1">
      <alignment horizontal="left" indent="2"/>
    </xf>
    <xf numFmtId="0" fontId="10" fillId="0" borderId="0" xfId="7" applyFont="1" applyAlignment="1">
      <alignment horizontal="left" indent="1"/>
    </xf>
    <xf numFmtId="0" fontId="14" fillId="0" borderId="0" xfId="0" applyFont="1" applyAlignment="1">
      <alignment horizontal="left" indent="1"/>
    </xf>
    <xf numFmtId="9" fontId="10" fillId="0" borderId="0" xfId="9" applyNumberFormat="1" applyFont="1" applyFill="1"/>
    <xf numFmtId="0" fontId="10" fillId="0" borderId="0" xfId="9" applyFont="1" applyFill="1"/>
    <xf numFmtId="37" fontId="10" fillId="0" borderId="0" xfId="8" applyNumberFormat="1" applyFont="1" applyFill="1" applyBorder="1"/>
    <xf numFmtId="0" fontId="27" fillId="2" borderId="0" xfId="9" applyFont="1" applyFill="1"/>
    <xf numFmtId="0" fontId="27" fillId="2" borderId="0" xfId="12" applyFont="1" applyFill="1"/>
    <xf numFmtId="0" fontId="27" fillId="2" borderId="0" xfId="10" applyFont="1" applyFill="1"/>
    <xf numFmtId="0" fontId="29" fillId="0" borderId="0" xfId="10" applyFont="1"/>
    <xf numFmtId="0" fontId="30" fillId="0" borderId="0" xfId="10" applyFont="1"/>
    <xf numFmtId="0" fontId="22" fillId="0" borderId="0" xfId="10" applyFont="1"/>
    <xf numFmtId="0" fontId="20" fillId="0" borderId="0" xfId="10" applyFont="1"/>
    <xf numFmtId="0" fontId="6" fillId="0" borderId="0" xfId="10" applyFont="1"/>
    <xf numFmtId="0" fontId="5" fillId="0" borderId="0" xfId="10" applyFont="1"/>
    <xf numFmtId="0" fontId="6" fillId="0" borderId="0" xfId="10" applyFont="1" applyFill="1"/>
    <xf numFmtId="0" fontId="20" fillId="0" borderId="0" xfId="10" quotePrefix="1" applyFont="1"/>
    <xf numFmtId="0" fontId="22" fillId="0" borderId="0" xfId="9" applyFont="1"/>
    <xf numFmtId="0" fontId="22" fillId="0" borderId="0" xfId="6" applyFont="1"/>
    <xf numFmtId="0" fontId="20" fillId="0" borderId="0" xfId="6" applyFont="1"/>
    <xf numFmtId="0" fontId="5" fillId="0" borderId="0" xfId="6" applyFont="1"/>
    <xf numFmtId="0" fontId="31" fillId="2" borderId="0" xfId="6" applyFont="1" applyFill="1"/>
    <xf numFmtId="0" fontId="22" fillId="0" borderId="0" xfId="13" applyFont="1"/>
    <xf numFmtId="0" fontId="31" fillId="2" borderId="0" xfId="13" applyFont="1" applyFill="1"/>
    <xf numFmtId="0" fontId="22" fillId="0" borderId="0" xfId="14" applyFont="1"/>
    <xf numFmtId="0" fontId="31" fillId="2" borderId="0" xfId="14" applyFont="1" applyFill="1"/>
    <xf numFmtId="0" fontId="22" fillId="0" borderId="0" xfId="8" applyFont="1"/>
    <xf numFmtId="0" fontId="20" fillId="0" borderId="0" xfId="8" applyFont="1"/>
    <xf numFmtId="0" fontId="6" fillId="0" borderId="0" xfId="8" applyFont="1"/>
    <xf numFmtId="0" fontId="5" fillId="0" borderId="0" xfId="8" applyFont="1"/>
    <xf numFmtId="0" fontId="22" fillId="0" borderId="0" xfId="8" applyFont="1" applyAlignment="1">
      <alignment horizontal="left"/>
    </xf>
    <xf numFmtId="0" fontId="31" fillId="2" borderId="0" xfId="8" applyFont="1" applyFill="1"/>
    <xf numFmtId="0" fontId="10" fillId="2" borderId="0" xfId="8" applyFont="1" applyFill="1"/>
    <xf numFmtId="0" fontId="32" fillId="0" borderId="0" xfId="3" applyFont="1"/>
    <xf numFmtId="0" fontId="22" fillId="0" borderId="0" xfId="3" applyFont="1"/>
    <xf numFmtId="0" fontId="20" fillId="0" borderId="0" xfId="3" applyFont="1"/>
    <xf numFmtId="0" fontId="31" fillId="2" borderId="0" xfId="3" applyFont="1" applyFill="1"/>
    <xf numFmtId="0" fontId="15" fillId="0" borderId="0" xfId="3" applyFont="1" applyAlignment="1">
      <alignment horizontal="right"/>
    </xf>
    <xf numFmtId="0" fontId="22" fillId="0" borderId="0" xfId="4" applyFont="1"/>
    <xf numFmtId="0" fontId="20" fillId="0" borderId="0" xfId="4" applyFont="1"/>
    <xf numFmtId="0" fontId="6" fillId="0" borderId="0" xfId="4" applyFont="1"/>
    <xf numFmtId="0" fontId="5" fillId="0" borderId="0" xfId="4" applyFont="1"/>
    <xf numFmtId="0" fontId="22" fillId="0" borderId="0" xfId="4" applyFont="1" applyAlignment="1">
      <alignment horizontal="left"/>
    </xf>
    <xf numFmtId="0" fontId="31" fillId="2" borderId="0" xfId="4" applyFont="1" applyFill="1"/>
    <xf numFmtId="0" fontId="22" fillId="0" borderId="0" xfId="7" applyFont="1" applyFill="1" applyBorder="1" applyAlignment="1">
      <alignment horizontal="left"/>
    </xf>
    <xf numFmtId="0" fontId="6" fillId="0" borderId="0" xfId="7" applyFont="1"/>
    <xf numFmtId="0" fontId="5" fillId="0" borderId="0" xfId="7" applyFont="1"/>
    <xf numFmtId="0" fontId="22" fillId="0" borderId="0" xfId="7" applyFont="1"/>
    <xf numFmtId="0" fontId="31" fillId="2" borderId="0" xfId="7" applyFont="1" applyFill="1"/>
    <xf numFmtId="0" fontId="15" fillId="0" borderId="0" xfId="7" applyFont="1" applyAlignment="1">
      <alignment horizontal="right"/>
    </xf>
    <xf numFmtId="0" fontId="22" fillId="0" borderId="0" xfId="0" applyFont="1"/>
    <xf numFmtId="0" fontId="31" fillId="2" borderId="0" xfId="0" applyFont="1" applyFill="1"/>
    <xf numFmtId="164" fontId="10" fillId="3" borderId="0" xfId="9" applyNumberFormat="1" applyFont="1" applyFill="1"/>
    <xf numFmtId="0" fontId="10" fillId="0" borderId="0" xfId="12" applyFont="1" applyFill="1"/>
    <xf numFmtId="0" fontId="4" fillId="0" borderId="0" xfId="12" applyFill="1"/>
    <xf numFmtId="0" fontId="20" fillId="0" borderId="0" xfId="13" applyFont="1"/>
    <xf numFmtId="0" fontId="13" fillId="0" borderId="0" xfId="13" quotePrefix="1" applyFont="1" applyAlignment="1">
      <alignment horizontal="right"/>
    </xf>
    <xf numFmtId="0" fontId="13" fillId="0" borderId="0" xfId="13" applyFont="1" applyAlignment="1">
      <alignment horizontal="right"/>
    </xf>
    <xf numFmtId="2" fontId="10" fillId="4" borderId="0" xfId="13" applyNumberFormat="1" applyFont="1" applyFill="1"/>
    <xf numFmtId="2" fontId="10" fillId="0" borderId="0" xfId="13" applyNumberFormat="1" applyFont="1"/>
    <xf numFmtId="37" fontId="10" fillId="2" borderId="0" xfId="13" applyNumberFormat="1" applyFont="1" applyFill="1"/>
    <xf numFmtId="0" fontId="10" fillId="0" borderId="0" xfId="13" applyFont="1" applyAlignment="1">
      <alignment horizontal="left" indent="1"/>
    </xf>
    <xf numFmtId="37" fontId="10" fillId="3" borderId="0" xfId="13" applyNumberFormat="1" applyFont="1" applyFill="1"/>
    <xf numFmtId="2" fontId="10" fillId="0" borderId="0" xfId="13" applyNumberFormat="1" applyFont="1" applyFill="1"/>
    <xf numFmtId="164" fontId="10" fillId="3" borderId="0" xfId="8" applyNumberFormat="1" applyFont="1" applyFill="1"/>
    <xf numFmtId="9" fontId="10" fillId="3" borderId="0" xfId="8" applyNumberFormat="1" applyFont="1" applyFill="1"/>
    <xf numFmtId="164" fontId="10" fillId="3" borderId="0" xfId="15" applyNumberFormat="1" applyFont="1" applyFill="1" applyBorder="1"/>
    <xf numFmtId="9" fontId="10" fillId="3" borderId="0" xfId="15" applyFont="1" applyFill="1"/>
    <xf numFmtId="0" fontId="31" fillId="2" borderId="0" xfId="9" applyFont="1" applyFill="1"/>
    <xf numFmtId="0" fontId="20" fillId="0" borderId="0" xfId="14" applyFont="1"/>
    <xf numFmtId="37" fontId="10" fillId="0" borderId="0" xfId="14" applyNumberFormat="1" applyFont="1"/>
    <xf numFmtId="164" fontId="10" fillId="4" borderId="0" xfId="15" applyNumberFormat="1" applyFont="1" applyFill="1"/>
    <xf numFmtId="37" fontId="10" fillId="5" borderId="0" xfId="14" applyNumberFormat="1" applyFont="1" applyFill="1"/>
    <xf numFmtId="164" fontId="10" fillId="4" borderId="0" xfId="15" applyNumberFormat="1" applyFont="1" applyFill="1" applyAlignment="1">
      <alignment horizontal="right"/>
    </xf>
    <xf numFmtId="0" fontId="15" fillId="0" borderId="0" xfId="8" applyFont="1" applyAlignment="1">
      <alignment horizontal="right"/>
    </xf>
    <xf numFmtId="0" fontId="31" fillId="2" borderId="0" xfId="5" applyFont="1" applyFill="1"/>
    <xf numFmtId="0" fontId="22" fillId="0" borderId="0" xfId="5" applyFont="1"/>
    <xf numFmtId="0" fontId="22" fillId="0" borderId="0" xfId="12" applyFont="1"/>
    <xf numFmtId="0" fontId="10" fillId="0" borderId="0" xfId="4" applyFont="1" applyFill="1"/>
    <xf numFmtId="164" fontId="10" fillId="0" borderId="0" xfId="15" applyNumberFormat="1" applyFont="1" applyFill="1" applyBorder="1"/>
    <xf numFmtId="164" fontId="10" fillId="0" borderId="0" xfId="5" applyNumberFormat="1" applyFont="1" applyFill="1"/>
    <xf numFmtId="37" fontId="10" fillId="3" borderId="0" xfId="8" applyNumberFormat="1" applyFont="1" applyFill="1"/>
    <xf numFmtId="37" fontId="10" fillId="2" borderId="3" xfId="8" applyNumberFormat="1" applyFont="1" applyFill="1" applyBorder="1"/>
    <xf numFmtId="37" fontId="10" fillId="3" borderId="0" xfId="3" applyNumberFormat="1" applyFont="1" applyFill="1"/>
    <xf numFmtId="37" fontId="10" fillId="3" borderId="0" xfId="3" applyNumberFormat="1" applyFont="1" applyFill="1" applyBorder="1"/>
    <xf numFmtId="37" fontId="10" fillId="3" borderId="2" xfId="3" applyNumberFormat="1" applyFont="1" applyFill="1" applyBorder="1"/>
    <xf numFmtId="0" fontId="4" fillId="0" borderId="0" xfId="7" applyFill="1" applyBorder="1"/>
    <xf numFmtId="0" fontId="10" fillId="0" borderId="0" xfId="4" applyFont="1" applyFill="1" applyBorder="1"/>
    <xf numFmtId="0" fontId="32" fillId="0" borderId="0" xfId="3" applyFont="1" applyFill="1" applyBorder="1"/>
    <xf numFmtId="0" fontId="14" fillId="0" borderId="0" xfId="8" applyFont="1" applyFill="1" applyBorder="1"/>
    <xf numFmtId="0" fontId="10" fillId="0" borderId="0" xfId="8" applyFont="1" applyFill="1" applyBorder="1"/>
    <xf numFmtId="0" fontId="10" fillId="0" borderId="0" xfId="14" applyFont="1" applyFill="1" applyBorder="1"/>
    <xf numFmtId="0" fontId="20" fillId="0" borderId="0" xfId="13" applyFont="1" applyFill="1" applyBorder="1"/>
    <xf numFmtId="0" fontId="10" fillId="0" borderId="0" xfId="6" applyFont="1" applyFill="1" applyBorder="1"/>
    <xf numFmtId="0" fontId="10" fillId="0" borderId="0" xfId="0" applyFont="1" applyFill="1" applyBorder="1"/>
    <xf numFmtId="0" fontId="28" fillId="0" borderId="0" xfId="10" applyFont="1" applyFill="1" applyBorder="1"/>
    <xf numFmtId="0" fontId="10" fillId="0" borderId="0" xfId="9" applyFont="1" applyFill="1" applyBorder="1"/>
    <xf numFmtId="0" fontId="10" fillId="0" borderId="0" xfId="12" applyFont="1" applyFill="1" applyBorder="1"/>
    <xf numFmtId="0" fontId="22" fillId="0" borderId="0" xfId="8" applyFont="1" applyAlignment="1">
      <alignment horizontal="right"/>
    </xf>
    <xf numFmtId="0" fontId="15" fillId="0" borderId="0" xfId="8" applyFont="1"/>
    <xf numFmtId="37" fontId="10" fillId="3" borderId="1" xfId="8" applyNumberFormat="1" applyFont="1" applyFill="1" applyBorder="1"/>
    <xf numFmtId="37" fontId="10" fillId="0" borderId="1" xfId="8" applyNumberFormat="1" applyFont="1" applyBorder="1"/>
    <xf numFmtId="0" fontId="10" fillId="2" borderId="0" xfId="4" applyFont="1" applyFill="1"/>
    <xf numFmtId="0" fontId="15" fillId="0" borderId="0" xfId="4" applyFont="1"/>
    <xf numFmtId="37" fontId="10" fillId="0" borderId="1" xfId="4" applyNumberFormat="1" applyFont="1" applyBorder="1"/>
    <xf numFmtId="37" fontId="10" fillId="5" borderId="3" xfId="8" applyNumberFormat="1" applyFont="1" applyFill="1" applyBorder="1"/>
    <xf numFmtId="0" fontId="10" fillId="0" borderId="0" xfId="11" applyFont="1" applyAlignment="1">
      <alignment horizontal="left" indent="1"/>
    </xf>
    <xf numFmtId="0" fontId="10" fillId="0" borderId="0" xfId="11" applyFont="1" applyAlignment="1">
      <alignment horizontal="left" indent="2"/>
    </xf>
    <xf numFmtId="37" fontId="10" fillId="4" borderId="0" xfId="2" applyNumberFormat="1" applyFont="1" applyFill="1" applyProtection="1"/>
    <xf numFmtId="37" fontId="10" fillId="4" borderId="0" xfId="11" applyNumberFormat="1" applyFont="1" applyFill="1"/>
    <xf numFmtId="0" fontId="22" fillId="0" borderId="0" xfId="11" applyFont="1" applyAlignment="1">
      <alignment horizontal="center"/>
    </xf>
    <xf numFmtId="5" fontId="10" fillId="4" borderId="0" xfId="11" applyNumberFormat="1" applyFont="1" applyFill="1" applyBorder="1"/>
    <xf numFmtId="0" fontId="10" fillId="0" borderId="0" xfId="11" applyFont="1" applyAlignment="1">
      <alignment horizontal="center"/>
    </xf>
    <xf numFmtId="37" fontId="10" fillId="4" borderId="0" xfId="1" applyNumberFormat="1" applyFont="1" applyFill="1"/>
    <xf numFmtId="37" fontId="10" fillId="4" borderId="1" xfId="1" applyNumberFormat="1" applyFont="1" applyFill="1" applyBorder="1"/>
    <xf numFmtId="37" fontId="4" fillId="5" borderId="0" xfId="5" applyNumberFormat="1" applyFill="1"/>
    <xf numFmtId="0" fontId="10" fillId="0" borderId="0" xfId="12" applyFont="1" applyAlignment="1">
      <alignment horizontal="left" indent="2"/>
    </xf>
    <xf numFmtId="0" fontId="14" fillId="0" borderId="0" xfId="9" applyFont="1" applyAlignment="1">
      <alignment horizontal="left" indent="1"/>
    </xf>
    <xf numFmtId="37" fontId="10" fillId="3" borderId="0" xfId="12" applyNumberFormat="1" applyFont="1" applyFill="1" applyBorder="1"/>
    <xf numFmtId="0" fontId="14" fillId="0" borderId="0" xfId="12" applyFont="1" applyAlignment="1">
      <alignment horizontal="left" indent="1"/>
    </xf>
    <xf numFmtId="0" fontId="10" fillId="0" borderId="0" xfId="12" applyFont="1" applyAlignment="1">
      <alignment horizontal="left" indent="3"/>
    </xf>
    <xf numFmtId="37" fontId="10" fillId="6" borderId="0" xfId="12" applyNumberFormat="1" applyFont="1" applyFill="1" applyBorder="1"/>
    <xf numFmtId="37" fontId="10" fillId="4" borderId="0" xfId="12" applyNumberFormat="1" applyFont="1" applyFill="1" applyBorder="1"/>
    <xf numFmtId="37" fontId="4" fillId="0" borderId="0" xfId="12" applyNumberFormat="1"/>
    <xf numFmtId="166" fontId="10" fillId="0" borderId="0" xfId="5" applyNumberFormat="1" applyFont="1"/>
    <xf numFmtId="0" fontId="14" fillId="0" borderId="0" xfId="5" applyFont="1" applyAlignment="1">
      <alignment horizontal="left" indent="1"/>
    </xf>
    <xf numFmtId="0" fontId="35" fillId="0" borderId="0" xfId="9" applyFont="1" applyAlignment="1">
      <alignment horizontal="left" indent="1"/>
    </xf>
    <xf numFmtId="37" fontId="4" fillId="5" borderId="0" xfId="9" applyNumberFormat="1" applyFill="1"/>
    <xf numFmtId="9" fontId="10" fillId="4" borderId="0" xfId="15" applyFont="1" applyFill="1"/>
    <xf numFmtId="0" fontId="17" fillId="0" borderId="0" xfId="10" applyFont="1" applyAlignment="1">
      <alignment horizontal="left" indent="2"/>
    </xf>
    <xf numFmtId="0" fontId="14" fillId="0" borderId="0" xfId="9" applyFont="1" applyAlignment="1">
      <alignment horizontal="left"/>
    </xf>
    <xf numFmtId="37" fontId="10" fillId="5" borderId="0" xfId="15" applyNumberFormat="1" applyFont="1" applyFill="1"/>
    <xf numFmtId="0" fontId="4" fillId="0" borderId="0" xfId="10" applyFill="1"/>
    <xf numFmtId="37" fontId="4" fillId="5" borderId="1" xfId="5" applyNumberFormat="1" applyFill="1" applyBorder="1"/>
    <xf numFmtId="37" fontId="4" fillId="5" borderId="2" xfId="5" applyNumberFormat="1" applyFill="1" applyBorder="1"/>
    <xf numFmtId="37" fontId="10" fillId="2" borderId="1" xfId="14" applyNumberFormat="1" applyFont="1" applyFill="1" applyBorder="1"/>
    <xf numFmtId="37" fontId="10" fillId="2" borderId="2" xfId="14" applyNumberFormat="1" applyFont="1" applyFill="1" applyBorder="1"/>
    <xf numFmtId="0" fontId="10" fillId="0" borderId="0" xfId="3" applyFont="1" applyAlignment="1">
      <alignment horizontal="left" indent="2"/>
    </xf>
    <xf numFmtId="0" fontId="14" fillId="0" borderId="0" xfId="3" applyFont="1" applyAlignment="1">
      <alignment horizontal="left" indent="2"/>
    </xf>
    <xf numFmtId="0" fontId="15" fillId="0" borderId="0" xfId="12" applyFont="1" applyAlignment="1">
      <alignment horizontal="center"/>
    </xf>
    <xf numFmtId="0" fontId="15" fillId="0" borderId="0" xfId="9" applyFont="1" applyAlignment="1">
      <alignment horizontal="center"/>
    </xf>
    <xf numFmtId="0" fontId="15" fillId="0" borderId="0" xfId="10" applyFont="1" applyAlignment="1">
      <alignment horizontal="center"/>
    </xf>
    <xf numFmtId="0" fontId="36" fillId="0" borderId="0" xfId="0" applyFont="1"/>
    <xf numFmtId="0" fontId="0" fillId="4" borderId="0" xfId="0" applyFill="1"/>
    <xf numFmtId="0" fontId="22" fillId="0" borderId="0" xfId="11" applyFont="1" applyAlignment="1">
      <alignment horizontal="left"/>
    </xf>
    <xf numFmtId="37" fontId="4" fillId="5" borderId="0" xfId="10" applyNumberFormat="1" applyFill="1"/>
    <xf numFmtId="0" fontId="14" fillId="0" borderId="0" xfId="0" applyFont="1" applyFill="1"/>
    <xf numFmtId="0" fontId="10" fillId="0" borderId="0" xfId="7" applyFont="1" applyAlignment="1">
      <alignment horizontal="left" indent="3"/>
    </xf>
    <xf numFmtId="0" fontId="37" fillId="0" borderId="0" xfId="8" applyFont="1"/>
    <xf numFmtId="37" fontId="10" fillId="0" borderId="0" xfId="14" applyNumberFormat="1" applyFont="1" applyFill="1" applyBorder="1"/>
    <xf numFmtId="165" fontId="10" fillId="0" borderId="0" xfId="14" applyNumberFormat="1" applyFont="1" applyAlignment="1">
      <alignment horizontal="center"/>
    </xf>
    <xf numFmtId="0" fontId="22" fillId="0" borderId="0" xfId="8" applyFont="1" applyAlignment="1">
      <alignment horizontal="center"/>
    </xf>
    <xf numFmtId="0" fontId="10" fillId="3" borderId="0" xfId="8" applyFont="1" applyFill="1"/>
    <xf numFmtId="0" fontId="14" fillId="0" borderId="0" xfId="8" applyFont="1" applyFill="1"/>
    <xf numFmtId="0" fontId="16" fillId="0" borderId="0" xfId="8" applyFont="1" applyAlignment="1">
      <alignment horizontal="center"/>
    </xf>
    <xf numFmtId="0" fontId="15" fillId="0" borderId="0" xfId="8" applyFont="1" applyAlignment="1">
      <alignment horizontal="center"/>
    </xf>
    <xf numFmtId="0" fontId="31" fillId="0" borderId="0" xfId="8" applyFont="1" applyAlignment="1">
      <alignment horizontal="left"/>
    </xf>
    <xf numFmtId="0" fontId="31" fillId="0" borderId="0" xfId="8" applyFont="1"/>
    <xf numFmtId="37" fontId="10" fillId="0" borderId="0" xfId="8" applyNumberFormat="1" applyFont="1" applyAlignment="1">
      <alignment horizontal="left"/>
    </xf>
    <xf numFmtId="37" fontId="4" fillId="2" borderId="0" xfId="8" applyNumberFormat="1" applyFill="1"/>
    <xf numFmtId="37" fontId="4" fillId="2" borderId="1" xfId="8" applyNumberFormat="1" applyFill="1" applyBorder="1"/>
    <xf numFmtId="37" fontId="4" fillId="2" borderId="3" xfId="8" applyNumberFormat="1" applyFill="1" applyBorder="1"/>
    <xf numFmtId="0" fontId="13" fillId="0" borderId="0" xfId="4" applyFont="1" applyAlignment="1">
      <alignment horizontal="right"/>
    </xf>
    <xf numFmtId="37" fontId="10" fillId="4" borderId="0" xfId="0" applyNumberFormat="1" applyFont="1" applyFill="1"/>
    <xf numFmtId="37" fontId="10" fillId="5" borderId="0" xfId="7" applyNumberFormat="1" applyFont="1" applyFill="1"/>
    <xf numFmtId="37" fontId="10" fillId="0" borderId="0" xfId="7" applyNumberFormat="1" applyFont="1"/>
    <xf numFmtId="37" fontId="10" fillId="5" borderId="0" xfId="0" applyNumberFormat="1" applyFont="1" applyFill="1"/>
    <xf numFmtId="164" fontId="10" fillId="4" borderId="0" xfId="0" applyNumberFormat="1" applyFont="1" applyFill="1"/>
    <xf numFmtId="164" fontId="10" fillId="4" borderId="0" xfId="7" applyNumberFormat="1" applyFont="1" applyFill="1"/>
    <xf numFmtId="37" fontId="10" fillId="2" borderId="0" xfId="7" applyNumberFormat="1" applyFont="1" applyFill="1"/>
    <xf numFmtId="37" fontId="10" fillId="4" borderId="1" xfId="0" applyNumberFormat="1" applyFont="1" applyFill="1" applyBorder="1"/>
    <xf numFmtId="0" fontId="10" fillId="0" borderId="0" xfId="7" applyFont="1" applyFill="1"/>
    <xf numFmtId="37" fontId="10" fillId="4" borderId="0" xfId="7" applyNumberFormat="1" applyFont="1" applyFill="1" applyAlignment="1">
      <alignment horizontal="right"/>
    </xf>
    <xf numFmtId="37" fontId="4" fillId="4" borderId="0" xfId="10" applyNumberFormat="1" applyFill="1"/>
    <xf numFmtId="0" fontId="4" fillId="4" borderId="0" xfId="10" applyFill="1"/>
    <xf numFmtId="0" fontId="37" fillId="0" borderId="1" xfId="8" applyFont="1" applyBorder="1" applyAlignment="1">
      <alignment horizontal="center"/>
    </xf>
    <xf numFmtId="9" fontId="10" fillId="2" borderId="0" xfId="15" applyFont="1" applyFill="1"/>
    <xf numFmtId="0" fontId="10" fillId="0" borderId="0" xfId="7" applyFont="1" applyAlignment="1">
      <alignment horizontal="left" indent="4"/>
    </xf>
    <xf numFmtId="37" fontId="10" fillId="5" borderId="0" xfId="14" applyNumberFormat="1" applyFont="1" applyFill="1" applyBorder="1"/>
    <xf numFmtId="167" fontId="0" fillId="5" borderId="0" xfId="0" applyNumberFormat="1" applyFill="1" applyBorder="1"/>
    <xf numFmtId="167" fontId="0" fillId="5" borderId="1" xfId="0" applyNumberFormat="1" applyFill="1" applyBorder="1"/>
    <xf numFmtId="0" fontId="10" fillId="0" borderId="0" xfId="14" applyFont="1" applyAlignment="1">
      <alignment horizontal="left" indent="1"/>
    </xf>
    <xf numFmtId="0" fontId="10" fillId="5" borderId="0" xfId="14" applyFont="1" applyFill="1"/>
    <xf numFmtId="1" fontId="10" fillId="5" borderId="0" xfId="15" applyNumberFormat="1" applyFont="1" applyFill="1"/>
    <xf numFmtId="169" fontId="10" fillId="5" borderId="0" xfId="15" applyNumberFormat="1" applyFont="1" applyFill="1"/>
    <xf numFmtId="169" fontId="10" fillId="5" borderId="0" xfId="15" applyNumberFormat="1" applyFont="1" applyFill="1" applyAlignment="1">
      <alignment horizontal="right"/>
    </xf>
    <xf numFmtId="37" fontId="10" fillId="2" borderId="0" xfId="14" applyNumberFormat="1" applyFont="1" applyFill="1" applyBorder="1"/>
    <xf numFmtId="37" fontId="4" fillId="5" borderId="1" xfId="9" applyNumberFormat="1" applyFill="1" applyBorder="1"/>
    <xf numFmtId="37" fontId="4" fillId="5" borderId="0" xfId="9" applyNumberFormat="1" applyFill="1" applyBorder="1"/>
    <xf numFmtId="37" fontId="4" fillId="5" borderId="2" xfId="9" applyNumberFormat="1" applyFill="1" applyBorder="1"/>
    <xf numFmtId="37" fontId="4" fillId="4" borderId="0" xfId="6" applyNumberFormat="1" applyFill="1"/>
    <xf numFmtId="37" fontId="4" fillId="4" borderId="2" xfId="6" applyNumberFormat="1" applyFill="1" applyBorder="1"/>
    <xf numFmtId="37" fontId="4" fillId="4" borderId="1" xfId="6" applyNumberFormat="1" applyFill="1" applyBorder="1"/>
    <xf numFmtId="37" fontId="10" fillId="2" borderId="2" xfId="8" applyNumberFormat="1" applyFont="1" applyFill="1" applyBorder="1"/>
    <xf numFmtId="37" fontId="4" fillId="4" borderId="1" xfId="10" applyNumberFormat="1" applyFill="1" applyBorder="1"/>
    <xf numFmtId="37" fontId="4" fillId="0" borderId="0" xfId="4" applyNumberFormat="1"/>
    <xf numFmtId="0" fontId="37" fillId="0" borderId="0" xfId="8" applyFont="1" applyBorder="1" applyAlignment="1">
      <alignment horizontal="center"/>
    </xf>
    <xf numFmtId="37" fontId="39" fillId="2" borderId="0" xfId="8" applyNumberFormat="1" applyFont="1" applyFill="1"/>
    <xf numFmtId="167" fontId="10" fillId="0" borderId="0" xfId="14" applyNumberFormat="1" applyFont="1"/>
    <xf numFmtId="37" fontId="4" fillId="2" borderId="0" xfId="4" applyNumberFormat="1" applyFill="1"/>
    <xf numFmtId="37" fontId="4" fillId="3" borderId="0" xfId="4" applyNumberFormat="1" applyFill="1"/>
    <xf numFmtId="37" fontId="4" fillId="2" borderId="0" xfId="4" applyNumberFormat="1" applyFont="1" applyFill="1"/>
    <xf numFmtId="37" fontId="10" fillId="4" borderId="1" xfId="11" applyNumberFormat="1" applyFont="1" applyFill="1" applyBorder="1"/>
    <xf numFmtId="37" fontId="10" fillId="0" borderId="0" xfId="10" applyNumberFormat="1" applyFont="1" applyFill="1"/>
    <xf numFmtId="37" fontId="10" fillId="0" borderId="0" xfId="1" applyNumberFormat="1" applyFont="1" applyFill="1"/>
    <xf numFmtId="9" fontId="10" fillId="4" borderId="0" xfId="5" applyNumberFormat="1" applyFont="1" applyFill="1" applyAlignment="1">
      <alignment horizontal="center"/>
    </xf>
    <xf numFmtId="9" fontId="10" fillId="4" borderId="0" xfId="9" applyNumberFormat="1" applyFont="1" applyFill="1" applyAlignment="1">
      <alignment horizontal="center"/>
    </xf>
    <xf numFmtId="164" fontId="10" fillId="0" borderId="0" xfId="9" applyNumberFormat="1" applyFont="1" applyFill="1"/>
    <xf numFmtId="37" fontId="10" fillId="5" borderId="4" xfId="5" applyNumberFormat="1" applyFont="1" applyFill="1" applyBorder="1"/>
    <xf numFmtId="37" fontId="10" fillId="5" borderId="4" xfId="9" applyNumberFormat="1" applyFont="1" applyFill="1" applyBorder="1"/>
    <xf numFmtId="37" fontId="10" fillId="3" borderId="4" xfId="12" applyNumberFormat="1" applyFont="1" applyFill="1" applyBorder="1"/>
    <xf numFmtId="37" fontId="10" fillId="5" borderId="4" xfId="10" applyNumberFormat="1" applyFont="1" applyFill="1" applyBorder="1"/>
    <xf numFmtId="37" fontId="10" fillId="5" borderId="2" xfId="15" applyNumberFormat="1" applyFont="1" applyFill="1" applyBorder="1"/>
    <xf numFmtId="0" fontId="15" fillId="0" borderId="0" xfId="8" applyFont="1" applyFill="1" applyAlignment="1">
      <alignment horizontal="right"/>
    </xf>
    <xf numFmtId="0" fontId="13" fillId="0" borderId="0" xfId="8" quotePrefix="1" applyFont="1" applyFill="1" applyAlignment="1">
      <alignment horizontal="center"/>
    </xf>
    <xf numFmtId="0" fontId="4" fillId="0" borderId="0" xfId="8" applyFill="1"/>
    <xf numFmtId="164" fontId="10" fillId="0" borderId="0" xfId="8" applyNumberFormat="1" applyFont="1" applyFill="1"/>
    <xf numFmtId="164" fontId="10" fillId="0" borderId="0" xfId="8" applyNumberFormat="1" applyFont="1" applyFill="1" applyBorder="1"/>
    <xf numFmtId="37" fontId="10" fillId="2" borderId="0" xfId="9" applyNumberFormat="1" applyFont="1" applyFill="1" applyBorder="1"/>
    <xf numFmtId="0" fontId="15" fillId="0" borderId="0" xfId="14" applyFont="1" applyFill="1" applyAlignment="1">
      <alignment horizontal="right"/>
    </xf>
    <xf numFmtId="0" fontId="13" fillId="0" borderId="0" xfId="14" quotePrefix="1" applyFont="1" applyFill="1" applyAlignment="1">
      <alignment horizontal="center"/>
    </xf>
    <xf numFmtId="0" fontId="10" fillId="0" borderId="0" xfId="14" applyFont="1" applyFill="1"/>
    <xf numFmtId="165" fontId="10" fillId="0" borderId="0" xfId="14" applyNumberFormat="1" applyFont="1" applyFill="1"/>
    <xf numFmtId="165" fontId="10" fillId="0" borderId="0" xfId="15" applyNumberFormat="1" applyFont="1" applyFill="1"/>
    <xf numFmtId="1" fontId="10" fillId="0" borderId="0" xfId="15" applyNumberFormat="1" applyFont="1" applyFill="1"/>
    <xf numFmtId="164" fontId="10" fillId="0" borderId="0" xfId="15" applyNumberFormat="1" applyFont="1" applyFill="1" applyAlignment="1">
      <alignment horizontal="right"/>
    </xf>
    <xf numFmtId="0" fontId="4" fillId="4" borderId="0" xfId="5" applyFill="1"/>
    <xf numFmtId="37" fontId="10" fillId="7" borderId="0" xfId="8" applyNumberFormat="1" applyFont="1" applyFill="1"/>
    <xf numFmtId="37" fontId="22" fillId="7" borderId="0" xfId="8" applyNumberFormat="1" applyFont="1" applyFill="1" applyAlignment="1">
      <alignment horizontal="center"/>
    </xf>
    <xf numFmtId="0" fontId="4" fillId="7" borderId="0" xfId="8" applyFill="1"/>
    <xf numFmtId="37" fontId="31" fillId="7" borderId="0" xfId="8" applyNumberFormat="1" applyFont="1" applyFill="1" applyAlignment="1">
      <alignment horizontal="center"/>
    </xf>
    <xf numFmtId="37" fontId="22" fillId="7" borderId="0" xfId="8" applyNumberFormat="1" applyFont="1" applyFill="1" applyAlignment="1">
      <alignment horizontal="left"/>
    </xf>
    <xf numFmtId="37" fontId="21" fillId="7" borderId="0" xfId="8" applyNumberFormat="1" applyFont="1" applyFill="1" applyAlignment="1">
      <alignment horizontal="center"/>
    </xf>
    <xf numFmtId="37" fontId="10" fillId="7" borderId="0" xfId="8" applyNumberFormat="1" applyFont="1" applyFill="1" applyAlignment="1">
      <alignment horizontal="left"/>
    </xf>
    <xf numFmtId="37" fontId="10" fillId="7" borderId="0" xfId="8" applyNumberFormat="1" applyFont="1" applyFill="1" applyBorder="1"/>
    <xf numFmtId="37" fontId="10" fillId="7" borderId="0" xfId="8" applyNumberFormat="1" applyFont="1" applyFill="1" applyAlignment="1">
      <alignment horizontal="left" indent="1"/>
    </xf>
    <xf numFmtId="0" fontId="15" fillId="0" borderId="0" xfId="0" applyFont="1" applyFill="1" applyAlignment="1">
      <alignment horizontal="center"/>
    </xf>
    <xf numFmtId="2" fontId="10" fillId="0" borderId="0" xfId="0" applyNumberFormat="1" applyFont="1" applyFill="1"/>
    <xf numFmtId="165" fontId="10" fillId="0" borderId="0" xfId="0" applyNumberFormat="1" applyFont="1" applyFill="1"/>
    <xf numFmtId="164" fontId="10" fillId="0" borderId="0" xfId="0" applyNumberFormat="1" applyFont="1" applyFill="1"/>
    <xf numFmtId="37" fontId="4" fillId="0" borderId="0" xfId="10" applyNumberFormat="1" applyFill="1"/>
    <xf numFmtId="0" fontId="4" fillId="0" borderId="1" xfId="10" applyFill="1" applyBorder="1"/>
    <xf numFmtId="37" fontId="4" fillId="0" borderId="0" xfId="10" applyNumberFormat="1" applyFill="1" applyBorder="1"/>
    <xf numFmtId="37" fontId="4" fillId="0" borderId="1" xfId="10" applyNumberFormat="1" applyFill="1" applyBorder="1"/>
    <xf numFmtId="37" fontId="10" fillId="0" borderId="0" xfId="4" applyNumberFormat="1" applyFont="1" applyFill="1" applyBorder="1"/>
    <xf numFmtId="37" fontId="4" fillId="2" borderId="1" xfId="4" applyNumberFormat="1" applyFill="1" applyBorder="1"/>
    <xf numFmtId="37" fontId="4" fillId="3" borderId="1" xfId="4" applyNumberFormat="1" applyFill="1" applyBorder="1"/>
    <xf numFmtId="37" fontId="39" fillId="2" borderId="1" xfId="8" applyNumberFormat="1" applyFont="1" applyFill="1" applyBorder="1"/>
    <xf numFmtId="37" fontId="4" fillId="0" borderId="0" xfId="4" applyNumberFormat="1" applyFill="1"/>
    <xf numFmtId="0" fontId="14" fillId="0" borderId="0" xfId="7" applyFont="1" applyAlignment="1">
      <alignment horizontal="left"/>
    </xf>
    <xf numFmtId="6" fontId="10" fillId="0" borderId="0" xfId="2" applyNumberFormat="1" applyFont="1" applyFill="1" applyBorder="1"/>
    <xf numFmtId="37" fontId="10" fillId="5" borderId="4" xfId="2" applyNumberFormat="1" applyFont="1" applyFill="1" applyBorder="1"/>
    <xf numFmtId="37" fontId="21" fillId="4" borderId="0" xfId="11" applyNumberFormat="1" applyFont="1" applyFill="1"/>
    <xf numFmtId="0" fontId="10" fillId="0" borderId="0" xfId="0" applyFont="1" applyAlignment="1">
      <alignment horizontal="center"/>
    </xf>
    <xf numFmtId="0" fontId="20" fillId="0" borderId="0" xfId="0" applyFont="1" applyAlignment="1">
      <alignment horizontal="center"/>
    </xf>
    <xf numFmtId="0" fontId="0" fillId="0" borderId="0" xfId="0" applyAlignment="1">
      <alignment horizontal="center"/>
    </xf>
    <xf numFmtId="0" fontId="3" fillId="0" borderId="0" xfId="0" applyFont="1"/>
    <xf numFmtId="0" fontId="0" fillId="0" borderId="1" xfId="0" applyBorder="1" applyAlignment="1">
      <alignment horizontal="center"/>
    </xf>
    <xf numFmtId="0" fontId="24" fillId="4" borderId="0" xfId="0" applyFont="1" applyFill="1" applyAlignment="1" applyProtection="1">
      <alignment horizontal="center"/>
      <protection locked="0"/>
    </xf>
    <xf numFmtId="0" fontId="3" fillId="0" borderId="0" xfId="0" applyFont="1" applyAlignment="1">
      <alignment horizontal="center"/>
    </xf>
    <xf numFmtId="0" fontId="24" fillId="0" borderId="0" xfId="0" applyFont="1" applyFill="1" applyAlignment="1">
      <alignment horizontal="center"/>
    </xf>
    <xf numFmtId="0" fontId="14" fillId="0" borderId="1" xfId="0" applyFont="1" applyFill="1" applyBorder="1" applyAlignment="1">
      <alignment horizontal="center"/>
    </xf>
    <xf numFmtId="0" fontId="1" fillId="0" borderId="1" xfId="0" applyFont="1" applyBorder="1" applyAlignment="1">
      <alignment horizontal="center"/>
    </xf>
    <xf numFmtId="0" fontId="40" fillId="0" borderId="1" xfId="0" applyFont="1" applyBorder="1" applyAlignment="1">
      <alignment horizontal="center"/>
    </xf>
    <xf numFmtId="37" fontId="0" fillId="0" borderId="0" xfId="0" applyNumberFormat="1" applyFill="1" applyBorder="1" applyAlignment="1">
      <alignment horizontal="center"/>
    </xf>
    <xf numFmtId="9" fontId="24" fillId="4" borderId="0" xfId="15" applyFont="1" applyFill="1" applyAlignment="1" applyProtection="1">
      <alignment horizontal="center"/>
      <protection locked="0"/>
    </xf>
    <xf numFmtId="6" fontId="24" fillId="4" borderId="0" xfId="2" applyNumberFormat="1" applyFont="1" applyFill="1" applyAlignment="1" applyProtection="1">
      <alignment horizontal="center"/>
      <protection locked="0"/>
    </xf>
    <xf numFmtId="37" fontId="0" fillId="0" borderId="0" xfId="0" applyNumberFormat="1" applyBorder="1" applyAlignment="1">
      <alignment horizontal="center"/>
    </xf>
    <xf numFmtId="0" fontId="3" fillId="0" borderId="0" xfId="0" applyFont="1" applyFill="1" applyAlignment="1">
      <alignment horizontal="right"/>
    </xf>
    <xf numFmtId="6" fontId="0" fillId="0" borderId="0" xfId="2" applyNumberFormat="1" applyFont="1" applyFill="1" applyAlignment="1">
      <alignment horizontal="center"/>
    </xf>
    <xf numFmtId="37" fontId="0" fillId="0" borderId="0" xfId="0" applyNumberFormat="1" applyFill="1" applyBorder="1"/>
    <xf numFmtId="164" fontId="24" fillId="4" borderId="0" xfId="15" applyNumberFormat="1" applyFont="1" applyFill="1" applyAlignment="1" applyProtection="1">
      <alignment horizontal="center"/>
      <protection locked="0"/>
    </xf>
    <xf numFmtId="0" fontId="7" fillId="0" borderId="0" xfId="0" applyFont="1" applyAlignment="1">
      <alignment horizontal="left"/>
    </xf>
    <xf numFmtId="0" fontId="3" fillId="0" borderId="0" xfId="0" applyFont="1" applyFill="1" applyAlignment="1">
      <alignment horizontal="left"/>
    </xf>
    <xf numFmtId="0" fontId="42" fillId="0" borderId="0" xfId="0" applyFont="1" applyFill="1" applyAlignment="1">
      <alignment horizontal="left" indent="1"/>
    </xf>
    <xf numFmtId="0" fontId="7" fillId="0" borderId="0" xfId="0" applyFont="1" applyAlignment="1">
      <alignment horizontal="left" indent="1"/>
    </xf>
    <xf numFmtId="0" fontId="42" fillId="0" borderId="0" xfId="0" applyFont="1" applyAlignment="1">
      <alignment horizontal="left" indent="1"/>
    </xf>
    <xf numFmtId="0" fontId="1" fillId="0" borderId="0" xfId="0" applyFont="1" applyFill="1" applyAlignment="1">
      <alignment horizontal="left" indent="1"/>
    </xf>
    <xf numFmtId="0" fontId="18" fillId="0" borderId="0" xfId="0" applyFont="1"/>
    <xf numFmtId="37" fontId="24" fillId="4" borderId="0" xfId="0" applyNumberFormat="1" applyFont="1" applyFill="1" applyBorder="1" applyProtection="1">
      <protection locked="0"/>
    </xf>
    <xf numFmtId="0" fontId="10" fillId="0" borderId="0" xfId="0" applyFont="1" applyAlignment="1">
      <alignment horizontal="right"/>
    </xf>
    <xf numFmtId="37" fontId="10" fillId="0" borderId="0" xfId="0" applyNumberFormat="1" applyFont="1" applyBorder="1" applyAlignment="1">
      <alignment horizontal="center"/>
    </xf>
    <xf numFmtId="37" fontId="10" fillId="0" borderId="0" xfId="0" applyNumberFormat="1" applyFont="1" applyBorder="1"/>
    <xf numFmtId="0" fontId="10" fillId="0" borderId="0" xfId="0" applyFont="1" applyFill="1" applyAlignment="1">
      <alignment horizontal="right"/>
    </xf>
    <xf numFmtId="6" fontId="10" fillId="0" borderId="0" xfId="2" applyNumberFormat="1" applyFont="1" applyFill="1" applyAlignment="1">
      <alignment horizontal="center"/>
    </xf>
    <xf numFmtId="37" fontId="10" fillId="0" borderId="0" xfId="0" applyNumberFormat="1" applyFont="1" applyFill="1" applyBorder="1" applyAlignment="1">
      <alignment horizontal="center"/>
    </xf>
    <xf numFmtId="37" fontId="10" fillId="0" borderId="0" xfId="0" applyNumberFormat="1" applyFont="1" applyFill="1" applyBorder="1"/>
    <xf numFmtId="0" fontId="10" fillId="0" borderId="0" xfId="0" applyFont="1" applyFill="1" applyAlignment="1">
      <alignment horizontal="center"/>
    </xf>
    <xf numFmtId="6" fontId="10" fillId="0" borderId="0" xfId="0" applyNumberFormat="1" applyFont="1" applyAlignment="1">
      <alignment horizontal="center"/>
    </xf>
    <xf numFmtId="0" fontId="14" fillId="0" borderId="1" xfId="0" applyFont="1" applyFill="1" applyBorder="1" applyAlignment="1">
      <alignment horizontal="center" wrapText="1"/>
    </xf>
    <xf numFmtId="0" fontId="10" fillId="0" borderId="1" xfId="0" applyFont="1" applyBorder="1" applyAlignment="1">
      <alignment horizontal="center"/>
    </xf>
    <xf numFmtId="0" fontId="10" fillId="0" borderId="1" xfId="0" applyFont="1" applyFill="1" applyBorder="1" applyAlignment="1">
      <alignment horizontal="center"/>
    </xf>
    <xf numFmtId="0" fontId="17" fillId="0" borderId="1" xfId="0" applyFont="1" applyBorder="1" applyAlignment="1">
      <alignment horizontal="center"/>
    </xf>
    <xf numFmtId="0" fontId="14" fillId="0" borderId="0" xfId="0" applyFont="1" applyAlignment="1">
      <alignment horizontal="center"/>
    </xf>
    <xf numFmtId="6" fontId="14" fillId="0" borderId="0" xfId="2" applyNumberFormat="1" applyFont="1" applyAlignment="1">
      <alignment horizontal="center"/>
    </xf>
    <xf numFmtId="164" fontId="10" fillId="0" borderId="0" xfId="15" applyNumberFormat="1" applyFont="1" applyAlignment="1">
      <alignment horizontal="center"/>
    </xf>
    <xf numFmtId="6" fontId="10" fillId="0" borderId="0" xfId="2" applyNumberFormat="1" applyFont="1" applyAlignment="1">
      <alignment horizontal="center"/>
    </xf>
    <xf numFmtId="9" fontId="10" fillId="0" borderId="0" xfId="15" applyFont="1" applyAlignment="1">
      <alignment horizontal="center"/>
    </xf>
    <xf numFmtId="9" fontId="10" fillId="0" borderId="0" xfId="0" applyNumberFormat="1" applyFont="1" applyAlignment="1">
      <alignment horizontal="center"/>
    </xf>
    <xf numFmtId="6" fontId="10" fillId="0" borderId="0" xfId="0" applyNumberFormat="1" applyFont="1"/>
    <xf numFmtId="6" fontId="10" fillId="0" borderId="0" xfId="2" applyNumberFormat="1" applyFont="1"/>
    <xf numFmtId="0" fontId="14" fillId="0" borderId="0" xfId="0" applyFont="1" applyAlignment="1">
      <alignment horizontal="right"/>
    </xf>
    <xf numFmtId="0" fontId="14" fillId="0" borderId="1" xfId="0" applyFont="1" applyBorder="1" applyAlignment="1">
      <alignment horizontal="center"/>
    </xf>
    <xf numFmtId="0" fontId="14" fillId="0" borderId="0" xfId="0" applyFont="1" applyAlignment="1">
      <alignment horizontal="left"/>
    </xf>
    <xf numFmtId="0" fontId="1" fillId="0" borderId="0" xfId="0" applyFont="1" applyFill="1" applyBorder="1" applyAlignment="1">
      <alignment horizontal="left"/>
    </xf>
    <xf numFmtId="0" fontId="14" fillId="0" borderId="0" xfId="0" applyFont="1" applyBorder="1" applyAlignment="1">
      <alignment horizontal="left"/>
    </xf>
    <xf numFmtId="0" fontId="3" fillId="0" borderId="0" xfId="0" applyFont="1" applyFill="1" applyAlignment="1">
      <alignment horizontal="left" indent="1"/>
    </xf>
    <xf numFmtId="5" fontId="24" fillId="4" borderId="0" xfId="2" applyNumberFormat="1" applyFont="1" applyFill="1" applyAlignment="1" applyProtection="1">
      <alignment horizontal="center"/>
      <protection locked="0"/>
    </xf>
    <xf numFmtId="0" fontId="14" fillId="0" borderId="1" xfId="0" applyFont="1" applyFill="1" applyBorder="1" applyAlignment="1">
      <alignment horizontal="left"/>
    </xf>
    <xf numFmtId="5" fontId="14" fillId="3" borderId="0" xfId="2" applyNumberFormat="1" applyFont="1" applyFill="1" applyAlignment="1">
      <alignment horizontal="center"/>
    </xf>
    <xf numFmtId="6" fontId="14" fillId="3" borderId="0" xfId="2" applyNumberFormat="1" applyFont="1" applyFill="1" applyAlignment="1">
      <alignment horizontal="center"/>
    </xf>
    <xf numFmtId="164" fontId="10" fillId="3" borderId="0" xfId="15" applyNumberFormat="1" applyFont="1" applyFill="1" applyAlignment="1">
      <alignment horizontal="center"/>
    </xf>
    <xf numFmtId="6" fontId="10" fillId="3" borderId="0" xfId="2" applyNumberFormat="1" applyFont="1" applyFill="1" applyAlignment="1">
      <alignment horizontal="center"/>
    </xf>
    <xf numFmtId="9" fontId="10" fillId="3" borderId="0" xfId="15" applyFont="1" applyFill="1" applyAlignment="1">
      <alignment horizontal="center"/>
    </xf>
    <xf numFmtId="9" fontId="10" fillId="3" borderId="0" xfId="0" applyNumberFormat="1" applyFont="1" applyFill="1" applyAlignment="1">
      <alignment horizontal="center"/>
    </xf>
    <xf numFmtId="0" fontId="10" fillId="0" borderId="5" xfId="0" applyFont="1" applyFill="1" applyBorder="1" applyAlignment="1">
      <alignment horizontal="center"/>
    </xf>
    <xf numFmtId="0" fontId="10" fillId="0" borderId="5" xfId="0" applyFont="1" applyFill="1" applyBorder="1"/>
    <xf numFmtId="0" fontId="14" fillId="0" borderId="5" xfId="0" applyFont="1" applyFill="1" applyBorder="1"/>
    <xf numFmtId="0" fontId="10" fillId="0" borderId="0" xfId="0" applyFont="1" applyFill="1" applyAlignment="1" applyProtection="1">
      <alignment horizontal="center"/>
      <protection locked="0"/>
    </xf>
    <xf numFmtId="0" fontId="4" fillId="0" borderId="0" xfId="4" applyFont="1"/>
    <xf numFmtId="0" fontId="31" fillId="4" borderId="0" xfId="5" applyFont="1" applyFill="1"/>
    <xf numFmtId="0" fontId="10" fillId="0" borderId="1" xfId="0" applyFont="1" applyBorder="1" applyAlignment="1">
      <alignment horizontal="right"/>
    </xf>
    <xf numFmtId="10" fontId="0" fillId="3" borderId="0" xfId="15" applyNumberFormat="1" applyFont="1" applyFill="1" applyAlignment="1">
      <alignment horizontal="center"/>
    </xf>
    <xf numFmtId="1" fontId="0" fillId="3" borderId="0" xfId="15" applyNumberFormat="1" applyFont="1" applyFill="1" applyAlignment="1">
      <alignment horizontal="center"/>
    </xf>
    <xf numFmtId="6" fontId="0" fillId="3" borderId="0" xfId="2" applyNumberFormat="1" applyFont="1" applyFill="1" applyAlignment="1">
      <alignment horizontal="center"/>
    </xf>
    <xf numFmtId="164" fontId="41" fillId="3" borderId="0" xfId="15" applyNumberFormat="1" applyFont="1" applyFill="1" applyAlignment="1">
      <alignment horizontal="center"/>
    </xf>
    <xf numFmtId="9" fontId="0" fillId="3" borderId="0" xfId="15" applyFont="1" applyFill="1" applyAlignment="1">
      <alignment horizontal="center"/>
    </xf>
    <xf numFmtId="164" fontId="41" fillId="3" borderId="0" xfId="2" applyNumberFormat="1" applyFont="1" applyFill="1" applyAlignment="1">
      <alignment horizontal="center"/>
    </xf>
    <xf numFmtId="6" fontId="41" fillId="3" borderId="6" xfId="2" applyNumberFormat="1" applyFont="1" applyFill="1" applyBorder="1" applyAlignment="1">
      <alignment horizontal="center"/>
    </xf>
    <xf numFmtId="37" fontId="20" fillId="2" borderId="0" xfId="14" applyNumberFormat="1" applyFont="1" applyFill="1" applyAlignment="1">
      <alignment horizontal="center"/>
    </xf>
    <xf numFmtId="0" fontId="4" fillId="0" borderId="0" xfId="11" applyFont="1"/>
    <xf numFmtId="0" fontId="10" fillId="0" borderId="0" xfId="11" applyFont="1" applyAlignment="1">
      <alignment horizontal="left"/>
    </xf>
    <xf numFmtId="0" fontId="10" fillId="0" borderId="0" xfId="5" applyFont="1" applyAlignment="1">
      <alignment horizontal="left" indent="1"/>
    </xf>
    <xf numFmtId="0" fontId="10" fillId="0" borderId="0" xfId="5" applyFont="1" applyAlignment="1">
      <alignment horizontal="left"/>
    </xf>
    <xf numFmtId="0" fontId="10" fillId="0" borderId="0" xfId="9" applyFont="1" applyAlignment="1">
      <alignment horizontal="left"/>
    </xf>
    <xf numFmtId="37" fontId="10" fillId="3" borderId="0" xfId="11" applyNumberFormat="1" applyFont="1" applyFill="1"/>
    <xf numFmtId="38" fontId="10" fillId="4" borderId="0" xfId="5" applyNumberFormat="1" applyFont="1" applyFill="1"/>
    <xf numFmtId="38" fontId="10" fillId="4" borderId="1" xfId="5" applyNumberFormat="1" applyFont="1" applyFill="1" applyBorder="1"/>
    <xf numFmtId="0" fontId="14" fillId="0" borderId="0" xfId="10" applyFont="1" applyAlignment="1">
      <alignment horizontal="center"/>
    </xf>
    <xf numFmtId="37" fontId="14" fillId="0" borderId="0" xfId="9" applyNumberFormat="1" applyFont="1" applyFill="1" applyAlignment="1">
      <alignment horizontal="center"/>
    </xf>
    <xf numFmtId="38" fontId="10" fillId="5" borderId="0" xfId="5" applyNumberFormat="1" applyFont="1" applyFill="1"/>
    <xf numFmtId="170" fontId="10" fillId="3" borderId="0" xfId="0" applyNumberFormat="1" applyFont="1" applyFill="1"/>
    <xf numFmtId="37" fontId="0" fillId="0" borderId="0" xfId="0" applyNumberFormat="1" applyAlignment="1"/>
    <xf numFmtId="38" fontId="0" fillId="0" borderId="0" xfId="1" applyNumberFormat="1" applyFont="1"/>
    <xf numFmtId="37" fontId="10" fillId="3" borderId="0" xfId="7" applyNumberFormat="1" applyFont="1" applyFill="1"/>
    <xf numFmtId="0" fontId="0" fillId="0" borderId="0" xfId="0" applyBorder="1"/>
    <xf numFmtId="0" fontId="0" fillId="0" borderId="0" xfId="0" applyFill="1" applyBorder="1" applyAlignment="1"/>
    <xf numFmtId="0" fontId="11" fillId="0" borderId="0" xfId="0" applyFont="1" applyFill="1" applyBorder="1"/>
    <xf numFmtId="0" fontId="19" fillId="0" borderId="0" xfId="0" applyFont="1" applyFill="1" applyBorder="1" applyAlignment="1">
      <alignment horizontal="center"/>
    </xf>
    <xf numFmtId="0" fontId="0" fillId="0" borderId="0" xfId="0" applyFill="1" applyBorder="1"/>
    <xf numFmtId="0" fontId="23" fillId="0" borderId="0" xfId="0" applyFont="1" applyFill="1" applyBorder="1" applyAlignment="1">
      <alignment horizontal="center"/>
    </xf>
    <xf numFmtId="0" fontId="25" fillId="0" borderId="0" xfId="0" applyFont="1" applyFill="1" applyAlignment="1">
      <alignment horizontal="center"/>
    </xf>
    <xf numFmtId="0" fontId="26" fillId="0" borderId="0" xfId="0" applyFont="1" applyFill="1" applyAlignment="1">
      <alignment horizontal="center"/>
    </xf>
    <xf numFmtId="37" fontId="4" fillId="5" borderId="3" xfId="9" applyNumberFormat="1" applyFill="1" applyBorder="1"/>
    <xf numFmtId="37" fontId="4" fillId="0" borderId="0" xfId="9" applyNumberFormat="1" applyFill="1"/>
    <xf numFmtId="37" fontId="14" fillId="7" borderId="0" xfId="8" applyNumberFormat="1" applyFont="1" applyFill="1" applyAlignment="1">
      <alignment horizontal="left"/>
    </xf>
    <xf numFmtId="164" fontId="0" fillId="2" borderId="0" xfId="0" applyNumberFormat="1" applyFill="1"/>
    <xf numFmtId="168" fontId="0" fillId="2" borderId="0" xfId="0" applyNumberFormat="1" applyFill="1"/>
    <xf numFmtId="170" fontId="0" fillId="2" borderId="0" xfId="0" applyNumberFormat="1" applyFill="1"/>
    <xf numFmtId="0" fontId="15" fillId="0" borderId="0" xfId="3" applyFont="1" applyFill="1" applyAlignment="1">
      <alignment horizontal="right"/>
    </xf>
    <xf numFmtId="164" fontId="0" fillId="2" borderId="0" xfId="0" applyNumberFormat="1" applyFill="1" applyAlignment="1">
      <alignment horizontal="right"/>
    </xf>
    <xf numFmtId="3" fontId="10" fillId="0" borderId="0" xfId="13" applyNumberFormat="1" applyFont="1" applyFill="1" applyBorder="1"/>
    <xf numFmtId="37" fontId="10" fillId="5" borderId="0" xfId="13" applyNumberFormat="1" applyFont="1" applyFill="1"/>
    <xf numFmtId="0" fontId="10" fillId="5" borderId="0" xfId="7" applyFont="1" applyFill="1"/>
    <xf numFmtId="0" fontId="3" fillId="0" borderId="0" xfId="0" applyFont="1" applyFill="1" applyBorder="1"/>
    <xf numFmtId="0" fontId="44" fillId="0" borderId="0" xfId="0" applyFont="1" applyFill="1" applyBorder="1" applyAlignment="1">
      <alignment horizontal="center"/>
    </xf>
    <xf numFmtId="0" fontId="45" fillId="0" borderId="0" xfId="0" applyFont="1" applyFill="1" applyBorder="1"/>
    <xf numFmtId="0" fontId="47" fillId="0" borderId="0" xfId="0" applyFont="1" applyFill="1" applyBorder="1"/>
    <xf numFmtId="0" fontId="14" fillId="0" borderId="0" xfId="0" applyFont="1" applyFill="1" applyBorder="1" applyAlignment="1">
      <alignment horizontal="center"/>
    </xf>
    <xf numFmtId="0" fontId="42" fillId="0" borderId="0" xfId="0" applyFont="1" applyFill="1" applyBorder="1"/>
    <xf numFmtId="0" fontId="48" fillId="0" borderId="0" xfId="0" applyFont="1" applyFill="1" applyBorder="1" applyAlignment="1">
      <alignment horizontal="center"/>
    </xf>
    <xf numFmtId="0" fontId="49" fillId="0" borderId="0" xfId="0" applyFont="1" applyFill="1" applyBorder="1"/>
    <xf numFmtId="0" fontId="43" fillId="0" borderId="0" xfId="0" applyFont="1" applyFill="1" applyBorder="1" applyAlignment="1">
      <alignment horizontal="center"/>
    </xf>
    <xf numFmtId="0" fontId="22" fillId="0" borderId="0" xfId="0" applyFont="1" applyFill="1" applyBorder="1" applyAlignment="1">
      <alignment horizontal="center"/>
    </xf>
    <xf numFmtId="0" fontId="46" fillId="0" borderId="0" xfId="0" applyFont="1" applyFill="1" applyBorder="1" applyAlignment="1">
      <alignment horizontal="center"/>
    </xf>
    <xf numFmtId="0" fontId="14" fillId="0" borderId="0" xfId="7" applyFont="1" applyAlignment="1">
      <alignment horizontal="left" indent="1"/>
    </xf>
    <xf numFmtId="164" fontId="0" fillId="3" borderId="0" xfId="0" applyNumberFormat="1" applyFill="1" applyAlignment="1">
      <alignment horizontal="right"/>
    </xf>
    <xf numFmtId="0" fontId="27" fillId="2" borderId="0" xfId="11" applyFont="1" applyFill="1"/>
    <xf numFmtId="0" fontId="31" fillId="2" borderId="0" xfId="0" applyFont="1" applyFill="1" applyBorder="1" applyProtection="1">
      <protection locked="0"/>
    </xf>
    <xf numFmtId="0" fontId="31" fillId="2" borderId="0" xfId="0" applyFont="1" applyFill="1" applyProtection="1">
      <protection locked="0"/>
    </xf>
    <xf numFmtId="37" fontId="10" fillId="4" borderId="0" xfId="15" applyNumberFormat="1" applyFont="1" applyFill="1"/>
    <xf numFmtId="0" fontId="4" fillId="0" borderId="0" xfId="9" applyFont="1" applyAlignment="1">
      <alignment horizontal="left" indent="2"/>
    </xf>
    <xf numFmtId="37" fontId="10" fillId="4" borderId="0" xfId="1" applyNumberFormat="1" applyFont="1" applyFill="1" applyBorder="1"/>
    <xf numFmtId="0" fontId="10" fillId="0" borderId="0" xfId="9" applyFont="1" applyAlignment="1">
      <alignment horizontal="left" indent="3"/>
    </xf>
    <xf numFmtId="0" fontId="4" fillId="0" borderId="0" xfId="12" applyFont="1" applyAlignment="1">
      <alignment horizontal="left" indent="2"/>
    </xf>
    <xf numFmtId="164" fontId="0" fillId="4" borderId="0" xfId="0" applyNumberFormat="1" applyFill="1"/>
    <xf numFmtId="0" fontId="10" fillId="4" borderId="0" xfId="5" applyFont="1" applyFill="1"/>
    <xf numFmtId="3" fontId="10" fillId="4" borderId="0" xfId="5" applyNumberFormat="1" applyFont="1" applyFill="1"/>
    <xf numFmtId="0" fontId="10" fillId="0" borderId="0" xfId="5" applyFont="1" applyAlignment="1">
      <alignment horizontal="left" indent="2"/>
    </xf>
    <xf numFmtId="37" fontId="10" fillId="4" borderId="0" xfId="5" applyNumberFormat="1" applyFont="1" applyFill="1"/>
    <xf numFmtId="0" fontId="35" fillId="0" borderId="0" xfId="12" applyFont="1" applyAlignment="1">
      <alignment horizontal="left" indent="1"/>
    </xf>
    <xf numFmtId="0" fontId="39" fillId="0" borderId="0" xfId="12" applyFont="1" applyAlignment="1">
      <alignment horizontal="left" indent="2"/>
    </xf>
    <xf numFmtId="0" fontId="39" fillId="0" borderId="0" xfId="12" applyFont="1" applyAlignment="1">
      <alignment horizontal="left" indent="3"/>
    </xf>
    <xf numFmtId="0" fontId="4" fillId="0" borderId="0" xfId="12" applyFont="1" applyAlignment="1">
      <alignment horizontal="left" indent="3"/>
    </xf>
    <xf numFmtId="37" fontId="10" fillId="3" borderId="0" xfId="1" applyNumberFormat="1" applyFont="1" applyFill="1" applyBorder="1"/>
    <xf numFmtId="37" fontId="4" fillId="3" borderId="0" xfId="12" applyNumberFormat="1" applyFill="1"/>
    <xf numFmtId="37" fontId="10" fillId="0" borderId="0" xfId="1" applyNumberFormat="1" applyFont="1" applyFill="1" applyBorder="1"/>
    <xf numFmtId="2" fontId="10" fillId="4" borderId="0" xfId="5" applyNumberFormat="1" applyFont="1" applyFill="1"/>
    <xf numFmtId="0" fontId="4" fillId="0" borderId="0" xfId="5" applyFont="1" applyAlignment="1">
      <alignment horizontal="left" indent="1"/>
    </xf>
    <xf numFmtId="0" fontId="10" fillId="0" borderId="0" xfId="5" applyFont="1" applyFill="1" applyAlignment="1">
      <alignment horizontal="left" indent="1"/>
    </xf>
    <xf numFmtId="37" fontId="10" fillId="0" borderId="0" xfId="5" applyNumberFormat="1" applyFont="1" applyFill="1"/>
    <xf numFmtId="37" fontId="14" fillId="7" borderId="0" xfId="8" applyNumberFormat="1" applyFont="1" applyFill="1"/>
    <xf numFmtId="37" fontId="10" fillId="2" borderId="3" xfId="4" applyNumberFormat="1" applyFont="1" applyFill="1" applyBorder="1"/>
    <xf numFmtId="37" fontId="4" fillId="3" borderId="3" xfId="4" applyNumberFormat="1" applyFill="1" applyBorder="1"/>
    <xf numFmtId="37" fontId="39" fillId="2" borderId="3" xfId="8" applyNumberFormat="1" applyFont="1" applyFill="1" applyBorder="1"/>
    <xf numFmtId="37" fontId="10" fillId="2" borderId="1" xfId="0" applyNumberFormat="1" applyFont="1" applyFill="1" applyBorder="1"/>
    <xf numFmtId="37" fontId="10" fillId="3" borderId="1" xfId="0" applyNumberFormat="1" applyFont="1" applyFill="1" applyBorder="1"/>
    <xf numFmtId="37" fontId="10" fillId="5" borderId="2" xfId="11" applyNumberFormat="1" applyFont="1" applyFill="1" applyBorder="1"/>
    <xf numFmtId="0" fontId="4" fillId="0" borderId="0" xfId="9" applyFill="1"/>
    <xf numFmtId="0" fontId="53" fillId="0" borderId="0" xfId="9" applyFont="1"/>
    <xf numFmtId="1" fontId="10" fillId="5" borderId="0" xfId="14" applyNumberFormat="1" applyFont="1" applyFill="1"/>
    <xf numFmtId="164" fontId="10" fillId="4" borderId="0" xfId="14" applyNumberFormat="1" applyFont="1" applyFill="1"/>
    <xf numFmtId="0" fontId="37" fillId="0" borderId="0" xfId="11" applyFont="1" applyFill="1" applyAlignment="1">
      <alignment horizontal="center"/>
    </xf>
    <xf numFmtId="0" fontId="22" fillId="0" borderId="0" xfId="5" applyFont="1" applyFill="1" applyAlignment="1">
      <alignment horizontal="center"/>
    </xf>
    <xf numFmtId="0" fontId="53" fillId="0" borderId="0" xfId="9" applyFont="1" applyFill="1" applyBorder="1"/>
    <xf numFmtId="0" fontId="4" fillId="0" borderId="0" xfId="5" applyFill="1"/>
    <xf numFmtId="167" fontId="0" fillId="8" borderId="0" xfId="0" applyNumberFormat="1" applyFill="1" applyBorder="1"/>
    <xf numFmtId="167" fontId="0" fillId="8" borderId="1" xfId="0" applyNumberFormat="1" applyFill="1" applyBorder="1"/>
    <xf numFmtId="0" fontId="36" fillId="0" borderId="0" xfId="0" applyFont="1" applyAlignment="1">
      <alignment horizontal="center"/>
    </xf>
    <xf numFmtId="37" fontId="10" fillId="7" borderId="1" xfId="8" applyNumberFormat="1" applyFont="1" applyFill="1" applyBorder="1" applyAlignment="1">
      <alignment horizontal="center"/>
    </xf>
    <xf numFmtId="0" fontId="37" fillId="0" borderId="1" xfId="8" applyFont="1" applyBorder="1" applyAlignment="1">
      <alignment horizontal="center"/>
    </xf>
  </cellXfs>
  <cellStyles count="16">
    <cellStyle name="Comma" xfId="1" builtinId="3"/>
    <cellStyle name="Currency" xfId="2" builtinId="4"/>
    <cellStyle name="Normal" xfId="0" builtinId="0"/>
    <cellStyle name="Normal_BALSHT.XLS" xfId="3"/>
    <cellStyle name="Normal_CASHFLOW.XLS" xfId="4"/>
    <cellStyle name="Normal_COG.XLS" xfId="5"/>
    <cellStyle name="Normal_EXTRA.XLS" xfId="6"/>
    <cellStyle name="Normal_FUNDING.XLS" xfId="7"/>
    <cellStyle name="Normal_INCSTMT.XLS" xfId="8"/>
    <cellStyle name="Normal_OPEXP.XLS" xfId="9"/>
    <cellStyle name="Normal_PLANT&amp;EQ.XLS" xfId="10"/>
    <cellStyle name="Normal_REVPROJ.XLS" xfId="11"/>
    <cellStyle name="Normal_SALPERS.XLS" xfId="12"/>
    <cellStyle name="Normal_TAXES.XLS" xfId="13"/>
    <cellStyle name="Normal_WORKCAP.XLS" xfId="14"/>
    <cellStyle name="Percent" xfId="1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theme/theme1.xml" Type="http://schemas.openxmlformats.org/officeDocument/2006/relationships/theme"/>
<Relationship Id="rId23" Target="styles.xml" Type="http://schemas.openxmlformats.org/officeDocument/2006/relationships/styles"/>
<Relationship Id="rId24" Target="sharedStrings.xml" Type="http://schemas.openxmlformats.org/officeDocument/2006/relationships/sharedStrings"/>
<Relationship Id="rId25" Target="calcChain.xml" Type="http://schemas.openxmlformats.org/officeDocument/2006/relationships/calcChain"/>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6</xdr:col>
      <xdr:colOff>209550</xdr:colOff>
      <xdr:row>21</xdr:row>
      <xdr:rowOff>28575</xdr:rowOff>
    </xdr:to>
    <xdr:sp macro="" textlink="">
      <xdr:nvSpPr>
        <xdr:cNvPr id="23553" name="Text Box 1"/>
        <xdr:cNvSpPr txBox="1">
          <a:spLocks noChangeArrowheads="1"/>
        </xdr:cNvSpPr>
      </xdr:nvSpPr>
      <xdr:spPr bwMode="auto">
        <a:xfrm>
          <a:off x="28575" y="19050"/>
          <a:ext cx="3838575" cy="3676650"/>
        </a:xfrm>
        <a:prstGeom prst="rect">
          <a:avLst/>
        </a:prstGeom>
        <a:solidFill>
          <a:srgbClr xmlns:mc="http://schemas.openxmlformats.org/markup-compatibility/2006" xmlns:a14="http://schemas.microsoft.com/office/drawing/2010/main" val="C0C0C0" mc:Ignorable="a14" a14:legacySpreadsheetColorIndex="22"/>
        </a:solidFill>
        <a:ln w="57150" cmpd="thinThick">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54864" tIns="36576" rIns="54864" bIns="0" anchor="t" upright="1"/>
        <a:lstStyle/>
        <a:p>
          <a:pPr algn="ctr" rtl="0">
            <a:defRPr sz="1000"/>
          </a:pPr>
          <a:r>
            <a:rPr lang="en-US" sz="2000" b="1" i="0" u="none" strike="noStrike" baseline="0">
              <a:solidFill>
                <a:srgbClr val="000000"/>
              </a:solidFill>
              <a:latin typeface="Tahoma"/>
              <a:ea typeface="Tahoma"/>
              <a:cs typeface="Tahoma"/>
            </a:rPr>
            <a:t>Financial Projections Model</a:t>
          </a:r>
        </a:p>
        <a:p>
          <a:pPr algn="ctr" rtl="0">
            <a:defRPr sz="1000"/>
          </a:pPr>
          <a:r>
            <a:rPr lang="en-US" sz="2000" b="1" i="0" u="none" strike="noStrike" baseline="0">
              <a:solidFill>
                <a:srgbClr val="000000"/>
              </a:solidFill>
              <a:latin typeface="Tahoma"/>
              <a:ea typeface="Tahoma"/>
              <a:cs typeface="Tahoma"/>
            </a:rPr>
            <a:t>For Business Plans</a:t>
          </a:r>
          <a:endParaRPr lang="en-US" sz="1000" b="1" i="0" u="none" strike="noStrike" baseline="0">
            <a:solidFill>
              <a:srgbClr val="000000"/>
            </a:solidFill>
            <a:latin typeface="Tahoma"/>
            <a:ea typeface="Tahoma"/>
            <a:cs typeface="Tahoma"/>
          </a:endParaRPr>
        </a:p>
        <a:p>
          <a:pPr algn="ctr" rtl="0">
            <a:defRPr sz="1000"/>
          </a:pPr>
          <a:endParaRPr lang="en-US" sz="1000" b="1" i="0" u="none" strike="noStrike" baseline="0">
            <a:solidFill>
              <a:srgbClr val="000000"/>
            </a:solidFill>
            <a:latin typeface="Tahoma"/>
            <a:ea typeface="Tahoma"/>
            <a:cs typeface="Tahoma"/>
          </a:endParaRPr>
        </a:p>
        <a:p>
          <a:pPr algn="ctr" rtl="0">
            <a:defRPr sz="1000"/>
          </a:pPr>
          <a:endParaRPr lang="en-US" sz="1000" b="1" i="0" u="none" strike="noStrike" baseline="0">
            <a:solidFill>
              <a:srgbClr val="000000"/>
            </a:solidFill>
            <a:latin typeface="Tahoma"/>
            <a:ea typeface="Tahoma"/>
            <a:cs typeface="Tahoma"/>
          </a:endParaRPr>
        </a:p>
        <a:p>
          <a:pPr algn="ctr" rtl="0">
            <a:defRPr sz="1000"/>
          </a:pPr>
          <a:r>
            <a:rPr lang="en-US" sz="1600" b="1" i="0" u="none" strike="noStrike" baseline="0">
              <a:solidFill>
                <a:srgbClr val="000000"/>
              </a:solidFill>
              <a:latin typeface="Tahoma"/>
              <a:ea typeface="Tahoma"/>
              <a:cs typeface="Tahoma"/>
            </a:rPr>
            <a:t>Frank Moyes and Stephen Lawrence</a:t>
          </a:r>
          <a:endParaRPr lang="en-US" sz="1000" b="0" i="0" u="none" strike="noStrike" baseline="0">
            <a:solidFill>
              <a:srgbClr val="000000"/>
            </a:solidFill>
            <a:latin typeface="Tahoma"/>
            <a:ea typeface="Tahoma"/>
            <a:cs typeface="Tahoma"/>
          </a:endParaRPr>
        </a:p>
        <a:p>
          <a:pPr algn="ctr" rtl="0">
            <a:defRPr sz="1000"/>
          </a:pPr>
          <a:endParaRPr lang="en-US" sz="1000" b="0" i="0" u="none" strike="noStrike" baseline="0">
            <a:solidFill>
              <a:srgbClr val="000000"/>
            </a:solidFill>
            <a:latin typeface="Tahoma"/>
            <a:ea typeface="Tahoma"/>
            <a:cs typeface="Tahoma"/>
          </a:endParaRPr>
        </a:p>
        <a:p>
          <a:pPr algn="ctr" rtl="0">
            <a:defRPr sz="1000"/>
          </a:pPr>
          <a:endParaRPr lang="en-US" sz="1000" b="0" i="0" u="none" strike="noStrike" baseline="0">
            <a:solidFill>
              <a:srgbClr val="000000"/>
            </a:solidFill>
            <a:latin typeface="Tahoma"/>
            <a:ea typeface="Tahoma"/>
            <a:cs typeface="Tahoma"/>
          </a:endParaRPr>
        </a:p>
        <a:p>
          <a:pPr algn="ctr" rtl="0">
            <a:defRPr sz="1000"/>
          </a:pPr>
          <a:r>
            <a:rPr lang="en-US" sz="1400" b="0" i="0" u="none" strike="noStrike" baseline="0">
              <a:solidFill>
                <a:srgbClr val="000000"/>
              </a:solidFill>
              <a:latin typeface="Tahoma"/>
              <a:ea typeface="Tahoma"/>
              <a:cs typeface="Tahoma"/>
            </a:rPr>
            <a:t>Deming Center for Entrepreneurship</a:t>
          </a:r>
        </a:p>
        <a:p>
          <a:pPr algn="ctr" rtl="0">
            <a:defRPr sz="1000"/>
          </a:pPr>
          <a:r>
            <a:rPr lang="en-US" sz="1400" b="0" i="0" u="none" strike="noStrike" baseline="0">
              <a:solidFill>
                <a:srgbClr val="000000"/>
              </a:solidFill>
              <a:latin typeface="Tahoma"/>
              <a:ea typeface="Tahoma"/>
              <a:cs typeface="Tahoma"/>
            </a:rPr>
            <a:t>Leeds College of Business </a:t>
          </a:r>
        </a:p>
        <a:p>
          <a:pPr algn="ctr" rtl="0">
            <a:defRPr sz="1000"/>
          </a:pPr>
          <a:r>
            <a:rPr lang="en-US" sz="1400" b="0" i="0" u="none" strike="noStrike" baseline="0">
              <a:solidFill>
                <a:srgbClr val="000000"/>
              </a:solidFill>
              <a:latin typeface="Tahoma"/>
              <a:ea typeface="Tahoma"/>
              <a:cs typeface="Tahoma"/>
            </a:rPr>
            <a:t>University of Colorado</a:t>
          </a:r>
        </a:p>
        <a:p>
          <a:pPr algn="ctr" rtl="0">
            <a:defRPr sz="1000"/>
          </a:pPr>
          <a:r>
            <a:rPr lang="en-US" sz="1400" b="0" i="0" u="none" strike="noStrike" baseline="0">
              <a:solidFill>
                <a:srgbClr val="000000"/>
              </a:solidFill>
              <a:latin typeface="Tahoma"/>
              <a:ea typeface="Tahoma"/>
              <a:cs typeface="Tahoma"/>
            </a:rPr>
            <a:t>Boulder, Colorado</a:t>
          </a:r>
          <a:endParaRPr lang="en-US" sz="1000" b="0" i="0" u="none" strike="noStrike" baseline="0">
            <a:solidFill>
              <a:srgbClr val="000000"/>
            </a:solidFill>
            <a:latin typeface="Arial"/>
            <a:ea typeface="Tahoma"/>
            <a:cs typeface="Arial"/>
          </a:endParaRPr>
        </a:p>
        <a:p>
          <a:pPr algn="ctr" rtl="0">
            <a:defRPr sz="1000"/>
          </a:pPr>
          <a:endParaRPr lang="en-US" sz="1000" b="0" i="0" u="none" strike="noStrike" baseline="0">
            <a:solidFill>
              <a:srgbClr val="000000"/>
            </a:solidFill>
            <a:latin typeface="Arial"/>
            <a:ea typeface="Tahoma"/>
            <a:cs typeface="Arial"/>
          </a:endParaRPr>
        </a:p>
        <a:p>
          <a:pPr algn="ctr" rtl="0">
            <a:defRPr sz="1000"/>
          </a:pPr>
          <a:endParaRPr lang="en-US" sz="1000" b="0" i="0" u="none" strike="noStrike" baseline="0">
            <a:solidFill>
              <a:srgbClr val="000000"/>
            </a:solidFill>
            <a:latin typeface="Arial"/>
            <a:ea typeface="Tahoma"/>
            <a:cs typeface="Arial"/>
          </a:endParaRPr>
        </a:p>
        <a:p>
          <a:pPr algn="ctr" rtl="0">
            <a:defRPr sz="1000"/>
          </a:pPr>
          <a:endParaRPr lang="en-US" sz="1000" b="0" i="0" u="none" strike="noStrike" baseline="0">
            <a:solidFill>
              <a:srgbClr val="000000"/>
            </a:solidFill>
            <a:latin typeface="Arial"/>
            <a:ea typeface="Tahoma"/>
            <a:cs typeface="Arial"/>
          </a:endParaRPr>
        </a:p>
        <a:p>
          <a:pPr algn="ctr" rtl="0">
            <a:defRPr sz="1000"/>
          </a:pPr>
          <a:endParaRPr lang="en-US" sz="1000" b="0" i="0" u="none" strike="noStrike" baseline="0">
            <a:solidFill>
              <a:srgbClr val="000000"/>
            </a:solidFill>
            <a:latin typeface="Arial"/>
            <a:ea typeface="Tahoma"/>
            <a:cs typeface="Arial"/>
          </a:endParaRPr>
        </a:p>
        <a:p>
          <a:pPr algn="ctr" rtl="0">
            <a:defRPr sz="1000"/>
          </a:pPr>
          <a:r>
            <a:rPr lang="en-US" sz="1000" b="0" i="0" u="none" strike="noStrike" baseline="0">
              <a:solidFill>
                <a:srgbClr val="000000"/>
              </a:solidFill>
              <a:latin typeface="Tahoma"/>
              <a:ea typeface="Tahoma"/>
              <a:cs typeface="Tahoma"/>
            </a:rPr>
            <a:t>Copyright © 2003 by the Regents of the University of Colorado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10</xdr:col>
      <xdr:colOff>28575</xdr:colOff>
      <xdr:row>106</xdr:row>
      <xdr:rowOff>0</xdr:rowOff>
    </xdr:to>
    <xdr:sp macro="" textlink="">
      <xdr:nvSpPr>
        <xdr:cNvPr id="2050" name="Text Box 2"/>
        <xdr:cNvSpPr txBox="1">
          <a:spLocks noChangeArrowheads="1"/>
        </xdr:cNvSpPr>
      </xdr:nvSpPr>
      <xdr:spPr bwMode="auto">
        <a:xfrm>
          <a:off x="28575" y="28575"/>
          <a:ext cx="6238875" cy="17259300"/>
        </a:xfrm>
        <a:prstGeom prst="rect">
          <a:avLst/>
        </a:prstGeom>
        <a:solidFill>
          <a:srgbClr xmlns:mc="http://schemas.openxmlformats.org/markup-compatibility/2006" xmlns:a14="http://schemas.microsoft.com/office/drawing/2010/main" val="C0C0C0" mc:Ignorable="a14" a14:legacySpreadsheetColorIndex="22"/>
        </a:solidFill>
        <a:ln w="57150" cmpd="thinThick">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                                                         </a:t>
          </a:r>
          <a:r>
            <a:rPr lang="en-US" sz="1600" b="1" i="0" u="none" strike="noStrike" baseline="0">
              <a:solidFill>
                <a:srgbClr val="000000"/>
              </a:solidFill>
              <a:latin typeface="Arial"/>
              <a:cs typeface="Arial"/>
            </a:rPr>
            <a:t>Instructions</a:t>
          </a:r>
          <a:endParaRPr lang="en-US" sz="1200" b="1" i="0" u="none" strike="noStrike" baseline="0">
            <a:solidFill>
              <a:srgbClr val="000000"/>
            </a:solidFill>
            <a:latin typeface="Arial"/>
            <a:cs typeface="Arial"/>
          </a:endParaRP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                                               Financial Projections Model</a:t>
          </a:r>
        </a:p>
        <a:p>
          <a:pPr algn="l" rtl="0">
            <a:defRPr sz="1000"/>
          </a:pPr>
          <a:r>
            <a:rPr lang="en-US" sz="1200" b="1" i="0" u="none" strike="noStrike" baseline="0">
              <a:solidFill>
                <a:srgbClr val="000000"/>
              </a:solidFill>
              <a:latin typeface="Arial"/>
              <a:cs typeface="Arial"/>
            </a:rPr>
            <a:t>                                                                    v6.8.3</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This financial model is designed to enable entrepreneurs and students project the financial results of their ventures for a five-year period. As with all models there are certain simplifying assumptions that have been made. Each of the assumption spreadsheets has an accompanying </a:t>
          </a:r>
          <a:r>
            <a:rPr lang="en-US" sz="1200" b="1" i="1" u="none" strike="noStrike" baseline="0">
              <a:solidFill>
                <a:srgbClr val="000000"/>
              </a:solidFill>
              <a:latin typeface="Arial"/>
              <a:cs typeface="Arial"/>
            </a:rPr>
            <a:t>Comments</a:t>
          </a:r>
          <a:r>
            <a:rPr lang="en-US" sz="1200" b="1" i="0" u="none" strike="noStrike" baseline="0">
              <a:solidFill>
                <a:srgbClr val="000000"/>
              </a:solidFill>
              <a:latin typeface="Arial"/>
              <a:cs typeface="Arial"/>
            </a:rPr>
            <a:t> box (denoted by a cell with small red triangle in the upper right corner) that provides suggestions on how to complete the spreadsheet and the underlying assumptions to the model.</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You will notice that the cells in the spreadsheet are color-coded. This has been done to assist you in entering data, creating or changing formulae, or deleting data, formulae and links. </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Enter data and information in </a:t>
          </a:r>
          <a:r>
            <a:rPr lang="en-US" sz="1200" b="1" i="0" u="none" strike="noStrike" baseline="0">
              <a:solidFill>
                <a:srgbClr val="CCFFCC"/>
              </a:solidFill>
              <a:latin typeface="Arial"/>
              <a:cs typeface="Arial"/>
            </a:rPr>
            <a:t>Green</a:t>
          </a:r>
          <a:r>
            <a:rPr lang="en-US" sz="1200" b="1" i="0" u="none" strike="noStrike" baseline="0">
              <a:solidFill>
                <a:srgbClr val="000000"/>
              </a:solidFill>
              <a:latin typeface="Arial"/>
              <a:cs typeface="Arial"/>
            </a:rPr>
            <a:t> shaded cells only.</a:t>
          </a:r>
        </a:p>
        <a:p>
          <a:pPr algn="l" rtl="0">
            <a:defRPr sz="1000"/>
          </a:pPr>
          <a:r>
            <a:rPr lang="en-US" sz="1200" b="1" i="0" u="none" strike="noStrike" baseline="0">
              <a:solidFill>
                <a:srgbClr val="3366FF"/>
              </a:solidFill>
              <a:latin typeface="Arial"/>
              <a:cs typeface="Arial"/>
            </a:rPr>
            <a:t>Blue</a:t>
          </a:r>
          <a:r>
            <a:rPr lang="en-US" sz="1200" b="1" i="0" u="none" strike="noStrike" baseline="0">
              <a:solidFill>
                <a:srgbClr val="000000"/>
              </a:solidFill>
              <a:latin typeface="Arial"/>
              <a:cs typeface="Arial"/>
            </a:rPr>
            <a:t> shaded cells calculate results within a spreadsheet.</a:t>
          </a:r>
        </a:p>
        <a:p>
          <a:pPr algn="l" rtl="0">
            <a:defRPr sz="1000"/>
          </a:pPr>
          <a:r>
            <a:rPr lang="en-US" sz="1200" b="1" i="0" u="none" strike="noStrike" baseline="0">
              <a:solidFill>
                <a:srgbClr val="000000"/>
              </a:solidFill>
              <a:latin typeface="Arial"/>
              <a:cs typeface="Arial"/>
            </a:rPr>
            <a:t>Data in </a:t>
          </a:r>
          <a:r>
            <a:rPr lang="en-US" sz="1200" b="1" i="0" u="none" strike="noStrike" baseline="0">
              <a:solidFill>
                <a:srgbClr val="FFFF99"/>
              </a:solidFill>
              <a:latin typeface="Arial"/>
              <a:cs typeface="Arial"/>
            </a:rPr>
            <a:t>Yellow</a:t>
          </a:r>
          <a:r>
            <a:rPr lang="en-US" sz="1200" b="1" i="0" u="none" strike="noStrike" baseline="0">
              <a:solidFill>
                <a:srgbClr val="000000"/>
              </a:solidFill>
              <a:latin typeface="Arial"/>
              <a:cs typeface="Arial"/>
            </a:rPr>
            <a:t> shaded cells is transferred to other worksheets.</a:t>
          </a:r>
        </a:p>
        <a:p>
          <a:pPr algn="l" rtl="0">
            <a:defRPr sz="1000"/>
          </a:pPr>
          <a:r>
            <a:rPr lang="en-US" sz="1200" b="1" i="0" u="none" strike="noStrike" baseline="0">
              <a:solidFill>
                <a:srgbClr val="FF99CC"/>
              </a:solidFill>
              <a:latin typeface="Arial"/>
              <a:cs typeface="Arial"/>
            </a:rPr>
            <a:t>Purple</a:t>
          </a:r>
          <a:r>
            <a:rPr lang="en-US" sz="1200" b="1" i="0" u="none" strike="noStrike" baseline="0">
              <a:solidFill>
                <a:srgbClr val="000000"/>
              </a:solidFill>
              <a:latin typeface="Arial"/>
              <a:cs typeface="Arial"/>
            </a:rPr>
            <a:t> shaded cells bring in data from other spreadsheets.</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In the </a:t>
          </a:r>
          <a:r>
            <a:rPr lang="en-US" sz="1200" b="1" i="0" u="none" strike="noStrike" baseline="0">
              <a:solidFill>
                <a:srgbClr val="CCFFCC"/>
              </a:solidFill>
              <a:latin typeface="Arial"/>
              <a:cs typeface="Arial"/>
            </a:rPr>
            <a:t>Green</a:t>
          </a:r>
          <a:r>
            <a:rPr lang="en-US" sz="1200" b="1" i="0" u="none" strike="noStrike" baseline="0">
              <a:solidFill>
                <a:srgbClr val="000000"/>
              </a:solidFill>
              <a:latin typeface="Arial"/>
              <a:cs typeface="Arial"/>
            </a:rPr>
            <a:t> and </a:t>
          </a:r>
          <a:r>
            <a:rPr lang="en-US" sz="1200" b="1" i="0" u="none" strike="noStrike" baseline="0">
              <a:solidFill>
                <a:srgbClr val="3366FF"/>
              </a:solidFill>
              <a:latin typeface="Arial"/>
              <a:cs typeface="Arial"/>
            </a:rPr>
            <a:t>Blue </a:t>
          </a:r>
          <a:r>
            <a:rPr lang="en-US" sz="1200" b="1" i="0" u="none" strike="noStrike" baseline="0">
              <a:solidFill>
                <a:srgbClr val="000000"/>
              </a:solidFill>
              <a:latin typeface="Arial"/>
              <a:cs typeface="Arial"/>
            </a:rPr>
            <a:t>shaded cells, data and formulas may changed, moved or deleted. The current calculations are for illustration only -- you will need to tailor these spreadsheets to fit your plan.</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In the </a:t>
          </a:r>
          <a:r>
            <a:rPr lang="en-US" sz="1200" b="1" i="0" u="none" strike="noStrike" baseline="0">
              <a:solidFill>
                <a:srgbClr val="FFFF99"/>
              </a:solidFill>
              <a:latin typeface="Arial"/>
              <a:cs typeface="Arial"/>
            </a:rPr>
            <a:t>Yellow</a:t>
          </a:r>
          <a:r>
            <a:rPr lang="en-US" sz="1200" b="1" i="0" u="none" strike="noStrike" baseline="0">
              <a:solidFill>
                <a:srgbClr val="000000"/>
              </a:solidFill>
              <a:latin typeface="Arial"/>
              <a:cs typeface="Arial"/>
            </a:rPr>
            <a:t> shaded cells data and formulas may be changed, but not deleted.</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DO NOT delete the </a:t>
          </a:r>
          <a:r>
            <a:rPr lang="en-US" sz="1200" b="1" i="0" u="none" strike="noStrike" baseline="0">
              <a:solidFill>
                <a:srgbClr val="FF99CC"/>
              </a:solidFill>
              <a:latin typeface="Arial"/>
              <a:cs typeface="Arial"/>
            </a:rPr>
            <a:t>Purple</a:t>
          </a:r>
          <a:r>
            <a:rPr lang="en-US" sz="1200" b="1" i="0" u="none" strike="noStrike" baseline="0">
              <a:solidFill>
                <a:srgbClr val="000000"/>
              </a:solidFill>
              <a:latin typeface="Arial"/>
              <a:cs typeface="Arial"/>
            </a:rPr>
            <a:t> shaded cells -- they link one spreadsheet with others.  </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There are 7 principal spreadsheet outputs of this model:</a:t>
          </a:r>
        </a:p>
        <a:p>
          <a:pPr algn="l" rtl="0">
            <a:defRPr sz="1000"/>
          </a:pPr>
          <a:r>
            <a:rPr lang="en-US" sz="1200" b="1" i="0" u="none" strike="noStrike" baseline="0">
              <a:solidFill>
                <a:srgbClr val="000000"/>
              </a:solidFill>
              <a:latin typeface="Arial"/>
              <a:cs typeface="Arial"/>
            </a:rPr>
            <a:t>    INCOME: Income Statement</a:t>
          </a:r>
        </a:p>
        <a:p>
          <a:pPr algn="l" rtl="0">
            <a:defRPr sz="1000"/>
          </a:pPr>
          <a:r>
            <a:rPr lang="en-US" sz="1200" b="1" i="0" u="none" strike="noStrike" baseline="0">
              <a:solidFill>
                <a:srgbClr val="000000"/>
              </a:solidFill>
              <a:latin typeface="Arial"/>
              <a:cs typeface="Arial"/>
            </a:rPr>
            <a:t>    BALANCE: Balance Sheet</a:t>
          </a:r>
        </a:p>
        <a:p>
          <a:pPr algn="l" rtl="0">
            <a:defRPr sz="1000"/>
          </a:pPr>
          <a:r>
            <a:rPr lang="en-US" sz="1200" b="1" i="0" u="none" strike="noStrike" baseline="0">
              <a:solidFill>
                <a:srgbClr val="000000"/>
              </a:solidFill>
              <a:latin typeface="Arial"/>
              <a:cs typeface="Arial"/>
            </a:rPr>
            <a:t>    CASHFLOW: Cash Flow Statement</a:t>
          </a:r>
        </a:p>
        <a:p>
          <a:pPr algn="l" rtl="0">
            <a:defRPr sz="1000"/>
          </a:pPr>
          <a:r>
            <a:rPr lang="en-US" sz="1200" b="1" i="0" u="none" strike="noStrike" baseline="0">
              <a:solidFill>
                <a:srgbClr val="000000"/>
              </a:solidFill>
              <a:latin typeface="Arial"/>
              <a:cs typeface="Arial"/>
            </a:rPr>
            <a:t>    BREAKEVEN: Break-even analysis </a:t>
          </a:r>
        </a:p>
        <a:p>
          <a:pPr algn="l" rtl="0">
            <a:defRPr sz="1000"/>
          </a:pPr>
          <a:r>
            <a:rPr lang="en-US" sz="1200" b="1" i="0" u="none" strike="noStrike" baseline="0">
              <a:solidFill>
                <a:srgbClr val="000000"/>
              </a:solidFill>
              <a:latin typeface="Arial"/>
              <a:cs typeface="Arial"/>
            </a:rPr>
            <a:t>    SUMMARY: Analysis of key measures</a:t>
          </a:r>
        </a:p>
        <a:p>
          <a:pPr algn="l" rtl="0">
            <a:defRPr sz="1000"/>
          </a:pPr>
          <a:r>
            <a:rPr lang="en-US" sz="1200" b="1" i="0" u="none" strike="noStrike" baseline="0">
              <a:solidFill>
                <a:srgbClr val="000000"/>
              </a:solidFill>
              <a:latin typeface="Arial"/>
              <a:cs typeface="Arial"/>
            </a:rPr>
            <a:t>    INCOME-MOS: Income Statements by months for Years 1 to 5</a:t>
          </a:r>
        </a:p>
        <a:p>
          <a:pPr algn="l" rtl="0">
            <a:defRPr sz="1000"/>
          </a:pPr>
          <a:r>
            <a:rPr lang="en-US" sz="1200" b="1" i="0" u="none" strike="noStrike" baseline="0">
              <a:solidFill>
                <a:srgbClr val="000000"/>
              </a:solidFill>
              <a:latin typeface="Arial"/>
              <a:cs typeface="Arial"/>
            </a:rPr>
            <a:t>    CASHFLOW-MOS: Cash flow Statements by months for Years 1 and 2, and</a:t>
          </a:r>
        </a:p>
        <a:p>
          <a:pPr algn="l" rtl="0">
            <a:defRPr sz="1000"/>
          </a:pPr>
          <a:r>
            <a:rPr lang="en-US" sz="1200" b="1" i="0" u="none" strike="noStrike" baseline="0">
              <a:solidFill>
                <a:srgbClr val="000000"/>
              </a:solidFill>
              <a:latin typeface="Arial"/>
              <a:cs typeface="Arial"/>
            </a:rPr>
            <a:t>       by quarters for Years 3 to 5             </a:t>
          </a:r>
        </a:p>
        <a:p>
          <a:pPr algn="l" rtl="0">
            <a:defRPr sz="1000"/>
          </a:pPr>
          <a:r>
            <a:rPr lang="en-US" sz="1200" b="1" i="0" u="none" strike="noStrike" baseline="0">
              <a:solidFill>
                <a:srgbClr val="000000"/>
              </a:solidFill>
              <a:latin typeface="Arial"/>
              <a:cs typeface="Arial"/>
            </a:rPr>
            <a:t>    VAL-1 &amp; VAL-2: Venture capital method for valuing companies</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All other spreadsheets are to be used for calculating the underlying assumptions of the 7 principal spreadsheets:</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    COMPS:  Comparison of financial measures to peer companies </a:t>
          </a:r>
        </a:p>
        <a:p>
          <a:pPr algn="l" rtl="0">
            <a:defRPr sz="1000"/>
          </a:pPr>
          <a:r>
            <a:rPr lang="en-US" sz="1200" b="1" i="0" u="none" strike="noStrike" baseline="0">
              <a:solidFill>
                <a:srgbClr val="000000"/>
              </a:solidFill>
              <a:latin typeface="Arial"/>
              <a:cs typeface="Arial"/>
            </a:rPr>
            <a:t>    REVENUE: Revenue Projections</a:t>
          </a:r>
        </a:p>
        <a:p>
          <a:pPr algn="l" rtl="0">
            <a:defRPr sz="1000"/>
          </a:pPr>
          <a:r>
            <a:rPr lang="en-US" sz="1200" b="1" i="0" u="none" strike="noStrike" baseline="0">
              <a:solidFill>
                <a:srgbClr val="000000"/>
              </a:solidFill>
              <a:latin typeface="Arial"/>
              <a:cs typeface="Arial"/>
            </a:rPr>
            <a:t>    COST OF REV: Cost of Goods Sold</a:t>
          </a:r>
        </a:p>
        <a:p>
          <a:pPr algn="l" rtl="0">
            <a:defRPr sz="1000"/>
          </a:pPr>
          <a:r>
            <a:rPr lang="en-US" sz="1200" b="1" i="0" u="none" strike="noStrike" baseline="0">
              <a:solidFill>
                <a:srgbClr val="000000"/>
              </a:solidFill>
              <a:latin typeface="Arial"/>
              <a:cs typeface="Arial"/>
            </a:rPr>
            <a:t>    OPER EXPEN: Operating Expenses</a:t>
          </a:r>
        </a:p>
        <a:p>
          <a:pPr algn="l" rtl="0">
            <a:defRPr sz="1000"/>
          </a:pPr>
          <a:r>
            <a:rPr lang="en-US" sz="1200" b="1" i="0" u="none" strike="noStrike" baseline="0">
              <a:solidFill>
                <a:srgbClr val="000000"/>
              </a:solidFill>
              <a:latin typeface="Arial"/>
              <a:cs typeface="Arial"/>
            </a:rPr>
            <a:t>    PROP &amp; EQUIP: Capital Expenditures, Depreciation, and Net Fixed Assets</a:t>
          </a:r>
        </a:p>
        <a:p>
          <a:pPr algn="l" rtl="0">
            <a:defRPr sz="1000"/>
          </a:pPr>
          <a:r>
            <a:rPr lang="en-US" sz="1200" b="1" i="0" u="none" strike="noStrike" baseline="0">
              <a:solidFill>
                <a:srgbClr val="000000"/>
              </a:solidFill>
              <a:latin typeface="Arial"/>
              <a:cs typeface="Arial"/>
            </a:rPr>
            <a:t>    SALARIES: Salary Personnel</a:t>
          </a:r>
        </a:p>
        <a:p>
          <a:pPr algn="l" rtl="0">
            <a:defRPr sz="1000"/>
          </a:pPr>
          <a:r>
            <a:rPr lang="en-US" sz="1200" b="1" i="0" u="none" strike="noStrike" baseline="0">
              <a:solidFill>
                <a:srgbClr val="000000"/>
              </a:solidFill>
              <a:latin typeface="Arial"/>
              <a:cs typeface="Arial"/>
            </a:rPr>
            <a:t>    EXTRA: Extraordinary Income and Expense</a:t>
          </a:r>
        </a:p>
        <a:p>
          <a:pPr algn="l" rtl="0">
            <a:defRPr sz="1000"/>
          </a:pPr>
          <a:r>
            <a:rPr lang="en-US" sz="1200" b="1" i="0" u="none" strike="noStrike" baseline="0">
              <a:solidFill>
                <a:srgbClr val="000000"/>
              </a:solidFill>
              <a:latin typeface="Arial"/>
              <a:cs typeface="Arial"/>
            </a:rPr>
            <a:t>    TAXES: Tax calculation</a:t>
          </a:r>
        </a:p>
        <a:p>
          <a:pPr algn="l" rtl="0">
            <a:defRPr sz="1000"/>
          </a:pPr>
          <a:r>
            <a:rPr lang="en-US" sz="1200" b="1" i="0" u="none" strike="noStrike" baseline="0">
              <a:solidFill>
                <a:srgbClr val="000000"/>
              </a:solidFill>
              <a:latin typeface="Arial"/>
              <a:cs typeface="Arial"/>
            </a:rPr>
            <a:t>    WORKCAP: Working Capital </a:t>
          </a:r>
        </a:p>
        <a:p>
          <a:pPr algn="l" rtl="0">
            <a:defRPr sz="1000"/>
          </a:pPr>
          <a:r>
            <a:rPr lang="en-US" sz="1200" b="1" i="0" u="none" strike="noStrike" baseline="0">
              <a:solidFill>
                <a:srgbClr val="000000"/>
              </a:solidFill>
              <a:latin typeface="Arial"/>
              <a:cs typeface="Arial"/>
            </a:rPr>
            <a:t>    FUNDING: Equity, Debt, Interest Expense, Interest Income, Dividends and</a:t>
          </a:r>
        </a:p>
        <a:p>
          <a:pPr algn="l" rtl="0">
            <a:defRPr sz="1000"/>
          </a:pPr>
          <a:r>
            <a:rPr lang="en-US" sz="1200" b="1" i="0" u="none" strike="noStrike" baseline="0">
              <a:solidFill>
                <a:srgbClr val="000000"/>
              </a:solidFill>
              <a:latin typeface="Arial"/>
              <a:cs typeface="Arial"/>
            </a:rPr>
            <a:t>      Retained Earnings          </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These assumption spreadsheets are linked to each other and to the 7 principal spreadsheets. When you make a change in one of the spreadsheets, the impact is automatically recalculated for all other spreadsheets.</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When doing financial projections, it is easy to get lost in the trees and lose the sense of what is reality. Most errors can be identified if you continuously ask yourself “Does this result make sense?” The COMPS spreadsheet, where you look at peer companies, can be particularly helpful as a reality test.</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There is an example in the model with which you can experiment. When you are ready to start your own projections, clear all the numbers in the green shaded cells, and then you can begin to enter new numbers. Enter the name of your company in the first cell of the COMPS spreadsheet. Before you begin, make a copy of the model on a separate disk.</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This original version of the model has been used since the mid-1980’s. It has undergone numerous revisions over that period. Since 1998, students in the Business Plan Preparation course at the University of Colorado have used it to prepare their business plans. We have appreciated their suggestions for improvements and would encourage all users to send us comments and suggestions.</a:t>
          </a:r>
        </a:p>
        <a:p>
          <a:pPr algn="l" rtl="0">
            <a:defRPr sz="1000"/>
          </a:pPr>
          <a:endParaRPr lang="en-US" sz="1200" b="1" i="0" u="none" strike="noStrike" baseline="0">
            <a:solidFill>
              <a:srgbClr val="000000"/>
            </a:solidFill>
            <a:latin typeface="Arial"/>
            <a:cs typeface="Arial"/>
          </a:endParaRPr>
        </a:p>
        <a:p>
          <a:pPr algn="l" rtl="0">
            <a:defRPr sz="1000"/>
          </a:pPr>
          <a:endParaRPr lang="en-US" sz="1200" b="1" i="0" u="none" strike="noStrike" baseline="0">
            <a:solidFill>
              <a:srgbClr val="000000"/>
            </a:solidFill>
            <a:latin typeface="Arial"/>
            <a:cs typeface="Arial"/>
          </a:endParaRP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                            </a:t>
          </a:r>
          <a:r>
            <a:rPr lang="en-US" sz="1200" b="1" i="0" u="none" strike="noStrike" baseline="0">
              <a:solidFill>
                <a:srgbClr val="000000"/>
              </a:solidFill>
              <a:latin typeface="Times New Roman"/>
              <a:cs typeface="Times New Roman"/>
            </a:rPr>
            <a:t>Created by Frank Moyes and Stephen Lawrence</a:t>
          </a:r>
        </a:p>
        <a:p>
          <a:pPr algn="l" rtl="0">
            <a:defRPr sz="1000"/>
          </a:pPr>
          <a:r>
            <a:rPr lang="en-US" sz="1200" b="1" i="0" u="none" strike="noStrike" baseline="0">
              <a:solidFill>
                <a:srgbClr val="000000"/>
              </a:solidFill>
              <a:latin typeface="Times New Roman"/>
              <a:cs typeface="Times New Roman"/>
            </a:rPr>
            <a:t>                                    Deming Center for Entrepreneurship</a:t>
          </a:r>
        </a:p>
        <a:p>
          <a:pPr algn="l" rtl="0">
            <a:defRPr sz="1000"/>
          </a:pPr>
          <a:r>
            <a:rPr lang="en-US" sz="1200" b="1" i="0" u="none" strike="noStrike" baseline="0">
              <a:solidFill>
                <a:srgbClr val="000000"/>
              </a:solidFill>
              <a:latin typeface="Times New Roman"/>
              <a:cs typeface="Times New Roman"/>
            </a:rPr>
            <a:t>                                           Leeds School of Business </a:t>
          </a:r>
        </a:p>
        <a:p>
          <a:pPr algn="l" rtl="0">
            <a:defRPr sz="1000"/>
          </a:pPr>
          <a:r>
            <a:rPr lang="en-US" sz="1200" b="1" i="0" u="none" strike="noStrike" baseline="0">
              <a:solidFill>
                <a:srgbClr val="000000"/>
              </a:solidFill>
              <a:latin typeface="Times New Roman"/>
              <a:cs typeface="Times New Roman"/>
            </a:rPr>
            <a:t>                                               University of Colorado </a:t>
          </a:r>
        </a:p>
        <a:p>
          <a:pPr algn="l" rtl="0">
            <a:defRPr sz="1000"/>
          </a:pPr>
          <a:r>
            <a:rPr lang="en-US" sz="1200" b="1" i="0" u="none" strike="noStrike" baseline="0">
              <a:solidFill>
                <a:srgbClr val="000000"/>
              </a:solidFill>
              <a:latin typeface="Times New Roman"/>
              <a:cs typeface="Times New Roman"/>
            </a:rPr>
            <a:t>                                                   Boulder, Colorado</a:t>
          </a:r>
        </a:p>
        <a:p>
          <a:pPr algn="l" rtl="0">
            <a:defRPr sz="1000"/>
          </a:pPr>
          <a:r>
            <a:rPr lang="en-US" sz="1200" b="1" i="0" u="none" strike="noStrike" baseline="0">
              <a:solidFill>
                <a:srgbClr val="000000"/>
              </a:solidFill>
              <a:latin typeface="Times New Roman"/>
              <a:cs typeface="Times New Roman"/>
            </a:rPr>
            <a:t>                                                          </a:t>
          </a:r>
        </a:p>
        <a:p>
          <a:pPr algn="l" rtl="0">
            <a:defRPr sz="1000"/>
          </a:pPr>
          <a:endParaRPr lang="en-US" sz="1200" b="1" i="0" u="none" strike="noStrike" baseline="0">
            <a:solidFill>
              <a:srgbClr val="000000"/>
            </a:solidFill>
            <a:latin typeface="Arial"/>
            <a:cs typeface="Arial"/>
          </a:endParaRPr>
        </a:p>
        <a:p>
          <a:pPr algn="l" rtl="0">
            <a:defRPr sz="1000"/>
          </a:pPr>
          <a:endParaRPr lang="en-US" sz="1200" b="1" i="0" u="none" strike="noStrike" baseline="0">
            <a:solidFill>
              <a:srgbClr val="000000"/>
            </a:solidFill>
            <a:latin typeface="Arial"/>
            <a:cs typeface="Arial"/>
          </a:endParaRPr>
        </a:p>
        <a:p>
          <a:pPr algn="l" rtl="0">
            <a:defRPr sz="1000"/>
          </a:pPr>
          <a:r>
            <a:rPr lang="en-US" sz="1200" b="1" i="1" u="none" strike="noStrike" baseline="0">
              <a:solidFill>
                <a:srgbClr val="000000"/>
              </a:solidFill>
              <a:latin typeface="Arial"/>
              <a:cs typeface="Arial"/>
            </a:rPr>
            <a:t>                        </a:t>
          </a:r>
          <a:r>
            <a:rPr lang="en-US" sz="1000" b="0" i="1" u="none" strike="noStrike" baseline="0">
              <a:solidFill>
                <a:srgbClr val="000000"/>
              </a:solidFill>
              <a:latin typeface="Arial"/>
              <a:cs typeface="Arial"/>
            </a:rPr>
            <a:t> </a:t>
          </a:r>
          <a:r>
            <a:rPr lang="en-US" sz="1000" b="0" i="0" u="none" strike="noStrike" baseline="0">
              <a:solidFill>
                <a:srgbClr val="000000"/>
              </a:solidFill>
              <a:latin typeface="Arial"/>
              <a:cs typeface="Arial"/>
            </a:rPr>
            <a:t>Copyright © 2001 by the Regents of the University of Colorado</a:t>
          </a:r>
          <a:endParaRPr lang="en-US" sz="1200" b="1" i="0" u="none" strike="noStrike" baseline="0">
            <a:solidFill>
              <a:srgbClr val="000000"/>
            </a:solidFill>
            <a:latin typeface="Arial"/>
            <a:cs typeface="Arial"/>
          </a:endParaRP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                                      </a:t>
          </a:r>
        </a:p>
        <a:p>
          <a:pPr algn="l" rtl="0">
            <a:defRPr sz="1000"/>
          </a:pPr>
          <a:endParaRPr lang="en-US" sz="1200" b="1"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352425</xdr:colOff>
      <xdr:row>67</xdr:row>
      <xdr:rowOff>9525</xdr:rowOff>
    </xdr:from>
    <xdr:to>
      <xdr:col>10</xdr:col>
      <xdr:colOff>466725</xdr:colOff>
      <xdr:row>70</xdr:row>
      <xdr:rowOff>38100</xdr:rowOff>
    </xdr:to>
    <xdr:sp macro="" textlink="">
      <xdr:nvSpPr>
        <xdr:cNvPr id="6151" name="Text Box 7"/>
        <xdr:cNvSpPr txBox="1">
          <a:spLocks noChangeArrowheads="1"/>
        </xdr:cNvSpPr>
      </xdr:nvSpPr>
      <xdr:spPr bwMode="auto">
        <a:xfrm>
          <a:off x="6953250" y="11277600"/>
          <a:ext cx="19812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Geneva"/>
            </a:rPr>
            <a:t>Note: total expenses for the year must equal the annual projections above.</a:t>
          </a:r>
        </a:p>
      </xdr:txBody>
    </xdr:sp>
    <xdr:clientData/>
  </xdr:twoCellAnchor>
  <xdr:twoCellAnchor>
    <xdr:from>
      <xdr:col>7</xdr:col>
      <xdr:colOff>28575</xdr:colOff>
      <xdr:row>68</xdr:row>
      <xdr:rowOff>114300</xdr:rowOff>
    </xdr:from>
    <xdr:to>
      <xdr:col>7</xdr:col>
      <xdr:colOff>352425</xdr:colOff>
      <xdr:row>68</xdr:row>
      <xdr:rowOff>114300</xdr:rowOff>
    </xdr:to>
    <xdr:sp macro="" textlink="">
      <xdr:nvSpPr>
        <xdr:cNvPr id="6153" name="Line 9"/>
        <xdr:cNvSpPr>
          <a:spLocks noChangeShapeType="1"/>
        </xdr:cNvSpPr>
      </xdr:nvSpPr>
      <xdr:spPr bwMode="auto">
        <a:xfrm flipH="1">
          <a:off x="6629400" y="11544300"/>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390525</xdr:colOff>
      <xdr:row>88</xdr:row>
      <xdr:rowOff>142875</xdr:rowOff>
    </xdr:from>
    <xdr:to>
      <xdr:col>10</xdr:col>
      <xdr:colOff>504825</xdr:colOff>
      <xdr:row>92</xdr:row>
      <xdr:rowOff>9525</xdr:rowOff>
    </xdr:to>
    <xdr:sp macro="" textlink="">
      <xdr:nvSpPr>
        <xdr:cNvPr id="6154" name="Text Box 10"/>
        <xdr:cNvSpPr txBox="1">
          <a:spLocks noChangeArrowheads="1"/>
        </xdr:cNvSpPr>
      </xdr:nvSpPr>
      <xdr:spPr bwMode="auto">
        <a:xfrm>
          <a:off x="6991350" y="14935200"/>
          <a:ext cx="19812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Geneva"/>
            </a:rPr>
            <a:t>Note: total expenses for the year must equal the annual projections above.</a:t>
          </a:r>
        </a:p>
      </xdr:txBody>
    </xdr:sp>
    <xdr:clientData/>
  </xdr:twoCellAnchor>
  <xdr:twoCellAnchor>
    <xdr:from>
      <xdr:col>7</xdr:col>
      <xdr:colOff>333375</xdr:colOff>
      <xdr:row>110</xdr:row>
      <xdr:rowOff>152400</xdr:rowOff>
    </xdr:from>
    <xdr:to>
      <xdr:col>10</xdr:col>
      <xdr:colOff>447675</xdr:colOff>
      <xdr:row>114</xdr:row>
      <xdr:rowOff>19050</xdr:rowOff>
    </xdr:to>
    <xdr:sp macro="" textlink="">
      <xdr:nvSpPr>
        <xdr:cNvPr id="6156" name="Text Box 12"/>
        <xdr:cNvSpPr txBox="1">
          <a:spLocks noChangeArrowheads="1"/>
        </xdr:cNvSpPr>
      </xdr:nvSpPr>
      <xdr:spPr bwMode="auto">
        <a:xfrm>
          <a:off x="6934200" y="18630900"/>
          <a:ext cx="19812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Geneva"/>
            </a:rPr>
            <a:t>Note: total expenses for the year must equal the annual projections above.</a:t>
          </a:r>
        </a:p>
      </xdr:txBody>
    </xdr:sp>
    <xdr:clientData/>
  </xdr:twoCellAnchor>
  <xdr:twoCellAnchor>
    <xdr:from>
      <xdr:col>6</xdr:col>
      <xdr:colOff>695325</xdr:colOff>
      <xdr:row>112</xdr:row>
      <xdr:rowOff>104775</xdr:rowOff>
    </xdr:from>
    <xdr:to>
      <xdr:col>7</xdr:col>
      <xdr:colOff>314325</xdr:colOff>
      <xdr:row>112</xdr:row>
      <xdr:rowOff>104775</xdr:rowOff>
    </xdr:to>
    <xdr:sp macro="" textlink="">
      <xdr:nvSpPr>
        <xdr:cNvPr id="6159" name="Line 15"/>
        <xdr:cNvSpPr>
          <a:spLocks noChangeShapeType="1"/>
        </xdr:cNvSpPr>
      </xdr:nvSpPr>
      <xdr:spPr bwMode="auto">
        <a:xfrm flipH="1">
          <a:off x="6448425" y="18907125"/>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90</xdr:row>
      <xdr:rowOff>104775</xdr:rowOff>
    </xdr:from>
    <xdr:to>
      <xdr:col>7</xdr:col>
      <xdr:colOff>381000</xdr:colOff>
      <xdr:row>90</xdr:row>
      <xdr:rowOff>104775</xdr:rowOff>
    </xdr:to>
    <xdr:sp macro="" textlink="">
      <xdr:nvSpPr>
        <xdr:cNvPr id="6160" name="Line 16"/>
        <xdr:cNvSpPr>
          <a:spLocks noChangeShapeType="1"/>
        </xdr:cNvSpPr>
      </xdr:nvSpPr>
      <xdr:spPr bwMode="auto">
        <a:xfrm flipH="1">
          <a:off x="6610350" y="15220950"/>
          <a:ext cx="371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38100</xdr:colOff>
      <xdr:row>2</xdr:row>
      <xdr:rowOff>95250</xdr:rowOff>
    </xdr:from>
    <xdr:to>
      <xdr:col>16</xdr:col>
      <xdr:colOff>742950</xdr:colOff>
      <xdr:row>3</xdr:row>
      <xdr:rowOff>180975</xdr:rowOff>
    </xdr:to>
    <xdr:sp macro="" textlink="">
      <xdr:nvSpPr>
        <xdr:cNvPr id="8193" name="Text Box 1"/>
        <xdr:cNvSpPr txBox="1">
          <a:spLocks noChangeArrowheads="1"/>
        </xdr:cNvSpPr>
      </xdr:nvSpPr>
      <xdr:spPr bwMode="auto">
        <a:xfrm>
          <a:off x="11925300" y="552450"/>
          <a:ext cx="31146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Geneva"/>
            </a:rPr>
            <a:t>Note: these two columns must be the same</a:t>
          </a:r>
        </a:p>
      </xdr:txBody>
    </xdr:sp>
    <xdr:clientData/>
  </xdr:twoCellAnchor>
  <xdr:twoCellAnchor>
    <xdr:from>
      <xdr:col>7</xdr:col>
      <xdr:colOff>19050</xdr:colOff>
      <xdr:row>74</xdr:row>
      <xdr:rowOff>19050</xdr:rowOff>
    </xdr:from>
    <xdr:to>
      <xdr:col>7</xdr:col>
      <xdr:colOff>19050</xdr:colOff>
      <xdr:row>102</xdr:row>
      <xdr:rowOff>19050</xdr:rowOff>
    </xdr:to>
    <xdr:sp macro="" textlink="">
      <xdr:nvSpPr>
        <xdr:cNvPr id="8199" name="Line 7"/>
        <xdr:cNvSpPr>
          <a:spLocks noChangeShapeType="1"/>
        </xdr:cNvSpPr>
      </xdr:nvSpPr>
      <xdr:spPr bwMode="auto">
        <a:xfrm>
          <a:off x="7258050" y="12906375"/>
          <a:ext cx="0" cy="457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74</xdr:row>
      <xdr:rowOff>0</xdr:rowOff>
    </xdr:from>
    <xdr:to>
      <xdr:col>12</xdr:col>
      <xdr:colOff>0</xdr:colOff>
      <xdr:row>102</xdr:row>
      <xdr:rowOff>0</xdr:rowOff>
    </xdr:to>
    <xdr:sp macro="" textlink="">
      <xdr:nvSpPr>
        <xdr:cNvPr id="8200" name="Line 8"/>
        <xdr:cNvSpPr>
          <a:spLocks noChangeShapeType="1"/>
        </xdr:cNvSpPr>
      </xdr:nvSpPr>
      <xdr:spPr bwMode="auto">
        <a:xfrm>
          <a:off x="11134725" y="12887325"/>
          <a:ext cx="0" cy="457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74</xdr:row>
      <xdr:rowOff>0</xdr:rowOff>
    </xdr:from>
    <xdr:to>
      <xdr:col>17</xdr:col>
      <xdr:colOff>0</xdr:colOff>
      <xdr:row>102</xdr:row>
      <xdr:rowOff>0</xdr:rowOff>
    </xdr:to>
    <xdr:sp macro="" textlink="">
      <xdr:nvSpPr>
        <xdr:cNvPr id="8210" name="Line 18"/>
        <xdr:cNvSpPr>
          <a:spLocks noChangeShapeType="1"/>
        </xdr:cNvSpPr>
      </xdr:nvSpPr>
      <xdr:spPr bwMode="auto">
        <a:xfrm>
          <a:off x="15049500" y="12887325"/>
          <a:ext cx="0" cy="457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438150</xdr:colOff>
      <xdr:row>4</xdr:row>
      <xdr:rowOff>0</xdr:rowOff>
    </xdr:from>
    <xdr:to>
      <xdr:col>14</xdr:col>
      <xdr:colOff>438150</xdr:colOff>
      <xdr:row>6</xdr:row>
      <xdr:rowOff>190500</xdr:rowOff>
    </xdr:to>
    <xdr:sp macro="" textlink="">
      <xdr:nvSpPr>
        <xdr:cNvPr id="8415" name="Line 223"/>
        <xdr:cNvSpPr>
          <a:spLocks noChangeShapeType="1"/>
        </xdr:cNvSpPr>
      </xdr:nvSpPr>
      <xdr:spPr bwMode="auto">
        <a:xfrm>
          <a:off x="13077825" y="857250"/>
          <a:ext cx="0"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400050</xdr:colOff>
      <xdr:row>4</xdr:row>
      <xdr:rowOff>0</xdr:rowOff>
    </xdr:from>
    <xdr:to>
      <xdr:col>15</xdr:col>
      <xdr:colOff>400050</xdr:colOff>
      <xdr:row>6</xdr:row>
      <xdr:rowOff>0</xdr:rowOff>
    </xdr:to>
    <xdr:sp macro="" textlink="">
      <xdr:nvSpPr>
        <xdr:cNvPr id="8416" name="Line 224"/>
        <xdr:cNvSpPr>
          <a:spLocks noChangeShapeType="1"/>
        </xdr:cNvSpPr>
      </xdr:nvSpPr>
      <xdr:spPr bwMode="auto">
        <a:xfrm>
          <a:off x="13896975" y="857250"/>
          <a:ext cx="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 Id="rId2" Target="../drawings/vmlDrawing8.vml" Type="http://schemas.openxmlformats.org/officeDocument/2006/relationships/vmlDrawing"/>
<Relationship Id="rId3" Target="../comments8.xml" Type="http://schemas.openxmlformats.org/officeDocument/2006/relationships/comment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 Id="rId2" Target="../drawings/vmlDrawing9.vml" Type="http://schemas.openxmlformats.org/officeDocument/2006/relationships/vmlDrawing"/>
<Relationship Id="rId3" Target="../comments9.xml" Type="http://schemas.openxmlformats.org/officeDocument/2006/relationships/comment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 Id="rId2" Target="../drawings/vmlDrawing10.vml" Type="http://schemas.openxmlformats.org/officeDocument/2006/relationships/vmlDrawing"/>
<Relationship Id="rId3" Target="../comments10.xml" Type="http://schemas.openxmlformats.org/officeDocument/2006/relationships/comment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14.xml.rels><?xml version="1.0" encoding="UTF-8" standalone="no"?>
<Relationships xmlns="http://schemas.openxmlformats.org/package/2006/relationships">
<Relationship Id="rId1" Target="../printerSettings/printerSettings14.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16.bin" Type="http://schemas.openxmlformats.org/officeDocument/2006/relationships/printerSettings"/>
<Relationship Id="rId2" Target="../drawings/vmlDrawing11.vml" Type="http://schemas.openxmlformats.org/officeDocument/2006/relationships/vmlDrawing"/>
<Relationship Id="rId3" Target="../comments11.xml" Type="http://schemas.openxmlformats.org/officeDocument/2006/relationships/comments"/>
</Relationships>

</file>

<file path=xl/worksheets/_rels/sheet17.xml.rels><?xml version="1.0" encoding="UTF-8" standalone="no"?>
<Relationships xmlns="http://schemas.openxmlformats.org/package/2006/relationships">
<Relationship Id="rId1" Target="../printerSettings/printerSettings17.bin" Type="http://schemas.openxmlformats.org/officeDocument/2006/relationships/printerSettings"/>
<Relationship Id="rId2" Target="../drawings/drawing4.xml" Type="http://schemas.openxmlformats.org/officeDocument/2006/relationships/drawing"/>
</Relationships>

</file>

<file path=xl/worksheets/_rels/sheet18.xml.rels><?xml version="1.0" encoding="UTF-8" standalone="no"?>
<Relationships xmlns="http://schemas.openxmlformats.org/package/2006/relationships">
<Relationship Id="rId1" Target="../printerSettings/printerSettings18.bin" Type="http://schemas.openxmlformats.org/officeDocument/2006/relationships/printerSettings"/>
</Relationships>

</file>

<file path=xl/worksheets/_rels/sheet19.xml.rels><?xml version="1.0" encoding="UTF-8" standalone="no"?>
<Relationships xmlns="http://schemas.openxmlformats.org/package/2006/relationships">
<Relationship Id="rId1" Target="../printerSettings/printerSettings19.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20.xml.rels><?xml version="1.0" encoding="UTF-8" standalone="no"?>
<Relationships xmlns="http://schemas.openxmlformats.org/package/2006/relationships">
<Relationship Id="rId1" Target="../printerSettings/printerSettings20.bin" Type="http://schemas.openxmlformats.org/officeDocument/2006/relationships/printerSettings"/>
<Relationship Id="rId2" Target="../drawings/vmlDrawing12.vml" Type="http://schemas.openxmlformats.org/officeDocument/2006/relationships/vmlDrawing"/>
<Relationship Id="rId3" Target="../comments12.xml" Type="http://schemas.openxmlformats.org/officeDocument/2006/relationships/comments"/>
</Relationships>

</file>

<file path=xl/worksheets/_rels/sheet21.xml.rels><?xml version="1.0" encoding="UTF-8" standalone="no"?>
<Relationships xmlns="http://schemas.openxmlformats.org/package/2006/relationships">
<Relationship Id="rId1" Target="../printerSettings/printerSettings21.bin" Type="http://schemas.openxmlformats.org/officeDocument/2006/relationships/printerSettings"/>
<Relationship Id="rId2" Target="../drawings/vmlDrawing13.vml" Type="http://schemas.openxmlformats.org/officeDocument/2006/relationships/vmlDrawing"/>
<Relationship Id="rId3" Target="../comments13.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vmlDrawing3.vml" Type="http://schemas.openxmlformats.org/officeDocument/2006/relationships/vmlDrawing"/>
<Relationship Id="rId3" Target="../comments3.xml" Type="http://schemas.openxmlformats.org/officeDocument/2006/relationships/comment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3.xml" Type="http://schemas.openxmlformats.org/officeDocument/2006/relationships/drawing"/>
<Relationship Id="rId3" Target="../drawings/vmlDrawing4.vml" Type="http://schemas.openxmlformats.org/officeDocument/2006/relationships/vmlDrawing"/>
<Relationship Id="rId4" Target="../comments4.xml" Type="http://schemas.openxmlformats.org/officeDocument/2006/relationships/comment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vmlDrawing5.vml" Type="http://schemas.openxmlformats.org/officeDocument/2006/relationships/vmlDrawing"/>
<Relationship Id="rId3" Target="../comments5.xml" Type="http://schemas.openxmlformats.org/officeDocument/2006/relationships/comment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drawings/vmlDrawing6.vml" Type="http://schemas.openxmlformats.org/officeDocument/2006/relationships/vmlDrawing"/>
<Relationship Id="rId3" Target="../comments6.xml" Type="http://schemas.openxmlformats.org/officeDocument/2006/relationships/comment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 Id="rId2" Target="../drawings/vmlDrawing7.vml" Type="http://schemas.openxmlformats.org/officeDocument/2006/relationships/vmlDrawing"/>
<Relationship Id="rId3" Target="../comments7.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election activeCell="G1" sqref="G1"/>
    </sheetView>
  </sheetViews>
  <sheetFormatPr defaultRowHeight="12.75"/>
  <sheetData>
    <row r="1" spans="1:7">
      <c r="A1" s="561"/>
      <c r="B1" s="561"/>
      <c r="C1" s="561"/>
      <c r="D1" s="561"/>
      <c r="E1" s="561"/>
      <c r="F1" s="561"/>
      <c r="G1" s="561"/>
    </row>
    <row r="2" spans="1:7">
      <c r="A2" s="561"/>
      <c r="B2" s="561"/>
      <c r="C2" s="561"/>
      <c r="D2" s="561"/>
      <c r="E2" s="561"/>
      <c r="F2" s="561"/>
      <c r="G2" s="561"/>
    </row>
    <row r="3" spans="1:7" ht="16.5" customHeight="1">
      <c r="A3" s="561"/>
      <c r="B3" s="561"/>
      <c r="C3" s="561"/>
      <c r="D3" s="562"/>
      <c r="E3" s="563"/>
      <c r="F3" s="563"/>
      <c r="G3" s="563"/>
    </row>
    <row r="4" spans="1:7" ht="14.25" customHeight="1">
      <c r="A4" s="563"/>
      <c r="B4" s="563"/>
      <c r="C4" s="563"/>
      <c r="D4" s="571"/>
      <c r="E4" s="564"/>
      <c r="F4" s="564"/>
      <c r="G4" s="564"/>
    </row>
    <row r="5" spans="1:7">
      <c r="A5" s="564"/>
      <c r="B5" s="564"/>
      <c r="C5" s="564"/>
      <c r="D5" s="565"/>
      <c r="E5" s="566"/>
      <c r="F5" s="566"/>
      <c r="G5" s="566"/>
    </row>
    <row r="6" spans="1:7">
      <c r="A6" s="566"/>
      <c r="B6" s="566"/>
      <c r="C6" s="566"/>
      <c r="D6" s="565"/>
      <c r="E6" s="566"/>
      <c r="F6" s="566"/>
      <c r="G6" s="566"/>
    </row>
    <row r="7" spans="1:7" ht="18">
      <c r="A7" s="566"/>
      <c r="B7" s="566"/>
      <c r="C7" s="566"/>
      <c r="D7" s="567"/>
      <c r="E7" s="568"/>
      <c r="F7" s="568"/>
      <c r="G7" s="568"/>
    </row>
    <row r="8" spans="1:7">
      <c r="A8" s="568"/>
      <c r="B8" s="568"/>
      <c r="C8" s="568"/>
      <c r="D8" s="565"/>
      <c r="E8" s="566"/>
      <c r="F8" s="566"/>
      <c r="G8" s="566"/>
    </row>
    <row r="9" spans="1:7">
      <c r="A9" s="566"/>
      <c r="B9" s="566"/>
      <c r="C9" s="566"/>
      <c r="D9" s="565"/>
      <c r="E9" s="566"/>
      <c r="F9" s="566"/>
      <c r="G9" s="566"/>
    </row>
    <row r="10" spans="1:7" ht="18">
      <c r="A10" s="566"/>
      <c r="B10" s="566"/>
      <c r="C10" s="566"/>
      <c r="D10" s="571"/>
      <c r="E10" s="564"/>
      <c r="F10" s="564"/>
      <c r="G10" s="564"/>
    </row>
    <row r="11" spans="1:7" ht="15">
      <c r="A11" s="564"/>
      <c r="B11" s="564"/>
      <c r="C11" s="564"/>
      <c r="D11" s="569"/>
      <c r="E11" s="563"/>
      <c r="F11" s="563"/>
      <c r="G11" s="563"/>
    </row>
    <row r="12" spans="1:7" ht="15.75">
      <c r="A12" s="563"/>
      <c r="B12" s="563"/>
      <c r="C12" s="563"/>
      <c r="D12" s="570"/>
      <c r="E12" s="566"/>
      <c r="F12" s="566"/>
      <c r="G12" s="566"/>
    </row>
    <row r="13" spans="1:7">
      <c r="A13" s="566"/>
      <c r="B13" s="566"/>
      <c r="C13" s="566"/>
      <c r="D13" s="566"/>
      <c r="E13" s="566"/>
      <c r="F13" s="566"/>
      <c r="G13" s="566"/>
    </row>
    <row r="14" spans="1:7">
      <c r="A14" s="566"/>
      <c r="B14" s="566"/>
      <c r="C14" s="566"/>
      <c r="D14" s="566"/>
      <c r="E14" s="566"/>
      <c r="F14" s="566"/>
      <c r="G14" s="566"/>
    </row>
    <row r="15" spans="1:7">
      <c r="A15" s="542"/>
      <c r="B15" s="542"/>
      <c r="C15" s="542"/>
      <c r="D15" s="542"/>
      <c r="E15" s="542"/>
      <c r="F15" s="542"/>
      <c r="G15" s="542"/>
    </row>
  </sheetData>
  <phoneticPr fontId="0" type="noConversion"/>
  <pageMargins left="0.75" right="0.75" top="1" bottom="1" header="0.5" footer="0.5"/>
  <pageSetup orientation="portrait" horizontalDpi="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I137"/>
  <sheetViews>
    <sheetView topLeftCell="A16" zoomScale="70" zoomScaleNormal="70" workbookViewId="0">
      <selection activeCell="D76" sqref="D76"/>
    </sheetView>
  </sheetViews>
  <sheetFormatPr defaultColWidth="8.7109375" defaultRowHeight="12.75"/>
  <cols>
    <col min="1" max="1" width="36.140625" style="21" customWidth="1"/>
    <col min="2" max="2" width="10.28515625" style="21" customWidth="1"/>
    <col min="3" max="3" width="11.28515625" style="21" customWidth="1"/>
    <col min="4" max="4" width="10.7109375" style="21" customWidth="1"/>
    <col min="5" max="5" width="13.28515625" style="21" customWidth="1"/>
    <col min="6" max="6" width="12.85546875" style="21" customWidth="1"/>
    <col min="7" max="7" width="13.140625" style="21" customWidth="1"/>
    <col min="8" max="8" width="9.7109375" style="21" customWidth="1"/>
    <col min="9" max="16384" width="8.7109375" style="21"/>
  </cols>
  <sheetData>
    <row r="1" spans="1:9" s="207" customFormat="1" ht="23.25">
      <c r="A1" s="205" t="str">
        <f>COMPS!A1</f>
        <v>XYZ Company</v>
      </c>
      <c r="B1" s="292"/>
      <c r="C1" s="292"/>
      <c r="D1" s="292"/>
      <c r="E1" s="292"/>
      <c r="F1" s="292"/>
      <c r="G1" s="292"/>
      <c r="H1" s="610" t="s">
        <v>453</v>
      </c>
      <c r="I1" s="206"/>
    </row>
    <row r="2" spans="1:9" s="211" customFormat="1" ht="15.75">
      <c r="A2" s="208" t="s">
        <v>211</v>
      </c>
      <c r="B2" s="209"/>
      <c r="C2" s="209"/>
      <c r="D2" s="209"/>
      <c r="E2" s="209"/>
      <c r="F2" s="209"/>
      <c r="G2" s="209"/>
      <c r="H2" s="210"/>
      <c r="I2" s="210"/>
    </row>
    <row r="3" spans="1:9" s="211" customFormat="1" ht="15.75">
      <c r="A3" s="208" t="s">
        <v>71</v>
      </c>
      <c r="B3" s="209"/>
      <c r="C3" s="209"/>
      <c r="D3" s="209"/>
      <c r="E3" s="209"/>
      <c r="F3" s="209"/>
      <c r="G3" s="209"/>
      <c r="H3" s="212"/>
      <c r="I3" s="210"/>
    </row>
    <row r="4" spans="1:9" s="211" customFormat="1" ht="15.75">
      <c r="A4" s="208" t="s">
        <v>94</v>
      </c>
      <c r="B4" s="213"/>
      <c r="C4" s="209"/>
      <c r="D4" s="209"/>
      <c r="E4" s="209"/>
      <c r="F4" s="209"/>
      <c r="G4" s="209"/>
      <c r="H4" s="210"/>
      <c r="I4" s="210"/>
    </row>
    <row r="5" spans="1:9" ht="15.75">
      <c r="A5" s="40"/>
      <c r="B5" s="64" t="s">
        <v>392</v>
      </c>
      <c r="C5" s="64" t="s">
        <v>72</v>
      </c>
      <c r="D5" s="64" t="s">
        <v>73</v>
      </c>
      <c r="E5" s="64" t="s">
        <v>74</v>
      </c>
      <c r="F5" s="64" t="s">
        <v>75</v>
      </c>
      <c r="G5" s="64" t="s">
        <v>76</v>
      </c>
      <c r="H5" s="338"/>
    </row>
    <row r="6" spans="1:9" s="32" customFormat="1">
      <c r="A6" s="40"/>
      <c r="B6" s="535" t="s">
        <v>391</v>
      </c>
      <c r="C6" s="76"/>
      <c r="D6" s="76"/>
      <c r="E6" s="76"/>
      <c r="F6" s="76"/>
      <c r="G6" s="76"/>
    </row>
    <row r="7" spans="1:9" s="32" customFormat="1">
      <c r="A7" s="56" t="s">
        <v>56</v>
      </c>
      <c r="B7" s="536" t="s">
        <v>390</v>
      </c>
      <c r="C7" s="87">
        <f>REVENUE!C16</f>
        <v>1000000</v>
      </c>
      <c r="D7" s="87">
        <f>REVENUE!D16</f>
        <v>5250000</v>
      </c>
      <c r="E7" s="87">
        <f>REVENUE!E16</f>
        <v>9750000</v>
      </c>
      <c r="F7" s="87">
        <f>REVENUE!F16</f>
        <v>16250000</v>
      </c>
      <c r="G7" s="87">
        <f>REVENUE!G16</f>
        <v>26000000</v>
      </c>
    </row>
    <row r="8" spans="1:9" s="32" customFormat="1">
      <c r="A8" s="40"/>
      <c r="B8" s="161"/>
      <c r="C8" s="76"/>
      <c r="D8" s="76"/>
      <c r="E8" s="76"/>
      <c r="F8" s="76"/>
      <c r="G8" s="76"/>
    </row>
    <row r="9" spans="1:9">
      <c r="A9" s="65" t="s">
        <v>2</v>
      </c>
      <c r="B9" s="162"/>
      <c r="C9" s="162"/>
      <c r="D9" s="162"/>
      <c r="E9" s="162"/>
      <c r="F9" s="162"/>
      <c r="G9" s="162"/>
    </row>
    <row r="10" spans="1:9">
      <c r="A10" s="142" t="s">
        <v>212</v>
      </c>
      <c r="B10" s="164"/>
      <c r="C10" s="164">
        <v>20000</v>
      </c>
      <c r="D10" s="164">
        <v>100000</v>
      </c>
      <c r="E10" s="164">
        <v>200000</v>
      </c>
      <c r="F10" s="164">
        <v>250000</v>
      </c>
      <c r="G10" s="164">
        <v>350000</v>
      </c>
      <c r="H10"/>
    </row>
    <row r="11" spans="1:9">
      <c r="A11" s="142" t="s">
        <v>103</v>
      </c>
      <c r="B11" s="163"/>
      <c r="C11" s="163">
        <v>250000</v>
      </c>
      <c r="D11" s="163">
        <v>350000</v>
      </c>
      <c r="E11" s="163">
        <v>250000</v>
      </c>
      <c r="F11" s="163">
        <v>300000</v>
      </c>
      <c r="G11" s="163">
        <v>300000</v>
      </c>
      <c r="H11"/>
    </row>
    <row r="12" spans="1:9">
      <c r="A12" s="142" t="s">
        <v>142</v>
      </c>
      <c r="B12" s="163"/>
      <c r="C12" s="163">
        <v>10000</v>
      </c>
      <c r="D12" s="163">
        <v>50000</v>
      </c>
      <c r="E12" s="163">
        <v>100000</v>
      </c>
      <c r="F12" s="163">
        <v>100000</v>
      </c>
      <c r="G12" s="163">
        <v>100000</v>
      </c>
      <c r="H12"/>
    </row>
    <row r="13" spans="1:9" ht="13.5" thickBot="1">
      <c r="A13" s="326" t="s">
        <v>133</v>
      </c>
      <c r="B13" s="165">
        <f t="shared" ref="B13:G13" si="0">SUM(B10:B12)</f>
        <v>0</v>
      </c>
      <c r="C13" s="165">
        <f t="shared" si="0"/>
        <v>280000</v>
      </c>
      <c r="D13" s="165">
        <f t="shared" si="0"/>
        <v>500000</v>
      </c>
      <c r="E13" s="165">
        <f t="shared" si="0"/>
        <v>550000</v>
      </c>
      <c r="F13" s="165">
        <f t="shared" si="0"/>
        <v>650000</v>
      </c>
      <c r="G13" s="165">
        <f t="shared" si="0"/>
        <v>750000</v>
      </c>
      <c r="H13"/>
    </row>
    <row r="14" spans="1:9">
      <c r="A14" s="84" t="s">
        <v>231</v>
      </c>
      <c r="B14" s="96"/>
      <c r="C14" s="94">
        <f>C13/C7</f>
        <v>0.28000000000000003</v>
      </c>
      <c r="D14" s="94">
        <f>D13/D7</f>
        <v>9.5238095238095233E-2</v>
      </c>
      <c r="E14" s="94">
        <f>E13/E7</f>
        <v>5.6410256410256411E-2</v>
      </c>
      <c r="F14" s="94">
        <f>F13/F7</f>
        <v>0.04</v>
      </c>
      <c r="G14" s="94">
        <f>G13/G7</f>
        <v>2.8846153846153848E-2</v>
      </c>
      <c r="H14"/>
    </row>
    <row r="15" spans="1:9">
      <c r="A15" s="40"/>
      <c r="B15" s="162"/>
      <c r="C15" s="162"/>
      <c r="D15" s="162"/>
      <c r="E15" s="162"/>
      <c r="F15" s="162"/>
      <c r="G15" s="162"/>
      <c r="H15"/>
    </row>
    <row r="16" spans="1:9">
      <c r="A16" s="65" t="s">
        <v>295</v>
      </c>
      <c r="B16" s="162"/>
      <c r="C16" s="162"/>
      <c r="D16" s="162"/>
      <c r="E16" s="162"/>
      <c r="F16" s="162"/>
      <c r="G16" s="162"/>
      <c r="H16"/>
    </row>
    <row r="17" spans="1:8">
      <c r="A17" s="40" t="s">
        <v>57</v>
      </c>
      <c r="B17" s="164">
        <v>1</v>
      </c>
      <c r="C17" s="164">
        <v>3</v>
      </c>
      <c r="D17" s="164">
        <v>3</v>
      </c>
      <c r="E17" s="164">
        <v>3</v>
      </c>
      <c r="F17" s="164">
        <v>3</v>
      </c>
      <c r="G17" s="164">
        <v>3</v>
      </c>
      <c r="H17"/>
    </row>
    <row r="18" spans="1:8">
      <c r="A18" s="40" t="s">
        <v>58</v>
      </c>
      <c r="B18" s="400"/>
      <c r="C18" s="166">
        <f>$B10*1/$B17</f>
        <v>0</v>
      </c>
      <c r="D18" s="166">
        <f>IF(C18&lt;$B10,($B10*1/$B$17),0)</f>
        <v>0</v>
      </c>
      <c r="E18" s="166">
        <f>IF(SUM(C18:D18)&lt;$B10,($B10*1/$B$17),0)</f>
        <v>0</v>
      </c>
      <c r="F18" s="166">
        <f>IF(SUM(C18:E18)&lt;$B10,($B10*1/$B$17),0)</f>
        <v>0</v>
      </c>
      <c r="G18" s="166">
        <f>IF(SUM(C18:F18)&lt;$B10,($B10*1/$B$17),0)</f>
        <v>0</v>
      </c>
      <c r="H18"/>
    </row>
    <row r="19" spans="1:8">
      <c r="A19" s="40" t="s">
        <v>59</v>
      </c>
      <c r="B19" s="162"/>
      <c r="C19" s="166">
        <f>$C10*1/$C17</f>
        <v>6666.666666666667</v>
      </c>
      <c r="D19" s="166">
        <f>IF(C19&lt;$C10,($C10*1/$C$17),0)</f>
        <v>6666.666666666667</v>
      </c>
      <c r="E19" s="166">
        <f>IF(SUM(C19:D19)&lt;$C10,($C10*1/$C$17),0)</f>
        <v>6666.666666666667</v>
      </c>
      <c r="F19" s="166">
        <f>IF(SUM(C19:E19)&lt;$C10,($C10*1/$C$17),0)</f>
        <v>0</v>
      </c>
      <c r="G19" s="166">
        <f>IF(SUM(C19:F19)&lt;$C10,($C10*1/$C$17),0)</f>
        <v>0</v>
      </c>
    </row>
    <row r="20" spans="1:8">
      <c r="A20" s="40" t="s">
        <v>60</v>
      </c>
      <c r="B20" s="162"/>
      <c r="C20" s="166"/>
      <c r="D20" s="166">
        <f>$D10*1/$D$17</f>
        <v>33333.333333333336</v>
      </c>
      <c r="E20" s="166">
        <f>IF(D20&lt;$D10,($D10*1/$D$17),0)</f>
        <v>33333.333333333336</v>
      </c>
      <c r="F20" s="166">
        <f>IF(SUM(D20:E20)&lt;$D10,($D10*1/$D$17),0)</f>
        <v>33333.333333333336</v>
      </c>
      <c r="G20" s="166">
        <f>IF(SUM(D20:F20)&lt;$D10,($D10*1/$D$17),0)</f>
        <v>0</v>
      </c>
    </row>
    <row r="21" spans="1:8">
      <c r="A21" s="40" t="s">
        <v>61</v>
      </c>
      <c r="B21" s="162"/>
      <c r="C21" s="166"/>
      <c r="D21" s="166"/>
      <c r="E21" s="166">
        <f>$E10*1/$E$17</f>
        <v>66666.666666666672</v>
      </c>
      <c r="F21" s="166">
        <f>IF(E21&lt;$E10,($E10*1/$E$17),0)</f>
        <v>66666.666666666672</v>
      </c>
      <c r="G21" s="166">
        <f>IF(SUM(E21:F21)&lt;$E10,($E10*1/$E$17),0)</f>
        <v>66666.666666666672</v>
      </c>
    </row>
    <row r="22" spans="1:8">
      <c r="A22" s="40" t="s">
        <v>62</v>
      </c>
      <c r="B22" s="162"/>
      <c r="C22" s="166"/>
      <c r="D22" s="166"/>
      <c r="E22" s="166"/>
      <c r="F22" s="166">
        <f>$F10*1/$F$17</f>
        <v>83333.333333333328</v>
      </c>
      <c r="G22" s="166">
        <f>IF(F22&lt;$F10,($F10*1/$F$17),0)</f>
        <v>83333.333333333328</v>
      </c>
    </row>
    <row r="23" spans="1:8">
      <c r="A23" s="40" t="s">
        <v>63</v>
      </c>
      <c r="B23" s="162"/>
      <c r="C23" s="167"/>
      <c r="D23" s="167"/>
      <c r="E23" s="167"/>
      <c r="F23" s="167"/>
      <c r="G23" s="167">
        <f>$G10*1/G$17</f>
        <v>116666.66666666667</v>
      </c>
    </row>
    <row r="24" spans="1:8">
      <c r="A24" s="73" t="s">
        <v>124</v>
      </c>
      <c r="B24" s="162"/>
      <c r="C24" s="166">
        <f>SUM(C18:C23)</f>
        <v>6666.666666666667</v>
      </c>
      <c r="D24" s="166">
        <f>SUM(D18:D23)</f>
        <v>40000</v>
      </c>
      <c r="E24" s="166">
        <f>SUM(E18:E23)</f>
        <v>106666.66666666667</v>
      </c>
      <c r="F24" s="166">
        <f>SUM(F18:F23)</f>
        <v>183333.33333333331</v>
      </c>
      <c r="G24" s="166">
        <f>SUM(G18:G23)</f>
        <v>266666.66666666669</v>
      </c>
    </row>
    <row r="25" spans="1:8">
      <c r="A25" s="40"/>
      <c r="B25" s="162"/>
      <c r="C25" s="162"/>
      <c r="D25" s="162"/>
      <c r="E25" s="162"/>
      <c r="F25" s="162"/>
      <c r="G25" s="162"/>
    </row>
    <row r="26" spans="1:8">
      <c r="A26" s="65" t="s">
        <v>296</v>
      </c>
      <c r="B26" s="162"/>
      <c r="C26" s="162"/>
      <c r="D26" s="162"/>
      <c r="E26" s="162"/>
      <c r="F26" s="162"/>
      <c r="G26" s="162"/>
    </row>
    <row r="27" spans="1:8">
      <c r="A27" s="40" t="s">
        <v>57</v>
      </c>
      <c r="B27" s="164">
        <v>1</v>
      </c>
      <c r="C27" s="164">
        <v>7</v>
      </c>
      <c r="D27" s="164">
        <v>7</v>
      </c>
      <c r="E27" s="164">
        <v>7</v>
      </c>
      <c r="F27" s="164">
        <v>7</v>
      </c>
      <c r="G27" s="164">
        <v>7</v>
      </c>
    </row>
    <row r="28" spans="1:8">
      <c r="A28" s="40" t="s">
        <v>58</v>
      </c>
      <c r="B28" s="400"/>
      <c r="C28" s="166">
        <f>$B11*1/$B27</f>
        <v>0</v>
      </c>
      <c r="D28" s="166">
        <f>IF(C28&lt;$B11,($B11*1/$B$27),0)</f>
        <v>0</v>
      </c>
      <c r="E28" s="166">
        <f>IF(SUM(C28:D28)&lt;$B11,($B11*1/$B$27),0)</f>
        <v>0</v>
      </c>
      <c r="F28" s="166">
        <f>IF(SUM(C28:E28)&lt;$B11,($B11*1/$B$27),0)</f>
        <v>0</v>
      </c>
      <c r="G28" s="166">
        <f>IF(SUM(C28:F28)&lt;$B11,($B11*1/$B$27),0)</f>
        <v>0</v>
      </c>
    </row>
    <row r="29" spans="1:8">
      <c r="A29" s="40" t="s">
        <v>59</v>
      </c>
      <c r="B29" s="162"/>
      <c r="C29" s="166">
        <f>$C11*1/$C27</f>
        <v>35714.285714285717</v>
      </c>
      <c r="D29" s="166">
        <f>IF(C29&lt;$C11,($C11*1/$C$27),0)</f>
        <v>35714.285714285717</v>
      </c>
      <c r="E29" s="166">
        <f>IF(SUM(C29:D29)&lt;$C11,($C11*1/$C$27),0)</f>
        <v>35714.285714285717</v>
      </c>
      <c r="F29" s="166">
        <f>IF(SUM(C29:E29)&lt;$C11,($C11*1/$C$27),0)</f>
        <v>35714.285714285717</v>
      </c>
      <c r="G29" s="166">
        <f>IF(SUM(C29:F29)&lt;$C11,($C11*1/$C$27),0)</f>
        <v>35714.285714285717</v>
      </c>
    </row>
    <row r="30" spans="1:8">
      <c r="A30" s="40" t="s">
        <v>60</v>
      </c>
      <c r="B30" s="162"/>
      <c r="C30" s="166"/>
      <c r="D30" s="166">
        <f>$D11*1/$D$27</f>
        <v>50000</v>
      </c>
      <c r="E30" s="166">
        <f>IF(D30&lt;$D11,($D11*1/$D$27),0)</f>
        <v>50000</v>
      </c>
      <c r="F30" s="166">
        <f>IF(SUM(D30:E30)&lt;$D11,($D11*1/$D$27),0)</f>
        <v>50000</v>
      </c>
      <c r="G30" s="166">
        <f>IF(SUM(D30:F30)&lt;$D11,($D11*1/$D$27),0)</f>
        <v>50000</v>
      </c>
    </row>
    <row r="31" spans="1:8">
      <c r="A31" s="40" t="s">
        <v>61</v>
      </c>
      <c r="B31" s="162"/>
      <c r="C31" s="166"/>
      <c r="D31" s="166"/>
      <c r="E31" s="166">
        <f>$E11*1/$E$27</f>
        <v>35714.285714285717</v>
      </c>
      <c r="F31" s="166">
        <f>IF(E31&lt;$E11,($E11*1/$E$27),0)</f>
        <v>35714.285714285717</v>
      </c>
      <c r="G31" s="166">
        <f>IF(SUM(E31:F31)&lt;$E11,($E11*1/$E$27),0)</f>
        <v>35714.285714285717</v>
      </c>
    </row>
    <row r="32" spans="1:8">
      <c r="A32" s="40" t="s">
        <v>62</v>
      </c>
      <c r="B32" s="162"/>
      <c r="C32" s="166"/>
      <c r="D32" s="166"/>
      <c r="E32" s="166"/>
      <c r="F32" s="166">
        <f>$F11*1/$F$27</f>
        <v>42857.142857142855</v>
      </c>
      <c r="G32" s="166">
        <f>IF(F32&lt;$F11,($F11*1/$F$27),0)</f>
        <v>42857.142857142855</v>
      </c>
    </row>
    <row r="33" spans="1:8">
      <c r="A33" s="40" t="s">
        <v>63</v>
      </c>
      <c r="B33" s="162"/>
      <c r="C33" s="167"/>
      <c r="D33" s="167"/>
      <c r="E33" s="167"/>
      <c r="F33" s="167"/>
      <c r="G33" s="167">
        <f>$G11*1/G$27</f>
        <v>42857.142857142855</v>
      </c>
    </row>
    <row r="34" spans="1:8">
      <c r="A34" s="73" t="s">
        <v>124</v>
      </c>
      <c r="B34" s="162"/>
      <c r="C34" s="166">
        <f>SUM(C28:C33)</f>
        <v>35714.285714285717</v>
      </c>
      <c r="D34" s="166">
        <f>SUM(D28:D33)</f>
        <v>85714.28571428571</v>
      </c>
      <c r="E34" s="166">
        <f>SUM(E28:E33)</f>
        <v>121428.57142857142</v>
      </c>
      <c r="F34" s="166">
        <f>SUM(F28:F33)</f>
        <v>164285.71428571426</v>
      </c>
      <c r="G34" s="166">
        <f>SUM(G28:G33)</f>
        <v>207142.8571428571</v>
      </c>
    </row>
    <row r="35" spans="1:8">
      <c r="A35" s="73"/>
      <c r="B35" s="162"/>
      <c r="C35" s="166"/>
      <c r="D35" s="166"/>
      <c r="E35" s="166"/>
      <c r="F35" s="166"/>
      <c r="G35" s="166"/>
    </row>
    <row r="36" spans="1:8">
      <c r="A36" s="65" t="s">
        <v>297</v>
      </c>
      <c r="B36" s="162"/>
      <c r="C36" s="162"/>
      <c r="D36" s="162"/>
      <c r="E36" s="162"/>
      <c r="F36" s="162"/>
      <c r="G36" s="162"/>
    </row>
    <row r="37" spans="1:8">
      <c r="A37" s="40" t="s">
        <v>57</v>
      </c>
      <c r="B37" s="164">
        <v>1</v>
      </c>
      <c r="C37" s="164">
        <v>10</v>
      </c>
      <c r="D37" s="164">
        <v>10</v>
      </c>
      <c r="E37" s="164">
        <v>10</v>
      </c>
      <c r="F37" s="164">
        <v>10</v>
      </c>
      <c r="G37" s="164">
        <v>10</v>
      </c>
    </row>
    <row r="38" spans="1:8">
      <c r="A38" s="40" t="s">
        <v>58</v>
      </c>
      <c r="B38" s="162"/>
      <c r="C38" s="166">
        <f>$B12*1/$B37</f>
        <v>0</v>
      </c>
      <c r="D38" s="166">
        <f>IF(C38&lt;$B12,($B12*1/$B$37),0)</f>
        <v>0</v>
      </c>
      <c r="E38" s="166">
        <f>IF(SUM(C38:D38)&lt;$B12,($B12*1/$B$37),0)</f>
        <v>0</v>
      </c>
      <c r="F38" s="166">
        <f>IF(SUM(C38:E38)&lt;$B12,($B12*1/$B$37),0)</f>
        <v>0</v>
      </c>
      <c r="G38" s="166">
        <f>IF(SUM(C38:F38)&lt;$B12,($B12*1/$B$37),0)</f>
        <v>0</v>
      </c>
    </row>
    <row r="39" spans="1:8">
      <c r="A39" s="40" t="s">
        <v>59</v>
      </c>
      <c r="B39" s="162"/>
      <c r="C39" s="166">
        <f>$C12*1/$C37</f>
        <v>1000</v>
      </c>
      <c r="D39" s="166">
        <f>IF(C39&lt;$C12,($C12*1/$C$37),0)</f>
        <v>1000</v>
      </c>
      <c r="E39" s="166">
        <f>IF(SUM(C39:D39)&lt;$C12,($C12*1/$C$37),0)</f>
        <v>1000</v>
      </c>
      <c r="F39" s="166">
        <f>IF(SUM(C39:E39)&lt;$C12,($C12*1/$C$37),0)</f>
        <v>1000</v>
      </c>
      <c r="G39" s="166">
        <f>IF(SUM(C39:F39)&lt;$C12,($C12*1/$C$37),0)</f>
        <v>1000</v>
      </c>
      <c r="H39" s="277"/>
    </row>
    <row r="40" spans="1:8">
      <c r="A40" s="40" t="s">
        <v>60</v>
      </c>
      <c r="B40" s="162"/>
      <c r="C40" s="166"/>
      <c r="D40" s="166">
        <f>$D12*1/$D$37</f>
        <v>5000</v>
      </c>
      <c r="E40" s="166">
        <f>IF(D40&lt;D12,($D12*1/$D$37),0)</f>
        <v>5000</v>
      </c>
      <c r="F40" s="166">
        <f>IF(SUM(D40:E40)&lt;$D12,($D12*1/$D$37),0)</f>
        <v>5000</v>
      </c>
      <c r="G40" s="166">
        <f>IF(SUM(D40:F40)&lt;$D12,($D12*1/$D$37),0)</f>
        <v>5000</v>
      </c>
    </row>
    <row r="41" spans="1:8">
      <c r="A41" s="40" t="s">
        <v>61</v>
      </c>
      <c r="B41" s="162"/>
      <c r="C41" s="166"/>
      <c r="D41" s="166"/>
      <c r="E41" s="166">
        <f>$E12*1/$E$37</f>
        <v>10000</v>
      </c>
      <c r="F41" s="166">
        <f>IF(E41&lt;$E12,($E12*1/$E$37),0)</f>
        <v>10000</v>
      </c>
      <c r="G41" s="166">
        <f>IF(SUM(E41:F41)&lt;$E12,($E12*1/$E$37),0)</f>
        <v>10000</v>
      </c>
    </row>
    <row r="42" spans="1:8">
      <c r="A42" s="40" t="s">
        <v>62</v>
      </c>
      <c r="B42" s="162"/>
      <c r="C42" s="166"/>
      <c r="D42" s="166"/>
      <c r="E42" s="166"/>
      <c r="F42" s="166">
        <f>$F12*1/$F$37</f>
        <v>10000</v>
      </c>
      <c r="G42" s="166">
        <f>IF(F42&lt;$F12,($F12*1/$F$37),0)</f>
        <v>10000</v>
      </c>
    </row>
    <row r="43" spans="1:8">
      <c r="A43" s="40" t="s">
        <v>63</v>
      </c>
      <c r="B43" s="162"/>
      <c r="C43" s="167"/>
      <c r="D43" s="167"/>
      <c r="E43" s="167"/>
      <c r="F43" s="167"/>
      <c r="G43" s="167">
        <f>$G12*1/G$37</f>
        <v>10000</v>
      </c>
    </row>
    <row r="44" spans="1:8">
      <c r="A44" s="73" t="s">
        <v>124</v>
      </c>
      <c r="B44" s="162"/>
      <c r="C44" s="166">
        <f>SUM(C38:C43)</f>
        <v>1000</v>
      </c>
      <c r="D44" s="166">
        <f>SUM(D38:D43)</f>
        <v>6000</v>
      </c>
      <c r="E44" s="166">
        <f>SUM(E38:E43)</f>
        <v>16000</v>
      </c>
      <c r="F44" s="166">
        <f>SUM(F38:F43)</f>
        <v>26000</v>
      </c>
      <c r="G44" s="166">
        <f>SUM(G38:G43)</f>
        <v>36000</v>
      </c>
      <c r="H44" s="40"/>
    </row>
    <row r="45" spans="1:8">
      <c r="A45" s="73"/>
      <c r="B45" s="162"/>
      <c r="C45" s="400"/>
      <c r="D45" s="400"/>
      <c r="E45" s="400"/>
      <c r="F45" s="400"/>
      <c r="G45" s="400"/>
    </row>
    <row r="46" spans="1:8">
      <c r="A46" s="84"/>
      <c r="C46" s="96"/>
      <c r="D46" s="96"/>
      <c r="E46" s="96"/>
      <c r="F46" s="96"/>
      <c r="G46" s="96"/>
    </row>
    <row r="47" spans="1:8" ht="13.5" thickBot="1">
      <c r="A47" s="327" t="s">
        <v>232</v>
      </c>
      <c r="C47" s="409">
        <f>C24+C34+C44</f>
        <v>43380.952380952382</v>
      </c>
      <c r="D47" s="409">
        <f>D24+D34+D44</f>
        <v>131714.28571428571</v>
      </c>
      <c r="E47" s="409">
        <f>E24+E34+E44</f>
        <v>244095.23809523811</v>
      </c>
      <c r="F47" s="409">
        <f>F24+F34+F44</f>
        <v>373619.04761904757</v>
      </c>
      <c r="G47" s="409">
        <f>G24+G34+G44</f>
        <v>509809.52380952379</v>
      </c>
    </row>
    <row r="48" spans="1:8">
      <c r="A48" s="84" t="s">
        <v>55</v>
      </c>
      <c r="C48" s="94">
        <f>C47/C7</f>
        <v>4.3380952380952381E-2</v>
      </c>
      <c r="D48" s="94">
        <f>D47/D7</f>
        <v>2.5088435374149658E-2</v>
      </c>
      <c r="E48" s="94">
        <f>E47/E7</f>
        <v>2.5035409035409035E-2</v>
      </c>
      <c r="F48" s="94">
        <f>F47/F7</f>
        <v>2.2991941391941391E-2</v>
      </c>
      <c r="G48" s="94">
        <f>G47/G7</f>
        <v>1.9608058608058608E-2</v>
      </c>
    </row>
    <row r="49" spans="1:7">
      <c r="A49" s="84"/>
      <c r="B49" s="329"/>
      <c r="C49" s="96"/>
      <c r="D49" s="96"/>
      <c r="E49" s="96"/>
      <c r="F49" s="96"/>
      <c r="G49" s="96"/>
    </row>
    <row r="50" spans="1:7">
      <c r="A50" s="65" t="s">
        <v>229</v>
      </c>
      <c r="B50" s="40"/>
      <c r="C50" s="40"/>
      <c r="D50" s="40"/>
      <c r="E50" s="40"/>
      <c r="F50" s="40"/>
      <c r="G50" s="40"/>
    </row>
    <row r="51" spans="1:7">
      <c r="A51" s="40" t="s">
        <v>123</v>
      </c>
      <c r="B51" s="166">
        <f>B13</f>
        <v>0</v>
      </c>
      <c r="C51" s="166">
        <f>C13+B12</f>
        <v>280000</v>
      </c>
      <c r="D51" s="166">
        <f>C51+D13</f>
        <v>780000</v>
      </c>
      <c r="E51" s="166">
        <f>D51+E13</f>
        <v>1330000</v>
      </c>
      <c r="F51" s="166">
        <f>E51+F13</f>
        <v>1980000</v>
      </c>
      <c r="G51" s="166">
        <f>F51+G13</f>
        <v>2730000</v>
      </c>
    </row>
    <row r="52" spans="1:7">
      <c r="A52" s="40" t="s">
        <v>131</v>
      </c>
      <c r="B52" s="162"/>
      <c r="C52" s="166">
        <f>C47</f>
        <v>43380.952380952382</v>
      </c>
      <c r="D52" s="166">
        <f>C52+D47</f>
        <v>175095.23809523811</v>
      </c>
      <c r="E52" s="166">
        <f>D52+E47</f>
        <v>419190.47619047621</v>
      </c>
      <c r="F52" s="166">
        <f>E52+F47</f>
        <v>792809.52380952379</v>
      </c>
      <c r="G52" s="166">
        <f>F52+G47</f>
        <v>1302619.0476190476</v>
      </c>
    </row>
    <row r="53" spans="1:7" ht="13.5" thickBot="1">
      <c r="A53" s="73" t="s">
        <v>228</v>
      </c>
      <c r="B53" s="408">
        <f t="shared" ref="B53:G53" si="1">B51-B52</f>
        <v>0</v>
      </c>
      <c r="C53" s="408">
        <f t="shared" si="1"/>
        <v>236619.04761904763</v>
      </c>
      <c r="D53" s="408">
        <f t="shared" si="1"/>
        <v>604904.76190476189</v>
      </c>
      <c r="E53" s="408">
        <f t="shared" si="1"/>
        <v>910809.52380952379</v>
      </c>
      <c r="F53" s="408">
        <f t="shared" si="1"/>
        <v>1187190.4761904762</v>
      </c>
      <c r="G53" s="408">
        <f t="shared" si="1"/>
        <v>1427380.9523809524</v>
      </c>
    </row>
    <row r="54" spans="1:7" ht="13.5" thickTop="1">
      <c r="A54" s="84" t="s">
        <v>230</v>
      </c>
      <c r="B54" s="95"/>
      <c r="C54" s="94">
        <f>C53/C7</f>
        <v>0.23661904761904765</v>
      </c>
      <c r="D54" s="94">
        <f>D53/D7</f>
        <v>0.11521995464852608</v>
      </c>
      <c r="E54" s="94">
        <f>E53/E7</f>
        <v>9.3416361416361421E-2</v>
      </c>
      <c r="F54" s="94">
        <f>F53/F7</f>
        <v>7.3057875457875454E-2</v>
      </c>
      <c r="G54" s="94">
        <f>G53/G7</f>
        <v>5.4899267399267399E-2</v>
      </c>
    </row>
    <row r="55" spans="1:7">
      <c r="C55" s="24"/>
      <c r="D55" s="24"/>
      <c r="E55" s="24"/>
      <c r="F55" s="24"/>
      <c r="G55" s="24"/>
    </row>
    <row r="58" spans="1:7" ht="15.75">
      <c r="A58" s="46"/>
      <c r="B58" s="46"/>
      <c r="C58" s="46"/>
      <c r="D58" s="307" t="s">
        <v>236</v>
      </c>
      <c r="E58" s="309"/>
      <c r="F58" s="309"/>
      <c r="G58" s="46"/>
    </row>
    <row r="59" spans="1:7" ht="15.75">
      <c r="A59" s="46"/>
      <c r="B59" s="46"/>
      <c r="C59" s="46"/>
      <c r="D59" s="307" t="s">
        <v>94</v>
      </c>
      <c r="E59" s="309"/>
      <c r="F59" s="309"/>
      <c r="G59" s="46"/>
    </row>
    <row r="60" spans="1:7" ht="15.75">
      <c r="A60" s="46"/>
      <c r="B60" s="46"/>
      <c r="C60" s="59" t="s">
        <v>72</v>
      </c>
      <c r="D60" s="59" t="s">
        <v>73</v>
      </c>
      <c r="E60" s="59" t="s">
        <v>74</v>
      </c>
      <c r="F60" s="59" t="s">
        <v>75</v>
      </c>
      <c r="G60" s="59" t="s">
        <v>76</v>
      </c>
    </row>
    <row r="61" spans="1:7">
      <c r="A61" s="46" t="s">
        <v>172</v>
      </c>
      <c r="C61" s="370">
        <v>50000</v>
      </c>
      <c r="D61" s="370">
        <v>100000</v>
      </c>
      <c r="E61" s="437"/>
      <c r="F61" s="437"/>
      <c r="G61" s="437"/>
    </row>
    <row r="62" spans="1:7">
      <c r="A62" s="46" t="s">
        <v>173</v>
      </c>
      <c r="C62" s="370">
        <v>100000</v>
      </c>
      <c r="D62" s="370">
        <v>100000</v>
      </c>
      <c r="E62" s="329"/>
      <c r="F62" s="329"/>
      <c r="G62" s="329"/>
    </row>
    <row r="63" spans="1:7">
      <c r="A63" s="46" t="s">
        <v>174</v>
      </c>
      <c r="C63" s="391">
        <v>50000</v>
      </c>
      <c r="D63" s="391"/>
      <c r="E63" s="438"/>
      <c r="F63" s="438"/>
      <c r="G63" s="438"/>
    </row>
    <row r="64" spans="1:7">
      <c r="A64" s="303" t="s">
        <v>186</v>
      </c>
      <c r="C64" s="370">
        <f>SUM(C61:C63)</f>
        <v>200000</v>
      </c>
      <c r="D64" s="370">
        <f>SUM(D61:D63)</f>
        <v>200000</v>
      </c>
      <c r="E64" s="370">
        <v>100000</v>
      </c>
      <c r="F64" s="370">
        <v>200000</v>
      </c>
      <c r="G64" s="370">
        <v>200000</v>
      </c>
    </row>
    <row r="65" spans="1:7">
      <c r="A65" s="46" t="s">
        <v>175</v>
      </c>
      <c r="C65" s="370">
        <v>40000</v>
      </c>
      <c r="D65" s="370"/>
      <c r="E65" s="439"/>
      <c r="F65" s="439"/>
      <c r="G65" s="439"/>
    </row>
    <row r="66" spans="1:7">
      <c r="A66" s="46" t="s">
        <v>176</v>
      </c>
      <c r="C66" s="371"/>
      <c r="D66" s="370"/>
      <c r="E66" s="439"/>
      <c r="F66" s="439"/>
      <c r="G66" s="439"/>
    </row>
    <row r="67" spans="1:7">
      <c r="A67" s="46" t="s">
        <v>177</v>
      </c>
      <c r="C67" s="391"/>
      <c r="D67" s="391">
        <v>100000</v>
      </c>
      <c r="E67" s="440"/>
      <c r="F67" s="440"/>
      <c r="G67" s="440"/>
    </row>
    <row r="68" spans="1:7">
      <c r="A68" s="303" t="s">
        <v>187</v>
      </c>
      <c r="C68" s="370">
        <f>SUM(C65:C67)</f>
        <v>40000</v>
      </c>
      <c r="D68" s="370">
        <f>SUM(D65:D67)</f>
        <v>100000</v>
      </c>
      <c r="E68" s="370">
        <v>200000</v>
      </c>
      <c r="F68" s="370">
        <v>200000</v>
      </c>
      <c r="G68" s="370">
        <v>200000</v>
      </c>
    </row>
    <row r="69" spans="1:7">
      <c r="A69" s="46" t="s">
        <v>178</v>
      </c>
      <c r="C69" s="370">
        <v>40000</v>
      </c>
      <c r="D69" s="370"/>
      <c r="E69" s="437"/>
      <c r="F69" s="437"/>
      <c r="G69" s="437"/>
    </row>
    <row r="70" spans="1:7">
      <c r="A70" s="46" t="s">
        <v>179</v>
      </c>
      <c r="C70" s="370"/>
      <c r="D70" s="370"/>
      <c r="E70" s="437"/>
      <c r="F70" s="437"/>
      <c r="G70" s="437"/>
    </row>
    <row r="71" spans="1:7">
      <c r="A71" s="46" t="s">
        <v>180</v>
      </c>
      <c r="C71" s="391"/>
      <c r="D71" s="391">
        <v>100000</v>
      </c>
      <c r="E71" s="440"/>
      <c r="F71" s="440"/>
      <c r="G71" s="440"/>
    </row>
    <row r="72" spans="1:7">
      <c r="A72" s="303" t="s">
        <v>188</v>
      </c>
      <c r="C72" s="370">
        <f>SUM(C69:C71)</f>
        <v>40000</v>
      </c>
      <c r="D72" s="370">
        <f>SUM(D69:D71)</f>
        <v>100000</v>
      </c>
      <c r="E72" s="370">
        <v>100000</v>
      </c>
      <c r="F72" s="370">
        <v>100000</v>
      </c>
      <c r="G72" s="370">
        <v>200000</v>
      </c>
    </row>
    <row r="73" spans="1:7">
      <c r="A73" s="46" t="s">
        <v>181</v>
      </c>
      <c r="C73" s="370"/>
      <c r="D73" s="370"/>
      <c r="E73" s="437"/>
      <c r="F73" s="437"/>
      <c r="G73" s="437"/>
    </row>
    <row r="74" spans="1:7">
      <c r="A74" s="46" t="s">
        <v>182</v>
      </c>
      <c r="C74" s="370"/>
      <c r="D74" s="370"/>
      <c r="E74" s="437"/>
      <c r="F74" s="437"/>
      <c r="G74" s="437"/>
    </row>
    <row r="75" spans="1:7">
      <c r="A75" s="46" t="s">
        <v>183</v>
      </c>
      <c r="C75" s="391"/>
      <c r="D75" s="391">
        <v>100000</v>
      </c>
      <c r="E75" s="440"/>
      <c r="F75" s="440"/>
      <c r="G75" s="440"/>
    </row>
    <row r="76" spans="1:7">
      <c r="A76" s="303" t="s">
        <v>189</v>
      </c>
      <c r="C76" s="370">
        <f>SUM(C73:C75)</f>
        <v>0</v>
      </c>
      <c r="D76" s="370">
        <f>SUM(D73:D75)</f>
        <v>100000</v>
      </c>
      <c r="E76" s="370">
        <v>150000</v>
      </c>
      <c r="F76" s="370">
        <v>150000</v>
      </c>
      <c r="G76" s="370">
        <v>150000</v>
      </c>
    </row>
    <row r="77" spans="1:7">
      <c r="A77" s="304" t="s">
        <v>190</v>
      </c>
      <c r="C77" s="342">
        <f>C64+C68+C72+C76</f>
        <v>280000</v>
      </c>
      <c r="D77" s="342">
        <f>D64+D68+D72+D76</f>
        <v>500000</v>
      </c>
      <c r="E77" s="342">
        <f>E64+E68+E72+E76</f>
        <v>550000</v>
      </c>
      <c r="F77" s="342">
        <f>F64+F68+F72+F76</f>
        <v>650000</v>
      </c>
      <c r="G77" s="342">
        <f>G64+G68+G72+G76</f>
        <v>750000</v>
      </c>
    </row>
    <row r="81" spans="1:7" ht="15.75">
      <c r="A81" s="46"/>
      <c r="B81" s="46"/>
      <c r="C81" s="46"/>
      <c r="D81" s="307"/>
      <c r="E81" s="309"/>
      <c r="F81" s="309"/>
      <c r="G81" s="46"/>
    </row>
    <row r="82" spans="1:7" ht="15.75">
      <c r="A82" s="46"/>
      <c r="B82" s="46"/>
      <c r="C82" s="46"/>
      <c r="D82" s="307"/>
      <c r="E82" s="309"/>
      <c r="F82" s="309"/>
      <c r="G82" s="46"/>
    </row>
    <row r="83" spans="1:7" ht="15.75">
      <c r="A83" s="46"/>
      <c r="B83" s="46"/>
      <c r="C83" s="59"/>
      <c r="D83" s="59"/>
      <c r="E83" s="59"/>
      <c r="F83" s="59"/>
      <c r="G83" s="59"/>
    </row>
    <row r="84" spans="1:7">
      <c r="A84" s="46"/>
    </row>
    <row r="85" spans="1:7">
      <c r="A85" s="46"/>
    </row>
    <row r="86" spans="1:7">
      <c r="A86" s="46"/>
    </row>
    <row r="87" spans="1:7">
      <c r="A87" s="303"/>
    </row>
    <row r="88" spans="1:7">
      <c r="A88" s="46"/>
    </row>
    <row r="89" spans="1:7">
      <c r="A89" s="46"/>
    </row>
    <row r="90" spans="1:7">
      <c r="A90" s="46"/>
    </row>
    <row r="91" spans="1:7">
      <c r="A91" s="303"/>
    </row>
    <row r="92" spans="1:7">
      <c r="A92" s="46"/>
    </row>
    <row r="93" spans="1:7">
      <c r="A93" s="46"/>
    </row>
    <row r="94" spans="1:7">
      <c r="A94" s="46"/>
    </row>
    <row r="95" spans="1:7">
      <c r="A95" s="303"/>
    </row>
    <row r="96" spans="1:7">
      <c r="A96" s="46"/>
    </row>
    <row r="97" spans="1:1">
      <c r="A97" s="46"/>
    </row>
    <row r="98" spans="1:1">
      <c r="A98" s="46"/>
    </row>
    <row r="99" spans="1:1">
      <c r="A99" s="303"/>
    </row>
    <row r="100" spans="1:1">
      <c r="A100" s="304"/>
    </row>
    <row r="136" spans="1:7">
      <c r="A136" s="20"/>
      <c r="B136" s="22"/>
      <c r="C136" s="22"/>
      <c r="D136" s="22"/>
      <c r="E136" s="22"/>
      <c r="F136" s="22"/>
      <c r="G136" s="22"/>
    </row>
    <row r="137" spans="1:7">
      <c r="B137" s="23"/>
      <c r="C137" s="23"/>
      <c r="D137" s="23"/>
      <c r="E137" s="23"/>
      <c r="F137" s="23"/>
      <c r="G137" s="23"/>
    </row>
  </sheetData>
  <phoneticPr fontId="0" type="noConversion"/>
  <pageMargins left="0.75" right="0.75" top="0.5" bottom="0.5" header="0.5" footer="0.5"/>
  <pageSetup scale="69" fitToHeight="2" orientation="portrait" horizontalDpi="300" verticalDpi="300" r:id="rId1"/>
  <headerFooter alignWithMargins="0">
    <oddHeader>&amp;R&amp;D
&amp;T</oddHeader>
  </headerFooter>
  <rowBreaks count="1" manualBreakCount="1">
    <brk id="93" max="6553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O146"/>
  <sheetViews>
    <sheetView topLeftCell="A64" zoomScale="60" zoomScaleNormal="60" workbookViewId="0">
      <selection activeCell="I85" sqref="I85"/>
    </sheetView>
  </sheetViews>
  <sheetFormatPr defaultColWidth="8.7109375" defaultRowHeight="12.75"/>
  <cols>
    <col min="1" max="1" width="36.28515625" style="39" customWidth="1"/>
    <col min="2" max="2" width="3.5703125" style="39" customWidth="1"/>
    <col min="3" max="3" width="12.42578125" style="39" customWidth="1"/>
    <col min="4" max="4" width="13.28515625" style="39" customWidth="1"/>
    <col min="5" max="5" width="14.5703125" style="39" customWidth="1"/>
    <col min="6" max="6" width="15" style="39" customWidth="1"/>
    <col min="7" max="7" width="13.140625" style="39" customWidth="1"/>
    <col min="8" max="8" width="10.85546875" style="39" customWidth="1"/>
    <col min="9" max="9" width="9" style="39" customWidth="1"/>
    <col min="10" max="10" width="11.5703125" style="39" customWidth="1"/>
    <col min="11" max="12" width="10.7109375" style="39" customWidth="1"/>
    <col min="13" max="13" width="12.7109375" style="39" customWidth="1"/>
    <col min="14" max="14" width="9.85546875" style="39" customWidth="1"/>
    <col min="15" max="15" width="11" style="39" customWidth="1"/>
    <col min="16" max="16" width="10.140625" style="39" customWidth="1"/>
    <col min="17" max="16384" width="8.7109375" style="39"/>
  </cols>
  <sheetData>
    <row r="1" spans="1:8" ht="20.25">
      <c r="A1" s="222" t="str">
        <f>COMPS!A1</f>
        <v>XYZ Company</v>
      </c>
      <c r="B1" s="288"/>
      <c r="C1" s="288"/>
      <c r="D1" s="288"/>
      <c r="E1" s="288"/>
      <c r="F1" s="288"/>
      <c r="G1" s="288"/>
      <c r="H1" s="610" t="s">
        <v>453</v>
      </c>
    </row>
    <row r="2" spans="1:8" s="266" customFormat="1" ht="15.75">
      <c r="A2" s="221" t="s">
        <v>69</v>
      </c>
    </row>
    <row r="3" spans="1:8" s="266" customFormat="1" ht="15.75">
      <c r="A3" s="221" t="s">
        <v>71</v>
      </c>
    </row>
    <row r="4" spans="1:8" s="266" customFormat="1" ht="15.75">
      <c r="A4" s="221" t="s">
        <v>94</v>
      </c>
    </row>
    <row r="5" spans="1:8" ht="15.75">
      <c r="C5" s="191" t="s">
        <v>72</v>
      </c>
      <c r="D5" s="191" t="s">
        <v>73</v>
      </c>
      <c r="E5" s="191" t="s">
        <v>74</v>
      </c>
      <c r="F5" s="191" t="s">
        <v>75</v>
      </c>
      <c r="G5" s="191" t="s">
        <v>76</v>
      </c>
      <c r="H5" s="416"/>
    </row>
    <row r="6" spans="1:8" ht="15">
      <c r="A6" s="56" t="s">
        <v>56</v>
      </c>
      <c r="C6" s="526">
        <f>REVENUE!C16</f>
        <v>1000000</v>
      </c>
      <c r="D6" s="526">
        <f>REVENUE!D16</f>
        <v>5250000</v>
      </c>
      <c r="E6" s="526">
        <f>REVENUE!E16</f>
        <v>9750000</v>
      </c>
      <c r="F6" s="526">
        <f>REVENUE!F16</f>
        <v>16250000</v>
      </c>
      <c r="G6" s="526">
        <f>REVENUE!G16</f>
        <v>26000000</v>
      </c>
      <c r="H6" s="417"/>
    </row>
    <row r="7" spans="1:8" ht="15.75">
      <c r="A7" s="56"/>
      <c r="C7" s="61"/>
      <c r="D7" s="61"/>
      <c r="E7" s="61"/>
      <c r="F7" s="61"/>
      <c r="G7" s="61"/>
      <c r="H7" s="418"/>
    </row>
    <row r="8" spans="1:8" ht="15.75">
      <c r="A8" s="56"/>
      <c r="C8" s="61"/>
      <c r="D8" s="61"/>
      <c r="E8" s="61"/>
      <c r="F8" s="61"/>
      <c r="G8" s="61"/>
      <c r="H8" s="419"/>
    </row>
    <row r="9" spans="1:8">
      <c r="A9" s="62" t="s">
        <v>119</v>
      </c>
      <c r="C9" s="267"/>
      <c r="D9" s="267"/>
      <c r="E9" s="267"/>
      <c r="F9" s="267"/>
      <c r="G9" s="267"/>
      <c r="H9" s="119"/>
    </row>
    <row r="10" spans="1:8">
      <c r="A10" s="378" t="s">
        <v>145</v>
      </c>
      <c r="C10" s="608">
        <v>8.3000000000000004E-2</v>
      </c>
      <c r="D10" s="608">
        <v>8.3000000000000004E-2</v>
      </c>
      <c r="E10" s="608">
        <v>8.3000000000000004E-2</v>
      </c>
      <c r="F10" s="608">
        <v>8.3000000000000004E-2</v>
      </c>
      <c r="G10" s="608">
        <v>8.3000000000000004E-2</v>
      </c>
      <c r="H10" s="418"/>
    </row>
    <row r="11" spans="1:8">
      <c r="A11" s="378" t="s">
        <v>274</v>
      </c>
      <c r="C11" s="607">
        <f>C10*360</f>
        <v>29.880000000000003</v>
      </c>
      <c r="D11" s="607">
        <f>D10*360</f>
        <v>29.880000000000003</v>
      </c>
      <c r="E11" s="607">
        <f>E10*360</f>
        <v>29.880000000000003</v>
      </c>
      <c r="F11" s="607">
        <f>F10*360</f>
        <v>29.880000000000003</v>
      </c>
      <c r="G11" s="607">
        <f>G10*360</f>
        <v>29.880000000000003</v>
      </c>
    </row>
    <row r="12" spans="1:8">
      <c r="A12" s="378" t="s">
        <v>275</v>
      </c>
      <c r="C12" s="269">
        <f>C78</f>
        <v>149400.00000000003</v>
      </c>
      <c r="D12" s="269">
        <f>D78</f>
        <v>627480.00000000012</v>
      </c>
      <c r="E12" s="269">
        <f>E78</f>
        <v>913000</v>
      </c>
      <c r="F12" s="269">
        <f>F78</f>
        <v>1577000</v>
      </c>
      <c r="G12" s="269">
        <f>G78</f>
        <v>2656000.0000000005</v>
      </c>
    </row>
    <row r="13" spans="1:8">
      <c r="A13" s="378" t="s">
        <v>281</v>
      </c>
      <c r="C13" s="269">
        <f>-C12</f>
        <v>-149400.00000000003</v>
      </c>
      <c r="D13" s="269">
        <f>-(D12-C12)</f>
        <v>-478080.00000000012</v>
      </c>
      <c r="E13" s="269">
        <f>-(E12-D12)</f>
        <v>-285519.99999999988</v>
      </c>
      <c r="F13" s="269">
        <f>-(F12-E12)</f>
        <v>-664000</v>
      </c>
      <c r="G13" s="269">
        <f>-(G12-F12)</f>
        <v>-1079000.0000000005</v>
      </c>
      <c r="H13" s="420"/>
    </row>
    <row r="14" spans="1:8">
      <c r="C14" s="267"/>
      <c r="D14" s="267"/>
      <c r="E14" s="267"/>
      <c r="F14" s="267"/>
      <c r="G14" s="267"/>
      <c r="H14" s="421"/>
    </row>
    <row r="15" spans="1:8">
      <c r="A15" s="63" t="s">
        <v>120</v>
      </c>
      <c r="C15" s="267"/>
      <c r="D15" s="267"/>
      <c r="E15" s="267"/>
      <c r="F15" s="267"/>
      <c r="G15" s="267"/>
      <c r="H15" s="48"/>
    </row>
    <row r="16" spans="1:8">
      <c r="A16" s="378" t="s">
        <v>145</v>
      </c>
      <c r="C16" s="268">
        <v>8.3000000000000004E-2</v>
      </c>
      <c r="D16" s="268">
        <v>8.3000000000000004E-2</v>
      </c>
      <c r="E16" s="268">
        <v>6.7000000000000004E-2</v>
      </c>
      <c r="F16" s="268">
        <v>6.7000000000000004E-2</v>
      </c>
      <c r="G16" s="268">
        <v>6.7000000000000004E-2</v>
      </c>
    </row>
    <row r="17" spans="1:8">
      <c r="A17" s="378" t="s">
        <v>454</v>
      </c>
      <c r="B17" s="48"/>
      <c r="C17" s="380">
        <f>IF(C18&lt;=0,0,ROUND(360/C18,0))</f>
        <v>12</v>
      </c>
      <c r="D17" s="380">
        <f>IF(D18&lt;=0,0,ROUND(360/D18,0))</f>
        <v>12</v>
      </c>
      <c r="E17" s="380">
        <f>IF(E18&lt;=0,0,ROUND(360/E18,0))</f>
        <v>15</v>
      </c>
      <c r="F17" s="380">
        <f>IF(F18&lt;=0,0,ROUND(360/F18,0))</f>
        <v>15</v>
      </c>
      <c r="G17" s="380">
        <f>IF(G18&lt;=0,0,ROUND(360/G18,0))</f>
        <v>15</v>
      </c>
    </row>
    <row r="18" spans="1:8">
      <c r="A18" s="378" t="s">
        <v>276</v>
      </c>
      <c r="C18" s="380">
        <f>C16*360</f>
        <v>29.880000000000003</v>
      </c>
      <c r="D18" s="380">
        <f>D16*360</f>
        <v>29.880000000000003</v>
      </c>
      <c r="E18" s="380">
        <f>E16*360</f>
        <v>24.12</v>
      </c>
      <c r="F18" s="380">
        <f>F16*360</f>
        <v>24.12</v>
      </c>
      <c r="G18" s="380">
        <f>G16*360</f>
        <v>24.12</v>
      </c>
      <c r="H18" s="48"/>
    </row>
    <row r="19" spans="1:8">
      <c r="A19" s="378" t="s">
        <v>277</v>
      </c>
      <c r="C19" s="269">
        <f>C95</f>
        <v>149400.00000000003</v>
      </c>
      <c r="D19" s="269">
        <f>D95</f>
        <v>627480.00000000012</v>
      </c>
      <c r="E19" s="269">
        <f>E95</f>
        <v>737000</v>
      </c>
      <c r="F19" s="269">
        <f>F95</f>
        <v>1273000</v>
      </c>
      <c r="G19" s="269">
        <f>G95</f>
        <v>2144000</v>
      </c>
      <c r="H19" s="96"/>
    </row>
    <row r="20" spans="1:8">
      <c r="A20" s="378" t="s">
        <v>281</v>
      </c>
      <c r="C20" s="269">
        <f>-C19</f>
        <v>-149400.00000000003</v>
      </c>
      <c r="D20" s="269">
        <f>-(D19-C19)</f>
        <v>-478080.00000000012</v>
      </c>
      <c r="E20" s="269">
        <f>-(E19-D19)</f>
        <v>-109519.99999999988</v>
      </c>
      <c r="F20" s="269">
        <f>-(F19-E19)</f>
        <v>-536000</v>
      </c>
      <c r="G20" s="269">
        <f>-(G19-F19)</f>
        <v>-871000</v>
      </c>
      <c r="H20" s="48"/>
    </row>
    <row r="21" spans="1:8">
      <c r="C21" s="267"/>
      <c r="D21" s="267"/>
      <c r="E21" s="267"/>
      <c r="F21" s="267"/>
      <c r="G21" s="267"/>
      <c r="H21" s="48"/>
    </row>
    <row r="22" spans="1:8">
      <c r="A22" s="63" t="s">
        <v>121</v>
      </c>
      <c r="C22" s="267"/>
      <c r="D22" s="267"/>
      <c r="E22" s="267"/>
      <c r="F22" s="267"/>
      <c r="G22" s="267"/>
      <c r="H22" s="48"/>
    </row>
    <row r="23" spans="1:8">
      <c r="A23" s="378" t="s">
        <v>145</v>
      </c>
      <c r="C23" s="268">
        <v>0.01</v>
      </c>
      <c r="D23" s="268">
        <v>0.01</v>
      </c>
      <c r="E23" s="268">
        <v>0.01</v>
      </c>
      <c r="F23" s="268">
        <v>0.01</v>
      </c>
      <c r="G23" s="268">
        <v>0.01</v>
      </c>
      <c r="H23" s="48"/>
    </row>
    <row r="24" spans="1:8">
      <c r="A24" s="378" t="s">
        <v>272</v>
      </c>
      <c r="C24" s="381">
        <f>C23*360</f>
        <v>3.6</v>
      </c>
      <c r="D24" s="381">
        <f>D23*360</f>
        <v>3.6</v>
      </c>
      <c r="E24" s="381">
        <f>E23*360</f>
        <v>3.6</v>
      </c>
      <c r="F24" s="381">
        <f>F23*360</f>
        <v>3.6</v>
      </c>
      <c r="G24" s="381">
        <f>G23*360</f>
        <v>3.6</v>
      </c>
      <c r="H24" s="418"/>
    </row>
    <row r="25" spans="1:8">
      <c r="A25" s="378" t="s">
        <v>278</v>
      </c>
      <c r="C25" s="269">
        <f>C112</f>
        <v>18000</v>
      </c>
      <c r="D25" s="269">
        <f>D112</f>
        <v>75600</v>
      </c>
      <c r="E25" s="269">
        <f>E112</f>
        <v>110000</v>
      </c>
      <c r="F25" s="269">
        <f>F112</f>
        <v>190000</v>
      </c>
      <c r="G25" s="269">
        <f>G112</f>
        <v>320000</v>
      </c>
      <c r="H25" s="96"/>
    </row>
    <row r="26" spans="1:8">
      <c r="A26" s="378" t="s">
        <v>281</v>
      </c>
      <c r="C26" s="269">
        <f>-C25</f>
        <v>-18000</v>
      </c>
      <c r="D26" s="269">
        <f>-(D25-C25)</f>
        <v>-57600</v>
      </c>
      <c r="E26" s="269">
        <f>-(E25-D25)</f>
        <v>-34400</v>
      </c>
      <c r="F26" s="269">
        <f>-(F25-E25)</f>
        <v>-80000</v>
      </c>
      <c r="G26" s="269">
        <f>-(G25-F25)</f>
        <v>-130000</v>
      </c>
      <c r="H26" s="48"/>
    </row>
    <row r="27" spans="1:8">
      <c r="A27" s="378"/>
      <c r="C27" s="267"/>
      <c r="D27" s="267"/>
      <c r="E27" s="267"/>
      <c r="F27" s="267"/>
      <c r="G27" s="267"/>
      <c r="H27" s="48"/>
    </row>
    <row r="28" spans="1:8">
      <c r="A28" s="63" t="s">
        <v>122</v>
      </c>
      <c r="C28" s="267"/>
      <c r="D28" s="267"/>
      <c r="E28" s="267"/>
      <c r="F28" s="267"/>
      <c r="G28" s="267"/>
      <c r="H28" s="48"/>
    </row>
    <row r="29" spans="1:8">
      <c r="A29" s="378" t="s">
        <v>145</v>
      </c>
      <c r="C29" s="268">
        <v>8.6999999999999994E-2</v>
      </c>
      <c r="D29" s="268">
        <v>8.6999999999999994E-2</v>
      </c>
      <c r="E29" s="268">
        <v>8.6999999999999994E-2</v>
      </c>
      <c r="F29" s="268">
        <v>8.6999999999999994E-2</v>
      </c>
      <c r="G29" s="268">
        <v>8.6999999999999994E-2</v>
      </c>
      <c r="H29" s="418"/>
    </row>
    <row r="30" spans="1:8">
      <c r="A30" s="378" t="s">
        <v>272</v>
      </c>
      <c r="C30" s="328">
        <f>C29*360</f>
        <v>31.319999999999997</v>
      </c>
      <c r="D30" s="328">
        <f>D29*360</f>
        <v>31.319999999999997</v>
      </c>
      <c r="E30" s="328">
        <f>E29*360</f>
        <v>31.319999999999997</v>
      </c>
      <c r="F30" s="328">
        <f>F29*360</f>
        <v>31.319999999999997</v>
      </c>
      <c r="G30" s="328">
        <f>G29*360</f>
        <v>31.319999999999997</v>
      </c>
      <c r="H30" s="48"/>
    </row>
    <row r="31" spans="1:8">
      <c r="A31" s="378" t="s">
        <v>273</v>
      </c>
      <c r="C31" s="269">
        <f>C129</f>
        <v>155720</v>
      </c>
      <c r="D31" s="269">
        <f>D129</f>
        <v>657719.99999999988</v>
      </c>
      <c r="E31" s="269">
        <f>E129</f>
        <v>956999.99999999988</v>
      </c>
      <c r="F31" s="269">
        <f>F129</f>
        <v>1652999.9999999998</v>
      </c>
      <c r="G31" s="269">
        <f>G129</f>
        <v>2783999.9999999995</v>
      </c>
      <c r="H31" s="422"/>
    </row>
    <row r="32" spans="1:8">
      <c r="A32" s="378" t="s">
        <v>282</v>
      </c>
      <c r="C32" s="269">
        <f>C31</f>
        <v>155720</v>
      </c>
      <c r="D32" s="269">
        <f>(D31-C31)</f>
        <v>501999.99999999988</v>
      </c>
      <c r="E32" s="269">
        <f>(E31-D31)</f>
        <v>299280</v>
      </c>
      <c r="F32" s="269">
        <f>(F31-E31)</f>
        <v>695999.99999999988</v>
      </c>
      <c r="G32" s="269">
        <f>(G31-F31)</f>
        <v>1130999.9999999998</v>
      </c>
      <c r="H32" s="418"/>
    </row>
    <row r="33" spans="1:8">
      <c r="C33" s="267"/>
      <c r="D33" s="267"/>
      <c r="E33" s="267"/>
      <c r="F33" s="267"/>
      <c r="G33" s="267"/>
      <c r="H33" s="418"/>
    </row>
    <row r="34" spans="1:8">
      <c r="A34" s="63" t="s">
        <v>134</v>
      </c>
      <c r="C34" s="267"/>
      <c r="D34" s="267"/>
      <c r="E34" s="267"/>
      <c r="F34" s="267"/>
      <c r="G34" s="267"/>
      <c r="H34" s="418"/>
    </row>
    <row r="35" spans="1:8">
      <c r="A35" s="378" t="s">
        <v>145</v>
      </c>
      <c r="C35" s="270">
        <v>0.01</v>
      </c>
      <c r="D35" s="270">
        <v>0.01</v>
      </c>
      <c r="E35" s="270">
        <v>0.01</v>
      </c>
      <c r="F35" s="270">
        <v>0.01</v>
      </c>
      <c r="G35" s="270">
        <v>0.01</v>
      </c>
    </row>
    <row r="36" spans="1:8">
      <c r="A36" s="378" t="s">
        <v>272</v>
      </c>
      <c r="C36" s="382">
        <f>C35*360</f>
        <v>3.6</v>
      </c>
      <c r="D36" s="382">
        <f>D35*360</f>
        <v>3.6</v>
      </c>
      <c r="E36" s="382">
        <f>E35*360</f>
        <v>3.6</v>
      </c>
      <c r="F36" s="382">
        <f>F35*360</f>
        <v>3.6</v>
      </c>
      <c r="G36" s="382">
        <f>G35*360</f>
        <v>3.6</v>
      </c>
    </row>
    <row r="37" spans="1:8">
      <c r="A37" s="378" t="s">
        <v>279</v>
      </c>
      <c r="C37" s="269">
        <f>C146</f>
        <v>18000</v>
      </c>
      <c r="D37" s="269">
        <f>D146</f>
        <v>75600</v>
      </c>
      <c r="E37" s="269">
        <f>E146</f>
        <v>110000</v>
      </c>
      <c r="F37" s="269">
        <f>F146</f>
        <v>190000</v>
      </c>
      <c r="G37" s="269">
        <f>G146</f>
        <v>320000</v>
      </c>
    </row>
    <row r="38" spans="1:8">
      <c r="A38" s="378" t="s">
        <v>282</v>
      </c>
      <c r="C38" s="269">
        <f>C37</f>
        <v>18000</v>
      </c>
      <c r="D38" s="269">
        <f>D37-C37</f>
        <v>57600</v>
      </c>
      <c r="E38" s="269">
        <f>E37-D37</f>
        <v>34400</v>
      </c>
      <c r="F38" s="269">
        <f>F37-E37</f>
        <v>80000</v>
      </c>
      <c r="G38" s="269">
        <f>G37-F37</f>
        <v>130000</v>
      </c>
    </row>
    <row r="40" spans="1:8">
      <c r="B40" s="267"/>
      <c r="C40" s="48"/>
      <c r="D40" s="48"/>
      <c r="E40" s="48"/>
      <c r="F40" s="48"/>
      <c r="G40" s="48"/>
    </row>
    <row r="41" spans="1:8">
      <c r="B41" s="267"/>
    </row>
    <row r="42" spans="1:8" ht="15.75">
      <c r="A42" s="341" t="s">
        <v>191</v>
      </c>
      <c r="C42" s="309"/>
      <c r="E42" s="309"/>
      <c r="F42" s="309"/>
      <c r="G42" s="46"/>
    </row>
    <row r="43" spans="1:8" ht="15.75">
      <c r="A43" s="46"/>
      <c r="B43" s="46"/>
      <c r="C43" s="46"/>
      <c r="D43" s="307" t="s">
        <v>94</v>
      </c>
      <c r="E43" s="309"/>
      <c r="F43" s="309"/>
      <c r="G43" s="46"/>
    </row>
    <row r="44" spans="1:8" ht="15.75">
      <c r="A44" s="46"/>
      <c r="B44" s="46"/>
      <c r="C44" s="59" t="s">
        <v>72</v>
      </c>
      <c r="D44" s="59" t="s">
        <v>73</v>
      </c>
      <c r="E44" s="59" t="s">
        <v>74</v>
      </c>
      <c r="F44" s="59" t="s">
        <v>75</v>
      </c>
      <c r="G44" s="59" t="s">
        <v>76</v>
      </c>
    </row>
    <row r="45" spans="1:8">
      <c r="A45" s="46" t="s">
        <v>172</v>
      </c>
      <c r="B45" s="46"/>
      <c r="C45" s="174">
        <f>REVENUE!C22</f>
        <v>0</v>
      </c>
      <c r="D45" s="174">
        <f>REVENUE!D22</f>
        <v>262500</v>
      </c>
      <c r="E45" s="174">
        <f>REVENUE!E22</f>
        <v>0</v>
      </c>
      <c r="F45" s="174">
        <f>REVENUE!F22</f>
        <v>0</v>
      </c>
      <c r="G45" s="174">
        <f>REVENUE!G22</f>
        <v>0</v>
      </c>
    </row>
    <row r="46" spans="1:8">
      <c r="A46" s="46" t="s">
        <v>173</v>
      </c>
      <c r="C46" s="174">
        <f>REVENUE!C23</f>
        <v>0</v>
      </c>
      <c r="D46" s="174">
        <f>REVENUE!D23</f>
        <v>262500</v>
      </c>
      <c r="E46" s="174">
        <f>REVENUE!E23</f>
        <v>0</v>
      </c>
      <c r="F46" s="174">
        <f>REVENUE!F23</f>
        <v>0</v>
      </c>
      <c r="G46" s="174">
        <f>REVENUE!G23</f>
        <v>0</v>
      </c>
    </row>
    <row r="47" spans="1:8" ht="15.75" customHeight="1">
      <c r="A47" s="46" t="s">
        <v>174</v>
      </c>
      <c r="C47" s="332">
        <f>REVENUE!C24</f>
        <v>0</v>
      </c>
      <c r="D47" s="332">
        <f>REVENUE!D24</f>
        <v>367500.00000000006</v>
      </c>
      <c r="E47" s="332">
        <f>REVENUE!E24</f>
        <v>0</v>
      </c>
      <c r="F47" s="332">
        <f>REVENUE!F24</f>
        <v>0</v>
      </c>
      <c r="G47" s="332">
        <f>REVENUE!G24</f>
        <v>0</v>
      </c>
    </row>
    <row r="48" spans="1:8">
      <c r="A48" s="303" t="s">
        <v>186</v>
      </c>
      <c r="C48" s="383">
        <f>REVENUE!C25</f>
        <v>0</v>
      </c>
      <c r="D48" s="383">
        <f>REVENUE!D25</f>
        <v>892500</v>
      </c>
      <c r="E48" s="383">
        <f>REVENUE!E25</f>
        <v>2000000</v>
      </c>
      <c r="F48" s="383">
        <f>REVENUE!F25</f>
        <v>3000000</v>
      </c>
      <c r="G48" s="383">
        <f>REVENUE!G25</f>
        <v>5000000</v>
      </c>
    </row>
    <row r="49" spans="1:9">
      <c r="A49" s="46" t="s">
        <v>175</v>
      </c>
      <c r="C49" s="174">
        <f>REVENUE!C26</f>
        <v>50000</v>
      </c>
      <c r="D49" s="174">
        <f>REVENUE!D26</f>
        <v>315000</v>
      </c>
      <c r="E49" s="174">
        <f>REVENUE!E26</f>
        <v>0</v>
      </c>
      <c r="F49" s="174">
        <f>REVENUE!F26</f>
        <v>0</v>
      </c>
      <c r="G49" s="174">
        <f>REVENUE!G26</f>
        <v>0</v>
      </c>
    </row>
    <row r="50" spans="1:9">
      <c r="A50" s="46" t="s">
        <v>176</v>
      </c>
      <c r="C50" s="174">
        <f>REVENUE!C27</f>
        <v>80000</v>
      </c>
      <c r="D50" s="174">
        <f>REVENUE!D27</f>
        <v>367500.00000000006</v>
      </c>
      <c r="E50" s="174">
        <f>REVENUE!E27</f>
        <v>0</v>
      </c>
      <c r="F50" s="174">
        <f>REVENUE!F27</f>
        <v>0</v>
      </c>
      <c r="G50" s="174">
        <f>REVENUE!G27</f>
        <v>0</v>
      </c>
    </row>
    <row r="51" spans="1:9">
      <c r="A51" s="46" t="s">
        <v>177</v>
      </c>
      <c r="C51" s="332">
        <f>REVENUE!C28</f>
        <v>100000</v>
      </c>
      <c r="D51" s="332">
        <f>REVENUE!D28</f>
        <v>367500.00000000006</v>
      </c>
      <c r="E51" s="332">
        <f>REVENUE!E28</f>
        <v>0</v>
      </c>
      <c r="F51" s="332">
        <f>REVENUE!F28</f>
        <v>0</v>
      </c>
      <c r="G51" s="332">
        <f>REVENUE!G28</f>
        <v>0</v>
      </c>
    </row>
    <row r="52" spans="1:9">
      <c r="A52" s="303" t="s">
        <v>187</v>
      </c>
      <c r="C52" s="383">
        <f>REVENUE!C29</f>
        <v>230000</v>
      </c>
      <c r="D52" s="383">
        <f>REVENUE!D29</f>
        <v>1050000</v>
      </c>
      <c r="E52" s="383">
        <f>REVENUE!E29</f>
        <v>2500000</v>
      </c>
      <c r="F52" s="383">
        <f>REVENUE!F29</f>
        <v>4000000</v>
      </c>
      <c r="G52" s="383">
        <f>REVENUE!G29</f>
        <v>6000000</v>
      </c>
    </row>
    <row r="53" spans="1:9">
      <c r="A53" s="46" t="s">
        <v>178</v>
      </c>
      <c r="C53" s="174">
        <f>REVENUE!C30</f>
        <v>100000</v>
      </c>
      <c r="D53" s="174">
        <f>REVENUE!D30</f>
        <v>420000</v>
      </c>
      <c r="E53" s="174">
        <f>REVENUE!E30</f>
        <v>0</v>
      </c>
      <c r="F53" s="174">
        <f>REVENUE!F30</f>
        <v>0</v>
      </c>
      <c r="G53" s="174">
        <f>REVENUE!G30</f>
        <v>0</v>
      </c>
    </row>
    <row r="54" spans="1:9">
      <c r="A54" s="46" t="s">
        <v>179</v>
      </c>
      <c r="C54" s="174">
        <f>REVENUE!C31</f>
        <v>120000</v>
      </c>
      <c r="D54" s="174">
        <f>REVENUE!D31</f>
        <v>525000</v>
      </c>
      <c r="E54" s="174">
        <f>REVENUE!E31</f>
        <v>0</v>
      </c>
      <c r="F54" s="174">
        <f>REVENUE!F31</f>
        <v>0</v>
      </c>
      <c r="G54" s="174">
        <f>REVENUE!G31</f>
        <v>0</v>
      </c>
    </row>
    <row r="55" spans="1:9">
      <c r="A55" s="46" t="s">
        <v>180</v>
      </c>
      <c r="C55" s="332">
        <f>REVENUE!C32</f>
        <v>150000</v>
      </c>
      <c r="D55" s="332">
        <f>REVENUE!D32</f>
        <v>525000</v>
      </c>
      <c r="E55" s="332">
        <f>REVENUE!E32</f>
        <v>0</v>
      </c>
      <c r="F55" s="332">
        <f>REVENUE!F32</f>
        <v>0</v>
      </c>
      <c r="G55" s="332">
        <f>REVENUE!G32</f>
        <v>0</v>
      </c>
    </row>
    <row r="56" spans="1:9">
      <c r="A56" s="303" t="s">
        <v>188</v>
      </c>
      <c r="C56" s="383">
        <f>REVENUE!C33</f>
        <v>370000</v>
      </c>
      <c r="D56" s="383">
        <f>REVENUE!D33</f>
        <v>1470000</v>
      </c>
      <c r="E56" s="383">
        <f>REVENUE!E33</f>
        <v>2500000</v>
      </c>
      <c r="F56" s="383">
        <f>REVENUE!F33</f>
        <v>4500000</v>
      </c>
      <c r="G56" s="383">
        <f>REVENUE!G33</f>
        <v>7000000</v>
      </c>
    </row>
    <row r="57" spans="1:9">
      <c r="A57" s="46" t="s">
        <v>181</v>
      </c>
      <c r="C57" s="174">
        <f>REVENUE!C34</f>
        <v>120000</v>
      </c>
      <c r="D57" s="174">
        <f>REVENUE!D34</f>
        <v>577500</v>
      </c>
      <c r="E57" s="174">
        <f>REVENUE!E34</f>
        <v>0</v>
      </c>
      <c r="F57" s="174">
        <f>REVENUE!F34</f>
        <v>0</v>
      </c>
      <c r="G57" s="174">
        <f>REVENUE!G34</f>
        <v>0</v>
      </c>
    </row>
    <row r="58" spans="1:9">
      <c r="A58" s="46" t="s">
        <v>182</v>
      </c>
      <c r="C58" s="174">
        <f>REVENUE!C35</f>
        <v>130000</v>
      </c>
      <c r="D58" s="174">
        <f>REVENUE!D35</f>
        <v>630000</v>
      </c>
      <c r="E58" s="174">
        <f>REVENUE!E35</f>
        <v>0</v>
      </c>
      <c r="F58" s="174">
        <f>REVENUE!F35</f>
        <v>0</v>
      </c>
      <c r="G58" s="174">
        <f>REVENUE!G35</f>
        <v>0</v>
      </c>
    </row>
    <row r="59" spans="1:9">
      <c r="A59" s="46" t="s">
        <v>183</v>
      </c>
      <c r="C59" s="332">
        <f>REVENUE!C36</f>
        <v>150000</v>
      </c>
      <c r="D59" s="332">
        <f>REVENUE!D36</f>
        <v>630000</v>
      </c>
      <c r="E59" s="332">
        <f>REVENUE!E36</f>
        <v>0</v>
      </c>
      <c r="F59" s="332">
        <f>REVENUE!F36</f>
        <v>0</v>
      </c>
      <c r="G59" s="332">
        <f>REVENUE!G36</f>
        <v>0</v>
      </c>
    </row>
    <row r="60" spans="1:9">
      <c r="A60" s="303" t="s">
        <v>189</v>
      </c>
      <c r="C60" s="174">
        <f>REVENUE!C37</f>
        <v>400000</v>
      </c>
      <c r="D60" s="174">
        <f>REVENUE!D37</f>
        <v>1837500</v>
      </c>
      <c r="E60" s="174">
        <f>REVENUE!E37</f>
        <v>2750000</v>
      </c>
      <c r="F60" s="174">
        <f>REVENUE!F37</f>
        <v>4750000</v>
      </c>
      <c r="G60" s="174">
        <f>REVENUE!G37</f>
        <v>8000000</v>
      </c>
    </row>
    <row r="61" spans="1:9" ht="13.5" thickBot="1">
      <c r="A61" s="304" t="s">
        <v>190</v>
      </c>
      <c r="C61" s="333">
        <f>REVENUE!C38</f>
        <v>1000000</v>
      </c>
      <c r="D61" s="333">
        <f>REVENUE!D38</f>
        <v>5250000</v>
      </c>
      <c r="E61" s="333">
        <f>REVENUE!E38</f>
        <v>9750000</v>
      </c>
      <c r="F61" s="333">
        <f>REVENUE!F38</f>
        <v>16250000</v>
      </c>
      <c r="G61" s="333">
        <f>REVENUE!G38</f>
        <v>26000000</v>
      </c>
    </row>
    <row r="63" spans="1:9">
      <c r="H63" s="346"/>
      <c r="I63" s="347"/>
    </row>
    <row r="64" spans="1:9" ht="15.75">
      <c r="A64" s="341" t="s">
        <v>270</v>
      </c>
      <c r="H64" s="346"/>
    </row>
    <row r="65" spans="1:9" ht="15.75">
      <c r="A65" s="46"/>
      <c r="C65" s="46"/>
      <c r="D65" s="307" t="s">
        <v>94</v>
      </c>
      <c r="E65" s="309"/>
      <c r="F65" s="309"/>
      <c r="G65" s="46"/>
      <c r="H65" s="346"/>
      <c r="I65" s="346"/>
    </row>
    <row r="66" spans="1:9" ht="15.75">
      <c r="A66" s="46"/>
      <c r="B66" s="46"/>
      <c r="C66" s="59" t="s">
        <v>72</v>
      </c>
      <c r="D66" s="59" t="s">
        <v>73</v>
      </c>
      <c r="E66" s="59" t="s">
        <v>74</v>
      </c>
      <c r="F66" s="59" t="s">
        <v>75</v>
      </c>
      <c r="G66" s="59" t="s">
        <v>76</v>
      </c>
      <c r="H66" s="346"/>
      <c r="I66" s="346" t="s">
        <v>452</v>
      </c>
    </row>
    <row r="67" spans="1:9">
      <c r="A67" s="46" t="s">
        <v>172</v>
      </c>
      <c r="B67" s="46"/>
      <c r="C67" s="376">
        <f>IF(C$11&lt;=30,C$11/30*C45,0)+IF(AND(30&lt;C$11,C$11&lt;=60),C45,0)+IF(AND(60&lt;C$11,C$11&lt;=90),C45,0)+IF(AND(90&lt;C$11,C$11&lt;=120),C45,0)</f>
        <v>0</v>
      </c>
      <c r="D67" s="376">
        <f>IF(D$11&lt;=30,D$11/30*D45,0)+IF(AND(30&lt;D$11,D$11&lt;=60),D45+(D$11-30)/30*C59,0)+IF(AND(60&lt;D$11,D$11&lt;=90),D45+C59+(D$11-60)/30*C58,0)+IF(AND(90&lt;D$11,D$11&lt;=120),D45+C59+C58+(D$11-90)/30*C57,0)</f>
        <v>261450.00000000003</v>
      </c>
      <c r="E67" s="375"/>
      <c r="F67" s="375"/>
      <c r="G67" s="375"/>
      <c r="H67" s="346"/>
      <c r="I67" s="346"/>
    </row>
    <row r="68" spans="1:9">
      <c r="A68" s="46" t="s">
        <v>173</v>
      </c>
      <c r="C68" s="376">
        <f>IF(C$11&lt;=30,C$11/30*C46,0)+IF(AND(30&lt;C$11,C$11&lt;=60),C46+(C$11-30)/30*C45,0)+IF(AND(60&lt;C$11,C$11&lt;=90),C46+C45,0)+IF(AND(90&lt;C$11,C$11&lt;=120),C46+C45,0)</f>
        <v>0</v>
      </c>
      <c r="D68" s="376">
        <f>IF(D$11&lt;=30,D$11/30*D46,0)+IF(AND(30&lt;D$11,D$11&lt;=60),D46+(D$11-30)/30*D45,0)+IF(AND(60&lt;D$11,D$11&lt;=90),D46+D45+(D$11-60)/30*C59,0)+IF(AND(90&lt;D$11,D$11&lt;=120),D46+D45+C59+(D$11-90)/30*C58,0)</f>
        <v>261450.00000000003</v>
      </c>
      <c r="E68" s="375"/>
      <c r="F68" s="375"/>
      <c r="G68" s="375"/>
      <c r="I68" s="346"/>
    </row>
    <row r="69" spans="1:9">
      <c r="A69" s="46" t="s">
        <v>174</v>
      </c>
      <c r="C69" s="377">
        <f>IF(C$11&lt;=30,C11/30*C47,0)+IF(AND(30&lt;C$11,C$11&lt;=60),C47+(C$11-30)/30*C46,0)+IF(AND(60&lt;C$11,C$11&lt;=90),C47+C46+(C$11-60)/30*C45,0)+IF(AND(90&lt;C$11,C$11&lt;=120),C47+C46+C45,0)</f>
        <v>0</v>
      </c>
      <c r="D69" s="377">
        <f>IF(D$11&lt;=30,D$11/30*D47,0)+IF(AND(30&lt;D$11,D$11&lt;=60),D47+(D$11-30)/30*D46,0)+IF(AND(60&lt;D$11,D$11&lt;=90),D47+D46+(D$11-60)/30*D45,0)+IF(AND(90&lt;D$11,D$11&lt;=120),D47+D46+D45+(D$11-90)/30*C59,0)</f>
        <v>366030.00000000012</v>
      </c>
      <c r="E69" s="377">
        <f>IF((E$11&lt;=90),E48*(E$11)/90,0)+IF(AND(90&lt;E$11,E$11&lt;=120),E48+(E$11-90)/90*D60,0)</f>
        <v>664000.00000000012</v>
      </c>
      <c r="F69" s="377">
        <f>IF((F$11&lt;=90),F48*(F$11)/90,0)+IF(AND(90&lt;F$11,F$11&lt;=120),F48+(F$11-90)/90*E60,0)</f>
        <v>996000.00000000012</v>
      </c>
      <c r="G69" s="377">
        <f>IF((G$11&lt;=90),G48*(G$11)/90,0)+IF(AND(90&lt;G$11,G$11&lt;=120),G48+(G$11-90)/90*F60,0)</f>
        <v>1660000</v>
      </c>
      <c r="I69" s="346"/>
    </row>
    <row r="70" spans="1:9">
      <c r="A70" s="46" t="s">
        <v>175</v>
      </c>
      <c r="C70" s="376">
        <f>IF(C$11&lt;=30,C$11/30*C49,0)+IF(AND(30&lt;C$11,C$11&lt;=60),C49+(C$11-30)/30*C47,0)+IF(AND(60&lt;C$11,C$11&lt;=90),C49+C47+(C$11-60)/30*C46,0)+IF(AND(90&lt;C$11,C$11&lt;=120),C49+C47+C46+(C$11-90)/30*C45,0)</f>
        <v>49800.000000000007</v>
      </c>
      <c r="D70" s="376">
        <f>IF(D$11&lt;=30,D$11/30*D49,0)+IF(AND(30&lt;D$11,D$11&lt;=60),D49+(D$11-30)/30*D47,0)+IF(AND(60&lt;D$11,D$11&lt;=90),D49+D47+(D$11-60)/30*D46,0)+IF(AND(90&lt;D$11,D$11&lt;=120),D49+D47+D46+(D$11-90)/30*D45,0)</f>
        <v>313740.00000000006</v>
      </c>
      <c r="E70" s="375"/>
      <c r="F70" s="375"/>
      <c r="G70" s="375"/>
      <c r="I70" s="346"/>
    </row>
    <row r="71" spans="1:9">
      <c r="A71" s="46" t="s">
        <v>176</v>
      </c>
      <c r="C71" s="376">
        <f>IF(C$11&lt;=30,C$11/30*C50,0)+IF(AND(30&lt;C$11,C$11&lt;=60),C50+(C$11-30)/30*C49,0)+IF(AND(60&lt;C$11,C$11&lt;=90),C50+C49+(C$11-60)/30*C47,0)+IF(AND(90&lt;C$11,C$11&lt;=120),C50+C49+C47+(C$11-90)/30*C46,0)</f>
        <v>79680.000000000015</v>
      </c>
      <c r="D71" s="376">
        <f>IF(D$11&lt;=30,D$11/30*D50,0)+IF(AND(30&lt;D$11,D$11&lt;=60),D50+(D$11-30)/30*D49,0)+IF(AND(60&lt;D$11,D$11&lt;=90),D50+D49+(D$11-60)/30*D47,0)+IF(AND(90&lt;D$11,D$11&lt;=120),D50+D49+D47+(D$11-90)/30*D46,0)</f>
        <v>366030.00000000012</v>
      </c>
      <c r="E71" s="375"/>
      <c r="F71" s="375"/>
      <c r="G71" s="375"/>
      <c r="I71" s="346"/>
    </row>
    <row r="72" spans="1:9">
      <c r="A72" s="46" t="s">
        <v>177</v>
      </c>
      <c r="C72" s="377">
        <f>IF(C$11&lt;=30,C$11/30*C51,0)+IF(AND(30&lt;C$11,C$11&lt;=60),C51+(C$11-30)/30*C50,0)+IF(AND(60&lt;C$11,C$11&lt;=90),C51+C50+(C$11-60)/30*C49,0)+IF(AND(90&lt;C$11,C$11&lt;=120),C51+C50+C49+(C$11-90)/30*C47,0)</f>
        <v>99600.000000000015</v>
      </c>
      <c r="D72" s="377">
        <f>IF(D$11&lt;=30,D$11/30*D51,0)+IF(AND(30&lt;D$11,D$11&lt;=60),D51+(D$11-30)/30*D50,0)+IF(AND(60&lt;D$11,D$11&lt;=90),D51+D50+(D$11-60)/30*D49,0)+IF(AND(90&lt;D$11,D$11&lt;=120),D51+D50+D49+(D$11-90)/30*D47,0)</f>
        <v>366030.00000000012</v>
      </c>
      <c r="E72" s="377">
        <f>IF((E$11&lt;=90),E52*(E$11)/90,0)+IF(AND(90&lt;E$11,E$11&lt;=120),E52+(E$11-90)/90*E48,0)</f>
        <v>830000</v>
      </c>
      <c r="F72" s="377">
        <f>IF((F$11&lt;=90),F52*(F$11)/90,0)+IF(AND(90&lt;F$11,F$11&lt;=120),F52+(F$11-90)/90*F48,0)</f>
        <v>1328000.0000000002</v>
      </c>
      <c r="G72" s="377">
        <f>IF((G$11&lt;=90),G52*(G$11)/90,0)+IF(AND(90&lt;G$11,G$11&lt;=120),G52+(G$11-90)/90*G48,0)</f>
        <v>1992000.0000000002</v>
      </c>
      <c r="I72" s="346"/>
    </row>
    <row r="73" spans="1:9">
      <c r="A73" s="46" t="s">
        <v>178</v>
      </c>
      <c r="C73" s="376">
        <f>IF(C$11&lt;=30,C$11/30*C53,0)+IF(AND(30&lt;C$11,C$11&lt;=60),C53+(C$11-30)/30*C51,0)+IF(AND(60&lt;C$11,C$11&lt;=90),C53+C51+(C$11-60)/30*C50,0)+IF(AND(90&lt;C$11,C$11&lt;=120),C53+C51+C50+(C$11-90)/30*C49,0)</f>
        <v>99600.000000000015</v>
      </c>
      <c r="D73" s="376">
        <f>IF(D$11&lt;=30,D$11/30*D53,0)+IF(AND(30&lt;D$11,D$11&lt;=60),D53+(D$11-30)/30*D51,0)+IF(AND(60&lt;D$11,D$11&lt;=90),D53+D51+(D$11-60)/30*D50,0)+IF(AND(90&lt;D$11,D$11&lt;=120),D53+D51+D50+(D$11-90)/30*D49,0)</f>
        <v>418320.00000000006</v>
      </c>
      <c r="E73" s="375"/>
      <c r="F73" s="375"/>
      <c r="G73" s="375"/>
      <c r="I73" s="346"/>
    </row>
    <row r="74" spans="1:9">
      <c r="A74" s="46" t="s">
        <v>179</v>
      </c>
      <c r="C74" s="376">
        <f>IF(C$11&lt;=30,C$11/30*C54,0)+IF(AND(30&lt;C$11,C$11&lt;=60),C54+(C$11-30)/30*C53,0)+IF(AND(60&lt;C$11,C$11&lt;=90),C54+C53+(C$11-60)/30*C51,0)+IF(AND(90&lt;C$11,C$11&lt;=120),C54+C53+C51+(C$11-90)/30*C50,0)</f>
        <v>119520.00000000001</v>
      </c>
      <c r="D74" s="376">
        <f>IF(D$11&lt;=30,D$11/30*D54,0)+IF(AND(30&lt;D$11,D$11&lt;=60),D54+(D$11-30)/30*D53,0)+IF(AND(60&lt;D$11,D$11&lt;=90),D54+D53+(D$11-60)/30*D51,0)+IF(AND(90&lt;D$11,D$11&lt;=120),D54+D53+D51+(D$11-90)/30*D50,0)</f>
        <v>522900.00000000006</v>
      </c>
      <c r="E74" s="375"/>
      <c r="F74" s="375"/>
      <c r="G74" s="375"/>
      <c r="I74" s="346"/>
    </row>
    <row r="75" spans="1:9">
      <c r="A75" s="46" t="s">
        <v>180</v>
      </c>
      <c r="C75" s="377">
        <f>IF(C$11&lt;=30,C$11/30*C55,0)+IF(AND(30&lt;C$11,C$11&lt;=60),C55+(C$11-30)/30*C54,0)+IF(AND(60&lt;C$11,C$11&lt;=90),C55+C54+(C$11-60)/30*C53,0)+IF(AND(90&lt;C$11,C$11&lt;=120),C55+C54+C53+(C$11-90)/30*C51,0)</f>
        <v>149400.00000000003</v>
      </c>
      <c r="D75" s="377">
        <f>IF(D$11&lt;=30,D$11/30*D55,0)+IF(AND(30&lt;D$11,D$11&lt;=60),D55+(D$11-30)/30*D54,0)+IF(AND(60&lt;D$11,D$11&lt;=90),D55+D54+(D$11-60)/30*D53,0)+IF(AND(90&lt;D$11,D$11&lt;=120),D55+D54+D53+(D$11-90)/30*D51,0)</f>
        <v>522900.00000000006</v>
      </c>
      <c r="E75" s="377">
        <f>IF((E$11&lt;=90),E56*(E$11)/90,0)+IF(AND(90&lt;E$11,E$11&lt;=120),E56+(E$11-90)/90*E52,0)</f>
        <v>830000</v>
      </c>
      <c r="F75" s="377">
        <f>IF((F$11&lt;=90),F56*(F$11)/90,0)+IF(AND(90&lt;F$11,F$11&lt;=120),F56+(F$11-90)/90*F52,0)</f>
        <v>1494000</v>
      </c>
      <c r="G75" s="377">
        <f>IF((G$11&lt;=90),G56*(G$11)/90,0)+IF(AND(90&lt;G$11,G$11&lt;=120),G56+(G$11-90)/90*G52,0)</f>
        <v>2324000.0000000005</v>
      </c>
      <c r="I75" s="346"/>
    </row>
    <row r="76" spans="1:9">
      <c r="A76" s="46" t="s">
        <v>181</v>
      </c>
      <c r="C76" s="376">
        <f>IF(C$11&lt;=30,C$11/30*C57,0)+IF(AND(30&lt;C$11,C$11&lt;=60),C57+(C$11-30)/30*C55,0)+IF(AND(60&lt;C$11,C$11&lt;=90),C57+C55+(C$11-60)/30*C54,0)+IF(AND(90&lt;C$11,C$11&lt;=120),C57+C55+C54+(C$11-90)/30*C53,0)</f>
        <v>119520.00000000001</v>
      </c>
      <c r="D76" s="376">
        <f>IF(D$11&lt;=30,D$11/30*D57,0)+IF(AND(30&lt;D$11,D$11&lt;=60),D57+(D$11-30)/30*D55,0)+IF(AND(60&lt;D$11,D$11&lt;=90),D57+D55+(D$11-60)/30*D54,0)+IF(AND(90&lt;D$11,D$11&lt;=120),D57+D55+D54+(D$11-90)/30*D53,0)</f>
        <v>575190.00000000012</v>
      </c>
      <c r="E76" s="375"/>
      <c r="F76" s="375"/>
      <c r="G76" s="375"/>
      <c r="I76" s="346"/>
    </row>
    <row r="77" spans="1:9">
      <c r="A77" s="46" t="s">
        <v>182</v>
      </c>
      <c r="C77" s="376">
        <f>IF(C$11&lt;=30,C$11/30*C58,0)+IF(AND(30&lt;C$11,C$11&lt;=60),C58+(C$11-30)/30*C57,0)+IF(AND(60&lt;C$11,C$11&lt;=90),C58+C57+(C$11-60)/30*C55,0)+IF(AND(90&lt;C$11,C$11&lt;=120),C58+C57+C55+(C$11-90)/30*C54,0)</f>
        <v>129480.00000000001</v>
      </c>
      <c r="D77" s="376">
        <f>IF(D$11&lt;=30,D$11/30*D58,0)+IF(AND(30&lt;D$11,D$11&lt;=60),D58+(D$11-30)/30*D57,0)+IF(AND(60&lt;D$11,D$11&lt;=90),D58+D57+(D$11-60)/30*D55,0)+IF(AND(90&lt;D$11,D$11&lt;=120),D58+D57+D55+(D$11-90)/30*D54,0)</f>
        <v>627480.00000000012</v>
      </c>
      <c r="E77" s="375"/>
      <c r="F77" s="375"/>
      <c r="G77" s="375"/>
    </row>
    <row r="78" spans="1:9">
      <c r="A78" s="46" t="s">
        <v>183</v>
      </c>
      <c r="C78" s="377">
        <f>IF(C$11&lt;=30,C$11/30*C59,0)+IF(AND(30&lt;C$11,C$11&lt;=60),C59+(C$11-30)/30*C58,0)+IF(AND(60&lt;C$11,C$11&lt;=90),C59+C58+(C$11-60)/30*C57,0)+IF(AND(90&lt;C$11,C$11&lt;=120),C59+C58+C57+(C$11-90)/30*C55,0)</f>
        <v>149400.00000000003</v>
      </c>
      <c r="D78" s="377">
        <f>IF(D$11&lt;=30,D$11/30*D59,0)+IF(AND(30&lt;D$11,D$11&lt;=60),D59+(D$11-30)/30*D58,0)+IF(AND(60&lt;D$11,D$11&lt;=90),D59+D58+(D$11-60)/30*D57,0)+IF(AND(90&lt;D$11,D$11&lt;=120),D59+D58+D57+(D$11-90)/30*D55,0)</f>
        <v>627480.00000000012</v>
      </c>
      <c r="E78" s="377">
        <f>IF((E$11&lt;=90),E60*(E$11)/90,0)+IF(AND(90&lt;E$11,E$11&lt;=120),E60+(E$11-90)/90*E56,0)</f>
        <v>913000</v>
      </c>
      <c r="F78" s="377">
        <f>IF((F$11&lt;=90),F60*(F$11)/90,0)+IF(AND(90&lt;F$11,F$11&lt;=120),F60+(F$11-90)/90*F56,0)</f>
        <v>1577000</v>
      </c>
      <c r="G78" s="377">
        <f>IF((G$11&lt;=90),G60*(G$11)/90,0)+IF(AND(90&lt;G$11,G$11&lt;=120),G60+(G$11-90)/90*G56,0)</f>
        <v>2656000.0000000005</v>
      </c>
    </row>
    <row r="79" spans="1:9">
      <c r="A79" s="304"/>
      <c r="C79" s="346"/>
      <c r="D79" s="346"/>
      <c r="E79" s="346"/>
      <c r="F79" s="346"/>
      <c r="G79" s="346"/>
    </row>
    <row r="80" spans="1:9">
      <c r="A80" s="304"/>
      <c r="C80" s="346"/>
      <c r="D80" s="346"/>
      <c r="E80" s="346"/>
      <c r="F80" s="346"/>
      <c r="G80" s="346"/>
    </row>
    <row r="81" spans="1:7" ht="15.75">
      <c r="A81" s="341" t="s">
        <v>237</v>
      </c>
      <c r="C81" s="46"/>
      <c r="E81" s="309"/>
      <c r="F81" s="309"/>
      <c r="G81" s="46"/>
    </row>
    <row r="82" spans="1:7" ht="15.75">
      <c r="A82" s="46"/>
      <c r="B82" s="46"/>
      <c r="C82" s="46"/>
      <c r="D82" s="307" t="s">
        <v>94</v>
      </c>
      <c r="E82" s="309"/>
      <c r="F82" s="309"/>
      <c r="G82" s="46"/>
    </row>
    <row r="83" spans="1:7" ht="15.75">
      <c r="A83" s="46"/>
      <c r="B83" s="46"/>
      <c r="C83" s="59" t="s">
        <v>72</v>
      </c>
      <c r="D83" s="59" t="s">
        <v>73</v>
      </c>
      <c r="E83" s="59" t="s">
        <v>74</v>
      </c>
      <c r="F83" s="59" t="s">
        <v>75</v>
      </c>
      <c r="G83" s="59" t="s">
        <v>76</v>
      </c>
    </row>
    <row r="84" spans="1:7">
      <c r="A84" s="46" t="s">
        <v>172</v>
      </c>
      <c r="B84" s="46"/>
      <c r="C84" s="376">
        <f>IF(C$18&lt;=30,C$18/30*C45,0)+IF(AND(30&lt;C$18,C$18&lt;=60),C45,0)+IF(AND(60&lt;C$18,C$18&lt;=90),C45,0)+IF(AND(90&lt;C$18,C$18&lt;=120),C45,0)</f>
        <v>0</v>
      </c>
      <c r="D84" s="376">
        <f>IF(D$18&lt;=30,D$18/30*D45,0)+IF(AND(30&lt;D$18,D$18&lt;=60),D45+(D$18-30)/30*C59,0)+IF(AND(60&lt;D$18,D$18&lt;=90),D45+C59+(D$18-60)/30*C58,0)+IF(AND(90&lt;D$18,D$18&lt;=120),D45+C59+C58+(D$18-90)/30*C57,0)</f>
        <v>261450.00000000003</v>
      </c>
      <c r="E84" s="375"/>
      <c r="F84" s="375"/>
      <c r="G84" s="375"/>
    </row>
    <row r="85" spans="1:7">
      <c r="A85" s="46" t="s">
        <v>173</v>
      </c>
      <c r="C85" s="376">
        <f>IF(C$18&lt;=30,C$18/30*C46,0)+IF(AND(30&lt;C$18,C$18&lt;=60),C46+(C$18-30)/30*C45,0)+IF(AND(60&lt;C$18,C$18&lt;=90),C46+C45,0)+IF(AND(90&lt;C$18,C$18&lt;=120),C46+C45,0)</f>
        <v>0</v>
      </c>
      <c r="D85" s="376">
        <f>IF(D$18&lt;=30,D$18/30*D46,0)+IF(AND(30&lt;D$18,D$18&lt;=60),D46+(D$18-30)/30*D45,0)+IF(AND(60&lt;D$18,D$18&lt;=90),D46+D45+(D$18-60)/30*C59,0)+IF(AND(90&lt;D$18,D$18&lt;=120),D46+D45+C59+(D$18-90)/30*C58,0)</f>
        <v>261450.00000000003</v>
      </c>
      <c r="E85" s="375"/>
      <c r="F85" s="375"/>
      <c r="G85" s="375"/>
    </row>
    <row r="86" spans="1:7">
      <c r="A86" s="46" t="s">
        <v>174</v>
      </c>
      <c r="C86" s="377">
        <f>IF(C$18&lt;=30,C$18/30*C47,0)+IF(AND(30&lt;C$18,C$18&lt;=60),C47+(C$18-30)/30*C46,0)+IF(AND(60&lt;C$18,C$18&lt;=90),C47+C46+(C$18-60)/30*C45,0)+IF(AND(90&lt;C$18,C$18&lt;=120),C47+C46+C45,0)</f>
        <v>0</v>
      </c>
      <c r="D86" s="377">
        <f>IF(D$18&lt;=30,D$18/30*D47,0)+IF(AND(30&lt;D$18,D$18&lt;=60),D47+(D$18-30)/30*D46,0)+IF(AND(60&lt;D$18,D$18&lt;=90),D47+D46+(D$18-60)/30*D45,0)+IF(AND(90&lt;D$18,D$18&lt;=120),D47+D46+D45+(D$18-90)/30*C59,0)</f>
        <v>366030.00000000012</v>
      </c>
      <c r="E86" s="377">
        <f>IF((E$18&lt;=90),E48*(E$18)/90,0)+IF(AND(90&lt;E$18,E$18&lt;=120),E48+(E$18-90)/90*D60,0)</f>
        <v>536000</v>
      </c>
      <c r="F86" s="377">
        <f>IF((F$18&lt;=90),F48*(F$18)/90,0)+IF(AND(90&lt;F$18,F$18&lt;=120),F48+(F$18-90)/90*E60,0)</f>
        <v>804000</v>
      </c>
      <c r="G86" s="377">
        <f>IF((G$18&lt;=90),G48*(G$18)/90,0)+IF(AND(90&lt;G$18,G$18&lt;=120),G48+(G$18-90)/90*F60,0)</f>
        <v>1340000</v>
      </c>
    </row>
    <row r="87" spans="1:7">
      <c r="A87" s="46" t="s">
        <v>175</v>
      </c>
      <c r="C87" s="376">
        <f>IF(C$18&lt;=30,C$18/30*C49,0)+IF(AND(30&lt;C$18,C$18&lt;=60),C49+(C$18-30)/30*C47,0)+IF(AND(60&lt;C$18,C$18&lt;=90),C49+C47+(C$18-60)/30*C46,0)+IF(AND(90&lt;C$18,C$18&lt;=120),C49+C47+C46+(C$18-90)/30*C45,0)</f>
        <v>49800.000000000007</v>
      </c>
      <c r="D87" s="376">
        <f>IF(D$18&lt;=30,D$18/30*D49,0)+IF(AND(30&lt;D$18,D$18&lt;=60),D49+(D$18-30)/30*D47,0)+IF(AND(60&lt;D$18,D$18&lt;=90),D49+D47+(D$18-60)/30*D46,0)+IF(AND(90&lt;D$18,D$18&lt;=120),D49+D47+D46+(D$18-90)/30*D45,0)</f>
        <v>313740.00000000006</v>
      </c>
      <c r="E87" s="375"/>
      <c r="F87" s="375"/>
      <c r="G87" s="375"/>
    </row>
    <row r="88" spans="1:7">
      <c r="A88" s="46" t="s">
        <v>176</v>
      </c>
      <c r="C88" s="376">
        <f>IF(C$18&lt;=30,C$18/30*C50,0)+IF(AND(30&lt;C$18,C$18&lt;=60),C50+(C$18-30)/30*C49,0)+IF(AND(60&lt;C$18,C$18&lt;=90),C50+C49+(C$18-60)/30*C47,0)+IF(AND(90&lt;C$18,C$18&lt;=120),C50+C49+C47+(C$18-90)/30*C46,0)</f>
        <v>79680.000000000015</v>
      </c>
      <c r="D88" s="376">
        <f>IF(D$18&lt;=30,D$18/30*D50,0)+IF(AND(30&lt;D$18,D$18&lt;=60),D50+(D$18-30)/30*D49,0)+IF(AND(60&lt;D$18,D$18&lt;=90),D50+D49+(D$18-60)/30*D47,0)+IF(AND(90&lt;D$18,D$18&lt;=120),D50+D49+D47+(D$18-90)/30*D46,0)</f>
        <v>366030.00000000012</v>
      </c>
      <c r="E88" s="375"/>
      <c r="F88" s="375"/>
      <c r="G88" s="375"/>
    </row>
    <row r="89" spans="1:7">
      <c r="A89" s="46" t="s">
        <v>177</v>
      </c>
      <c r="C89" s="377">
        <f>IF(C$18&lt;=30,C$18/30*C51,0)+IF(AND(30&lt;C$18,C$18&lt;=60),C51+(C$18-30)/30*C50,0)+IF(AND(60&lt;C$18,C$18&lt;=90),C51+C50+(C$18-60)/30*C49,0)+IF(AND(90&lt;C$18,C$18&lt;=120),C51+C50+C49+(C$18-90)/30*C47,0)</f>
        <v>99600.000000000015</v>
      </c>
      <c r="D89" s="377">
        <f>IF(D$18&lt;=30,D$18/30*D51,0)+IF(AND(30&lt;D$18,D$18&lt;=60),D51+(D$18-30)/30*D50,0)+IF(AND(60&lt;D$18,D$18&lt;=90),D51+D50+(D$18-60)/30*D49,0)+IF(AND(90&lt;D$18,D$18&lt;=120),D51+D50+D49+(D$18-90)/30*D47,0)</f>
        <v>366030.00000000012</v>
      </c>
      <c r="E89" s="377">
        <f>IF((E$18&lt;=90),E52*(E$18)/90,0)+IF(AND(90&lt;E$18,E$18&lt;=120),E52+(E$18-90)/90*E48,0)</f>
        <v>670000</v>
      </c>
      <c r="F89" s="377">
        <f>IF((F$18&lt;=90),F52*(F$18)/90,0)+IF(AND(90&lt;F$18,F$18&lt;=120),F48+(F$18-90)/90*E80,0)</f>
        <v>1072000</v>
      </c>
      <c r="G89" s="377">
        <f>IF((G$18&lt;=90),G52*(G$18)/90,0)+IF(AND(90&lt;G$18,G$18&lt;=120),G48+(G$18-90)/90*F80,0)</f>
        <v>1608000</v>
      </c>
    </row>
    <row r="90" spans="1:7">
      <c r="A90" s="46" t="s">
        <v>178</v>
      </c>
      <c r="C90" s="376">
        <f>IF(C$18&lt;=30,C$18/30*C53,0)+IF(AND(30&lt;C$18,C$18&lt;=60),C53+(C$18-30)/30*C51,0)+IF(AND(60&lt;C$18,C$18&lt;=90),C53+C51+(C$18-60)/30*C50,0)+IF(AND(90&lt;C$18,C$18&lt;=120),C53+C51+C50+(C$18-90)/30*C49,0)</f>
        <v>99600.000000000015</v>
      </c>
      <c r="D90" s="376">
        <f>IF(D$18&lt;=30,D$18/30*D53,0)+IF(AND(30&lt;D$18,D$18&lt;=60),D53+(D$18-30)/30*D51,0)+IF(AND(60&lt;D$18,D$18&lt;=90),D53+D51+(D$18-60)/30*D50,0)+IF(AND(90&lt;D$18,D$18&lt;=120),D53+D51+D50+(D$18-90)/30*D49,0)</f>
        <v>418320.00000000006</v>
      </c>
      <c r="E90" s="375"/>
      <c r="F90" s="375"/>
      <c r="G90" s="375"/>
    </row>
    <row r="91" spans="1:7">
      <c r="A91" s="46" t="s">
        <v>179</v>
      </c>
      <c r="C91" s="376">
        <f>IF(C$18&lt;=30,C$18/30*C54,0)+IF(AND(30&lt;C$18,C$18&lt;=60),C54+(C$18-30)/30*C53,0)+IF(AND(60&lt;C$18,C$18&lt;=90),C54+C53+(C$18-60)/30*C51,0)+IF(AND(90&lt;C$18,C$18&lt;=120),C54+C53+C51+(C$18-90)/30*C50,0)</f>
        <v>119520.00000000001</v>
      </c>
      <c r="D91" s="376">
        <f>IF(D$18&lt;=30,D$18/30*D54,0)+IF(AND(30&lt;D$18,D$18&lt;=60),D54+(D$18-30)/30*D53,0)+IF(AND(60&lt;D$18,D$18&lt;=90),D54+D53+(D$18-60)/30*D51,0)+IF(AND(90&lt;D$18,D$18&lt;=120),D54+D53+D51+(D$18-90)/30*D50,0)</f>
        <v>522900.00000000006</v>
      </c>
      <c r="E91" s="375"/>
      <c r="F91" s="375"/>
      <c r="G91" s="375"/>
    </row>
    <row r="92" spans="1:7">
      <c r="A92" s="46" t="s">
        <v>180</v>
      </c>
      <c r="C92" s="377">
        <f>IF(C$18&lt;=30,C$18/30*C55,0)+IF(AND(30&lt;C$18,C$18&lt;=60),C55+(C$18-30)/30*C54,0)+IF(AND(60&lt;C$18,C$18&lt;=90),C55+C54+(C$18-60)/30*C53,0)+IF(AND(90&lt;C$18,C$18&lt;=120),C55+C54+C53+(C$18-90)/30*C51,0)</f>
        <v>149400.00000000003</v>
      </c>
      <c r="D92" s="377">
        <f>IF(D$18&lt;=30,D$18/30*D55,0)+IF(AND(30&lt;D$18,D$18&lt;=60),D55+(D$18-30)/30*D54,0)+IF(AND(60&lt;D$18,D$18&lt;=90),D55+D54+(D$18-60)/30*D53,0)+IF(AND(90&lt;D$18,D$18&lt;=120),D55+D54+D53+(D$18-90)/30*D51,0)</f>
        <v>522900.00000000006</v>
      </c>
      <c r="E92" s="377">
        <f>IF((E$18&lt;=90),E56*(E$18)/90,0)+IF(AND(90&lt;E$18,E$18&lt;=120),E56+(E$18-90)/90*E52,0)</f>
        <v>670000</v>
      </c>
      <c r="F92" s="377">
        <f>IF((F$18&lt;=90),F56*(F$18)/90,0)+IF(AND(90&lt;F$18,F$18&lt;=120),#REF!+(F$18-90)/90*F52,0)</f>
        <v>1206000</v>
      </c>
      <c r="G92" s="377">
        <f>IF((G$18&lt;=90),G56*(G$18)/90,0)+IF(AND(90&lt;G$18,G$18&lt;=120),#REF!+(G$18-90)/90*G52,0)</f>
        <v>1876000</v>
      </c>
    </row>
    <row r="93" spans="1:7">
      <c r="A93" s="46" t="s">
        <v>181</v>
      </c>
      <c r="C93" s="376">
        <f>IF(C$18&lt;=30,C$18/30*C57,0)+IF(AND(30&lt;C$18,C$18&lt;=60),C57+(C$18-30)/30*C55,0)+IF(AND(60&lt;C$18,C$18&lt;=90),C57+C55+(C$18-60)/30*C54,0)+IF(AND(90&lt;C$18,C$18&lt;=120),C57+C55+C54+(C$18-90)/30*C53,0)</f>
        <v>119520.00000000001</v>
      </c>
      <c r="D93" s="376">
        <f>IF(D$18&lt;=30,D$18/30*D57,0)+IF(AND(30&lt;D$18,D$18&lt;=60),D57+(D$18-30)/30*D55,0)+IF(AND(60&lt;D$18,D$18&lt;=90),D57+D55+(D$18-60)/30*D54,0)+IF(AND(90&lt;D$18,D$18&lt;=120),D57+D55+D54+(D$18-90)/30*D53,0)</f>
        <v>575190.00000000012</v>
      </c>
      <c r="E93" s="375"/>
      <c r="F93" s="375"/>
      <c r="G93" s="375"/>
    </row>
    <row r="94" spans="1:7">
      <c r="A94" s="46" t="s">
        <v>182</v>
      </c>
      <c r="C94" s="376">
        <f>IF(C$18&lt;=30,C$18/30*C58,0)+IF(AND(30&lt;C$18,C$18&lt;=60),C58+(C$18-30)/30*C57,0)+IF(AND(60&lt;C$18,C$18&lt;=90),C58+C57+(C$18-60)/30*C55,0)+IF(AND(90&lt;C$18,C$18&lt;=120),C58+C57+C55+(C$18-90)/30*C54,0)</f>
        <v>129480.00000000001</v>
      </c>
      <c r="D94" s="376">
        <f>IF(D$18&lt;=30,D$18/30*D58,0)+IF(AND(30&lt;D$18,D$18&lt;=60),D58+(D$18-30)/30*D57,0)+IF(AND(60&lt;D$18,D$18&lt;=90),D58+D57+(D$18-60)/30*D55,0)+IF(AND(90&lt;D$18,D$18&lt;=120),D58+D57+D55+(D$18-90)/30*D54,0)</f>
        <v>627480.00000000012</v>
      </c>
      <c r="E94" s="375"/>
      <c r="F94" s="375"/>
      <c r="G94" s="375"/>
    </row>
    <row r="95" spans="1:7">
      <c r="A95" s="46" t="s">
        <v>183</v>
      </c>
      <c r="C95" s="377">
        <f>IF(C$18&lt;=30,C$18/30*C59,0)+IF(AND(30&lt;C$18,C$18&lt;=60),C59+(C$18-30)/30*C58,0)+IF(AND(60&lt;C$18,C$18&lt;=90),C59+C58+(C$18-60)/30*C57,0)+IF(AND(90&lt;C$18,C$18&lt;=120),C59+C58+C57+(C$18-90)/30*C55,0)</f>
        <v>149400.00000000003</v>
      </c>
      <c r="D95" s="377">
        <f>IF(D$18&lt;=30,D$18/30*D59,0)+IF(AND(30&lt;D$18,D$18&lt;=60),D59+(D$18-30)/30*D58,0)+IF(AND(60&lt;D$18,D$18&lt;=90),D59+D58+(D$18-60)/30*D57,0)+IF(AND(90&lt;D$18,D$18&lt;=120),D59+D58+D57+(D$18-90)/30*D55,0)</f>
        <v>627480.00000000012</v>
      </c>
      <c r="E95" s="377">
        <f>IF((E$18&lt;=90),E60*(E$18)/90,0)+IF(AND(90&lt;E$18,E$18&lt;=120),E60+(E$18-90)/90*E56,0)</f>
        <v>737000</v>
      </c>
      <c r="F95" s="377">
        <f>IF((F$18&lt;=90),F60*(F$18)/90,0)+IF(AND(90&lt;F$18,F$18&lt;=120),F60+(F$18-90)/90*F56,0)</f>
        <v>1273000</v>
      </c>
      <c r="G95" s="377">
        <f>IF((G$18&lt;=90),G60*(G$18)/90,0)+IF(AND(90&lt;G$18,G$18&lt;=120),G60+(G$18-90)/90*G56,0)</f>
        <v>2144000</v>
      </c>
    </row>
    <row r="97" spans="1:15">
      <c r="J97" s="395"/>
      <c r="K97" s="395"/>
      <c r="L97" s="395"/>
      <c r="M97" s="395"/>
      <c r="N97" s="395"/>
      <c r="O97" s="395"/>
    </row>
    <row r="98" spans="1:15" ht="15.75">
      <c r="A98" s="341" t="s">
        <v>280</v>
      </c>
    </row>
    <row r="99" spans="1:15" ht="15.75">
      <c r="D99" s="307" t="s">
        <v>94</v>
      </c>
    </row>
    <row r="100" spans="1:15" ht="15.75">
      <c r="A100" s="46"/>
      <c r="B100" s="46"/>
      <c r="C100" s="59" t="s">
        <v>72</v>
      </c>
      <c r="D100" s="59" t="s">
        <v>73</v>
      </c>
      <c r="E100" s="59" t="s">
        <v>74</v>
      </c>
      <c r="F100" s="59" t="s">
        <v>75</v>
      </c>
      <c r="G100" s="59" t="s">
        <v>76</v>
      </c>
    </row>
    <row r="101" spans="1:15">
      <c r="A101" s="46" t="s">
        <v>172</v>
      </c>
      <c r="C101" s="613">
        <f>IF(C$18&lt;=30,C$18/30*C45,0)+IF(AND(30&lt;C$18,C$18&lt;=60),C45,0)+IF(AND(60&lt;C$18,C$18&lt;=90),C45,0)+IF(AND(90&lt;C$18,C$18&lt;=120),C45,0)</f>
        <v>0</v>
      </c>
      <c r="D101" s="613">
        <f>IF(D$24&lt;=30,D$24/30*D45,0)+IF(AND(30&lt;D$24,D$24&lt;=60),D45+(D$24-30)/30*C59,0)+IF(AND(60&lt;D$24,D$24&lt;=90),D45+C59+(D$24-60)/30*C58,0)+IF(AND(90&lt;D$24,D$24&lt;=120),D45+C59+C58+(D$24-90)/30*C57,0)</f>
        <v>31500.000000000004</v>
      </c>
      <c r="E101" s="379"/>
      <c r="F101" s="379"/>
      <c r="G101" s="379"/>
    </row>
    <row r="102" spans="1:15">
      <c r="A102" s="46" t="s">
        <v>173</v>
      </c>
      <c r="C102" s="613">
        <f>IF(C$18&lt;=30,C$18/30*C46,0)+IF(AND(30&lt;C$18,C$18&lt;=60),C46+(C$18-30)/30*C45,0)+IF(AND(60&lt;C$18,C$18&lt;=90),C46+C45,0)+IF(AND(90&lt;C$18,C$18&lt;=120),C46+C45,0)</f>
        <v>0</v>
      </c>
      <c r="D102" s="613">
        <f>IF(D$24&lt;=30,D$24/30*D46,0)+IF(AND(30&lt;D$24,D$24&lt;=60),D46+(D$24-30)/30*D45,0)+IF(AND(60&lt;D$24,D$24&lt;=90),D46+D45+(D$24-60)/30*C59,0)+IF(AND(90&lt;D$24,D$24&lt;=120),D46+D45+C59+(D$24-90)/30*C58,0)</f>
        <v>31500.000000000004</v>
      </c>
      <c r="E102" s="379"/>
      <c r="F102" s="379"/>
      <c r="G102" s="379"/>
    </row>
    <row r="103" spans="1:15">
      <c r="A103" s="46" t="s">
        <v>174</v>
      </c>
      <c r="C103" s="614">
        <f>IF(C$18&lt;=30,C$18/30*C47,0)+IF(AND(30&lt;C$18,C$18&lt;=60),C47+(C$18-30)/30*C46,0)+IF(AND(60&lt;C$18,C$18&lt;=90),C47+C46+(C$18-60)/30*C45,0)+IF(AND(90&lt;C$18,C$18&lt;=120),C47+C46+C45,0)</f>
        <v>0</v>
      </c>
      <c r="D103" s="614">
        <f>IF(D$24&lt;=30,D$24/30*D47,0)+IF(AND(30&lt;D$24,D$24&lt;=60),D47+(D$24-30)/30*D46,0)+IF(AND(60&lt;D$24,D$24&lt;=90),D47+D47+(D$24-60)/30*D45,0)+IF(AND(90&lt;D$24,D$24&lt;=120),D47+D46+D45+(D$24-90)/30*C59,0)</f>
        <v>44100.000000000007</v>
      </c>
      <c r="E103" s="377">
        <f>IF((E$24&lt;=90),E48*(E$24)/90,0)+IF(AND(90&lt;E$24,E$24&lt;=120),E48+(E$24-90)/90*D60,0)</f>
        <v>80000</v>
      </c>
      <c r="F103" s="377">
        <f>IF((F$24&lt;=90),F48*(F$24)/90,0)+IF(AND(90&lt;F$24,F$24&lt;=120),F48+(F$24-90)/90*E60,0)</f>
        <v>120000</v>
      </c>
      <c r="G103" s="377">
        <f>IF((G$24&lt;=90),G48*(G$24)/90,0)+IF(AND(90&lt;G$24,G$24&lt;=120),G48+(G$24-90)/90*F60,0)</f>
        <v>200000</v>
      </c>
    </row>
    <row r="104" spans="1:15">
      <c r="A104" s="46" t="s">
        <v>175</v>
      </c>
      <c r="C104" s="376">
        <f>IF(C$24&lt;=30,C$24/30*C49,0)+IF(AND(30&lt;C$24,C$24&lt;=60),C49+(C$24-30)/30*C47,0)+IF(AND(60&lt;C$24,C$24&lt;=90),C49+C47+(C$24-60)/30*C46,0)+IF(AND(90&lt;C$24,C$24&lt;=120),C49+C47+C46+(C$24-90)/30*C45,0)</f>
        <v>6000.0000000000009</v>
      </c>
      <c r="D104" s="376">
        <f>IF(D$24&lt;=30,D$24/30*D49,0)+IF(AND(30&lt;D$24,D$24&lt;=60),D49+(D$24-30)/30*D47,0)+IF(AND(60&lt;D$24,D$24&lt;=90),D49+D47+(D$24-60)/30*D46,0)+IF(AND(90&lt;D$24,D$24&lt;=120),D49+D47+D46+(D$24-90)/30*D45,0)</f>
        <v>37800</v>
      </c>
      <c r="E104" s="379"/>
      <c r="F104" s="379"/>
      <c r="G104" s="379"/>
    </row>
    <row r="105" spans="1:15">
      <c r="A105" s="46" t="s">
        <v>176</v>
      </c>
      <c r="C105" s="376">
        <f>IF(C$24&lt;=30,C$24/30*C50,0)+IF(AND(30&lt;C$24,C$24&lt;=60),C50+(C$24-30)/30*C49,0)+IF(AND(60&lt;C$24,C$24&lt;=90),C50+C49+(C$24-60)/30*C47,0)+IF(AND(90&lt;C$24,C$24&lt;=120),C50+C49+C47+(C$24-90)/30*C46,0)</f>
        <v>9600</v>
      </c>
      <c r="D105" s="376">
        <f>IF(D$24&lt;=30,D$24/30*D50,0)+IF(AND(30&lt;D$24,D$24&lt;=60),D50+(D$24-30)/30*D49,0)+IF(AND(60&lt;D$24,D$24&lt;=90),D50+D49+(D$24-60)/30*D47,0)+IF(AND(90&lt;D$24,D$24&lt;=120),D50+D49+D47+(D$24-90)/30*D46,0)</f>
        <v>44100.000000000007</v>
      </c>
      <c r="E105" s="379"/>
      <c r="F105" s="379"/>
      <c r="G105" s="379"/>
    </row>
    <row r="106" spans="1:15">
      <c r="A106" s="46" t="s">
        <v>177</v>
      </c>
      <c r="C106" s="377">
        <f>IF(C$24&lt;=30,C$24/30*C51,0)+IF(AND(30&lt;C$24,C$24&lt;=60),C51+(C$24-30)/30*C50,0)+IF(AND(60&lt;C$24,C$24&lt;=90),C51+C50+(C$24-60)/30*C49,0)+IF(AND(90&lt;C$24,C$24&lt;=120),C51+C50+C49+(C$24-90)/30*C47,0)</f>
        <v>12000.000000000002</v>
      </c>
      <c r="D106" s="377">
        <f>IF(D$24&lt;=30,D$24/30*D51,0)+IF(AND(30&lt;D$24,D$24&lt;=60),D51+(D$24-30)/30*D50,0)+IF(AND(60&lt;D$24,D$24&lt;=90),D51+D50+(D$24-60)/30*D49,0)+IF(AND(90&lt;D$24,D$24&lt;=120),D51+D50+D49+(D$24-90)/30*D47,0)</f>
        <v>44100.000000000007</v>
      </c>
      <c r="E106" s="377">
        <f>IF((E$24&lt;=90),E52*(E$24)/90,0)+IF(AND(90&lt;E$24,E$24&lt;=120),E52+(E$24-90)/90*E48,0)</f>
        <v>100000</v>
      </c>
      <c r="F106" s="377">
        <f>IF((F$24&lt;=90),F52*(F$24)/90,0)+IF(AND(90&lt;F$24,F$24&lt;=120),F52+(F$24-90)/90*F48,0)</f>
        <v>160000</v>
      </c>
      <c r="G106" s="377">
        <f>IF((G$24&lt;=90),G52*(G$24)/90,0)+IF(AND(90&lt;G$24,G$24&lt;=120),G52+(G$24-90)/90*G48,0)</f>
        <v>240000</v>
      </c>
    </row>
    <row r="107" spans="1:15">
      <c r="A107" s="46" t="s">
        <v>178</v>
      </c>
      <c r="C107" s="376">
        <f>IF(C$24&lt;=30,C$24/30*C53,0)+IF(AND(30&lt;C$24,C$24&lt;=60),C53+(C$24-30)/30*C51,0)+IF(AND(60&lt;C$24,C$24&lt;=90),C53+C51+(C$24-60)/30*C50,0)+IF(AND(90&lt;C$24,C$24&lt;=120),C53+C51+C50+(C$24-90)/30*C49,0)</f>
        <v>12000.000000000002</v>
      </c>
      <c r="D107" s="376">
        <f>IF(D$24&lt;=30,D$24/30*D53,0)+IF(AND(30&lt;D$24,D$24&lt;=60),D53+(D$24-30)/30*D51,0)+IF(AND(60&lt;D$24,D$24&lt;=90),D53+D51+(D$24-60)/30*D50,0)+IF(AND(90&lt;D$24,D$24&lt;=120),D53+D51+D50+(D$24-90)/30*D49,0)</f>
        <v>50400.000000000007</v>
      </c>
      <c r="E107" s="379"/>
      <c r="F107" s="379"/>
      <c r="G107" s="379"/>
    </row>
    <row r="108" spans="1:15">
      <c r="A108" s="46" t="s">
        <v>179</v>
      </c>
      <c r="C108" s="376">
        <f>IF(C$24&lt;=30,C$24/30*C54,0)+IF(AND(30&lt;C$24,C$24&lt;=60),C54+(C$24-30)/30*C53,0)+IF(AND(60&lt;C$24,C$24&lt;=90),C54+C53+(C$24-60)/30*C51,0)+IF(AND(90&lt;C$24,C$24&lt;=120),C54+C53+C51+(C$24-90)/30*C50,0)</f>
        <v>14400.000000000002</v>
      </c>
      <c r="D108" s="376">
        <f>IF(D$24&lt;=30,D$24/30*D54,0)+IF(AND(30&lt;D$24,D$24&lt;=60),D54+(D$24-30)/30*D53,0)+IF(AND(60&lt;D$24,D$24&lt;=90),D54+D53+(D$24-60)/30*D51,0)+IF(AND(90&lt;D$24,D$24&lt;=120),D54+D53+D51+(D$24-90)/30*D50,0)</f>
        <v>63000.000000000007</v>
      </c>
      <c r="E108" s="379"/>
      <c r="F108" s="379"/>
      <c r="G108" s="379"/>
    </row>
    <row r="109" spans="1:15">
      <c r="A109" s="46" t="s">
        <v>180</v>
      </c>
      <c r="C109" s="377">
        <f>IF(C$24&lt;=30,C$24/30*C55,0)+IF(AND(30&lt;C$24,C$24&lt;=60),C55+(C$24-30)/30*C54,0)+IF(AND(60&lt;C$24,C$24&lt;=90),C55+C54+(C$24-60)/30*C53,0)+IF(AND(90&lt;C$24,C$24&lt;=120),C55+C54+C53+(C$24-90)/30*C51,0)</f>
        <v>18000</v>
      </c>
      <c r="D109" s="377">
        <f>IF(D$24&lt;=30,D$24/30*D55,0)+IF(AND(30&lt;D$24,D$24&lt;=60),D55+(D$24-30)/30*D54,0)+IF(AND(60&lt;D$24,D$24&lt;=90),D55+D54+(D$24-60)/30*D53,0)+IF(AND(90&lt;D$24,D$24&lt;=120),D55+D54+D53+(D$24-90)/30*D51,0)</f>
        <v>63000.000000000007</v>
      </c>
      <c r="E109" s="377">
        <f>IF((E$24&lt;=90),E56*(E$24)/90,0)+IF(AND(90&lt;E$24,E$24&lt;=120),E56+(E$24-90)/90*E52,0)</f>
        <v>100000</v>
      </c>
      <c r="F109" s="377">
        <f>IF((F$24&lt;=90),F56*(F$24)/90,0)+IF(AND(90&lt;F$24,F$24&lt;=120),F56+(F$24-90)/90*F52,0)</f>
        <v>180000</v>
      </c>
      <c r="G109" s="377">
        <f>IF((G$24&lt;=90),G56*(G$24)/90,0)+IF(AND(90&lt;G$24,G$24&lt;=120),G56+(G$24-90)/90*G52,0)</f>
        <v>280000</v>
      </c>
    </row>
    <row r="110" spans="1:15">
      <c r="A110" s="46" t="s">
        <v>181</v>
      </c>
      <c r="C110" s="376">
        <f>IF(C$24&lt;=30,C$24/30*C57,0)+IF(AND(30&lt;C$24,C$24&lt;=60),C57+(C$24-30)/30*C55,0)+IF(AND(60&lt;C$24,C$24&lt;=90),C57+C55+(C$24-60)/30*C54,0)+IF(AND(90&lt;C$24,C$24&lt;=120),C57+C55+C54+(C$24-90)/30*C53,0)</f>
        <v>14400.000000000002</v>
      </c>
      <c r="D110" s="376">
        <f>IF(D$24&lt;=30,D$24/30*D57,0)+IF(AND(30&lt;D$24,D$24&lt;=60),D57+(D$24-30)/30*D55,0)+IF(AND(60&lt;D$24,D$24&lt;=90),D57+D55+(D$24-60)/30*D54,0)+IF(AND(90&lt;D$24,D$24&lt;=120),D57+D55+D54+(D$24-90)/30*D53,0)</f>
        <v>69300</v>
      </c>
      <c r="E110" s="379"/>
      <c r="F110" s="379"/>
      <c r="G110" s="379"/>
    </row>
    <row r="111" spans="1:15">
      <c r="A111" s="46" t="s">
        <v>182</v>
      </c>
      <c r="C111" s="376">
        <f>IF(C$24&lt;=30,C$24/30*C58,0)+IF(AND(30&lt;C$24,C$24&lt;=60),C58+(C$24-30)/30*C57,0)+IF(AND(60&lt;C$24,C$24&lt;=90),C58+C57+(C$24-60)/30*C55,0)+IF(AND(90&lt;C$24,C$24&lt;=120),C58+C57+C55+(C$24-90)/30*C54,0)</f>
        <v>15600.000000000002</v>
      </c>
      <c r="D111" s="376">
        <f>IF(D$24&lt;=30,D$24/30*D58,0)+IF(AND(30&lt;D$24,D$24&lt;=60),D58+(D$24-30)/30*D57,0)+IF(AND(60&lt;D$24,D$24&lt;=90),D58+D57+(D$24-60)/30*D55,0)+IF(AND(90&lt;D$24,D$24&lt;=120),D58+D57+D55+(D$24-90)/30*D54,0)</f>
        <v>75600</v>
      </c>
      <c r="E111" s="379"/>
      <c r="F111" s="379"/>
      <c r="G111" s="379"/>
    </row>
    <row r="112" spans="1:15">
      <c r="A112" s="46" t="s">
        <v>183</v>
      </c>
      <c r="C112" s="377">
        <f>IF(C$24&lt;=30,C$24/30*C59,0)+IF(AND(30&lt;C$24,C$24&lt;=60),C59+(C$24-30)/30*C58,0)+IF(AND(60&lt;C$24,C$24&lt;=90),C59+C58+(C$24-60)/30*C57,0)+IF(AND(90&lt;C$24,C$24&lt;=120),C59+C58+C57+(C$24-90)/30*C55,0)</f>
        <v>18000</v>
      </c>
      <c r="D112" s="377">
        <f>IF(D$24&lt;=30,D$24/30*D59,0)+IF(AND(30&lt;D$24,D$24&lt;=60),D59+(D$24-30)/30*D58,0)+IF(AND(60&lt;D$24,D$24&lt;=90),D59+D58+(D$24-60)/30*D57,0)+IF(AND(90&lt;D$24,D$24&lt;=120),D59+D58+D57+(D$24-90)/30*D55,0)</f>
        <v>75600</v>
      </c>
      <c r="E112" s="377">
        <f>IF((E$24&lt;=90),E60*(E$24)/90,0)+IF(AND(90&lt;E$24,E$24&lt;=120),E60+(E$24-90)/90*E56,0)</f>
        <v>110000</v>
      </c>
      <c r="F112" s="377">
        <f>IF((F$24&lt;=90),F60*(F$24)/90,0)+IF(AND(90&lt;F$24,F$24&lt;=120),F60+(F$24-90)/90*F56,0)</f>
        <v>190000</v>
      </c>
      <c r="G112" s="377">
        <f>IF((G$24&lt;=90),G60*(G$24)/90,0)+IF(AND(90&lt;G$24,G$24&lt;=120),G60+(G$24-90)/90*G56,0)</f>
        <v>320000</v>
      </c>
    </row>
    <row r="115" spans="1:7" ht="15.75">
      <c r="A115" s="341" t="s">
        <v>238</v>
      </c>
      <c r="C115" s="46"/>
      <c r="E115" s="309"/>
      <c r="F115" s="309"/>
      <c r="G115" s="46"/>
    </row>
    <row r="116" spans="1:7" ht="15.75">
      <c r="A116" s="46"/>
      <c r="B116" s="46"/>
      <c r="C116" s="46"/>
      <c r="D116" s="307" t="s">
        <v>94</v>
      </c>
      <c r="E116" s="309"/>
      <c r="F116" s="309"/>
      <c r="G116" s="46"/>
    </row>
    <row r="117" spans="1:7" ht="15.75">
      <c r="A117" s="46"/>
      <c r="B117" s="46"/>
      <c r="C117" s="59" t="s">
        <v>72</v>
      </c>
      <c r="D117" s="59" t="s">
        <v>73</v>
      </c>
      <c r="E117" s="59" t="s">
        <v>74</v>
      </c>
      <c r="F117" s="59" t="s">
        <v>75</v>
      </c>
      <c r="G117" s="59" t="s">
        <v>76</v>
      </c>
    </row>
    <row r="118" spans="1:7">
      <c r="A118" s="46" t="s">
        <v>172</v>
      </c>
      <c r="B118" s="46"/>
      <c r="C118" s="613">
        <f>IF(C$30&lt;=30,C$30/30*C28,0)+IF(AND(30&lt;C$30,C$30&lt;=60),C28,0)+IF(AND(60&lt;C$30,C$30&lt;=90),C28,0)+IF(AND(90&lt;C$30,C$30&lt;=120),C28,0)</f>
        <v>0</v>
      </c>
      <c r="D118" s="613">
        <f>IF(D$30&lt;=30,D$30/30*D28,0)+IF(AND(30&lt;D$30,D$30&lt;=60),D28+(D$30-30)/30*C59,0)+IF(AND(60&lt;D$30,D$30&lt;=90),D28+C42+(D$30-60)/30*C58,0)+IF(AND(90&lt;D$30,D$30&lt;=120),D28+C42+C41+(D$30-90)/30*C57,0)</f>
        <v>6599.9999999999836</v>
      </c>
      <c r="E118" s="269"/>
      <c r="F118" s="269"/>
      <c r="G118" s="269"/>
    </row>
    <row r="119" spans="1:7">
      <c r="A119" s="46" t="s">
        <v>173</v>
      </c>
      <c r="C119" s="613">
        <f>IF(C$30&lt;=30,C$30/30*C29,0)+IF(AND(30&lt;C$30,C$30&lt;=60),C29+(C$30-30)/30*C28,0)+IF(AND(60&lt;C$30,C$30&lt;=90),C29+C28,0)+IF(AND(90&lt;C$30,C$30&lt;=120),C29+C28,0)</f>
        <v>8.6999999999999994E-2</v>
      </c>
      <c r="D119" s="613">
        <f>IF(D$30&lt;=30,D$30/30*D29,0)+IF(AND(30&lt;D$30,D$30&lt;=60),D29+(D$30-30)/30*D28,0)+IF(AND(60&lt;D$30,D$30&lt;=90),D29+D28+(D$30-60)/30*C42,0)+IF(AND(90&lt;D$30,D$30&lt;=120),D29+D28+C42+(D$30-90)/30*C41,0)</f>
        <v>8.6999999999999994E-2</v>
      </c>
      <c r="E119" s="269"/>
      <c r="F119" s="269"/>
      <c r="G119" s="269"/>
    </row>
    <row r="120" spans="1:7">
      <c r="A120" s="46" t="s">
        <v>174</v>
      </c>
      <c r="C120" s="614">
        <f>IF(C$30&lt;=30,C$30/30*C30,0)+IF(AND(30&lt;C$30,C$30&lt;=60),C30+(C$30-30)/30*C29,0)+IF(AND(60&lt;C$30,C$30&lt;=90),C30+C29+(C$30-60)/30*C28,0)+IF(AND(90&lt;C$30,C$30&lt;=120),C30+C29+C28,0)</f>
        <v>31.323827999999995</v>
      </c>
      <c r="D120" s="614">
        <f>IF(D$30&lt;=30,D$30/30*D30,0)+IF(AND(30&lt;D$30,D$30&lt;=60),D30+(D$30-30)/30*D29,0)+IF(AND(60&lt;D$30,D$30&lt;=90),D30+D29+(D$30-60)/30*D28,0)+IF(AND(90&lt;D$30,D$30&lt;=120),D30+D29+D28+(D$30-90)/30*C42,0)</f>
        <v>31.323827999999995</v>
      </c>
      <c r="E120" s="377">
        <f>IF((E$30&lt;=90),E48*(E$30)/90,0)+IF(AND(90&lt;E$30,E$30&lt;=120),E48+(E$30-90)/90*D60,0)</f>
        <v>695999.99999999988</v>
      </c>
      <c r="F120" s="377">
        <f>IF((F$30&lt;=90),F48*(F$30)/90,0)+IF(AND(90&lt;F$30,F$30&lt;=120),F48+(F$30-90)/90*E60,0)</f>
        <v>1043999.9999999999</v>
      </c>
      <c r="G120" s="377">
        <f>IF((G$30&lt;=90),G48*(G$30)/90,0)+IF(AND(90&lt;G$30,G$30&lt;=120),G48+(G$30-90)/90*F60,0)</f>
        <v>1739999.9999999998</v>
      </c>
    </row>
    <row r="121" spans="1:7">
      <c r="A121" s="46" t="s">
        <v>175</v>
      </c>
      <c r="C121" s="376">
        <f>IF(C$30&lt;=30,C$30/30*C49,0)+IF(AND(30&lt;C$30,C$30&lt;=60),C49+(C$30-30)/30*C47,0)+IF(AND(60&lt;C$30,C$30&lt;=90),C49+C47+(C$30-60)/30*C46,0)+IF(AND(90&lt;C$30,C$30&lt;=120),C49+C47+C46+(C$30-90)/30*C45,0)</f>
        <v>50000</v>
      </c>
      <c r="D121" s="376">
        <f>IF(D$30&lt;=30,D$30/30*D49,0)+IF(AND(30&lt;D$30,D$30&lt;=60),D49+(D$30-30)/30*D47,0)+IF(AND(60&lt;D$30,D$30&lt;=90),D49+D47+(D$30-60)/30*D46,0)+IF(AND(90&lt;D$30,D$30&lt;=120),D49+D47+D46+(D$30-90)/30*D45,0)</f>
        <v>331169.99999999994</v>
      </c>
      <c r="E121" s="269"/>
      <c r="F121" s="269"/>
      <c r="G121" s="269"/>
    </row>
    <row r="122" spans="1:7">
      <c r="A122" s="46" t="s">
        <v>176</v>
      </c>
      <c r="C122" s="376">
        <f>IF(C$30&lt;=30,C$30/30*C50,0)+IF(AND(30&lt;C$30,C$30&lt;=60),C50+(C$30-30)/30*C49,0)+IF(AND(60&lt;C$30,C$30&lt;=90),C50+C49+(C$30-60)/30*C47,0)+IF(AND(90&lt;C$30,C$30&lt;=120),C50+C49+C47+(C$30-90)/30*C46,0)</f>
        <v>82200</v>
      </c>
      <c r="D122" s="376">
        <f>IF(D$30&lt;=30,D$30/30*D50,0)+IF(AND(30&lt;D$30,D$30&lt;=60),D50+(D$30-30)/30*D49,0)+IF(AND(60&lt;D$30,D$30&lt;=90),D50+D49+(D$30-60)/30*D47,0)+IF(AND(90&lt;D$30,D$30&lt;=120),D50+D49+D47+(D$30-90)/30*D46,0)</f>
        <v>381360</v>
      </c>
      <c r="E122" s="269"/>
      <c r="F122" s="269"/>
      <c r="G122" s="269"/>
    </row>
    <row r="123" spans="1:7">
      <c r="A123" s="46" t="s">
        <v>177</v>
      </c>
      <c r="C123" s="377">
        <f>IF(C$30&lt;=30,C$30/30*C51,0)+IF(AND(30&lt;C$30,C$30&lt;=60),C51+(C$30-30)/30*C50,0)+IF(AND(60&lt;C$30,C$30&lt;=90),C51+C50+(C$30-60)/30*C49,0)+IF(AND(90&lt;C$30,C$30&lt;=120),C51+C50+C49+(C$30-90)/30*C47,0)</f>
        <v>103519.99999999999</v>
      </c>
      <c r="D123" s="377">
        <f>IF(D$30&lt;=30,D$30/30*D51,0)+IF(AND(30&lt;D$30,D$30&lt;=60),D51+(D$30-30)/30*D50,0)+IF(AND(60&lt;D$30,D$30&lt;=90),D51+D50+(D$30-60)/30*D49,0)+IF(AND(90&lt;D$30,D$30&lt;=120),D51+D50+D49+(D$30-90)/30*D47,0)</f>
        <v>383670</v>
      </c>
      <c r="E123" s="377">
        <f>IF((E$30&lt;=90),E52*(E$30)/90,0)+IF(AND(90&lt;E$30,E$30&lt;=120),E52+(E$30-90)/90*E48,0)</f>
        <v>869999.99999999988</v>
      </c>
      <c r="F123" s="377">
        <f>IF((F$30&lt;=90),F52*(F$30)/90,0)+IF(AND(90&lt;F$30,F$30&lt;=120),F52+(F$30-90)/90*F48,0)</f>
        <v>1391999.9999999998</v>
      </c>
      <c r="G123" s="377">
        <f>IF((G$30&lt;=90),G52*(G$30)/90,0)+IF(AND(90&lt;G$30,G$30&lt;=120),G52+(G$30-90)/90*G48,0)</f>
        <v>2087999.9999999998</v>
      </c>
    </row>
    <row r="124" spans="1:7">
      <c r="A124" s="46" t="s">
        <v>178</v>
      </c>
      <c r="C124" s="376">
        <f>IF(C$30&lt;=30,C$30/30*C53,0)+IF(AND(30&lt;C$30,C$30&lt;=60),C53+(C$30-30)/30*C51,0)+IF(AND(60&lt;C$30,C$30&lt;=90),C53+C51+(C$30-60)/30*C50,0)+IF(AND(90&lt;C$30,C$30&lt;=120),C53+C51+C50+(C$30-90)/30*C49,0)</f>
        <v>104399.99999999999</v>
      </c>
      <c r="D124" s="376">
        <f>IF(D$30&lt;=30,D$30/30*D53,0)+IF(AND(30&lt;D$30,D$30&lt;=60),D53+(D$30-30)/30*D51,0)+IF(AND(60&lt;D$30,D$30&lt;=90),D53+D51+(D$30-60)/30*D50,0)+IF(AND(90&lt;D$30,D$30&lt;=120),D53+D51+D50+(D$30-90)/30*D49,0)</f>
        <v>436169.99999999994</v>
      </c>
      <c r="E124" s="269"/>
      <c r="F124" s="269"/>
      <c r="G124" s="269"/>
    </row>
    <row r="125" spans="1:7">
      <c r="A125" s="46" t="s">
        <v>179</v>
      </c>
      <c r="C125" s="376">
        <f>IF(C$30&lt;=30,C$30/30*C54,0)+IF(AND(30&lt;C$30,C$30&lt;=60),C54+(C$30-30)/30*C53,0)+IF(AND(60&lt;C$30,C$30&lt;=90),C54+C53+(C$30-60)/30*C51,0)+IF(AND(90&lt;C$30,C$30&lt;=120),C54+C53+C51+(C$30-90)/30*C50,0)</f>
        <v>124399.99999999999</v>
      </c>
      <c r="D125" s="376">
        <f>IF(D$30&lt;=30,D$30/30*D54,0)+IF(AND(30&lt;D$30,D$30&lt;=60),D54+(D$30-30)/30*D53,0)+IF(AND(60&lt;D$30,D$30&lt;=90),D54+D53+(D$30-60)/30*D51,0)+IF(AND(90&lt;D$30,D$30&lt;=120),D54+D53+D51+(D$30-90)/30*D50,0)</f>
        <v>543480</v>
      </c>
      <c r="E125" s="269"/>
      <c r="F125" s="269"/>
      <c r="G125" s="269"/>
    </row>
    <row r="126" spans="1:7">
      <c r="A126" s="46" t="s">
        <v>180</v>
      </c>
      <c r="C126" s="377">
        <f>IF(C$30&lt;=30,C$30/30*C55,0)+IF(AND(30&lt;C$30,C$30&lt;=60),C55+(C$30-30)/30*C54,0)+IF(AND(60&lt;C$30,C$30&lt;=90),C55+C54+(C$30-60)/30*C53,0)+IF(AND(90&lt;C$30,C$30&lt;=120),C55+C54+C53+(C$30-90)/30*C51,0)</f>
        <v>155280</v>
      </c>
      <c r="D126" s="377">
        <f>IF(D$30&lt;=30,D$30/30*D55,0)+IF(AND(30&lt;D$30,D$30&lt;=60),D55+(D$30-30)/30*D54,0)+IF(AND(60&lt;D$30,D$30&lt;=90),D55+D54+(D$30-60)/30*D53,0)+IF(AND(90&lt;D$30,D$30&lt;=120),D55+D54+D53+(D$30-90)/30*D51,0)</f>
        <v>548100</v>
      </c>
      <c r="E126" s="377">
        <f>IF((E$30&lt;=90),E56*(E$30)/90,0)+IF(AND(90&lt;E$30,E$30&lt;=120),E56+(E$30-90)/90*E52,0)</f>
        <v>869999.99999999988</v>
      </c>
      <c r="F126" s="377">
        <f>IF((F$30&lt;=90),F56*(F$30)/90,0)+IF(AND(90&lt;F$30,F$30&lt;=120),F56+(F$30-90)/90*F52,0)</f>
        <v>1566000</v>
      </c>
      <c r="G126" s="377">
        <f>IF((G$30&lt;=90),G56*(G$30)/90,0)+IF(AND(90&lt;G$30,G$30&lt;=120),G56+(G$30-90)/90*G52,0)</f>
        <v>2435999.9999999995</v>
      </c>
    </row>
    <row r="127" spans="1:7">
      <c r="A127" s="46" t="s">
        <v>181</v>
      </c>
      <c r="C127" s="376">
        <f>IF(C$30&lt;=30,C$30/30*C57,0)+IF(AND(30&lt;C$30,C$30&lt;=60),C57+(C$30-30)/30*C55,0)+IF(AND(60&lt;C$30,C$30&lt;=90),C57+C55+(C$30-60)/30*C54,0)+IF(AND(90&lt;C$30,C$30&lt;=120),C57+C55+C54+(C$30-90)/30*C53,0)</f>
        <v>126599.99999999999</v>
      </c>
      <c r="D127" s="376">
        <f>IF(D$30&lt;=30,D$30/30*D57,0)+IF(AND(30&lt;D$30,D$30&lt;=60),D57+(D$30-30)/30*D55,0)+IF(AND(60&lt;D$30,D$30&lt;=90),D57+D55+(D$30-60)/30*D54,0)+IF(AND(90&lt;D$30,D$30&lt;=120),D57+D55+D54+(D$30-90)/30*D53,0)</f>
        <v>600600</v>
      </c>
      <c r="E127" s="269"/>
      <c r="F127" s="269"/>
      <c r="G127" s="269"/>
    </row>
    <row r="128" spans="1:7">
      <c r="A128" s="46" t="s">
        <v>182</v>
      </c>
      <c r="C128" s="376">
        <f>IF(C$30&lt;=30,C$30/30*C58,0)+IF(AND(30&lt;C$30,C$30&lt;=60),C58+(C$30-30)/30*C57,0)+IF(AND(60&lt;C$30,C$30&lt;=90),C58+C57+(C$30-60)/30*C55,0)+IF(AND(90&lt;C$30,C$30&lt;=120),C58+C57+C55+(C$30-90)/30*C54,0)</f>
        <v>135280</v>
      </c>
      <c r="D128" s="376">
        <f>IF(D$30&lt;=30,D$30/30*D58,0)+IF(AND(30&lt;D$30,D$30&lt;=60),D58+(D$30-30)/30*D57,0)+IF(AND(60&lt;D$30,D$30&lt;=90),D58+D57+(D$30-60)/30*D55,0)+IF(AND(90&lt;D$30,D$30&lt;=120),D58+D57+D55+(D$30-90)/30*D54,0)</f>
        <v>655409.99999999988</v>
      </c>
      <c r="E128" s="269"/>
      <c r="F128" s="269"/>
      <c r="G128" s="269"/>
    </row>
    <row r="129" spans="1:7">
      <c r="A129" s="46" t="s">
        <v>183</v>
      </c>
      <c r="C129" s="377">
        <f>IF(C$30&lt;=30,C$30/30*C59,0)+IF(AND(30&lt;C$30,C$30&lt;=60),C59+(C$30-30)/30*C58,0)+IF(AND(60&lt;C$30,C$30&lt;=90),C59+C58+(C$30-60)/30*C57,0)+IF(AND(90&lt;C$30,C$30&lt;=120),C59+C58+C57+(C$30-90)/30*C55,0)</f>
        <v>155720</v>
      </c>
      <c r="D129" s="377">
        <f>IF(D$30&lt;=30,D$30/30*D59,0)+IF(AND(30&lt;D$30,D$30&lt;=60),D59+(D$30-30)/30*D58,0)+IF(AND(60&lt;D$30,D$30&lt;=90),D59+D58+(D$30-60)/30*D57,0)+IF(AND(90&lt;D$30,D$30&lt;=120),D59+D58+D57+(D$30-90)/30*D55,0)</f>
        <v>657719.99999999988</v>
      </c>
      <c r="E129" s="377">
        <f>IF((E$30&lt;=90),E60*(E$30)/90,0)+IF(AND(90&lt;E$30,E$30&lt;=120),E60+(E$30-90)/90*E56,0)</f>
        <v>956999.99999999988</v>
      </c>
      <c r="F129" s="377">
        <f>IF((F$30&lt;=90),F60*(F$30)/90,0)+IF(AND(90&lt;F$30,F$30&lt;=120),F60+(F$30-90)/90*F56,0)</f>
        <v>1652999.9999999998</v>
      </c>
      <c r="G129" s="377">
        <f>IF((G$30&lt;=90),G60*(G$30)/90,0)+IF(AND(90&lt;G$30,G$30&lt;=120),G60+(G$30-90)/90*G56,0)</f>
        <v>2783999.9999999995</v>
      </c>
    </row>
    <row r="132" spans="1:7" ht="15.75">
      <c r="A132" s="341" t="s">
        <v>271</v>
      </c>
      <c r="C132" s="46"/>
      <c r="E132" s="309"/>
      <c r="F132" s="309"/>
      <c r="G132" s="46"/>
    </row>
    <row r="133" spans="1:7" ht="15.75">
      <c r="A133" s="46"/>
      <c r="B133" s="46"/>
      <c r="C133" s="46"/>
      <c r="D133" s="307" t="s">
        <v>94</v>
      </c>
      <c r="E133" s="309"/>
      <c r="F133" s="309"/>
      <c r="G133" s="46"/>
    </row>
    <row r="134" spans="1:7" ht="15.75">
      <c r="A134" s="46"/>
      <c r="B134" s="46"/>
      <c r="C134" s="59" t="s">
        <v>72</v>
      </c>
      <c r="D134" s="59" t="s">
        <v>73</v>
      </c>
      <c r="E134" s="59" t="s">
        <v>74</v>
      </c>
      <c r="F134" s="59" t="s">
        <v>75</v>
      </c>
      <c r="G134" s="59" t="s">
        <v>76</v>
      </c>
    </row>
    <row r="135" spans="1:7">
      <c r="A135" s="46" t="s">
        <v>172</v>
      </c>
      <c r="B135" s="46"/>
      <c r="C135" s="376">
        <f>IF(C$36&lt;=30,C$36/30*C45,0)+IF(AND(30&lt;C$36,C$36&lt;=60),C45,0)+IF(AND(60&lt;C$36,C$36&lt;=90),C45,0)+IF(AND(90&lt;C$36,C$36&lt;=120),C45,0)</f>
        <v>0</v>
      </c>
      <c r="D135" s="376">
        <f>IF(D$36&lt;=30,D$36/30*D45,0)+IF(AND(30&lt;D$36,D$36&lt;=60),D45+(D$36-30)/30*C59,0)+IF(AND(60&lt;D$36,D$36&lt;=90),D45+C59+(D$36-60)/30*C58,0)+IF(AND(90&lt;D$36,D$36&lt;=120),D45+C59+C58+(D$36-90)/30*C57,0)</f>
        <v>31500.000000000004</v>
      </c>
      <c r="E135" s="375"/>
      <c r="F135" s="375"/>
      <c r="G135" s="375"/>
    </row>
    <row r="136" spans="1:7">
      <c r="A136" s="46" t="s">
        <v>173</v>
      </c>
      <c r="C136" s="376">
        <f>IF(C$36&lt;=30,C$36/30*C46,0)+IF(AND(30&lt;C$36,C$36&lt;=60),C46+(C$36-30)/30*C45,0)+IF(AND(60&lt;C$36,C$36&lt;=90),C46+C45,0)+IF(AND(90&lt;C$36,C$36&lt;=120),C46+C45,0)</f>
        <v>0</v>
      </c>
      <c r="D136" s="376">
        <f>IF(D$36&lt;=30,D$36/30*D46,0)+IF(AND(30&lt;D$36,D$36&lt;=60),D46+(D$36-30)/30*D45,0)+IF(AND(60&lt;D$36,D$36&lt;=90),D46+D45+(D$36-60)/30*C59,0)+IF(AND(90&lt;D$36,D$36&lt;=120),D46+D45+C59+(D$36-90)/30*C58,0)</f>
        <v>31500.000000000004</v>
      </c>
      <c r="E136" s="375"/>
      <c r="F136" s="375"/>
      <c r="G136" s="375"/>
    </row>
    <row r="137" spans="1:7">
      <c r="A137" s="46" t="s">
        <v>174</v>
      </c>
      <c r="C137" s="377">
        <f>IF(C$36&lt;=30,C$36/30*C47,0)+IF(AND(30&lt;C$36,C$36&lt;=60),C47+(C$36-30)/30*C46,0)+IF(AND(60&lt;C$36,C$36&lt;=90),C47+C46+(C$36-60)/30*C45,0)+IF(AND(90&lt;C$36,C$36&lt;=120),C47+C46+C45,0)</f>
        <v>0</v>
      </c>
      <c r="D137" s="377">
        <f>IF(D$36&lt;=30,D$36/30*D47,0)+IF(AND(30&lt;D$36,D$36&lt;=60),D47+(D$36-30)/30*D46,0)+IF(AND(60&lt;D$36,D$36&lt;=90),D47+D46+(D$36-60)/30*D45,0)+IF(AND(90&lt;D$36,D$36&lt;=120),D47+D46+D45+(D$36-90)/30*C59,0)</f>
        <v>44100.000000000007</v>
      </c>
      <c r="E137" s="377">
        <f>IF((E$36&lt;=90),E48*(E$36)/90,0)+IF(AND(90&lt;E$36,E$36&lt;=120),E48+(E$36-90)/90*D60,0)</f>
        <v>80000</v>
      </c>
      <c r="F137" s="377">
        <f>IF((F$36&lt;=90),F48*(F$36)/90,0)+IF(AND(90&lt;F$36,F$36&lt;=120),F48+(F$36-90)/90*E60,0)</f>
        <v>120000</v>
      </c>
      <c r="G137" s="377">
        <f>IF((G$36&lt;=90),G48*(G$36)/90,0)+IF(AND(90&lt;G$36,G$36&lt;=120),G48+(G$36-90)/90*F60,0)</f>
        <v>200000</v>
      </c>
    </row>
    <row r="138" spans="1:7">
      <c r="A138" s="46" t="s">
        <v>175</v>
      </c>
      <c r="C138" s="376">
        <f>IF(C$36&lt;=30,C$36/30*C49,0)+IF(AND(30&lt;C$36,C$36&lt;=60),C49+(C$36-30)/30*C47,0)+IF(AND(60&lt;C$36,C$36&lt;=90),C49+C47+(C$36-60)/30*C46,0)+IF(AND(90&lt;C$36,C$36&lt;=120),C49+C47+C46+(C$36-90)/30*C45,0)</f>
        <v>6000.0000000000009</v>
      </c>
      <c r="D138" s="376">
        <f>IF(D$36&lt;=30,D$36/30*D49,0)+IF(AND(30&lt;D$36,D$36&lt;=60),D49+(D$36-30)/30*D47,0)+IF(AND(60&lt;D$36,D$36&lt;=90),D49+D47+(D$36-60)/30*D46,0)+IF(AND(90&lt;D$36,D$36&lt;=120),D49+D47+D46+(D$36-90)/30*D45,0)</f>
        <v>37800</v>
      </c>
      <c r="E138" s="375"/>
      <c r="F138" s="375"/>
      <c r="G138" s="375"/>
    </row>
    <row r="139" spans="1:7">
      <c r="A139" s="46" t="s">
        <v>176</v>
      </c>
      <c r="C139" s="376">
        <f>IF(C$36&lt;=30,C$36/30*C50,0)+IF(AND(30&lt;C$36,C$36&lt;=60),C50+(C$36-30)/30*C49,0)+IF(AND(60&lt;C$36,C$36&lt;=90),C50+C49+(C$36-60)/30*C47,0)+IF(AND(90&lt;C$36,C$36&lt;=120),C50+C49+C47+(C$36-90)/30*C46,0)</f>
        <v>9600</v>
      </c>
      <c r="D139" s="376">
        <f>IF(D$36&lt;=30,D$36/30*D50,0)+IF(AND(30&lt;D$36,D$36&lt;=60),D50+(D$36-30)/30*D49,0)+IF(AND(60&lt;D$36,D$36&lt;=90),D50+D49+(D$36-60)/30*D47,0)+IF(AND(90&lt;D$36,D$36&lt;=120),D50+D49+D47+(D$36-90)/30*D46,0)</f>
        <v>44100.000000000007</v>
      </c>
      <c r="E139" s="375"/>
      <c r="F139" s="375"/>
      <c r="G139" s="375"/>
    </row>
    <row r="140" spans="1:7">
      <c r="A140" s="46" t="s">
        <v>177</v>
      </c>
      <c r="C140" s="377">
        <f>IF(C$36&lt;=30,C$36/30*C51,0)+IF(AND(30&lt;C$36,C$36&lt;=60),C51+(C$36-30)/30*C50,0)+IF(AND(60&lt;C$36,C$36&lt;=90),C51+C50+(C$36-60)/30*C49,0)+IF(AND(90&lt;C$36,C$36&lt;=120),C51+C50+C49+(C$36-90)/30*C47,0)</f>
        <v>12000.000000000002</v>
      </c>
      <c r="D140" s="377">
        <f>IF(D$36&lt;=30,D$36/30*D51,0)+IF(AND(30&lt;D$36,D$36&lt;=60),D51+(D$36-30)/30*D50,0)+IF(AND(60&lt;D$36,D$36&lt;=90),D51+D50+(D$36-60)/30*D49,0)+IF(AND(90&lt;D$36,D$36&lt;=120),D51+D50+D49+(D$36-90)/30*D47,0)</f>
        <v>44100.000000000007</v>
      </c>
      <c r="E140" s="377">
        <f>IF((E$36&lt;=90),E52*(E$36)/90,0)+IF(AND(90&lt;E$36,E$36&lt;=120),E52+(E$36-90)/90*E48,0)</f>
        <v>100000</v>
      </c>
      <c r="F140" s="377">
        <f>IF((F$36&lt;=90),F52*(F$36)/90,0)+IF(AND(90&lt;F$36,F$36&lt;=120),F52+(F$36-90)/90*F48,0)</f>
        <v>160000</v>
      </c>
      <c r="G140" s="377">
        <f>IF((G$36&lt;=90),G52*(G$36)/90,0)+IF(AND(90&lt;G$36,G$36&lt;=120),G52+(G$36-90)/90*G48,0)</f>
        <v>240000</v>
      </c>
    </row>
    <row r="141" spans="1:7">
      <c r="A141" s="46" t="s">
        <v>178</v>
      </c>
      <c r="C141" s="376">
        <f>IF(C$36&lt;=30,C$36/30*C53,0)+IF(AND(30&lt;C$36,C$36&lt;=60),C53+(C$36-30)/30*C51,0)+IF(AND(60&lt;C$36,C$36&lt;=90),C53+C51+(C$36-60)/30*C50,0)+IF(AND(90&lt;C$36,C$36&lt;=120),C53+C51+C50+(C$36-90)/30*C49,0)</f>
        <v>12000.000000000002</v>
      </c>
      <c r="D141" s="376">
        <f>IF(D$36&lt;=30,D$36/30*D53,0)+IF(AND(30&lt;D$36,D$36&lt;=60),D53+(D$36-30)/30*D51,0)+IF(AND(60&lt;D$36,D$36&lt;=90),D53+D51+(D$36-60)/30*D50,0)+IF(AND(90&lt;D$36,D$36&lt;=120),D53+D51+D50+(D$36-90)/30*D49,0)</f>
        <v>50400.000000000007</v>
      </c>
      <c r="E141" s="375"/>
      <c r="F141" s="375"/>
      <c r="G141" s="375"/>
    </row>
    <row r="142" spans="1:7">
      <c r="A142" s="46" t="s">
        <v>179</v>
      </c>
      <c r="C142" s="376">
        <f>IF(C$36&lt;=30,C$36/30*C54,0)+IF(AND(30&lt;C$36,C$36&lt;=60),C54+(C$36-30)/30*C53,0)+IF(AND(60&lt;C$36,C$36&lt;=90),C54+C53+(C$36-60)/30*C51,0)+IF(AND(90&lt;C$36,C$36&lt;=120),C54+C53+C51+(C$36-90)/30*C50,0)</f>
        <v>14400.000000000002</v>
      </c>
      <c r="D142" s="376">
        <f>IF(D$36&lt;=30,D$36/30*D54,0)+IF(AND(30&lt;D$36,D$36&lt;=60),D54+(D$36-30)/30*D53,0)+IF(AND(60&lt;D$36,D$36&lt;=90),D54+D53+(D$36-60)/30*D51,0)+IF(AND(90&lt;D$36,D$36&lt;=120),D54+D53+D51+(D$36-90)/30*D50,0)</f>
        <v>63000.000000000007</v>
      </c>
      <c r="E142" s="375"/>
      <c r="F142" s="375"/>
      <c r="G142" s="375"/>
    </row>
    <row r="143" spans="1:7">
      <c r="A143" s="46" t="s">
        <v>180</v>
      </c>
      <c r="C143" s="377">
        <f>IF(C$36&lt;=30,C$36/30*C55,0)+IF(AND(30&lt;C$36,C$36&lt;=60),C55+(C$36-30)/30*C54,0)+IF(AND(60&lt;C$36,C$36&lt;=90),C55+C54+(C$36-60)/30*C53,0)+IF(AND(90&lt;C$36,C$36&lt;=120),C55+C54+C53+(C$36-90)/30*C51,0)</f>
        <v>18000</v>
      </c>
      <c r="D143" s="377">
        <f>IF(D$36&lt;=30,D$36/30*D55,0)+IF(AND(30&lt;D$36,D$36&lt;=60),D55+(D$36-30)/30*D54,0)+IF(AND(60&lt;D$36,D$36&lt;=90),D55+D54+(D$36-60)/30*D53,0)+IF(AND(90&lt;D$36,D$36&lt;=120),D55+D54+D53+(D$36-90)/30*D51,0)</f>
        <v>63000.000000000007</v>
      </c>
      <c r="E143" s="377">
        <f>IF((E$36&lt;=90),E56*(E$36)/90,0)+IF(AND(90&lt;E$36,E$36&lt;=120),E56+(E$36-90)/90*E52,0)</f>
        <v>100000</v>
      </c>
      <c r="F143" s="377">
        <f>IF((F$36&lt;=90),F56*(F$36)/90,0)+IF(AND(90&lt;F$36,F$36&lt;=120),F56+(F$36-90)/90*F52,0)</f>
        <v>180000</v>
      </c>
      <c r="G143" s="377">
        <f>IF((G$36&lt;=90),G56*(G$36)/90,0)+IF(AND(90&lt;G$36,G$36&lt;=120),G56+(G$36-90)/90*G52,0)</f>
        <v>280000</v>
      </c>
    </row>
    <row r="144" spans="1:7">
      <c r="A144" s="46" t="s">
        <v>181</v>
      </c>
      <c r="C144" s="376">
        <f>IF(C$36&lt;=30,C$36/30*C57,0)+IF(AND(30&lt;C$36,C$36&lt;=60),C57+(C$36-30)/30*C55,0)+IF(AND(60&lt;C$36,C$36&lt;=90),C57+C55+(C$36-60)/30*C54,0)+IF(AND(90&lt;C$36,C$36&lt;=120),C57+C55+C54+(C$36-90)/30*C53,0)</f>
        <v>14400.000000000002</v>
      </c>
      <c r="D144" s="376">
        <f>IF(D$36&lt;=30,D$36/30*D57,0)+IF(AND(30&lt;D$36,D$36&lt;=60),D57+(D$36-30)/30*D55,0)+IF(AND(60&lt;D$36,D$36&lt;=90),D57+D55+(D$36-60)/30*D54,0)+IF(AND(90&lt;D$36,D$36&lt;=120),D57+D55+D54+(D$36-90)/30*D53,0)</f>
        <v>69300</v>
      </c>
      <c r="E144" s="375"/>
      <c r="F144" s="375"/>
      <c r="G144" s="375"/>
    </row>
    <row r="145" spans="1:7">
      <c r="A145" s="46" t="s">
        <v>182</v>
      </c>
      <c r="C145" s="376">
        <f>IF(C$36&lt;=30,C$36/30*C58,0)+IF(AND(30&lt;C$36,C$36&lt;=60),C58+(C$36-30)/30*C57,0)+IF(AND(60&lt;C$36,C$36&lt;=90),C58+C57+(C$36-60)/30*C55,0)+IF(AND(90&lt;C$36,C$36&lt;=120),C58+C57+C55+(C$36-90)/30*C54,0)</f>
        <v>15600.000000000002</v>
      </c>
      <c r="D145" s="376">
        <f>IF(D$36&lt;=30,D$36/30*D58,0)+IF(AND(30&lt;D$36,D$36&lt;=60),D58+(D$36-30)/30*D57,0)+IF(AND(60&lt;D$36,D$36&lt;=90),D58+D57+(D$36-60)/30*D55,0)+IF(AND(90&lt;D$36,D$36&lt;=120),D58+D57+D55+(D$36-90)/30*D54,0)</f>
        <v>75600</v>
      </c>
      <c r="E145" s="375"/>
      <c r="F145" s="375"/>
      <c r="G145" s="375"/>
    </row>
    <row r="146" spans="1:7">
      <c r="A146" s="46" t="s">
        <v>183</v>
      </c>
      <c r="C146" s="377">
        <f>IF(C$36&lt;=30,C$36/30*C59,0)+IF(AND(30&lt;C$36,C$36&lt;=60),C59+(C$36-30)/30*C58,0)+IF(AND(60&lt;C$36,C$36&lt;=90),C59+C58+(C$36-60)/30*C57,0)+IF(AND(90&lt;C$36,C$36&lt;=120),C59+C58+C57+(C$36-90)/30*C55,0)</f>
        <v>18000</v>
      </c>
      <c r="D146" s="377">
        <f>IF(D$36&lt;=30,D$36/30*D59,0)+IF(AND(30&lt;D$36,D$36&lt;=60),D59+(D$36-30)/30*D58,0)+IF(AND(60&lt;D$36,D$36&lt;=90),D59+D58+(D$36-60)/30*D57,0)+IF(AND(90&lt;D$36,D$36&lt;=120),D59+D58+D57+(D$36-90)/30*D55,0)</f>
        <v>75600</v>
      </c>
      <c r="E146" s="377">
        <f>IF((E$36&lt;=90),E60*(E$36)/90,0)+IF(AND(90&lt;E$36,E$36&lt;=120),E60+(E$36-90)/90*E56,0)</f>
        <v>110000</v>
      </c>
      <c r="F146" s="377">
        <f>IF((F$36&lt;=90),F60*(F$36)/90,0)+IF(AND(90&lt;F$36,F$36&lt;=120),F60+(F$36-90)/90*F56,0)</f>
        <v>190000</v>
      </c>
      <c r="G146" s="377">
        <f>IF((G$36&lt;=90),G60*(G$36)/90,0)+IF(AND(90&lt;G$36,G$36&lt;=120),G60+(G$36-90)/90*G56,0)</f>
        <v>320000</v>
      </c>
    </row>
  </sheetData>
  <phoneticPr fontId="0" type="noConversion"/>
  <pageMargins left="0.75" right="0.75" top="0.5" bottom="0.5" header="0.5" footer="0.5"/>
  <pageSetup scale="84" fitToHeight="0" orientation="portrait" horizontalDpi="300" verticalDpi="300" r:id="rId1"/>
  <headerFooter alignWithMargins="0">
    <oddHeader>&amp;R&amp;D
&amp;T</oddHeader>
  </headerFooter>
  <rowBreaks count="1" manualBreakCount="1">
    <brk id="114"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J137"/>
  <sheetViews>
    <sheetView zoomScale="75" zoomScaleNormal="75" workbookViewId="0">
      <selection activeCell="B1" sqref="B1"/>
    </sheetView>
  </sheetViews>
  <sheetFormatPr defaultColWidth="8.7109375" defaultRowHeight="12.75"/>
  <cols>
    <col min="1" max="1" width="35" style="13" customWidth="1"/>
    <col min="2" max="2" width="11" style="13" customWidth="1"/>
    <col min="3" max="3" width="10.7109375" style="13" customWidth="1"/>
    <col min="4" max="4" width="12.42578125" style="13" customWidth="1"/>
    <col min="5" max="7" width="11.28515625" style="13" customWidth="1"/>
    <col min="8" max="16384" width="8.7109375" style="13"/>
  </cols>
  <sheetData>
    <row r="1" spans="1:9" ht="20.25">
      <c r="A1" s="245" t="str">
        <f>COMPS!A1</f>
        <v>XYZ Company</v>
      </c>
      <c r="B1" s="283"/>
      <c r="C1" s="283"/>
      <c r="D1" s="283"/>
      <c r="E1" s="283"/>
      <c r="F1" s="283"/>
      <c r="G1" s="283"/>
      <c r="H1" s="610" t="s">
        <v>453</v>
      </c>
    </row>
    <row r="2" spans="1:9" s="243" customFormat="1" ht="15.75">
      <c r="A2" s="241" t="s">
        <v>52</v>
      </c>
      <c r="B2" s="242"/>
      <c r="C2" s="242"/>
      <c r="D2" s="242"/>
      <c r="E2" s="242"/>
      <c r="F2" s="242"/>
      <c r="G2" s="242"/>
      <c r="I2" s="242"/>
    </row>
    <row r="3" spans="1:9" s="243" customFormat="1" ht="15.75">
      <c r="A3" s="241" t="s">
        <v>71</v>
      </c>
      <c r="B3" s="242"/>
      <c r="C3" s="242"/>
      <c r="D3" s="242"/>
      <c r="E3" s="242"/>
      <c r="F3" s="242"/>
      <c r="G3" s="242"/>
      <c r="H3" s="242"/>
      <c r="I3" s="242"/>
    </row>
    <row r="4" spans="1:9" s="243" customFormat="1" ht="15.75">
      <c r="A4" s="244" t="s">
        <v>94</v>
      </c>
      <c r="H4" s="242"/>
      <c r="I4" s="242"/>
    </row>
    <row r="5" spans="1:9" ht="15.75">
      <c r="A5" s="50"/>
      <c r="B5" s="246" t="s">
        <v>166</v>
      </c>
      <c r="C5" s="71" t="s">
        <v>72</v>
      </c>
      <c r="D5" s="71" t="s">
        <v>73</v>
      </c>
      <c r="E5" s="71" t="s">
        <v>74</v>
      </c>
      <c r="F5" s="71" t="s">
        <v>75</v>
      </c>
      <c r="G5" s="71" t="s">
        <v>76</v>
      </c>
    </row>
    <row r="6" spans="1:9" ht="15">
      <c r="A6" s="343" t="s">
        <v>292</v>
      </c>
      <c r="B6" s="369">
        <v>1500000</v>
      </c>
      <c r="C6" s="359"/>
      <c r="D6" s="359"/>
      <c r="E6" s="359"/>
      <c r="F6" s="359"/>
      <c r="G6" s="359"/>
    </row>
    <row r="7" spans="1:9">
      <c r="A7" s="196" t="s">
        <v>126</v>
      </c>
      <c r="B7" s="36"/>
      <c r="C7" s="149"/>
      <c r="D7" s="149"/>
      <c r="E7" s="149"/>
      <c r="F7" s="149"/>
      <c r="G7" s="149"/>
    </row>
    <row r="8" spans="1:9">
      <c r="A8" s="112" t="s">
        <v>100</v>
      </c>
      <c r="B8" s="360">
        <v>500000</v>
      </c>
      <c r="C8" s="360">
        <v>500000</v>
      </c>
      <c r="D8" s="360">
        <v>500000</v>
      </c>
      <c r="E8" s="360">
        <v>500000</v>
      </c>
      <c r="F8" s="360">
        <v>500000</v>
      </c>
      <c r="G8" s="360">
        <v>500000</v>
      </c>
    </row>
    <row r="9" spans="1:9">
      <c r="A9" s="197" t="s">
        <v>246</v>
      </c>
      <c r="B9" s="37"/>
      <c r="C9" s="361">
        <f>C8-B8</f>
        <v>0</v>
      </c>
      <c r="D9" s="361">
        <f>D8-C8</f>
        <v>0</v>
      </c>
      <c r="E9" s="361">
        <f>E8-D8</f>
        <v>0</v>
      </c>
      <c r="F9" s="361">
        <f>F8-E8</f>
        <v>0</v>
      </c>
      <c r="G9" s="361">
        <f>G8-F8</f>
        <v>0</v>
      </c>
    </row>
    <row r="10" spans="1:9">
      <c r="A10" s="198" t="s">
        <v>101</v>
      </c>
      <c r="B10" s="360"/>
      <c r="C10" s="360"/>
      <c r="D10" s="360"/>
      <c r="E10" s="360"/>
      <c r="F10" s="360"/>
      <c r="G10" s="360"/>
    </row>
    <row r="11" spans="1:9">
      <c r="A11" s="197" t="s">
        <v>298</v>
      </c>
      <c r="B11" s="360">
        <v>1000000</v>
      </c>
      <c r="C11" s="360">
        <v>1000000</v>
      </c>
      <c r="D11" s="360">
        <v>1000000</v>
      </c>
      <c r="E11" s="360">
        <v>1000000</v>
      </c>
      <c r="F11" s="360">
        <v>1000000</v>
      </c>
      <c r="G11" s="360">
        <v>1000000</v>
      </c>
    </row>
    <row r="12" spans="1:9">
      <c r="A12" s="197" t="s">
        <v>299</v>
      </c>
      <c r="B12" s="360"/>
      <c r="C12" s="360"/>
      <c r="D12" s="360">
        <v>500000</v>
      </c>
      <c r="E12" s="360">
        <v>500000</v>
      </c>
      <c r="F12" s="360">
        <v>500000</v>
      </c>
      <c r="G12" s="360">
        <v>500000</v>
      </c>
    </row>
    <row r="13" spans="1:9">
      <c r="A13" s="344" t="s">
        <v>300</v>
      </c>
      <c r="B13" s="360">
        <f t="shared" ref="B13:G13" si="0">SUM(B11:B12)</f>
        <v>1000000</v>
      </c>
      <c r="C13" s="360">
        <f t="shared" si="0"/>
        <v>1000000</v>
      </c>
      <c r="D13" s="360">
        <f t="shared" si="0"/>
        <v>1500000</v>
      </c>
      <c r="E13" s="360">
        <f t="shared" si="0"/>
        <v>1500000</v>
      </c>
      <c r="F13" s="360">
        <f t="shared" si="0"/>
        <v>1500000</v>
      </c>
      <c r="G13" s="360">
        <f t="shared" si="0"/>
        <v>1500000</v>
      </c>
    </row>
    <row r="14" spans="1:9">
      <c r="A14" s="197" t="s">
        <v>246</v>
      </c>
      <c r="B14" s="36"/>
      <c r="C14" s="361">
        <f>C13-B13</f>
        <v>0</v>
      </c>
      <c r="D14" s="361">
        <f>D13-C13</f>
        <v>500000</v>
      </c>
      <c r="E14" s="361">
        <f>E13-D13</f>
        <v>0</v>
      </c>
      <c r="F14" s="361">
        <f>F13-E13</f>
        <v>0</v>
      </c>
      <c r="G14" s="361">
        <f>G13-F13</f>
        <v>0</v>
      </c>
    </row>
    <row r="15" spans="1:9">
      <c r="A15" s="198" t="s">
        <v>85</v>
      </c>
      <c r="B15" s="116">
        <f t="shared" ref="B15:G15" si="1">B8+B13</f>
        <v>1500000</v>
      </c>
      <c r="C15" s="116">
        <f t="shared" si="1"/>
        <v>1500000</v>
      </c>
      <c r="D15" s="116">
        <f t="shared" si="1"/>
        <v>2000000</v>
      </c>
      <c r="E15" s="116">
        <f t="shared" si="1"/>
        <v>2000000</v>
      </c>
      <c r="F15" s="116">
        <f t="shared" si="1"/>
        <v>2000000</v>
      </c>
      <c r="G15" s="116">
        <f t="shared" si="1"/>
        <v>2000000</v>
      </c>
    </row>
    <row r="16" spans="1:9">
      <c r="A16" s="198"/>
      <c r="B16" s="149"/>
      <c r="C16" s="149"/>
      <c r="D16" s="149"/>
      <c r="E16" s="149"/>
      <c r="F16" s="149"/>
      <c r="G16" s="149"/>
    </row>
    <row r="17" spans="1:7">
      <c r="A17" s="196" t="s">
        <v>127</v>
      </c>
      <c r="B17" s="36"/>
      <c r="C17" s="149"/>
      <c r="D17" s="149"/>
      <c r="E17" s="149"/>
      <c r="F17" s="149"/>
      <c r="G17" s="149"/>
    </row>
    <row r="18" spans="1:7">
      <c r="A18" s="343" t="s">
        <v>129</v>
      </c>
      <c r="B18" s="360"/>
      <c r="C18" s="360"/>
      <c r="D18" s="360"/>
      <c r="E18" s="360"/>
      <c r="F18" s="360">
        <v>100000</v>
      </c>
      <c r="G18" s="360"/>
    </row>
    <row r="19" spans="1:7">
      <c r="A19" s="197" t="s">
        <v>246</v>
      </c>
      <c r="B19" s="36"/>
      <c r="C19" s="363">
        <f>C18-B18</f>
        <v>0</v>
      </c>
      <c r="D19" s="363">
        <f>D18-C18</f>
        <v>0</v>
      </c>
      <c r="E19" s="363">
        <f>E18-D18</f>
        <v>0</v>
      </c>
      <c r="F19" s="363">
        <f>F18-E18</f>
        <v>100000</v>
      </c>
      <c r="G19" s="363">
        <f>G18-F18</f>
        <v>-100000</v>
      </c>
    </row>
    <row r="20" spans="1:7">
      <c r="A20" s="197"/>
      <c r="B20" s="36"/>
      <c r="C20" s="118"/>
      <c r="D20" s="118"/>
      <c r="E20" s="118"/>
      <c r="F20" s="118"/>
      <c r="G20" s="118"/>
    </row>
    <row r="21" spans="1:7">
      <c r="A21" s="113" t="s">
        <v>128</v>
      </c>
      <c r="B21" s="36"/>
      <c r="C21" s="149"/>
      <c r="D21" s="149"/>
      <c r="E21" s="149"/>
      <c r="F21" s="149"/>
      <c r="G21" s="149"/>
    </row>
    <row r="22" spans="1:7">
      <c r="A22" s="117" t="s">
        <v>249</v>
      </c>
      <c r="B22" s="360"/>
      <c r="C22" s="360"/>
      <c r="D22" s="360">
        <v>100000</v>
      </c>
      <c r="E22" s="360">
        <v>100000</v>
      </c>
      <c r="F22" s="360">
        <v>100000</v>
      </c>
      <c r="G22" s="360">
        <v>100000</v>
      </c>
    </row>
    <row r="23" spans="1:7">
      <c r="A23" s="117" t="s">
        <v>250</v>
      </c>
      <c r="B23" s="367"/>
      <c r="C23" s="367"/>
      <c r="D23" s="367">
        <v>400000</v>
      </c>
      <c r="E23" s="311">
        <v>300000</v>
      </c>
      <c r="F23" s="367">
        <v>200000</v>
      </c>
      <c r="G23" s="367">
        <v>100000</v>
      </c>
    </row>
    <row r="24" spans="1:7">
      <c r="A24" s="140" t="s">
        <v>99</v>
      </c>
      <c r="B24" s="360"/>
      <c r="C24" s="363">
        <f>C22+C23</f>
        <v>0</v>
      </c>
      <c r="D24" s="363">
        <f>D22+D23</f>
        <v>500000</v>
      </c>
      <c r="E24" s="363">
        <f>E22+E23</f>
        <v>400000</v>
      </c>
      <c r="F24" s="363">
        <f>F22+F23</f>
        <v>300000</v>
      </c>
      <c r="G24" s="363">
        <f>G22+G23</f>
        <v>200000</v>
      </c>
    </row>
    <row r="25" spans="1:7">
      <c r="A25" s="37"/>
      <c r="B25" s="37"/>
      <c r="C25" s="37"/>
      <c r="D25" s="37"/>
      <c r="E25" s="37"/>
      <c r="F25" s="37"/>
      <c r="G25" s="37"/>
    </row>
    <row r="26" spans="1:7">
      <c r="A26" s="197" t="s">
        <v>246</v>
      </c>
      <c r="B26" s="37"/>
      <c r="C26" s="37"/>
      <c r="D26" s="37"/>
      <c r="E26" s="37"/>
      <c r="F26" s="37"/>
      <c r="G26" s="37"/>
    </row>
    <row r="27" spans="1:7">
      <c r="A27" s="344" t="s">
        <v>247</v>
      </c>
      <c r="B27" s="363"/>
      <c r="C27" s="363">
        <f t="shared" ref="C27:G28" si="2">C22-B22</f>
        <v>0</v>
      </c>
      <c r="D27" s="363">
        <f t="shared" si="2"/>
        <v>100000</v>
      </c>
      <c r="E27" s="363">
        <f t="shared" si="2"/>
        <v>0</v>
      </c>
      <c r="F27" s="363">
        <f t="shared" si="2"/>
        <v>0</v>
      </c>
      <c r="G27" s="363">
        <f t="shared" si="2"/>
        <v>0</v>
      </c>
    </row>
    <row r="28" spans="1:7">
      <c r="A28" s="344" t="s">
        <v>248</v>
      </c>
      <c r="B28" s="363"/>
      <c r="C28" s="363">
        <f t="shared" si="2"/>
        <v>0</v>
      </c>
      <c r="D28" s="363">
        <f t="shared" si="2"/>
        <v>400000</v>
      </c>
      <c r="E28" s="363">
        <f t="shared" si="2"/>
        <v>-100000</v>
      </c>
      <c r="F28" s="363">
        <f t="shared" si="2"/>
        <v>-100000</v>
      </c>
      <c r="G28" s="363">
        <f t="shared" si="2"/>
        <v>-100000</v>
      </c>
    </row>
    <row r="29" spans="1:7">
      <c r="A29" s="374" t="s">
        <v>99</v>
      </c>
      <c r="B29" s="560"/>
      <c r="C29" s="361">
        <f>SUM(C27:C28)</f>
        <v>0</v>
      </c>
      <c r="D29" s="361">
        <f>SUM(D27:D28)</f>
        <v>500000</v>
      </c>
      <c r="E29" s="361">
        <f>SUM(E27:E28)</f>
        <v>-100000</v>
      </c>
      <c r="F29" s="361">
        <f>SUM(F27:F28)</f>
        <v>-100000</v>
      </c>
      <c r="G29" s="361">
        <f>SUM(G27:G28)</f>
        <v>-100000</v>
      </c>
    </row>
    <row r="30" spans="1:7">
      <c r="A30" s="374"/>
      <c r="B30" s="37"/>
      <c r="C30" s="362"/>
      <c r="D30" s="362"/>
      <c r="E30" s="362"/>
      <c r="F30" s="362"/>
      <c r="G30" s="362"/>
    </row>
    <row r="31" spans="1:7">
      <c r="A31" s="446" t="s">
        <v>293</v>
      </c>
      <c r="B31" s="541">
        <f t="shared" ref="B31:G31" si="3">B15+B18+B24</f>
        <v>1500000</v>
      </c>
      <c r="C31" s="541">
        <f t="shared" si="3"/>
        <v>1500000</v>
      </c>
      <c r="D31" s="541">
        <f t="shared" si="3"/>
        <v>2500000</v>
      </c>
      <c r="E31" s="541">
        <f t="shared" si="3"/>
        <v>2400000</v>
      </c>
      <c r="F31" s="541">
        <f t="shared" si="3"/>
        <v>2400000</v>
      </c>
      <c r="G31" s="541">
        <f t="shared" si="3"/>
        <v>2200000</v>
      </c>
    </row>
    <row r="32" spans="1:7">
      <c r="A32" s="374"/>
      <c r="B32" s="37"/>
      <c r="C32" s="362"/>
      <c r="D32" s="362"/>
      <c r="E32" s="362"/>
      <c r="F32" s="362"/>
      <c r="G32" s="362"/>
    </row>
    <row r="33" spans="1:10">
      <c r="A33" s="113" t="s">
        <v>245</v>
      </c>
      <c r="B33" s="36"/>
      <c r="C33" s="149"/>
      <c r="D33" s="149"/>
      <c r="E33" s="149"/>
      <c r="F33" s="149"/>
      <c r="G33" s="149"/>
    </row>
    <row r="34" spans="1:10">
      <c r="A34" s="199" t="s">
        <v>78</v>
      </c>
      <c r="B34" s="36"/>
      <c r="C34" s="149"/>
      <c r="D34" s="149"/>
      <c r="E34" s="149"/>
      <c r="F34" s="149"/>
      <c r="G34" s="149"/>
    </row>
    <row r="35" spans="1:10">
      <c r="A35" s="197" t="s">
        <v>97</v>
      </c>
      <c r="B35" s="36"/>
      <c r="C35" s="364">
        <v>0.09</v>
      </c>
      <c r="D35" s="364">
        <v>0.09</v>
      </c>
      <c r="E35" s="364">
        <v>0.09</v>
      </c>
      <c r="F35" s="364">
        <v>0.09</v>
      </c>
      <c r="G35" s="364">
        <v>0.09</v>
      </c>
    </row>
    <row r="36" spans="1:10">
      <c r="A36" s="117" t="s">
        <v>98</v>
      </c>
      <c r="B36" s="36"/>
      <c r="C36" s="364">
        <v>0.12</v>
      </c>
      <c r="D36" s="364">
        <v>0.12</v>
      </c>
      <c r="E36" s="364">
        <v>0.12</v>
      </c>
      <c r="F36" s="364">
        <v>0.12</v>
      </c>
      <c r="G36" s="364">
        <v>0.12</v>
      </c>
    </row>
    <row r="37" spans="1:10" ht="15">
      <c r="A37" s="37"/>
      <c r="B37" s="36"/>
      <c r="C37" s="149"/>
      <c r="D37" s="149"/>
      <c r="E37" s="149"/>
      <c r="F37" s="149"/>
      <c r="G37" s="149"/>
      <c r="H37" s="15"/>
      <c r="I37" s="15"/>
      <c r="J37" s="15"/>
    </row>
    <row r="38" spans="1:10">
      <c r="A38" s="199" t="s">
        <v>1</v>
      </c>
      <c r="B38" s="36"/>
      <c r="C38" s="149"/>
      <c r="D38" s="149"/>
      <c r="E38" s="149"/>
      <c r="F38" s="149"/>
      <c r="G38" s="149"/>
    </row>
    <row r="39" spans="1:10">
      <c r="A39" s="197" t="s">
        <v>97</v>
      </c>
      <c r="B39" s="36"/>
      <c r="C39" s="116">
        <f>C35*C18</f>
        <v>0</v>
      </c>
      <c r="D39" s="116">
        <f>D35*D18</f>
        <v>0</v>
      </c>
      <c r="E39" s="116">
        <f>E35*E18</f>
        <v>0</v>
      </c>
      <c r="F39" s="116">
        <f>F35*F18</f>
        <v>9000</v>
      </c>
      <c r="G39" s="116">
        <f>G35*G18</f>
        <v>0</v>
      </c>
    </row>
    <row r="40" spans="1:10">
      <c r="A40" s="117" t="s">
        <v>98</v>
      </c>
      <c r="B40" s="36"/>
      <c r="C40" s="116">
        <f>C36*C24</f>
        <v>0</v>
      </c>
      <c r="D40" s="116">
        <f>D36*D24</f>
        <v>60000</v>
      </c>
      <c r="E40" s="116">
        <f>E36*E24</f>
        <v>48000</v>
      </c>
      <c r="F40" s="116">
        <f>F36*F24</f>
        <v>36000</v>
      </c>
      <c r="G40" s="116">
        <f>G36*G24</f>
        <v>24000</v>
      </c>
    </row>
    <row r="41" spans="1:10">
      <c r="A41" s="117" t="s">
        <v>102</v>
      </c>
      <c r="B41" s="36"/>
      <c r="C41" s="363">
        <f>SUM(C39:C40)</f>
        <v>0</v>
      </c>
      <c r="D41" s="363">
        <f>SUM(D39:D40)</f>
        <v>60000</v>
      </c>
      <c r="E41" s="363">
        <f>SUM(E39:E40)</f>
        <v>48000</v>
      </c>
      <c r="F41" s="363">
        <f>SUM(F39:F40)</f>
        <v>45000</v>
      </c>
      <c r="G41" s="363">
        <f>SUM(G39:G40)</f>
        <v>24000</v>
      </c>
    </row>
    <row r="42" spans="1:10">
      <c r="A42" s="37"/>
      <c r="B42" s="37"/>
      <c r="C42" s="37"/>
      <c r="D42" s="37"/>
      <c r="E42" s="37"/>
      <c r="F42" s="37"/>
      <c r="G42" s="37"/>
    </row>
    <row r="43" spans="1:10">
      <c r="A43" s="572" t="s">
        <v>118</v>
      </c>
      <c r="B43" s="36"/>
      <c r="C43" s="149"/>
      <c r="D43" s="149"/>
      <c r="E43" s="149"/>
      <c r="F43" s="149"/>
      <c r="G43" s="149"/>
    </row>
    <row r="44" spans="1:10">
      <c r="A44" s="117" t="s">
        <v>78</v>
      </c>
      <c r="B44" s="37"/>
      <c r="C44" s="365">
        <v>0.04</v>
      </c>
      <c r="D44" s="365">
        <v>0.04</v>
      </c>
      <c r="E44" s="365">
        <v>0.04</v>
      </c>
      <c r="F44" s="365">
        <v>0.04</v>
      </c>
      <c r="G44" s="365">
        <v>0.04</v>
      </c>
    </row>
    <row r="45" spans="1:10">
      <c r="A45" s="197" t="s">
        <v>118</v>
      </c>
      <c r="B45" s="37"/>
      <c r="C45" s="369">
        <v>0</v>
      </c>
      <c r="D45" s="369">
        <v>0</v>
      </c>
      <c r="E45" s="369">
        <v>0</v>
      </c>
      <c r="F45" s="369">
        <v>0</v>
      </c>
      <c r="G45" s="369">
        <v>10000</v>
      </c>
    </row>
    <row r="46" spans="1:10">
      <c r="A46" s="198"/>
      <c r="B46" s="37"/>
      <c r="C46" s="37"/>
      <c r="D46" s="37"/>
      <c r="E46" s="37"/>
      <c r="F46" s="37"/>
      <c r="G46" s="37"/>
    </row>
    <row r="47" spans="1:10">
      <c r="A47" s="196" t="s">
        <v>130</v>
      </c>
      <c r="B47" s="37"/>
      <c r="C47" s="37"/>
      <c r="D47" s="37"/>
      <c r="E47" s="37"/>
      <c r="F47" s="37"/>
      <c r="G47" s="37"/>
    </row>
    <row r="48" spans="1:10">
      <c r="A48" s="198" t="s">
        <v>81</v>
      </c>
      <c r="B48" s="37"/>
      <c r="C48" s="366">
        <f>INCOME!C34</f>
        <v>-712131.10238095233</v>
      </c>
      <c r="D48" s="366">
        <f>INCOME!D34</f>
        <v>-218064.28571428591</v>
      </c>
      <c r="E48" s="366">
        <f>INCOME!E34</f>
        <v>704514.7619047612</v>
      </c>
      <c r="F48" s="366">
        <f>INCOME!F34</f>
        <v>1002740.8219047622</v>
      </c>
      <c r="G48" s="366">
        <f>INCOME!G34</f>
        <v>2252034.2857142859</v>
      </c>
      <c r="H48" s="37"/>
    </row>
    <row r="49" spans="1:7">
      <c r="A49" s="112" t="s">
        <v>83</v>
      </c>
      <c r="B49" s="36"/>
      <c r="C49" s="367"/>
      <c r="D49" s="367"/>
      <c r="E49" s="367"/>
      <c r="F49" s="367"/>
      <c r="G49" s="367">
        <v>50000</v>
      </c>
    </row>
    <row r="50" spans="1:7">
      <c r="A50" s="112" t="s">
        <v>111</v>
      </c>
      <c r="B50" s="36"/>
      <c r="C50" s="116">
        <f>C48-C49</f>
        <v>-712131.10238095233</v>
      </c>
      <c r="D50" s="116">
        <f>D48-D49</f>
        <v>-218064.28571428591</v>
      </c>
      <c r="E50" s="116">
        <f>E48-E49</f>
        <v>704514.7619047612</v>
      </c>
      <c r="F50" s="116">
        <f>F48-F49</f>
        <v>1002740.8219047622</v>
      </c>
      <c r="G50" s="116">
        <f>G48-G49</f>
        <v>2202034.2857142859</v>
      </c>
    </row>
    <row r="51" spans="1:7">
      <c r="A51" s="198" t="s">
        <v>112</v>
      </c>
      <c r="B51" s="368"/>
      <c r="C51" s="114">
        <v>0</v>
      </c>
      <c r="D51" s="116">
        <f>C52</f>
        <v>-712131.10238095233</v>
      </c>
      <c r="E51" s="116">
        <f>D52</f>
        <v>-930195.38809523825</v>
      </c>
      <c r="F51" s="116">
        <f>E52</f>
        <v>-225680.62619047705</v>
      </c>
      <c r="G51" s="116">
        <f>F52</f>
        <v>777060.19571428513</v>
      </c>
    </row>
    <row r="52" spans="1:7">
      <c r="A52" s="198" t="s">
        <v>113</v>
      </c>
      <c r="B52" s="37"/>
      <c r="C52" s="363">
        <f>C50+C51</f>
        <v>-712131.10238095233</v>
      </c>
      <c r="D52" s="363">
        <f>D50+D51</f>
        <v>-930195.38809523825</v>
      </c>
      <c r="E52" s="363">
        <f>E50+E51</f>
        <v>-225680.62619047705</v>
      </c>
      <c r="F52" s="363">
        <f>F50+F51</f>
        <v>777060.19571428513</v>
      </c>
      <c r="G52" s="363">
        <f>G50+G51</f>
        <v>2979094.481428571</v>
      </c>
    </row>
    <row r="53" spans="1:7">
      <c r="A53" s="34"/>
      <c r="B53"/>
      <c r="C53" s="49"/>
      <c r="D53" s="49"/>
      <c r="E53" s="49"/>
      <c r="F53" s="49"/>
      <c r="G53" s="49"/>
    </row>
    <row r="54" spans="1:7">
      <c r="A54" s="16"/>
      <c r="B54"/>
      <c r="C54" s="29"/>
      <c r="D54" s="29"/>
      <c r="E54" s="29"/>
      <c r="F54" s="29"/>
      <c r="G54" s="29"/>
    </row>
    <row r="55" spans="1:7">
      <c r="A55"/>
      <c r="B55"/>
      <c r="C55"/>
      <c r="D55"/>
      <c r="E55"/>
      <c r="F55"/>
      <c r="G55"/>
    </row>
    <row r="56" spans="1:7">
      <c r="A56"/>
      <c r="B56"/>
      <c r="C56"/>
      <c r="D56"/>
      <c r="E56"/>
      <c r="F56"/>
      <c r="G56"/>
    </row>
    <row r="57" spans="1:7">
      <c r="A57"/>
      <c r="B57"/>
      <c r="C57"/>
      <c r="D57"/>
      <c r="E57"/>
      <c r="F57"/>
      <c r="G57"/>
    </row>
    <row r="58" spans="1:7">
      <c r="A58"/>
      <c r="B58"/>
      <c r="C58"/>
      <c r="D58"/>
      <c r="E58"/>
      <c r="F58"/>
      <c r="G58"/>
    </row>
    <row r="59" spans="1:7">
      <c r="A59"/>
      <c r="B59"/>
      <c r="C59"/>
      <c r="D59"/>
      <c r="E59"/>
      <c r="F59"/>
      <c r="G59"/>
    </row>
    <row r="60" spans="1:7">
      <c r="A60"/>
      <c r="B60"/>
      <c r="C60"/>
      <c r="D60"/>
      <c r="E60"/>
      <c r="F60"/>
      <c r="G60"/>
    </row>
    <row r="61" spans="1:7">
      <c r="A61"/>
      <c r="B61"/>
      <c r="C61"/>
      <c r="D61"/>
      <c r="E61"/>
      <c r="F61"/>
      <c r="G61"/>
    </row>
    <row r="62" spans="1:7">
      <c r="A62"/>
      <c r="B62"/>
      <c r="C62"/>
      <c r="D62"/>
      <c r="E62"/>
      <c r="F62"/>
      <c r="G62"/>
    </row>
    <row r="63" spans="1:7">
      <c r="A63"/>
      <c r="B63"/>
      <c r="C63"/>
      <c r="D63"/>
      <c r="E63"/>
      <c r="F63"/>
      <c r="G63"/>
    </row>
    <row r="64" spans="1:7">
      <c r="A64"/>
      <c r="B64"/>
      <c r="C64"/>
      <c r="D64"/>
      <c r="E64"/>
      <c r="F64"/>
      <c r="G64"/>
    </row>
    <row r="65" spans="1:10">
      <c r="A65"/>
      <c r="B65"/>
      <c r="C65"/>
      <c r="D65"/>
      <c r="E65"/>
      <c r="F65"/>
      <c r="G65"/>
    </row>
    <row r="66" spans="1:10">
      <c r="A66"/>
      <c r="B66"/>
      <c r="C66"/>
      <c r="D66"/>
      <c r="E66"/>
      <c r="F66"/>
      <c r="G66"/>
    </row>
    <row r="67" spans="1:10">
      <c r="A67"/>
      <c r="B67"/>
      <c r="C67"/>
      <c r="D67"/>
      <c r="E67"/>
      <c r="F67"/>
      <c r="G67"/>
    </row>
    <row r="68" spans="1:10">
      <c r="A68"/>
      <c r="B68"/>
      <c r="C68"/>
      <c r="D68"/>
      <c r="E68"/>
      <c r="F68"/>
      <c r="G68"/>
    </row>
    <row r="69" spans="1:10">
      <c r="A69"/>
      <c r="B69"/>
      <c r="C69"/>
      <c r="D69"/>
      <c r="E69"/>
      <c r="F69"/>
      <c r="G69"/>
    </row>
    <row r="70" spans="1:10" ht="15">
      <c r="A70"/>
      <c r="B70"/>
      <c r="C70"/>
      <c r="D70"/>
      <c r="E70"/>
      <c r="F70"/>
      <c r="G70"/>
      <c r="I70" s="15"/>
      <c r="J70" s="15"/>
    </row>
    <row r="71" spans="1:10" ht="15">
      <c r="A71"/>
      <c r="B71"/>
      <c r="C71"/>
      <c r="D71"/>
      <c r="E71"/>
      <c r="F71"/>
      <c r="G71"/>
      <c r="H71" s="15"/>
    </row>
    <row r="72" spans="1:10">
      <c r="A72"/>
      <c r="B72"/>
      <c r="C72"/>
      <c r="D72"/>
      <c r="E72"/>
      <c r="F72"/>
      <c r="G72"/>
      <c r="H72" s="16"/>
    </row>
    <row r="73" spans="1:10">
      <c r="A73"/>
      <c r="B73"/>
      <c r="C73"/>
      <c r="D73"/>
      <c r="E73"/>
      <c r="F73"/>
      <c r="G73"/>
    </row>
    <row r="74" spans="1:10">
      <c r="A74"/>
      <c r="B74"/>
      <c r="C74"/>
      <c r="D74"/>
      <c r="E74"/>
      <c r="F74"/>
      <c r="G74"/>
    </row>
    <row r="75" spans="1:10">
      <c r="A75"/>
      <c r="B75"/>
      <c r="C75"/>
      <c r="D75"/>
      <c r="E75"/>
      <c r="F75"/>
      <c r="G75"/>
    </row>
    <row r="76" spans="1:10">
      <c r="A76"/>
      <c r="B76"/>
      <c r="C76"/>
      <c r="D76"/>
      <c r="E76"/>
      <c r="F76"/>
      <c r="G76"/>
    </row>
    <row r="77" spans="1:10">
      <c r="A77"/>
      <c r="B77"/>
      <c r="C77"/>
      <c r="D77"/>
      <c r="E77"/>
      <c r="F77"/>
      <c r="G77"/>
    </row>
    <row r="78" spans="1:10">
      <c r="A78"/>
      <c r="B78"/>
      <c r="C78"/>
      <c r="D78"/>
      <c r="E78"/>
      <c r="F78"/>
      <c r="G78"/>
    </row>
    <row r="79" spans="1:10">
      <c r="A79"/>
      <c r="B79"/>
      <c r="C79"/>
      <c r="D79"/>
      <c r="E79"/>
      <c r="F79"/>
      <c r="G79"/>
    </row>
    <row r="80" spans="1:10">
      <c r="A80"/>
      <c r="B80"/>
      <c r="C80"/>
      <c r="D80"/>
      <c r="E80"/>
      <c r="F80"/>
      <c r="G80"/>
    </row>
    <row r="81" spans="1:7">
      <c r="A81"/>
      <c r="B81"/>
      <c r="C81"/>
      <c r="D81"/>
      <c r="E81"/>
      <c r="F81"/>
      <c r="G81"/>
    </row>
    <row r="82" spans="1:7">
      <c r="A82"/>
      <c r="B82"/>
      <c r="C82"/>
      <c r="D82"/>
      <c r="E82"/>
      <c r="F82"/>
      <c r="G82"/>
    </row>
    <row r="83" spans="1:7">
      <c r="A83"/>
      <c r="B83"/>
      <c r="C83"/>
      <c r="D83"/>
      <c r="E83"/>
      <c r="F83"/>
      <c r="G83"/>
    </row>
    <row r="84" spans="1:7">
      <c r="A84"/>
      <c r="B84"/>
      <c r="C84"/>
      <c r="D84"/>
      <c r="E84"/>
      <c r="F84"/>
      <c r="G84"/>
    </row>
    <row r="85" spans="1:7">
      <c r="A85"/>
      <c r="B85"/>
      <c r="C85"/>
      <c r="D85"/>
      <c r="E85"/>
      <c r="F85"/>
      <c r="G85"/>
    </row>
    <row r="86" spans="1:7">
      <c r="A86"/>
      <c r="B86"/>
      <c r="C86"/>
      <c r="D86"/>
      <c r="E86"/>
      <c r="F86"/>
      <c r="G86"/>
    </row>
    <row r="87" spans="1:7">
      <c r="A87"/>
      <c r="B87"/>
      <c r="C87"/>
      <c r="D87"/>
      <c r="E87"/>
      <c r="F87"/>
      <c r="G87"/>
    </row>
    <row r="88" spans="1:7">
      <c r="A88"/>
      <c r="B88"/>
      <c r="C88"/>
      <c r="D88"/>
      <c r="E88"/>
      <c r="F88"/>
      <c r="G88"/>
    </row>
    <row r="89" spans="1:7">
      <c r="A89"/>
      <c r="B89"/>
      <c r="C89"/>
      <c r="D89"/>
      <c r="E89"/>
      <c r="F89"/>
      <c r="G89"/>
    </row>
    <row r="90" spans="1:7">
      <c r="A90"/>
      <c r="B90"/>
      <c r="C90"/>
      <c r="D90"/>
      <c r="E90"/>
      <c r="F90"/>
      <c r="G90"/>
    </row>
    <row r="91" spans="1:7">
      <c r="A91"/>
      <c r="B91"/>
      <c r="C91"/>
      <c r="D91"/>
      <c r="E91"/>
      <c r="F91"/>
      <c r="G91"/>
    </row>
    <row r="92" spans="1:7">
      <c r="A92"/>
      <c r="B92"/>
      <c r="C92"/>
      <c r="D92"/>
      <c r="E92"/>
      <c r="F92"/>
      <c r="G92"/>
    </row>
    <row r="93" spans="1:7">
      <c r="A93"/>
      <c r="B93"/>
      <c r="C93"/>
      <c r="D93"/>
      <c r="E93"/>
      <c r="F93"/>
      <c r="G93"/>
    </row>
    <row r="94" spans="1:7">
      <c r="A94"/>
      <c r="B94"/>
      <c r="C94"/>
      <c r="D94"/>
      <c r="E94"/>
      <c r="F94"/>
      <c r="G94"/>
    </row>
    <row r="95" spans="1:7">
      <c r="A95"/>
      <c r="B95"/>
      <c r="C95"/>
      <c r="D95"/>
      <c r="E95"/>
      <c r="F95"/>
      <c r="G95"/>
    </row>
    <row r="96" spans="1:7">
      <c r="A96"/>
      <c r="B96"/>
      <c r="C96"/>
      <c r="D96"/>
      <c r="E96"/>
      <c r="F96"/>
      <c r="G96"/>
    </row>
    <row r="97" spans="1:10">
      <c r="A97"/>
      <c r="B97"/>
      <c r="C97"/>
      <c r="D97"/>
      <c r="E97"/>
      <c r="F97"/>
      <c r="G97"/>
    </row>
    <row r="98" spans="1:10">
      <c r="A98"/>
      <c r="B98"/>
      <c r="C98"/>
      <c r="D98"/>
      <c r="E98"/>
      <c r="F98"/>
      <c r="G98"/>
    </row>
    <row r="99" spans="1:10">
      <c r="A99"/>
      <c r="B99"/>
      <c r="C99"/>
      <c r="D99"/>
      <c r="E99"/>
      <c r="F99"/>
      <c r="G99"/>
    </row>
    <row r="100" spans="1:10">
      <c r="A100"/>
      <c r="B100"/>
      <c r="C100"/>
      <c r="D100"/>
      <c r="E100"/>
      <c r="F100"/>
      <c r="G100"/>
    </row>
    <row r="101" spans="1:10">
      <c r="A101"/>
      <c r="B101"/>
      <c r="C101"/>
      <c r="D101"/>
      <c r="E101"/>
      <c r="F101"/>
      <c r="G101"/>
    </row>
    <row r="102" spans="1:10">
      <c r="A102"/>
      <c r="B102"/>
      <c r="C102"/>
      <c r="D102"/>
      <c r="E102"/>
      <c r="F102"/>
      <c r="G102"/>
    </row>
    <row r="103" spans="1:10" ht="15">
      <c r="A103"/>
      <c r="B103"/>
      <c r="C103"/>
      <c r="D103"/>
      <c r="E103"/>
      <c r="F103"/>
      <c r="G103"/>
      <c r="I103" s="15"/>
      <c r="J103" s="15"/>
    </row>
    <row r="104" spans="1:10" ht="15">
      <c r="A104"/>
      <c r="B104"/>
      <c r="C104"/>
      <c r="D104"/>
      <c r="E104"/>
      <c r="F104"/>
      <c r="G104"/>
      <c r="H104" s="15"/>
    </row>
    <row r="105" spans="1:10">
      <c r="A105"/>
      <c r="B105"/>
      <c r="C105"/>
      <c r="D105"/>
      <c r="E105"/>
      <c r="F105"/>
      <c r="G105"/>
    </row>
    <row r="106" spans="1:10">
      <c r="A106"/>
      <c r="B106"/>
      <c r="C106"/>
      <c r="D106"/>
      <c r="E106"/>
      <c r="F106"/>
      <c r="G106"/>
    </row>
    <row r="107" spans="1:10">
      <c r="A107"/>
      <c r="B107"/>
      <c r="C107"/>
      <c r="D107"/>
      <c r="E107"/>
      <c r="F107"/>
      <c r="G107"/>
    </row>
    <row r="108" spans="1:10">
      <c r="A108"/>
      <c r="B108"/>
      <c r="C108"/>
      <c r="D108"/>
      <c r="E108"/>
      <c r="F108"/>
      <c r="G108"/>
    </row>
    <row r="109" spans="1:10">
      <c r="A109"/>
      <c r="B109"/>
      <c r="C109"/>
      <c r="D109"/>
      <c r="E109"/>
      <c r="F109"/>
      <c r="G109"/>
    </row>
    <row r="110" spans="1:10">
      <c r="A110"/>
      <c r="B110"/>
      <c r="C110"/>
      <c r="D110"/>
      <c r="E110"/>
      <c r="F110"/>
      <c r="G110"/>
    </row>
    <row r="111" spans="1:10">
      <c r="A111"/>
      <c r="B111"/>
      <c r="C111"/>
      <c r="D111"/>
      <c r="E111"/>
      <c r="F111"/>
      <c r="G111"/>
    </row>
    <row r="112" spans="1:10">
      <c r="A112"/>
      <c r="B112"/>
      <c r="C112"/>
      <c r="D112"/>
      <c r="E112"/>
      <c r="F112"/>
      <c r="G112"/>
    </row>
    <row r="113" spans="1:7">
      <c r="A113"/>
      <c r="B113"/>
      <c r="C113"/>
      <c r="D113"/>
      <c r="E113"/>
      <c r="F113"/>
      <c r="G113"/>
    </row>
    <row r="114" spans="1:7">
      <c r="A114"/>
      <c r="B114"/>
      <c r="C114"/>
      <c r="D114"/>
      <c r="E114"/>
      <c r="F114"/>
      <c r="G114"/>
    </row>
    <row r="115" spans="1:7">
      <c r="A115"/>
      <c r="B115"/>
      <c r="C115"/>
      <c r="D115"/>
      <c r="E115"/>
      <c r="F115"/>
      <c r="G115"/>
    </row>
    <row r="116" spans="1:7">
      <c r="A116"/>
      <c r="B116"/>
      <c r="C116"/>
      <c r="D116"/>
      <c r="E116"/>
      <c r="F116"/>
      <c r="G116"/>
    </row>
    <row r="117" spans="1:7">
      <c r="A117"/>
      <c r="B117"/>
      <c r="C117"/>
      <c r="D117"/>
      <c r="E117"/>
      <c r="F117"/>
      <c r="G117"/>
    </row>
    <row r="118" spans="1:7">
      <c r="A118"/>
      <c r="B118"/>
      <c r="C118"/>
      <c r="D118"/>
      <c r="E118"/>
      <c r="F118"/>
      <c r="G118"/>
    </row>
    <row r="119" spans="1:7">
      <c r="A119"/>
      <c r="B119"/>
      <c r="C119"/>
      <c r="D119"/>
      <c r="E119"/>
      <c r="F119"/>
      <c r="G119"/>
    </row>
    <row r="120" spans="1:7">
      <c r="A120"/>
      <c r="B120"/>
      <c r="C120"/>
      <c r="D120"/>
      <c r="E120"/>
      <c r="F120"/>
      <c r="G120"/>
    </row>
    <row r="121" spans="1:7">
      <c r="A121"/>
      <c r="B121"/>
      <c r="C121"/>
      <c r="D121"/>
      <c r="E121"/>
      <c r="F121"/>
      <c r="G121"/>
    </row>
    <row r="122" spans="1:7">
      <c r="A122"/>
      <c r="B122"/>
      <c r="C122"/>
      <c r="D122"/>
      <c r="E122"/>
      <c r="F122"/>
      <c r="G122"/>
    </row>
    <row r="123" spans="1:7">
      <c r="A123"/>
      <c r="B123"/>
      <c r="C123"/>
      <c r="D123"/>
      <c r="E123"/>
      <c r="F123"/>
      <c r="G123"/>
    </row>
    <row r="124" spans="1:7">
      <c r="A124"/>
      <c r="B124"/>
      <c r="C124"/>
      <c r="D124"/>
      <c r="E124"/>
      <c r="F124"/>
      <c r="G124"/>
    </row>
    <row r="125" spans="1:7">
      <c r="A125"/>
      <c r="B125"/>
      <c r="C125"/>
      <c r="D125"/>
      <c r="E125"/>
      <c r="F125"/>
      <c r="G125"/>
    </row>
    <row r="126" spans="1:7">
      <c r="A126"/>
      <c r="B126"/>
      <c r="C126"/>
      <c r="D126"/>
      <c r="E126"/>
      <c r="F126"/>
      <c r="G126"/>
    </row>
    <row r="127" spans="1:7">
      <c r="A127"/>
      <c r="B127"/>
      <c r="C127"/>
      <c r="D127"/>
      <c r="E127"/>
      <c r="F127"/>
      <c r="G127"/>
    </row>
    <row r="128" spans="1:7">
      <c r="A128"/>
      <c r="B128"/>
      <c r="C128"/>
      <c r="D128"/>
      <c r="E128"/>
      <c r="F128"/>
      <c r="G128"/>
    </row>
    <row r="129" spans="1:7">
      <c r="A129"/>
      <c r="B129"/>
      <c r="C129"/>
      <c r="D129"/>
      <c r="E129"/>
      <c r="F129"/>
      <c r="G129"/>
    </row>
    <row r="130" spans="1:7">
      <c r="A130"/>
      <c r="B130"/>
      <c r="C130"/>
      <c r="D130"/>
      <c r="E130"/>
      <c r="F130"/>
      <c r="G130"/>
    </row>
    <row r="131" spans="1:7">
      <c r="A131"/>
      <c r="B131"/>
      <c r="C131"/>
      <c r="D131"/>
      <c r="E131"/>
      <c r="F131"/>
      <c r="G131"/>
    </row>
    <row r="132" spans="1:7">
      <c r="A132"/>
      <c r="B132"/>
      <c r="C132"/>
      <c r="D132"/>
      <c r="E132"/>
      <c r="F132"/>
      <c r="G132"/>
    </row>
    <row r="133" spans="1:7">
      <c r="A133"/>
      <c r="B133"/>
      <c r="C133"/>
      <c r="D133"/>
      <c r="E133"/>
      <c r="F133"/>
      <c r="G133"/>
    </row>
    <row r="134" spans="1:7">
      <c r="A134"/>
      <c r="B134"/>
      <c r="C134"/>
      <c r="D134"/>
      <c r="E134"/>
      <c r="F134"/>
      <c r="G134"/>
    </row>
    <row r="135" spans="1:7">
      <c r="A135"/>
      <c r="B135"/>
      <c r="C135"/>
      <c r="D135"/>
      <c r="E135"/>
      <c r="F135"/>
      <c r="G135"/>
    </row>
    <row r="136" spans="1:7">
      <c r="A136" s="17"/>
      <c r="B136" s="14"/>
      <c r="C136" s="14"/>
      <c r="D136" s="14"/>
      <c r="E136" s="14"/>
      <c r="F136" s="14"/>
      <c r="G136" s="14"/>
    </row>
    <row r="137" spans="1:7">
      <c r="A137" s="12"/>
      <c r="B137" s="14"/>
      <c r="C137" s="14"/>
      <c r="D137" s="14"/>
      <c r="E137" s="14"/>
      <c r="F137" s="14"/>
      <c r="G137" s="14"/>
    </row>
  </sheetData>
  <phoneticPr fontId="0" type="noConversion"/>
  <pageMargins left="0.75" right="0.75" top="0.5" bottom="0.5" header="0.5" footer="0.5"/>
  <pageSetup scale="88" orientation="portrait" horizontalDpi="300" verticalDpi="300" r:id="rId1"/>
  <headerFooter alignWithMargins="0">
    <oddHeader>&amp;R&amp;D
&amp;T</oddHeader>
  </headerFooter>
  <rowBreaks count="2" manualBreakCount="2">
    <brk id="89" max="65535" man="1"/>
    <brk id="124" max="65535"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48"/>
  <sheetViews>
    <sheetView zoomScale="75" zoomScaleNormal="75" workbookViewId="0">
      <selection activeCell="C1" sqref="C1"/>
    </sheetView>
  </sheetViews>
  <sheetFormatPr defaultColWidth="8.7109375" defaultRowHeight="12.75"/>
  <cols>
    <col min="1" max="1" width="42" style="2" customWidth="1"/>
    <col min="2" max="2" width="4" style="2" customWidth="1"/>
    <col min="3" max="5" width="10.7109375" style="2" customWidth="1"/>
    <col min="6" max="6" width="12.42578125" style="2" customWidth="1"/>
    <col min="7" max="7" width="12.5703125" style="2" customWidth="1"/>
    <col min="8" max="8" width="10.7109375" style="2" customWidth="1"/>
    <col min="9" max="9" width="10.28515625" style="2" customWidth="1"/>
    <col min="10" max="16384" width="8.7109375" style="2"/>
  </cols>
  <sheetData>
    <row r="1" spans="1:10" ht="20.25">
      <c r="A1" s="228" t="str">
        <f>COMPS!A1</f>
        <v>XYZ Company</v>
      </c>
      <c r="B1" s="287"/>
      <c r="C1" s="287"/>
      <c r="D1" s="286"/>
      <c r="E1" s="287"/>
      <c r="F1" s="287"/>
      <c r="G1" s="287"/>
      <c r="H1" s="47"/>
      <c r="I1" s="1"/>
      <c r="J1" s="1"/>
    </row>
    <row r="2" spans="1:10" s="226" customFormat="1" ht="15.75">
      <c r="A2" s="223" t="s">
        <v>6</v>
      </c>
      <c r="B2" s="224"/>
      <c r="C2" s="224"/>
      <c r="D2" s="223"/>
      <c r="E2" s="224"/>
      <c r="F2" s="224"/>
      <c r="G2" s="224"/>
      <c r="H2" s="224"/>
      <c r="I2" s="225"/>
      <c r="J2" s="225"/>
    </row>
    <row r="3" spans="1:10" s="226" customFormat="1" ht="15.75">
      <c r="A3" s="223" t="s">
        <v>71</v>
      </c>
      <c r="B3" s="224"/>
      <c r="C3" s="224"/>
      <c r="D3" s="224"/>
      <c r="E3" s="224"/>
      <c r="F3" s="224"/>
      <c r="G3" s="224"/>
      <c r="H3" s="224"/>
      <c r="I3" s="225"/>
      <c r="J3" s="225"/>
    </row>
    <row r="4" spans="1:10" s="226" customFormat="1" ht="15.75">
      <c r="A4" s="227" t="s">
        <v>94</v>
      </c>
      <c r="B4" s="224"/>
      <c r="C4" s="224"/>
      <c r="D4" s="224"/>
      <c r="E4" s="224"/>
      <c r="F4" s="224"/>
      <c r="G4" s="224"/>
      <c r="H4" s="224"/>
      <c r="I4" s="225"/>
      <c r="J4" s="225"/>
    </row>
    <row r="5" spans="1:10" ht="15.75">
      <c r="A5" s="47"/>
      <c r="B5" s="123"/>
      <c r="C5" s="271" t="s">
        <v>72</v>
      </c>
      <c r="D5" s="271" t="s">
        <v>73</v>
      </c>
      <c r="E5" s="271" t="s">
        <v>74</v>
      </c>
      <c r="F5" s="271" t="s">
        <v>75</v>
      </c>
      <c r="G5" s="271" t="s">
        <v>76</v>
      </c>
      <c r="I5" s="410"/>
    </row>
    <row r="6" spans="1:10" ht="15">
      <c r="A6" s="47"/>
      <c r="B6" s="123"/>
      <c r="C6" s="124"/>
      <c r="D6" s="124"/>
      <c r="E6" s="124"/>
      <c r="F6" s="124"/>
      <c r="G6" s="124"/>
      <c r="I6" s="411"/>
    </row>
    <row r="7" spans="1:10">
      <c r="A7" s="53" t="s">
        <v>159</v>
      </c>
      <c r="B7" s="125"/>
      <c r="C7" s="186">
        <f>REVENUE!C16</f>
        <v>1000000</v>
      </c>
      <c r="D7" s="129">
        <f>REVENUE!D16</f>
        <v>5250000</v>
      </c>
      <c r="E7" s="129">
        <f>REVENUE!E16</f>
        <v>9750000</v>
      </c>
      <c r="F7" s="129">
        <f>REVENUE!F16</f>
        <v>16250000</v>
      </c>
      <c r="G7" s="129">
        <f>REVENUE!G16</f>
        <v>26000000</v>
      </c>
      <c r="I7" s="126"/>
    </row>
    <row r="8" spans="1:10">
      <c r="A8" s="47"/>
      <c r="B8" s="125"/>
      <c r="C8" s="126"/>
      <c r="D8" s="126"/>
      <c r="E8" s="126"/>
      <c r="F8" s="126"/>
      <c r="G8" s="126"/>
      <c r="I8" s="126"/>
    </row>
    <row r="9" spans="1:10">
      <c r="A9" s="53" t="s">
        <v>234</v>
      </c>
      <c r="B9" s="31"/>
      <c r="C9" s="127">
        <f>'COST OF REV'!C32</f>
        <v>1117464.2857142857</v>
      </c>
      <c r="D9" s="127">
        <f>'COST OF REV'!D32</f>
        <v>3532164.2857142859</v>
      </c>
      <c r="E9" s="127">
        <f>'COST OF REV'!E32</f>
        <v>5699428.5714285718</v>
      </c>
      <c r="F9" s="127">
        <f>'COST OF REV'!F32</f>
        <v>9339285.7142857146</v>
      </c>
      <c r="G9" s="127">
        <f>'COST OF REV'!G32</f>
        <v>14033142.857142856</v>
      </c>
      <c r="I9" s="412"/>
    </row>
    <row r="10" spans="1:10">
      <c r="A10" s="47" t="s">
        <v>7</v>
      </c>
      <c r="B10" s="31"/>
      <c r="C10" s="263">
        <f>C9/C7</f>
        <v>1.1174642857142856</v>
      </c>
      <c r="D10" s="263">
        <f>D9/D7</f>
        <v>0.67279319727891163</v>
      </c>
      <c r="E10" s="263">
        <f>E9/E7</f>
        <v>0.58455677655677662</v>
      </c>
      <c r="F10" s="263">
        <f>F9/F7</f>
        <v>0.57472527472527479</v>
      </c>
      <c r="G10" s="263">
        <f>G9/G7</f>
        <v>0.53973626373626371</v>
      </c>
      <c r="I10" s="202"/>
    </row>
    <row r="11" spans="1:10">
      <c r="A11" s="53"/>
      <c r="B11" s="31"/>
      <c r="C11" s="202"/>
      <c r="D11" s="202"/>
      <c r="E11" s="202"/>
      <c r="F11" s="202"/>
      <c r="G11" s="202"/>
      <c r="I11" s="126"/>
    </row>
    <row r="12" spans="1:10">
      <c r="A12" s="53" t="s">
        <v>160</v>
      </c>
      <c r="B12" s="125"/>
      <c r="C12" s="278">
        <f>C7-C9</f>
        <v>-117464.28571428568</v>
      </c>
      <c r="D12" s="278">
        <f>D7-D9</f>
        <v>1717835.7142857141</v>
      </c>
      <c r="E12" s="278">
        <f>E7-E9</f>
        <v>4050571.4285714282</v>
      </c>
      <c r="F12" s="278">
        <f>F7-F9</f>
        <v>6910714.2857142854</v>
      </c>
      <c r="G12" s="278">
        <f>G7-G9</f>
        <v>11966857.142857144</v>
      </c>
      <c r="I12" s="412"/>
    </row>
    <row r="13" spans="1:10">
      <c r="A13" s="47" t="s">
        <v>7</v>
      </c>
      <c r="B13" s="128"/>
      <c r="C13" s="261">
        <f>C12/C7</f>
        <v>-0.11746428571428569</v>
      </c>
      <c r="D13" s="261">
        <f>D12/D7</f>
        <v>0.32720680272108837</v>
      </c>
      <c r="E13" s="261">
        <f>E12/E7</f>
        <v>0.41544322344322338</v>
      </c>
      <c r="F13" s="261">
        <f>F12/F7</f>
        <v>0.42527472527472526</v>
      </c>
      <c r="G13" s="261">
        <f>G12/G7</f>
        <v>0.46026373626373629</v>
      </c>
      <c r="I13" s="413"/>
    </row>
    <row r="14" spans="1:10">
      <c r="A14" s="47"/>
      <c r="B14" s="125"/>
      <c r="C14" s="126"/>
      <c r="D14" s="126"/>
      <c r="E14" s="126"/>
      <c r="F14" s="126"/>
      <c r="G14" s="126"/>
      <c r="I14" s="126"/>
    </row>
    <row r="15" spans="1:10">
      <c r="A15" s="53" t="s">
        <v>8</v>
      </c>
      <c r="B15" s="125"/>
      <c r="C15" s="126"/>
      <c r="D15" s="126"/>
      <c r="E15" s="126"/>
      <c r="F15" s="126"/>
      <c r="G15" s="126"/>
      <c r="I15" s="126"/>
    </row>
    <row r="16" spans="1:10">
      <c r="A16" s="47" t="s">
        <v>92</v>
      </c>
      <c r="B16" s="125"/>
      <c r="C16" s="129">
        <f>'OPER EXP'!C16</f>
        <v>229000</v>
      </c>
      <c r="D16" s="129">
        <f>'OPER EXP'!D16</f>
        <v>997750</v>
      </c>
      <c r="E16" s="129">
        <f>'OPER EXP'!E16</f>
        <v>1805400</v>
      </c>
      <c r="F16" s="129">
        <f>'OPER EXP'!F16</f>
        <v>2911500</v>
      </c>
      <c r="G16" s="129">
        <f>'OPER EXP'!G16</f>
        <v>4676000</v>
      </c>
      <c r="I16" s="126"/>
    </row>
    <row r="17" spans="1:9">
      <c r="A17" s="130" t="s">
        <v>91</v>
      </c>
      <c r="B17" s="125"/>
      <c r="C17" s="129">
        <f>'OPER EXP'!C25</f>
        <v>149000</v>
      </c>
      <c r="D17" s="129">
        <f>'OPER EXP'!D25</f>
        <v>413000</v>
      </c>
      <c r="E17" s="129">
        <f>'OPER EXP'!E25</f>
        <v>702550</v>
      </c>
      <c r="F17" s="129">
        <f>'OPER EXP'!F25</f>
        <v>1241500</v>
      </c>
      <c r="G17" s="129">
        <f>'OPER EXP'!G25</f>
        <v>1752000</v>
      </c>
      <c r="I17" s="126"/>
    </row>
    <row r="18" spans="1:9">
      <c r="A18" s="47" t="s">
        <v>9</v>
      </c>
      <c r="B18" s="125"/>
      <c r="C18" s="127">
        <f>'OPER EXP'!C38</f>
        <v>171666.81666666665</v>
      </c>
      <c r="D18" s="127">
        <f>'OPER EXP'!D38</f>
        <v>465150</v>
      </c>
      <c r="E18" s="127">
        <f>'OPER EXP'!E38</f>
        <v>790106.66666666674</v>
      </c>
      <c r="F18" s="127">
        <f>'OPER EXP'!F38</f>
        <v>1191933.3333333333</v>
      </c>
      <c r="G18" s="127">
        <f>'OPER EXP'!G38</f>
        <v>1771466.6666666667</v>
      </c>
      <c r="I18" s="126"/>
    </row>
    <row r="19" spans="1:9">
      <c r="A19" s="47" t="s">
        <v>10</v>
      </c>
      <c r="B19" s="125"/>
      <c r="C19" s="129">
        <f>'OPER EXP'!C41</f>
        <v>549666.81666666665</v>
      </c>
      <c r="D19" s="129">
        <f>'OPER EXP'!D41</f>
        <v>1875900</v>
      </c>
      <c r="E19" s="129">
        <f>'OPER EXP'!E41</f>
        <v>3298056.666666667</v>
      </c>
      <c r="F19" s="129">
        <f>'OPER EXP'!F41</f>
        <v>5344933.333333333</v>
      </c>
      <c r="G19" s="129">
        <f>'OPER EXP'!G41</f>
        <v>8199466.666666667</v>
      </c>
      <c r="I19" s="126"/>
    </row>
    <row r="20" spans="1:9">
      <c r="A20" s="47" t="s">
        <v>7</v>
      </c>
      <c r="B20" s="128"/>
      <c r="C20" s="262">
        <f>'OPER EXP'!C42</f>
        <v>0.54966681666666661</v>
      </c>
      <c r="D20" s="262">
        <f>'OPER EXP'!D42</f>
        <v>0.3573142857142857</v>
      </c>
      <c r="E20" s="262">
        <f>'OPER EXP'!E42</f>
        <v>0.33826222222222224</v>
      </c>
      <c r="F20" s="262">
        <f>'OPER EXP'!F42</f>
        <v>0.32891897435897433</v>
      </c>
      <c r="G20" s="262">
        <f>'OPER EXP'!G42</f>
        <v>0.31536410256410258</v>
      </c>
      <c r="I20" s="413"/>
    </row>
    <row r="21" spans="1:9">
      <c r="A21" s="47"/>
      <c r="B21" s="31"/>
      <c r="C21" s="131"/>
      <c r="D21" s="131"/>
      <c r="E21" s="131"/>
      <c r="F21" s="131"/>
      <c r="G21" s="131"/>
      <c r="I21" s="202"/>
    </row>
    <row r="22" spans="1:9">
      <c r="A22" s="53" t="s">
        <v>11</v>
      </c>
      <c r="B22" s="31"/>
      <c r="C22" s="278">
        <f>C12-C19</f>
        <v>-667131.10238095233</v>
      </c>
      <c r="D22" s="278">
        <f>D12-D19</f>
        <v>-158064.28571428591</v>
      </c>
      <c r="E22" s="278">
        <f>E12-E19</f>
        <v>752514.7619047612</v>
      </c>
      <c r="F22" s="278">
        <f>F12-F19</f>
        <v>1565780.9523809524</v>
      </c>
      <c r="G22" s="278">
        <f>G12-G19</f>
        <v>3767390.4761904767</v>
      </c>
      <c r="I22" s="202"/>
    </row>
    <row r="23" spans="1:9">
      <c r="A23" s="47"/>
      <c r="B23" s="31"/>
      <c r="C23"/>
      <c r="D23"/>
      <c r="E23"/>
      <c r="F23"/>
      <c r="G23"/>
      <c r="I23" s="202"/>
    </row>
    <row r="24" spans="1:9">
      <c r="A24" s="53" t="s">
        <v>12</v>
      </c>
      <c r="B24" s="31"/>
      <c r="C24" s="129">
        <f>EXTRA!C17</f>
        <v>-45000</v>
      </c>
      <c r="D24" s="129">
        <f>EXTRA!D17</f>
        <v>0</v>
      </c>
      <c r="E24" s="129">
        <f>EXTRA!E17</f>
        <v>0</v>
      </c>
      <c r="F24" s="129">
        <f>EXTRA!F17</f>
        <v>0</v>
      </c>
      <c r="G24" s="129">
        <f>EXTRA!G17</f>
        <v>0</v>
      </c>
      <c r="I24" s="202"/>
    </row>
    <row r="25" spans="1:9">
      <c r="A25" s="47"/>
      <c r="B25" s="132"/>
      <c r="C25" s="131"/>
      <c r="D25" s="131"/>
      <c r="E25" s="131"/>
      <c r="F25" s="131"/>
      <c r="G25" s="131"/>
      <c r="I25" s="287"/>
    </row>
    <row r="26" spans="1:9">
      <c r="A26" s="53" t="s">
        <v>13</v>
      </c>
      <c r="B26" s="31"/>
      <c r="C26" s="278">
        <f>C22+C24</f>
        <v>-712131.10238095233</v>
      </c>
      <c r="D26" s="278">
        <f>D22+D24</f>
        <v>-158064.28571428591</v>
      </c>
      <c r="E26" s="278">
        <f>E22+E24</f>
        <v>752514.7619047612</v>
      </c>
      <c r="F26" s="278">
        <f>F22+F24</f>
        <v>1565780.9523809524</v>
      </c>
      <c r="G26" s="278">
        <f>G22+G24</f>
        <v>3767390.4761904767</v>
      </c>
      <c r="I26" s="202"/>
    </row>
    <row r="27" spans="1:9">
      <c r="A27" s="47"/>
      <c r="B27" s="132"/>
      <c r="C27" s="126"/>
      <c r="D27" s="126"/>
      <c r="E27" s="126"/>
      <c r="F27" s="126"/>
      <c r="G27" s="126"/>
      <c r="I27" s="287"/>
    </row>
    <row r="28" spans="1:9">
      <c r="A28" s="53" t="s">
        <v>116</v>
      </c>
      <c r="B28" s="31"/>
      <c r="C28" s="129">
        <f>-FUNDING!C41+FUNDING!C45</f>
        <v>0</v>
      </c>
      <c r="D28" s="129">
        <f>-FUNDING!D41+FUNDING!D45</f>
        <v>-60000</v>
      </c>
      <c r="E28" s="129">
        <f>-FUNDING!E41+FUNDING!E45</f>
        <v>-48000</v>
      </c>
      <c r="F28" s="129">
        <f>-FUNDING!F41+FUNDING!F45</f>
        <v>-45000</v>
      </c>
      <c r="G28" s="129">
        <f>-FUNDING!G41+FUNDING!G45</f>
        <v>-14000</v>
      </c>
      <c r="I28" s="202"/>
    </row>
    <row r="29" spans="1:9">
      <c r="A29" s="47"/>
      <c r="B29" s="132"/>
      <c r="C29" s="126"/>
      <c r="D29" s="126"/>
      <c r="E29" s="126"/>
      <c r="F29" s="126"/>
      <c r="G29" s="126"/>
      <c r="I29" s="287"/>
    </row>
    <row r="30" spans="1:9">
      <c r="A30" s="53" t="s">
        <v>14</v>
      </c>
      <c r="B30" s="31"/>
      <c r="C30" s="278">
        <f>C26+C28</f>
        <v>-712131.10238095233</v>
      </c>
      <c r="D30" s="278">
        <f>D26+D28</f>
        <v>-218064.28571428591</v>
      </c>
      <c r="E30" s="278">
        <f>E26+E28</f>
        <v>704514.7619047612</v>
      </c>
      <c r="F30" s="278">
        <f>F26+F28</f>
        <v>1520780.9523809524</v>
      </c>
      <c r="G30" s="278">
        <f>G26+G28</f>
        <v>3753390.4761904767</v>
      </c>
      <c r="I30" s="202"/>
    </row>
    <row r="31" spans="1:9">
      <c r="A31" s="47"/>
      <c r="B31" s="132"/>
      <c r="C31" s="126"/>
      <c r="D31" s="126"/>
      <c r="E31" s="126"/>
      <c r="F31" s="126"/>
      <c r="G31" s="126"/>
      <c r="I31" s="287"/>
    </row>
    <row r="32" spans="1:9">
      <c r="A32" s="53" t="s">
        <v>15</v>
      </c>
      <c r="B32" s="31"/>
      <c r="C32" s="129">
        <f>TAXES!C14</f>
        <v>0</v>
      </c>
      <c r="D32" s="129">
        <f>TAXES!D14</f>
        <v>0</v>
      </c>
      <c r="E32" s="129">
        <f>TAXES!E14</f>
        <v>0</v>
      </c>
      <c r="F32" s="129">
        <f>TAXES!F14</f>
        <v>-518040.13047619018</v>
      </c>
      <c r="G32" s="129">
        <f>TAXES!G14</f>
        <v>-1501356.1904761908</v>
      </c>
      <c r="I32" s="202"/>
    </row>
    <row r="33" spans="1:10">
      <c r="A33" s="47"/>
      <c r="B33" s="132"/>
      <c r="C33" s="131"/>
      <c r="D33" s="131"/>
      <c r="E33" s="131"/>
      <c r="F33" s="131"/>
      <c r="G33" s="131"/>
      <c r="I33" s="287"/>
    </row>
    <row r="34" spans="1:10">
      <c r="A34" s="53" t="s">
        <v>16</v>
      </c>
      <c r="B34" s="31"/>
      <c r="C34" s="279">
        <f>C30+C32</f>
        <v>-712131.10238095233</v>
      </c>
      <c r="D34" s="279">
        <f>D30+D32</f>
        <v>-218064.28571428591</v>
      </c>
      <c r="E34" s="279">
        <f>E30+E32</f>
        <v>704514.7619047612</v>
      </c>
      <c r="F34" s="279">
        <f>F30+F32</f>
        <v>1002740.8219047622</v>
      </c>
      <c r="G34" s="279">
        <f>G30+G32</f>
        <v>2252034.2857142859</v>
      </c>
      <c r="I34" s="202"/>
      <c r="J34" s="1"/>
    </row>
    <row r="35" spans="1:10">
      <c r="A35" s="47" t="s">
        <v>7</v>
      </c>
      <c r="B35" s="133"/>
      <c r="C35" s="261">
        <f>C34/C7</f>
        <v>-0.71213110238095234</v>
      </c>
      <c r="D35" s="261">
        <f>D34/D7</f>
        <v>-4.1536054421768748E-2</v>
      </c>
      <c r="E35" s="261">
        <f>E34/E7</f>
        <v>7.2257924297924228E-2</v>
      </c>
      <c r="F35" s="261">
        <f>F34/F7</f>
        <v>6.1707127501831521E-2</v>
      </c>
      <c r="G35" s="261">
        <f>G34/G7</f>
        <v>8.6616703296703304E-2</v>
      </c>
      <c r="I35" s="414"/>
      <c r="J35" s="1"/>
    </row>
    <row r="36" spans="1:10">
      <c r="A36" s="47"/>
      <c r="B36" s="47"/>
      <c r="C36" s="47"/>
      <c r="D36" s="47"/>
      <c r="E36" s="47"/>
      <c r="F36" s="47"/>
      <c r="G36" s="47"/>
      <c r="H36" s="47"/>
      <c r="I36" s="1"/>
      <c r="J36" s="1"/>
    </row>
    <row r="37" spans="1:10">
      <c r="A37" s="47"/>
      <c r="B37" s="47"/>
      <c r="C37" s="47"/>
      <c r="D37" s="125"/>
      <c r="E37" s="125"/>
      <c r="F37" s="47"/>
      <c r="G37" s="47"/>
      <c r="H37" s="47"/>
      <c r="I37" s="1"/>
      <c r="J37" s="1"/>
    </row>
    <row r="38" spans="1:10">
      <c r="A38" s="47"/>
      <c r="B38" s="47"/>
      <c r="C38" s="47"/>
      <c r="D38" s="125"/>
      <c r="E38" s="47"/>
      <c r="F38" s="47"/>
      <c r="G38" s="47"/>
      <c r="H38" s="47"/>
      <c r="J38" s="1"/>
    </row>
    <row r="39" spans="1:10">
      <c r="A39" s="47"/>
      <c r="B39" s="47"/>
      <c r="C39" s="47"/>
      <c r="D39" s="47"/>
      <c r="E39" s="47"/>
      <c r="F39" s="47"/>
      <c r="G39" s="47"/>
      <c r="H39" s="47"/>
    </row>
    <row r="40" spans="1:10">
      <c r="A40" s="47"/>
      <c r="B40" s="47"/>
      <c r="C40" s="47"/>
      <c r="D40" s="47"/>
      <c r="E40" s="47"/>
      <c r="F40" s="47"/>
      <c r="G40" s="47"/>
      <c r="H40" s="47"/>
    </row>
    <row r="48" spans="1:10">
      <c r="I48" s="47"/>
    </row>
  </sheetData>
  <phoneticPr fontId="0" type="noConversion"/>
  <pageMargins left="0.75" right="0.75" top="0.5" bottom="0.5" header="0.5" footer="0.5"/>
  <pageSetup orientation="landscape" horizontalDpi="300" verticalDpi="300" r:id="rId1"/>
  <headerFooter alignWithMargins="0">
    <oddHeader>&amp;R&amp;D
&amp;T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46"/>
  <sheetViews>
    <sheetView zoomScale="75" zoomScaleNormal="75" workbookViewId="0">
      <selection activeCell="E21" sqref="E21"/>
    </sheetView>
  </sheetViews>
  <sheetFormatPr defaultColWidth="8.7109375" defaultRowHeight="15"/>
  <cols>
    <col min="1" max="1" width="40.140625" style="4" customWidth="1"/>
    <col min="2" max="2" width="11.7109375" style="4" bestFit="1" customWidth="1"/>
    <col min="3" max="3" width="10.7109375" style="4" customWidth="1"/>
    <col min="4" max="4" width="11.140625" style="4" customWidth="1"/>
    <col min="5" max="5" width="12.7109375" style="4" customWidth="1"/>
    <col min="6" max="6" width="13.42578125" style="4" customWidth="1"/>
    <col min="7" max="7" width="13.5703125" style="4" customWidth="1"/>
    <col min="8" max="8" width="10.85546875" style="4" customWidth="1"/>
    <col min="9" max="9" width="11" style="4" customWidth="1"/>
    <col min="10" max="16384" width="8.7109375" style="4"/>
  </cols>
  <sheetData>
    <row r="1" spans="1:12" s="230" customFormat="1" ht="20.25">
      <c r="A1" s="233" t="str">
        <f>COMPS!A1</f>
        <v>XYZ Company</v>
      </c>
      <c r="B1" s="285"/>
      <c r="C1" s="285"/>
      <c r="D1" s="285"/>
      <c r="E1" s="285"/>
      <c r="F1" s="285"/>
      <c r="G1" s="285"/>
    </row>
    <row r="2" spans="1:12" s="232" customFormat="1" ht="15.75">
      <c r="A2" s="231" t="s">
        <v>17</v>
      </c>
    </row>
    <row r="3" spans="1:12" s="232" customFormat="1" ht="15.75">
      <c r="A3" s="231" t="s">
        <v>71</v>
      </c>
    </row>
    <row r="4" spans="1:12" s="232" customFormat="1" ht="15.75">
      <c r="A4" s="231" t="s">
        <v>94</v>
      </c>
    </row>
    <row r="5" spans="1:12" ht="15.75">
      <c r="B5" s="234" t="s">
        <v>166</v>
      </c>
      <c r="C5" s="234" t="s">
        <v>72</v>
      </c>
      <c r="D5" s="234" t="s">
        <v>73</v>
      </c>
      <c r="E5" s="234" t="s">
        <v>74</v>
      </c>
      <c r="F5" s="234" t="s">
        <v>75</v>
      </c>
      <c r="G5" s="234" t="s">
        <v>76</v>
      </c>
      <c r="K5" s="3"/>
      <c r="L5" s="3"/>
    </row>
    <row r="6" spans="1:12" ht="15.75">
      <c r="B6" s="234"/>
      <c r="C6" s="234"/>
      <c r="D6" s="234"/>
      <c r="E6" s="234"/>
      <c r="F6" s="234"/>
      <c r="G6" s="234"/>
      <c r="K6" s="3"/>
      <c r="L6" s="3"/>
    </row>
    <row r="7" spans="1:12">
      <c r="A7" s="193" t="s">
        <v>18</v>
      </c>
      <c r="B7" s="41"/>
      <c r="C7" s="41"/>
      <c r="D7" s="41"/>
      <c r="E7" s="41"/>
      <c r="F7" s="41"/>
      <c r="G7" s="41"/>
      <c r="K7" s="3"/>
      <c r="L7" s="3"/>
    </row>
    <row r="8" spans="1:12">
      <c r="A8" s="193" t="s">
        <v>19</v>
      </c>
      <c r="B8" s="41"/>
      <c r="C8" s="41"/>
      <c r="D8" s="41"/>
      <c r="E8" s="41"/>
      <c r="F8" s="41"/>
      <c r="G8" s="41"/>
      <c r="K8" s="3"/>
      <c r="L8" s="3"/>
    </row>
    <row r="9" spans="1:12">
      <c r="A9" s="41" t="s">
        <v>20</v>
      </c>
      <c r="B9" s="137">
        <f>FUNDING!B6</f>
        <v>1500000</v>
      </c>
      <c r="C9" s="137">
        <f>CASHFLOW!C34</f>
        <v>408169.85000000009</v>
      </c>
      <c r="D9" s="137">
        <f>CASHFLOW!D34</f>
        <v>367659.84999999951</v>
      </c>
      <c r="E9" s="137">
        <f>CASHFLOW!E34</f>
        <v>570509.84999999905</v>
      </c>
      <c r="F9" s="137">
        <f>CASHFLOW!F34</f>
        <v>792869.71952380869</v>
      </c>
      <c r="G9" s="137">
        <f>CASHFLOW!G34</f>
        <v>1735713.5290476177</v>
      </c>
      <c r="K9" s="3"/>
      <c r="L9" s="3"/>
    </row>
    <row r="10" spans="1:12">
      <c r="A10" s="41" t="s">
        <v>21</v>
      </c>
      <c r="B10" s="137"/>
      <c r="C10" s="137">
        <f>WORKCAP!C12</f>
        <v>149400.00000000003</v>
      </c>
      <c r="D10" s="137">
        <f>WORKCAP!D12</f>
        <v>627480.00000000012</v>
      </c>
      <c r="E10" s="137">
        <f>WORKCAP!E12</f>
        <v>913000</v>
      </c>
      <c r="F10" s="137">
        <f>WORKCAP!F12</f>
        <v>1577000</v>
      </c>
      <c r="G10" s="137">
        <f>WORKCAP!G12</f>
        <v>2656000.0000000005</v>
      </c>
      <c r="K10" s="3"/>
      <c r="L10" s="3"/>
    </row>
    <row r="11" spans="1:12">
      <c r="A11" s="41" t="s">
        <v>22</v>
      </c>
      <c r="B11" s="137"/>
      <c r="C11" s="137">
        <f>WORKCAP!C19</f>
        <v>149400.00000000003</v>
      </c>
      <c r="D11" s="137">
        <f>WORKCAP!D19</f>
        <v>627480.00000000012</v>
      </c>
      <c r="E11" s="137">
        <f>WORKCAP!E19</f>
        <v>737000</v>
      </c>
      <c r="F11" s="137">
        <f>WORKCAP!F19</f>
        <v>1273000</v>
      </c>
      <c r="G11" s="137">
        <f>WORKCAP!G19</f>
        <v>2144000</v>
      </c>
      <c r="K11" s="3"/>
      <c r="L11" s="3"/>
    </row>
    <row r="12" spans="1:12">
      <c r="A12" s="41" t="s">
        <v>23</v>
      </c>
      <c r="B12" s="138"/>
      <c r="C12" s="138">
        <f>WORKCAP!C25</f>
        <v>18000</v>
      </c>
      <c r="D12" s="138">
        <f>WORKCAP!D25</f>
        <v>75600</v>
      </c>
      <c r="E12" s="138">
        <f>WORKCAP!E25</f>
        <v>110000</v>
      </c>
      <c r="F12" s="138">
        <f>WORKCAP!F25</f>
        <v>190000</v>
      </c>
      <c r="G12" s="138">
        <f>WORKCAP!G25</f>
        <v>320000</v>
      </c>
      <c r="K12" s="3"/>
      <c r="L12" s="3"/>
    </row>
    <row r="13" spans="1:12">
      <c r="A13" s="134" t="s">
        <v>24</v>
      </c>
      <c r="B13" s="137">
        <f t="shared" ref="B13:G13" si="0">SUM(B9:B12)</f>
        <v>1500000</v>
      </c>
      <c r="C13" s="137">
        <f t="shared" si="0"/>
        <v>724969.85000000009</v>
      </c>
      <c r="D13" s="137">
        <f t="shared" si="0"/>
        <v>1698219.8499999996</v>
      </c>
      <c r="E13" s="137">
        <f t="shared" si="0"/>
        <v>2330509.8499999992</v>
      </c>
      <c r="F13" s="137">
        <f t="shared" si="0"/>
        <v>3832869.7195238089</v>
      </c>
      <c r="G13" s="137">
        <f t="shared" si="0"/>
        <v>6855713.5290476177</v>
      </c>
      <c r="K13" s="3"/>
      <c r="L13" s="3"/>
    </row>
    <row r="14" spans="1:12">
      <c r="A14" s="194" t="s">
        <v>226</v>
      </c>
      <c r="B14" s="136">
        <f>'PROP &amp; EQUIP'!B53</f>
        <v>0</v>
      </c>
      <c r="C14" s="136">
        <f>'PROP &amp; EQUIP'!C53</f>
        <v>236619.04761904763</v>
      </c>
      <c r="D14" s="136">
        <f>'PROP &amp; EQUIP'!D53</f>
        <v>604904.76190476189</v>
      </c>
      <c r="E14" s="136">
        <f>'PROP &amp; EQUIP'!E53</f>
        <v>910809.52380952379</v>
      </c>
      <c r="F14" s="136">
        <f>'PROP &amp; EQUIP'!F53</f>
        <v>1187190.4761904762</v>
      </c>
      <c r="G14" s="136">
        <f>'PROP &amp; EQUIP'!G53</f>
        <v>1427380.9523809524</v>
      </c>
      <c r="K14" s="3"/>
      <c r="L14" s="3"/>
    </row>
    <row r="15" spans="1:12" ht="15.75" thickBot="1">
      <c r="A15" s="335" t="s">
        <v>161</v>
      </c>
      <c r="B15" s="282">
        <f t="shared" ref="B15:G15" si="1">B13+B14</f>
        <v>1500000</v>
      </c>
      <c r="C15" s="282">
        <f t="shared" si="1"/>
        <v>961588.89761904767</v>
      </c>
      <c r="D15" s="282">
        <f t="shared" si="1"/>
        <v>2303124.6119047618</v>
      </c>
      <c r="E15" s="282">
        <f t="shared" si="1"/>
        <v>3241319.3738095229</v>
      </c>
      <c r="F15" s="282">
        <f t="shared" si="1"/>
        <v>5020060.1957142856</v>
      </c>
      <c r="G15" s="282">
        <f t="shared" si="1"/>
        <v>8283094.4814285701</v>
      </c>
      <c r="K15" s="3"/>
      <c r="L15" s="3"/>
    </row>
    <row r="16" spans="1:12">
      <c r="A16" s="41"/>
      <c r="B16" s="135"/>
      <c r="C16" s="135"/>
      <c r="D16" s="135"/>
      <c r="E16" s="135"/>
      <c r="F16" s="135"/>
      <c r="G16" s="135"/>
      <c r="K16" s="3"/>
      <c r="L16" s="3"/>
    </row>
    <row r="17" spans="1:12">
      <c r="A17" s="193" t="s">
        <v>25</v>
      </c>
      <c r="B17" s="135"/>
      <c r="C17" s="135"/>
      <c r="D17" s="135"/>
      <c r="E17" s="135"/>
      <c r="F17" s="135"/>
      <c r="G17" s="135"/>
      <c r="K17" s="3"/>
      <c r="L17" s="3"/>
    </row>
    <row r="18" spans="1:12">
      <c r="A18" s="193" t="s">
        <v>26</v>
      </c>
      <c r="B18" s="135"/>
      <c r="C18" s="135"/>
      <c r="D18" s="135"/>
      <c r="E18" s="135"/>
      <c r="F18" s="135"/>
      <c r="G18" s="135"/>
      <c r="K18" s="3"/>
      <c r="L18" s="3"/>
    </row>
    <row r="19" spans="1:12">
      <c r="A19" s="41" t="s">
        <v>27</v>
      </c>
      <c r="B19" s="137">
        <f>FUNDING!B18</f>
        <v>0</v>
      </c>
      <c r="C19" s="137">
        <f>FUNDING!C18</f>
        <v>0</v>
      </c>
      <c r="D19" s="137">
        <f>FUNDING!D18</f>
        <v>0</v>
      </c>
      <c r="E19" s="137">
        <f>FUNDING!E18</f>
        <v>0</v>
      </c>
      <c r="F19" s="137">
        <f>FUNDING!F18</f>
        <v>100000</v>
      </c>
      <c r="G19" s="137">
        <f>FUNDING!G18</f>
        <v>0</v>
      </c>
      <c r="K19" s="3"/>
      <c r="L19" s="3"/>
    </row>
    <row r="20" spans="1:12">
      <c r="A20" s="41" t="s">
        <v>28</v>
      </c>
      <c r="B20" s="137"/>
      <c r="C20" s="137">
        <f>WORKCAP!C31</f>
        <v>155720</v>
      </c>
      <c r="D20" s="137">
        <f>WORKCAP!D31</f>
        <v>657719.99999999988</v>
      </c>
      <c r="E20" s="137">
        <f>WORKCAP!E31</f>
        <v>956999.99999999988</v>
      </c>
      <c r="F20" s="137">
        <f>WORKCAP!F31</f>
        <v>1652999.9999999998</v>
      </c>
      <c r="G20" s="137">
        <f>WORKCAP!G31</f>
        <v>2783999.9999999995</v>
      </c>
      <c r="K20" s="3"/>
      <c r="L20" s="3"/>
    </row>
    <row r="21" spans="1:12">
      <c r="A21" s="41" t="s">
        <v>144</v>
      </c>
      <c r="B21" s="137"/>
      <c r="C21" s="137">
        <f>WORKCAP!C37</f>
        <v>18000</v>
      </c>
      <c r="D21" s="137">
        <f>WORKCAP!D37</f>
        <v>75600</v>
      </c>
      <c r="E21" s="137">
        <f>WORKCAP!E37</f>
        <v>110000</v>
      </c>
      <c r="F21" s="137">
        <f>WORKCAP!F37</f>
        <v>190000</v>
      </c>
      <c r="G21" s="137">
        <f>WORKCAP!G37</f>
        <v>320000</v>
      </c>
      <c r="K21" s="3"/>
      <c r="L21" s="3"/>
    </row>
    <row r="22" spans="1:12">
      <c r="A22" s="41" t="s">
        <v>29</v>
      </c>
      <c r="B22" s="138">
        <f>FUNDING!B22</f>
        <v>0</v>
      </c>
      <c r="C22" s="138">
        <f>FUNDING!C22</f>
        <v>0</v>
      </c>
      <c r="D22" s="138">
        <f>FUNDING!D22</f>
        <v>100000</v>
      </c>
      <c r="E22" s="138">
        <f>FUNDING!E22</f>
        <v>100000</v>
      </c>
      <c r="F22" s="138">
        <f>FUNDING!F22</f>
        <v>100000</v>
      </c>
      <c r="G22" s="138">
        <f>FUNDING!G22</f>
        <v>100000</v>
      </c>
      <c r="K22" s="3"/>
      <c r="L22" s="3"/>
    </row>
    <row r="23" spans="1:12">
      <c r="A23" s="134" t="s">
        <v>30</v>
      </c>
      <c r="B23" s="280">
        <f t="shared" ref="B23:G23" si="2">SUM(B19:B22)</f>
        <v>0</v>
      </c>
      <c r="C23" s="280">
        <f t="shared" si="2"/>
        <v>173720</v>
      </c>
      <c r="D23" s="280">
        <f t="shared" si="2"/>
        <v>833319.99999999988</v>
      </c>
      <c r="E23" s="280">
        <f t="shared" si="2"/>
        <v>1167000</v>
      </c>
      <c r="F23" s="280">
        <f t="shared" si="2"/>
        <v>2042999.9999999998</v>
      </c>
      <c r="G23" s="280">
        <f t="shared" si="2"/>
        <v>3203999.9999999995</v>
      </c>
      <c r="K23" s="3"/>
      <c r="L23" s="3"/>
    </row>
    <row r="24" spans="1:12">
      <c r="A24" s="41"/>
      <c r="B24" s="135"/>
      <c r="C24" s="135"/>
      <c r="D24" s="135"/>
      <c r="E24" s="135"/>
      <c r="F24" s="135"/>
      <c r="G24" s="135"/>
      <c r="K24" s="3"/>
      <c r="L24" s="3"/>
    </row>
    <row r="25" spans="1:12">
      <c r="A25" s="41" t="s">
        <v>164</v>
      </c>
      <c r="B25" s="137">
        <f>FUNDING!B23</f>
        <v>0</v>
      </c>
      <c r="C25" s="137">
        <f>FUNDING!C23</f>
        <v>0</v>
      </c>
      <c r="D25" s="137">
        <f>FUNDING!D23</f>
        <v>400000</v>
      </c>
      <c r="E25" s="137">
        <f>FUNDING!E23</f>
        <v>300000</v>
      </c>
      <c r="F25" s="137">
        <f>FUNDING!F23</f>
        <v>200000</v>
      </c>
      <c r="G25" s="137">
        <f>FUNDING!G23</f>
        <v>100000</v>
      </c>
      <c r="K25" s="3"/>
      <c r="L25" s="3"/>
    </row>
    <row r="26" spans="1:12">
      <c r="A26" s="41"/>
      <c r="B26" s="135"/>
      <c r="C26" s="135"/>
      <c r="D26" s="135"/>
      <c r="E26" s="135"/>
      <c r="F26" s="135"/>
      <c r="G26" s="135"/>
      <c r="K26" s="3"/>
      <c r="L26" s="3"/>
    </row>
    <row r="27" spans="1:12">
      <c r="A27" s="193" t="s">
        <v>31</v>
      </c>
      <c r="B27" s="135"/>
      <c r="C27" s="135"/>
      <c r="D27" s="135"/>
      <c r="E27" s="135"/>
      <c r="F27" s="135"/>
      <c r="G27" s="135"/>
      <c r="K27" s="3"/>
      <c r="L27" s="3"/>
    </row>
    <row r="28" spans="1:12">
      <c r="A28" s="41" t="s">
        <v>32</v>
      </c>
      <c r="B28" s="139">
        <f>FUNDING!B8</f>
        <v>500000</v>
      </c>
      <c r="C28" s="139">
        <f>FUNDING!C8</f>
        <v>500000</v>
      </c>
      <c r="D28" s="139">
        <f>FUNDING!D8</f>
        <v>500000</v>
      </c>
      <c r="E28" s="139">
        <f>FUNDING!E8</f>
        <v>500000</v>
      </c>
      <c r="F28" s="139">
        <f>FUNDING!F8</f>
        <v>500000</v>
      </c>
      <c r="G28" s="139">
        <f>FUNDING!G8</f>
        <v>500000</v>
      </c>
      <c r="K28" s="3"/>
      <c r="L28" s="3"/>
    </row>
    <row r="29" spans="1:12">
      <c r="A29" s="41" t="s">
        <v>33</v>
      </c>
      <c r="B29" s="139">
        <f>FUNDING!B13</f>
        <v>1000000</v>
      </c>
      <c r="C29" s="139">
        <f>FUNDING!C13</f>
        <v>1000000</v>
      </c>
      <c r="D29" s="139">
        <f>FUNDING!D13</f>
        <v>1500000</v>
      </c>
      <c r="E29" s="139">
        <f>FUNDING!E13</f>
        <v>1500000</v>
      </c>
      <c r="F29" s="139">
        <f>FUNDING!F13</f>
        <v>1500000</v>
      </c>
      <c r="G29" s="139">
        <f>FUNDING!G13</f>
        <v>1500000</v>
      </c>
      <c r="K29" s="3"/>
      <c r="L29" s="3"/>
    </row>
    <row r="30" spans="1:12">
      <c r="A30" s="41" t="s">
        <v>34</v>
      </c>
      <c r="B30" s="138"/>
      <c r="C30" s="138">
        <f>FUNDING!C52</f>
        <v>-712131.10238095233</v>
      </c>
      <c r="D30" s="138">
        <f>FUNDING!D52</f>
        <v>-930195.38809523825</v>
      </c>
      <c r="E30" s="138">
        <f>FUNDING!E52</f>
        <v>-225680.62619047705</v>
      </c>
      <c r="F30" s="138">
        <f>FUNDING!F52</f>
        <v>777060.19571428513</v>
      </c>
      <c r="G30" s="138">
        <f>FUNDING!G52</f>
        <v>2979094.481428571</v>
      </c>
      <c r="K30" s="3"/>
      <c r="L30" s="3"/>
    </row>
    <row r="31" spans="1:12">
      <c r="A31" s="334" t="s">
        <v>85</v>
      </c>
      <c r="B31" s="281">
        <f t="shared" ref="B31:G31" si="3">SUM(B28:B30)</f>
        <v>1500000</v>
      </c>
      <c r="C31" s="281">
        <f t="shared" si="3"/>
        <v>787868.89761904767</v>
      </c>
      <c r="D31" s="281">
        <f t="shared" si="3"/>
        <v>1069804.6119047618</v>
      </c>
      <c r="E31" s="281">
        <f t="shared" si="3"/>
        <v>1774319.3738095229</v>
      </c>
      <c r="F31" s="281">
        <f t="shared" si="3"/>
        <v>2777060.1957142851</v>
      </c>
      <c r="G31" s="281">
        <f t="shared" si="3"/>
        <v>4979094.481428571</v>
      </c>
      <c r="K31" s="3"/>
      <c r="L31" s="3"/>
    </row>
    <row r="32" spans="1:12" ht="15.75" thickBot="1">
      <c r="A32" s="335" t="s">
        <v>96</v>
      </c>
      <c r="B32" s="282">
        <f t="shared" ref="B32:G32" si="4">B23+B25+B31</f>
        <v>1500000</v>
      </c>
      <c r="C32" s="282">
        <f t="shared" si="4"/>
        <v>961588.89761904767</v>
      </c>
      <c r="D32" s="282">
        <f t="shared" si="4"/>
        <v>2303124.6119047618</v>
      </c>
      <c r="E32" s="282">
        <f t="shared" si="4"/>
        <v>3241319.3738095229</v>
      </c>
      <c r="F32" s="282">
        <f t="shared" si="4"/>
        <v>5020060.1957142856</v>
      </c>
      <c r="G32" s="282">
        <f t="shared" si="4"/>
        <v>8283094.481428571</v>
      </c>
    </row>
    <row r="33" spans="2:12">
      <c r="B33" s="6"/>
      <c r="F33" s="6"/>
      <c r="G33" s="6"/>
    </row>
    <row r="34" spans="2:12">
      <c r="B34" s="6"/>
      <c r="C34" s="6"/>
      <c r="D34" s="6"/>
      <c r="E34" s="6"/>
      <c r="F34" s="6"/>
      <c r="G34" s="6"/>
      <c r="K34" s="3"/>
      <c r="L34" s="3"/>
    </row>
    <row r="35" spans="2:12">
      <c r="K35" s="3"/>
      <c r="L35" s="3"/>
    </row>
    <row r="36" spans="2:12">
      <c r="K36" s="3"/>
      <c r="L36" s="3"/>
    </row>
    <row r="37" spans="2:12">
      <c r="K37" s="3"/>
      <c r="L37" s="3"/>
    </row>
    <row r="38" spans="2:12">
      <c r="K38" s="3"/>
      <c r="L38" s="3"/>
    </row>
    <row r="39" spans="2:12">
      <c r="K39" s="3"/>
      <c r="L39" s="3"/>
    </row>
    <row r="40" spans="2:12">
      <c r="K40" s="3"/>
      <c r="L40" s="3"/>
    </row>
    <row r="41" spans="2:12">
      <c r="H41" s="5"/>
      <c r="I41" s="5"/>
      <c r="J41" s="5"/>
      <c r="K41" s="3"/>
      <c r="L41" s="3"/>
    </row>
    <row r="42" spans="2:12">
      <c r="H42" s="5"/>
      <c r="I42" s="5"/>
      <c r="J42" s="5"/>
      <c r="K42" s="3"/>
      <c r="L42" s="3"/>
    </row>
    <row r="43" spans="2:12">
      <c r="H43" s="6"/>
      <c r="I43" s="6"/>
    </row>
    <row r="46" spans="2:12">
      <c r="H46" s="41"/>
    </row>
  </sheetData>
  <phoneticPr fontId="0" type="noConversion"/>
  <pageMargins left="0.75" right="0.75" top="0.5" bottom="0.5" header="0.5" footer="0.5"/>
  <pageSetup orientation="landscape" horizontalDpi="300" verticalDpi="300" r:id="rId1"/>
  <headerFooter alignWithMargins="0">
    <oddHeader>&amp;R&amp;D
&amp;T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46"/>
  <sheetViews>
    <sheetView zoomScale="75" zoomScaleNormal="75" workbookViewId="0">
      <selection activeCell="B1" sqref="B1"/>
    </sheetView>
  </sheetViews>
  <sheetFormatPr defaultColWidth="8.7109375" defaultRowHeight="12.75"/>
  <cols>
    <col min="1" max="1" width="46.85546875" style="8" customWidth="1"/>
    <col min="2" max="2" width="12" style="8" customWidth="1"/>
    <col min="3" max="3" width="12.5703125" style="8" customWidth="1"/>
    <col min="4" max="5" width="10.7109375" style="8" customWidth="1"/>
    <col min="6" max="6" width="12.140625" style="8" customWidth="1"/>
    <col min="7" max="7" width="13.140625" style="8" customWidth="1"/>
    <col min="8" max="8" width="10.42578125" style="8" customWidth="1"/>
    <col min="9" max="9" width="10.7109375" style="8" customWidth="1"/>
    <col min="10" max="16384" width="8.7109375" style="8"/>
  </cols>
  <sheetData>
    <row r="1" spans="1:12" ht="20.25">
      <c r="A1" s="240" t="str">
        <f>COMPS!A1</f>
        <v>XYZ Company</v>
      </c>
      <c r="B1" s="284"/>
      <c r="C1" s="284"/>
      <c r="D1" s="284"/>
      <c r="E1" s="284"/>
      <c r="F1" s="284"/>
      <c r="G1" s="284"/>
      <c r="H1" s="7"/>
      <c r="I1" s="7"/>
      <c r="J1" s="7"/>
      <c r="K1" s="7"/>
      <c r="L1" s="7"/>
    </row>
    <row r="2" spans="1:12" s="238" customFormat="1" ht="15.75">
      <c r="A2" s="235" t="s">
        <v>35</v>
      </c>
      <c r="B2" s="236"/>
      <c r="C2" s="236"/>
      <c r="D2" s="236"/>
      <c r="E2" s="236"/>
      <c r="F2" s="236"/>
      <c r="G2" s="236"/>
      <c r="H2" s="237"/>
      <c r="I2" s="237"/>
      <c r="J2" s="237"/>
      <c r="K2" s="237"/>
      <c r="L2" s="237"/>
    </row>
    <row r="3" spans="1:12" s="238" customFormat="1" ht="15.75">
      <c r="A3" s="235" t="s">
        <v>71</v>
      </c>
      <c r="B3" s="236"/>
      <c r="C3" s="236"/>
      <c r="D3" s="236"/>
      <c r="E3" s="236"/>
      <c r="F3" s="236"/>
      <c r="G3" s="236"/>
      <c r="H3" s="237"/>
      <c r="I3" s="237"/>
      <c r="J3" s="237"/>
      <c r="K3" s="237"/>
      <c r="L3" s="237"/>
    </row>
    <row r="4" spans="1:12" s="238" customFormat="1" ht="15.75">
      <c r="A4" s="239" t="s">
        <v>94</v>
      </c>
      <c r="B4" s="236"/>
      <c r="C4" s="236"/>
      <c r="D4" s="236"/>
      <c r="E4" s="236"/>
      <c r="F4" s="236"/>
      <c r="G4" s="236"/>
      <c r="H4" s="237"/>
      <c r="I4" s="237"/>
      <c r="J4" s="237"/>
      <c r="K4" s="237"/>
      <c r="L4" s="237"/>
    </row>
    <row r="5" spans="1:12" ht="15.75">
      <c r="A5" s="38"/>
      <c r="B5" s="169"/>
      <c r="C5" s="71" t="s">
        <v>72</v>
      </c>
      <c r="D5" s="71" t="s">
        <v>73</v>
      </c>
      <c r="E5" s="71" t="s">
        <v>74</v>
      </c>
      <c r="F5" s="71" t="s">
        <v>75</v>
      </c>
      <c r="G5" s="71" t="s">
        <v>76</v>
      </c>
      <c r="H5" s="7"/>
      <c r="I5" s="7"/>
      <c r="J5" s="7"/>
      <c r="K5" s="7"/>
      <c r="L5" s="7"/>
    </row>
    <row r="6" spans="1:12">
      <c r="A6" s="195" t="s">
        <v>36</v>
      </c>
      <c r="B6" s="38"/>
      <c r="C6" s="170"/>
      <c r="D6" s="170"/>
      <c r="E6" s="170"/>
      <c r="F6" s="170"/>
      <c r="G6" s="170"/>
      <c r="H6" s="7"/>
      <c r="I6" s="7"/>
      <c r="J6" s="7"/>
      <c r="K6" s="7"/>
      <c r="L6" s="7"/>
    </row>
    <row r="7" spans="1:12">
      <c r="A7" s="38" t="s">
        <v>37</v>
      </c>
      <c r="B7" s="170"/>
      <c r="C7" s="171">
        <f>INCOME!C34</f>
        <v>-712131.10238095233</v>
      </c>
      <c r="D7" s="171">
        <f>INCOME!D34</f>
        <v>-218064.28571428591</v>
      </c>
      <c r="E7" s="171">
        <f>INCOME!E34</f>
        <v>704514.7619047612</v>
      </c>
      <c r="F7" s="171">
        <f>INCOME!F34</f>
        <v>1002740.8219047622</v>
      </c>
      <c r="G7" s="171">
        <f>INCOME!G34</f>
        <v>2252034.2857142859</v>
      </c>
      <c r="K7" s="7"/>
      <c r="L7" s="7"/>
    </row>
    <row r="8" spans="1:12">
      <c r="A8" s="38" t="s">
        <v>38</v>
      </c>
      <c r="B8" s="170"/>
      <c r="C8" s="171">
        <f>'PROP &amp; EQUIP'!C47</f>
        <v>43380.952380952382</v>
      </c>
      <c r="D8" s="171">
        <f>'PROP &amp; EQUIP'!D47</f>
        <v>131714.28571428571</v>
      </c>
      <c r="E8" s="171">
        <f>'PROP &amp; EQUIP'!E47</f>
        <v>244095.23809523811</v>
      </c>
      <c r="F8" s="171">
        <f>'PROP &amp; EQUIP'!F47</f>
        <v>373619.04761904757</v>
      </c>
      <c r="G8" s="171">
        <f>'PROP &amp; EQUIP'!G47</f>
        <v>509809.52380952379</v>
      </c>
      <c r="J8" s="7"/>
      <c r="K8" s="7"/>
      <c r="L8" s="7"/>
    </row>
    <row r="9" spans="1:12">
      <c r="A9" s="38" t="s">
        <v>39</v>
      </c>
      <c r="B9" s="170"/>
      <c r="C9" s="172"/>
      <c r="D9" s="172"/>
      <c r="E9" s="172"/>
      <c r="F9" s="172"/>
      <c r="G9" s="172"/>
      <c r="J9" s="7"/>
      <c r="K9" s="7"/>
      <c r="L9" s="7"/>
    </row>
    <row r="10" spans="1:12">
      <c r="A10" s="173" t="s">
        <v>107</v>
      </c>
      <c r="B10" s="170"/>
      <c r="C10" s="174">
        <f>WORKCAP!C13</f>
        <v>-149400.00000000003</v>
      </c>
      <c r="D10" s="174">
        <f>WORKCAP!D13</f>
        <v>-478080.00000000012</v>
      </c>
      <c r="E10" s="174">
        <f>WORKCAP!E13</f>
        <v>-285519.99999999988</v>
      </c>
      <c r="F10" s="174">
        <f>WORKCAP!F13</f>
        <v>-664000</v>
      </c>
      <c r="G10" s="174">
        <f>WORKCAP!G13</f>
        <v>-1079000.0000000005</v>
      </c>
      <c r="J10" s="7"/>
      <c r="K10" s="7"/>
      <c r="L10" s="7"/>
    </row>
    <row r="11" spans="1:12">
      <c r="A11" s="173" t="s">
        <v>108</v>
      </c>
      <c r="B11" s="170"/>
      <c r="C11" s="171">
        <f>WORKCAP!C20</f>
        <v>-149400.00000000003</v>
      </c>
      <c r="D11" s="171">
        <f>WORKCAP!D20</f>
        <v>-478080.00000000012</v>
      </c>
      <c r="E11" s="171">
        <f>WORKCAP!E20</f>
        <v>-109519.99999999988</v>
      </c>
      <c r="F11" s="171">
        <f>WORKCAP!F20</f>
        <v>-536000</v>
      </c>
      <c r="G11" s="171">
        <f>WORKCAP!G20</f>
        <v>-871000</v>
      </c>
      <c r="J11" s="7"/>
      <c r="K11" s="7"/>
      <c r="L11" s="7"/>
    </row>
    <row r="12" spans="1:12">
      <c r="A12" s="173" t="s">
        <v>109</v>
      </c>
      <c r="B12" s="170"/>
      <c r="C12" s="171">
        <f>WORKCAP!C26</f>
        <v>-18000</v>
      </c>
      <c r="D12" s="171">
        <f>WORKCAP!D26</f>
        <v>-57600</v>
      </c>
      <c r="E12" s="171">
        <f>WORKCAP!E26</f>
        <v>-34400</v>
      </c>
      <c r="F12" s="171">
        <f>WORKCAP!F26</f>
        <v>-80000</v>
      </c>
      <c r="G12" s="171">
        <f>WORKCAP!G26</f>
        <v>-130000</v>
      </c>
      <c r="J12" s="7"/>
      <c r="K12" s="7"/>
      <c r="L12" s="7"/>
    </row>
    <row r="13" spans="1:12">
      <c r="A13" s="173" t="s">
        <v>117</v>
      </c>
      <c r="B13" s="170"/>
      <c r="C13" s="171">
        <f>WORKCAP!C32</f>
        <v>155720</v>
      </c>
      <c r="D13" s="171">
        <f>WORKCAP!D32</f>
        <v>501999.99999999988</v>
      </c>
      <c r="E13" s="171">
        <f>WORKCAP!E32</f>
        <v>299280</v>
      </c>
      <c r="F13" s="171">
        <f>WORKCAP!F32</f>
        <v>695999.99999999988</v>
      </c>
      <c r="G13" s="171">
        <f>WORKCAP!G32</f>
        <v>1130999.9999999998</v>
      </c>
      <c r="J13" s="7"/>
      <c r="K13" s="7"/>
      <c r="L13" s="7"/>
    </row>
    <row r="14" spans="1:12">
      <c r="A14" s="173" t="s">
        <v>152</v>
      </c>
      <c r="B14" s="175"/>
      <c r="C14" s="179">
        <f>WORKCAP!C38</f>
        <v>18000</v>
      </c>
      <c r="D14" s="179">
        <f>WORKCAP!D38</f>
        <v>57600</v>
      </c>
      <c r="E14" s="179">
        <f>WORKCAP!E38</f>
        <v>34400</v>
      </c>
      <c r="F14" s="179">
        <f>WORKCAP!F38</f>
        <v>80000</v>
      </c>
      <c r="G14" s="179">
        <f>WORKCAP!G38</f>
        <v>130000</v>
      </c>
      <c r="J14" s="7"/>
      <c r="K14" s="7"/>
      <c r="L14" s="7"/>
    </row>
    <row r="15" spans="1:12">
      <c r="A15" s="173" t="s">
        <v>235</v>
      </c>
      <c r="B15" s="170"/>
      <c r="C15" s="177">
        <f>SUM(C7:C14)</f>
        <v>-811830.14999999991</v>
      </c>
      <c r="D15" s="177">
        <f>SUM(D7:D14)</f>
        <v>-540510.00000000058</v>
      </c>
      <c r="E15" s="177">
        <f>SUM(E7:E14)</f>
        <v>852849.99999999953</v>
      </c>
      <c r="F15" s="177">
        <f>SUM(F7:F14)</f>
        <v>872359.86952380964</v>
      </c>
      <c r="G15" s="177">
        <f>SUM(G7:G14)</f>
        <v>1942843.809523809</v>
      </c>
      <c r="J15" s="7"/>
      <c r="K15" s="7"/>
      <c r="L15" s="7"/>
    </row>
    <row r="16" spans="1:12">
      <c r="A16" s="38"/>
      <c r="B16" s="170"/>
      <c r="C16" s="172"/>
      <c r="D16" s="172"/>
      <c r="E16" s="172"/>
      <c r="F16" s="172"/>
      <c r="G16" s="172"/>
      <c r="J16" s="7"/>
      <c r="K16" s="7"/>
      <c r="L16" s="7"/>
    </row>
    <row r="17" spans="1:12">
      <c r="A17" s="195" t="s">
        <v>40</v>
      </c>
      <c r="B17" s="170"/>
      <c r="C17" s="172"/>
      <c r="D17" s="172"/>
      <c r="E17" s="172"/>
      <c r="F17" s="172"/>
      <c r="G17" s="172"/>
      <c r="J17" s="7"/>
      <c r="K17" s="7"/>
      <c r="L17" s="7"/>
    </row>
    <row r="18" spans="1:12">
      <c r="A18" s="38" t="s">
        <v>227</v>
      </c>
      <c r="B18" s="170"/>
      <c r="C18" s="171">
        <f>-'PROP &amp; EQUIP'!C13</f>
        <v>-280000</v>
      </c>
      <c r="D18" s="171">
        <f>-'PROP &amp; EQUIP'!D13</f>
        <v>-500000</v>
      </c>
      <c r="E18" s="171">
        <f>-'PROP &amp; EQUIP'!E13</f>
        <v>-550000</v>
      </c>
      <c r="F18" s="171">
        <f>-'PROP &amp; EQUIP'!F13</f>
        <v>-650000</v>
      </c>
      <c r="G18" s="171">
        <f>-'PROP &amp; EQUIP'!G13</f>
        <v>-750000</v>
      </c>
      <c r="J18" s="7"/>
      <c r="K18" s="7"/>
      <c r="L18" s="7"/>
    </row>
    <row r="19" spans="1:12">
      <c r="A19" s="178" t="s">
        <v>110</v>
      </c>
      <c r="B19" s="170"/>
      <c r="C19" s="179"/>
      <c r="D19" s="179"/>
      <c r="E19" s="179"/>
      <c r="F19" s="179"/>
      <c r="G19" s="179"/>
      <c r="J19" s="7"/>
      <c r="K19" s="7"/>
      <c r="L19" s="7"/>
    </row>
    <row r="20" spans="1:12">
      <c r="A20" s="173" t="s">
        <v>41</v>
      </c>
      <c r="B20" s="170"/>
      <c r="C20" s="177">
        <f>SUM(C18:C19)</f>
        <v>-280000</v>
      </c>
      <c r="D20" s="177">
        <f>SUM(D18:D19)</f>
        <v>-500000</v>
      </c>
      <c r="E20" s="177">
        <f>SUM(E18:E19)</f>
        <v>-550000</v>
      </c>
      <c r="F20" s="177">
        <f>SUM(F18:F19)</f>
        <v>-650000</v>
      </c>
      <c r="G20" s="177">
        <f>SUM(G18:G19)</f>
        <v>-750000</v>
      </c>
      <c r="J20" s="7"/>
      <c r="K20" s="7"/>
      <c r="L20" s="7"/>
    </row>
    <row r="21" spans="1:12">
      <c r="A21" s="38"/>
      <c r="B21" s="170"/>
      <c r="C21" s="172"/>
      <c r="D21" s="172"/>
      <c r="E21" s="172"/>
      <c r="F21" s="172"/>
      <c r="G21" s="172"/>
      <c r="J21" s="7"/>
      <c r="K21" s="7"/>
      <c r="L21" s="7"/>
    </row>
    <row r="22" spans="1:12">
      <c r="A22" s="195" t="s">
        <v>42</v>
      </c>
      <c r="B22" s="170"/>
      <c r="C22" s="171"/>
      <c r="D22" s="171"/>
      <c r="E22" s="171"/>
      <c r="F22" s="171"/>
      <c r="G22" s="171"/>
      <c r="J22" s="7"/>
      <c r="K22" s="7"/>
      <c r="L22" s="7"/>
    </row>
    <row r="23" spans="1:12">
      <c r="A23" s="38" t="s">
        <v>43</v>
      </c>
      <c r="B23" s="170"/>
      <c r="C23" s="171">
        <f>FUNDING!C19</f>
        <v>0</v>
      </c>
      <c r="D23" s="171">
        <f>FUNDING!D19</f>
        <v>0</v>
      </c>
      <c r="E23" s="171">
        <f>FUNDING!E19</f>
        <v>0</v>
      </c>
      <c r="F23" s="171">
        <f>FUNDING!F19</f>
        <v>100000</v>
      </c>
      <c r="G23" s="171">
        <f>FUNDING!G19</f>
        <v>-100000</v>
      </c>
      <c r="J23" s="7"/>
      <c r="K23" s="7"/>
      <c r="L23" s="7"/>
    </row>
    <row r="24" spans="1:12">
      <c r="A24" s="38" t="s">
        <v>44</v>
      </c>
      <c r="B24" s="170"/>
      <c r="C24" s="171">
        <f>FUNDING!C27</f>
        <v>0</v>
      </c>
      <c r="D24" s="171">
        <f>FUNDING!D27</f>
        <v>100000</v>
      </c>
      <c r="E24" s="171">
        <f>FUNDING!E27</f>
        <v>0</v>
      </c>
      <c r="F24" s="171">
        <f>FUNDING!F27</f>
        <v>0</v>
      </c>
      <c r="G24" s="171">
        <f>FUNDING!G27</f>
        <v>0</v>
      </c>
      <c r="J24" s="7"/>
      <c r="K24" s="7"/>
      <c r="L24" s="7"/>
    </row>
    <row r="25" spans="1:12">
      <c r="A25" s="38" t="s">
        <v>79</v>
      </c>
      <c r="B25" s="170"/>
      <c r="C25" s="171">
        <f>FUNDING!C28</f>
        <v>0</v>
      </c>
      <c r="D25" s="171">
        <f>FUNDING!D28</f>
        <v>400000</v>
      </c>
      <c r="E25" s="171">
        <f>FUNDING!E28</f>
        <v>-100000</v>
      </c>
      <c r="F25" s="171">
        <f>FUNDING!F28</f>
        <v>-100000</v>
      </c>
      <c r="G25" s="171">
        <f>FUNDING!G28</f>
        <v>-100000</v>
      </c>
      <c r="J25" s="7"/>
      <c r="K25" s="7"/>
      <c r="L25" s="7"/>
    </row>
    <row r="26" spans="1:12">
      <c r="A26" s="38" t="s">
        <v>45</v>
      </c>
      <c r="B26" s="170"/>
      <c r="C26" s="171">
        <f>FUNDING!C9</f>
        <v>0</v>
      </c>
      <c r="D26" s="171">
        <f>FUNDING!D9</f>
        <v>0</v>
      </c>
      <c r="E26" s="171">
        <f>FUNDING!E9</f>
        <v>0</v>
      </c>
      <c r="F26" s="171">
        <f>FUNDING!F9</f>
        <v>0</v>
      </c>
      <c r="G26" s="171">
        <f>FUNDING!G9</f>
        <v>0</v>
      </c>
      <c r="J26" s="7"/>
      <c r="K26" s="7"/>
      <c r="L26" s="7"/>
    </row>
    <row r="27" spans="1:12">
      <c r="A27" s="38" t="s">
        <v>46</v>
      </c>
      <c r="B27" s="170"/>
      <c r="C27" s="171">
        <f>FUNDING!C14</f>
        <v>0</v>
      </c>
      <c r="D27" s="171">
        <f>FUNDING!D14</f>
        <v>500000</v>
      </c>
      <c r="E27" s="171">
        <f>FUNDING!E14</f>
        <v>0</v>
      </c>
      <c r="F27" s="171">
        <f>FUNDING!F14</f>
        <v>0</v>
      </c>
      <c r="G27" s="171">
        <f>FUNDING!G14</f>
        <v>0</v>
      </c>
      <c r="J27" s="7"/>
      <c r="K27" s="7"/>
      <c r="L27" s="7"/>
    </row>
    <row r="28" spans="1:12">
      <c r="A28" s="38" t="s">
        <v>47</v>
      </c>
      <c r="B28" s="175"/>
      <c r="C28" s="179">
        <f>-FUNDING!C49</f>
        <v>0</v>
      </c>
      <c r="D28" s="179">
        <f>-FUNDING!D49</f>
        <v>0</v>
      </c>
      <c r="E28" s="179">
        <f>-FUNDING!E49</f>
        <v>0</v>
      </c>
      <c r="F28" s="179">
        <f>-FUNDING!F49</f>
        <v>0</v>
      </c>
      <c r="G28" s="179">
        <f>-FUNDING!G49</f>
        <v>-50000</v>
      </c>
      <c r="J28" s="7"/>
      <c r="K28" s="7"/>
      <c r="L28" s="7"/>
    </row>
    <row r="29" spans="1:12">
      <c r="A29" s="173" t="s">
        <v>48</v>
      </c>
      <c r="B29" s="175"/>
      <c r="C29" s="177">
        <f>SUM(C23:C28)</f>
        <v>0</v>
      </c>
      <c r="D29" s="177">
        <f>SUM(D23:D28)</f>
        <v>1000000</v>
      </c>
      <c r="E29" s="177">
        <f>SUM(E23:E28)</f>
        <v>-100000</v>
      </c>
      <c r="F29" s="177">
        <f>SUM(F23:F28)</f>
        <v>0</v>
      </c>
      <c r="G29" s="177">
        <f>SUM(G23:G28)</f>
        <v>-250000</v>
      </c>
      <c r="J29" s="7"/>
      <c r="K29" s="7"/>
      <c r="L29" s="7"/>
    </row>
    <row r="30" spans="1:12">
      <c r="A30" s="38"/>
      <c r="B30" s="175"/>
      <c r="C30" s="176"/>
      <c r="D30" s="176"/>
      <c r="E30" s="176"/>
      <c r="F30" s="176"/>
      <c r="G30" s="176"/>
      <c r="J30" s="7"/>
      <c r="K30" s="7"/>
      <c r="L30" s="7"/>
    </row>
    <row r="31" spans="1:12">
      <c r="A31" s="195" t="s">
        <v>106</v>
      </c>
      <c r="B31" s="175"/>
      <c r="C31" s="180">
        <f>C15+C20+C29</f>
        <v>-1091830.1499999999</v>
      </c>
      <c r="D31" s="180">
        <f>D15+D20+D29</f>
        <v>-40510.000000000582</v>
      </c>
      <c r="E31" s="180">
        <f>E15+E20+E29</f>
        <v>202849.99999999953</v>
      </c>
      <c r="F31" s="180">
        <f>F15+F20+F29</f>
        <v>222359.86952380964</v>
      </c>
      <c r="G31" s="180">
        <f>G15+G20+G29</f>
        <v>942843.809523809</v>
      </c>
      <c r="J31" s="7"/>
      <c r="K31" s="7"/>
      <c r="L31" s="7"/>
    </row>
    <row r="32" spans="1:12">
      <c r="A32" s="38"/>
      <c r="B32" s="170"/>
      <c r="C32" s="172"/>
      <c r="D32" s="172"/>
      <c r="E32" s="172"/>
      <c r="F32" s="172"/>
      <c r="G32" s="172"/>
      <c r="J32" s="7"/>
      <c r="K32" s="7"/>
      <c r="L32" s="7"/>
    </row>
    <row r="33" spans="1:12">
      <c r="A33" s="195" t="s">
        <v>105</v>
      </c>
      <c r="B33" s="170"/>
      <c r="C33" s="177">
        <f>B34</f>
        <v>1500000</v>
      </c>
      <c r="D33" s="177">
        <f>C34</f>
        <v>408169.85000000009</v>
      </c>
      <c r="E33" s="177">
        <f>D34</f>
        <v>367659.84999999951</v>
      </c>
      <c r="F33" s="177">
        <f>E34</f>
        <v>570509.84999999905</v>
      </c>
      <c r="G33" s="177">
        <f>F34</f>
        <v>792869.71952380869</v>
      </c>
      <c r="J33" s="7"/>
      <c r="K33" s="7"/>
      <c r="L33" s="7"/>
    </row>
    <row r="34" spans="1:12">
      <c r="A34" s="195" t="s">
        <v>49</v>
      </c>
      <c r="B34" s="52">
        <f>BALANCE!B9</f>
        <v>1500000</v>
      </c>
      <c r="C34" s="80">
        <f>C33+C31</f>
        <v>408169.85000000009</v>
      </c>
      <c r="D34" s="80">
        <f>D33+D31</f>
        <v>367659.84999999951</v>
      </c>
      <c r="E34" s="80">
        <f>E33+E31</f>
        <v>570509.84999999905</v>
      </c>
      <c r="F34" s="80">
        <f>F33+F31</f>
        <v>792869.71952380869</v>
      </c>
      <c r="G34" s="80">
        <f>G33+G31</f>
        <v>1735713.5290476177</v>
      </c>
      <c r="J34" s="7"/>
      <c r="K34" s="7"/>
      <c r="L34" s="7"/>
    </row>
    <row r="35" spans="1:12">
      <c r="J35" s="7"/>
      <c r="K35" s="7"/>
      <c r="L35" s="7"/>
    </row>
    <row r="36" spans="1:12">
      <c r="A36" s="7"/>
      <c r="B36" s="7"/>
      <c r="J36" s="7"/>
      <c r="K36" s="7"/>
      <c r="L36" s="7"/>
    </row>
    <row r="37" spans="1:12">
      <c r="A37" s="7"/>
      <c r="B37" s="7"/>
      <c r="J37" s="7"/>
      <c r="K37" s="7"/>
      <c r="L37" s="7"/>
    </row>
    <row r="38" spans="1:12">
      <c r="A38" s="7"/>
      <c r="B38" s="7"/>
      <c r="C38" s="7"/>
      <c r="D38" s="7"/>
      <c r="E38" s="7"/>
      <c r="F38" s="7"/>
      <c r="G38" s="7"/>
      <c r="J38" s="7"/>
      <c r="K38" s="7"/>
      <c r="L38" s="7"/>
    </row>
    <row r="39" spans="1:12">
      <c r="B39" s="7"/>
      <c r="C39" s="7"/>
      <c r="D39" s="7"/>
      <c r="E39" s="7"/>
      <c r="F39" s="7"/>
      <c r="G39" s="7"/>
      <c r="J39" s="7"/>
      <c r="K39" s="7"/>
      <c r="L39" s="7"/>
    </row>
    <row r="40" spans="1:12">
      <c r="B40" s="7"/>
      <c r="C40" s="7"/>
      <c r="D40" s="7"/>
      <c r="E40" s="7"/>
      <c r="F40" s="7"/>
      <c r="G40" s="7"/>
      <c r="J40" s="7"/>
      <c r="K40" s="7"/>
      <c r="L40" s="7"/>
    </row>
    <row r="41" spans="1:12">
      <c r="H41" s="7"/>
      <c r="I41" s="7"/>
      <c r="J41" s="7"/>
      <c r="K41" s="7"/>
      <c r="L41" s="7"/>
    </row>
    <row r="42" spans="1:12">
      <c r="H42" s="7"/>
      <c r="I42" s="7"/>
      <c r="J42" s="7"/>
      <c r="K42" s="7"/>
      <c r="L42" s="7"/>
    </row>
    <row r="43" spans="1:12">
      <c r="H43" s="7"/>
      <c r="I43" s="7"/>
      <c r="J43" s="7"/>
      <c r="K43" s="7"/>
      <c r="L43" s="7"/>
    </row>
    <row r="46" spans="1:12">
      <c r="H46" s="38"/>
    </row>
  </sheetData>
  <phoneticPr fontId="0" type="noConversion"/>
  <pageMargins left="0.75" right="0.75" top="0.5" bottom="0.5" header="0.5" footer="0.5"/>
  <pageSetup orientation="landscape" horizontalDpi="300" verticalDpi="300" r:id="rId1"/>
  <headerFooter alignWithMargins="0">
    <oddHeader>&amp;R&amp;D
&amp;T</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M39"/>
  <sheetViews>
    <sheetView zoomScale="75" zoomScaleNormal="75" workbookViewId="0">
      <selection activeCell="C19" sqref="C19"/>
    </sheetView>
  </sheetViews>
  <sheetFormatPr defaultRowHeight="12.75"/>
  <cols>
    <col min="1" max="1" width="41.140625" customWidth="1"/>
    <col min="2" max="2" width="3.140625" hidden="1" customWidth="1"/>
    <col min="3" max="3" width="11.85546875" customWidth="1"/>
    <col min="4" max="4" width="12.42578125" customWidth="1"/>
    <col min="5" max="5" width="12.5703125" customWidth="1"/>
    <col min="6" max="7" width="13.140625" customWidth="1"/>
    <col min="11" max="11" width="11.7109375" bestFit="1" customWidth="1"/>
    <col min="13" max="13" width="11.7109375" bestFit="1" customWidth="1"/>
  </cols>
  <sheetData>
    <row r="1" spans="1:10" ht="20.25">
      <c r="A1" s="265" t="str">
        <f>COMPS!A1</f>
        <v>XYZ Company</v>
      </c>
      <c r="B1" s="291"/>
      <c r="C1" s="291"/>
      <c r="D1" s="291"/>
      <c r="E1" s="291"/>
      <c r="F1" s="291"/>
      <c r="G1" s="291"/>
      <c r="H1" s="609" t="s">
        <v>453</v>
      </c>
    </row>
    <row r="2" spans="1:10" ht="15.75">
      <c r="A2" s="214" t="s">
        <v>450</v>
      </c>
      <c r="B2" s="36"/>
      <c r="C2" s="36"/>
      <c r="D2" s="36"/>
      <c r="E2" s="36"/>
      <c r="F2" s="36"/>
      <c r="G2" s="36"/>
    </row>
    <row r="3" spans="1:10" ht="15.75">
      <c r="A3" s="214" t="s">
        <v>71</v>
      </c>
      <c r="B3" s="36"/>
      <c r="C3" s="36"/>
      <c r="D3" s="36"/>
      <c r="E3" s="36"/>
      <c r="F3" s="36"/>
      <c r="G3" s="36"/>
    </row>
    <row r="4" spans="1:10" ht="15.75">
      <c r="A4" s="214" t="s">
        <v>94</v>
      </c>
      <c r="B4" s="36"/>
      <c r="C4" s="36"/>
      <c r="D4" s="36"/>
      <c r="E4" s="36"/>
      <c r="F4" s="36"/>
      <c r="G4" s="36"/>
    </row>
    <row r="5" spans="1:10" ht="15.75">
      <c r="A5" s="36"/>
      <c r="B5" s="36"/>
      <c r="C5" s="55" t="s">
        <v>72</v>
      </c>
      <c r="D5" s="55" t="s">
        <v>73</v>
      </c>
      <c r="E5" s="55" t="s">
        <v>74</v>
      </c>
      <c r="F5" s="55" t="s">
        <v>75</v>
      </c>
      <c r="G5" s="55" t="s">
        <v>76</v>
      </c>
    </row>
    <row r="6" spans="1:10">
      <c r="A6" s="99" t="s">
        <v>3</v>
      </c>
      <c r="B6" s="101"/>
      <c r="C6" s="143">
        <f>REVENUE!C16</f>
        <v>1000000</v>
      </c>
      <c r="D6" s="143">
        <f>REVENUE!D16</f>
        <v>5250000</v>
      </c>
      <c r="E6" s="143">
        <f>REVENUE!E16</f>
        <v>9750000</v>
      </c>
      <c r="F6" s="143">
        <f>REVENUE!F16</f>
        <v>16250000</v>
      </c>
      <c r="G6" s="143">
        <f>REVENUE!G16</f>
        <v>26000000</v>
      </c>
    </row>
    <row r="7" spans="1:10">
      <c r="A7" s="99"/>
      <c r="B7" s="101"/>
      <c r="C7" s="401"/>
      <c r="D7" s="401"/>
      <c r="E7" s="401"/>
      <c r="F7" s="401"/>
      <c r="G7" s="401"/>
    </row>
    <row r="8" spans="1:10">
      <c r="A8" s="113" t="str">
        <f>'COST OF REV'!A9</f>
        <v>Cost of Revenue</v>
      </c>
      <c r="B8" s="36">
        <f>'COST OF REV'!B9</f>
        <v>0</v>
      </c>
      <c r="C8" s="149"/>
      <c r="D8" s="149"/>
      <c r="E8" s="149"/>
      <c r="F8" s="149"/>
      <c r="G8" s="149"/>
    </row>
    <row r="9" spans="1:10">
      <c r="A9" s="112" t="s">
        <v>149</v>
      </c>
      <c r="B9" s="36"/>
      <c r="C9" s="115">
        <f>'COST OF REV'!C36</f>
        <v>729750</v>
      </c>
      <c r="D9" s="115">
        <f>'COST OF REV'!D36</f>
        <v>2450450</v>
      </c>
      <c r="E9" s="115">
        <f>'COST OF REV'!E36</f>
        <v>4122000</v>
      </c>
      <c r="F9" s="115">
        <f>'COST OF REV'!F36</f>
        <v>7139000</v>
      </c>
      <c r="G9" s="115">
        <f>'COST OF REV'!G36</f>
        <v>10990000</v>
      </c>
    </row>
    <row r="10" spans="1:10">
      <c r="A10" s="112" t="s">
        <v>148</v>
      </c>
      <c r="B10" s="36"/>
      <c r="C10" s="602">
        <f>'COST OF REV'!C37</f>
        <v>387714.28571428574</v>
      </c>
      <c r="D10" s="602">
        <f>'COST OF REV'!D37</f>
        <v>1081714.2857142857</v>
      </c>
      <c r="E10" s="602">
        <f>'COST OF REV'!E37</f>
        <v>1577428.5714285714</v>
      </c>
      <c r="F10" s="602">
        <f>'COST OF REV'!F37</f>
        <v>2200285.7142857146</v>
      </c>
      <c r="G10" s="602">
        <f>'COST OF REV'!G37</f>
        <v>3043142.8571428573</v>
      </c>
    </row>
    <row r="11" spans="1:10">
      <c r="A11" s="112" t="s">
        <v>150</v>
      </c>
      <c r="B11" s="36"/>
      <c r="C11" s="115">
        <f>'COST OF REV'!C38</f>
        <v>1117464.2857142857</v>
      </c>
      <c r="D11" s="115">
        <f>'COST OF REV'!D38</f>
        <v>3532164.2857142854</v>
      </c>
      <c r="E11" s="115">
        <f>'COST OF REV'!E38</f>
        <v>5699428.5714285709</v>
      </c>
      <c r="F11" s="115">
        <f>'COST OF REV'!F38</f>
        <v>9339285.7142857146</v>
      </c>
      <c r="G11" s="115">
        <f>'COST OF REV'!G38</f>
        <v>14033142.857142858</v>
      </c>
    </row>
    <row r="12" spans="1:10">
      <c r="B12" s="36"/>
      <c r="C12" s="149"/>
      <c r="D12" s="149"/>
      <c r="E12" s="149"/>
      <c r="F12" s="149"/>
      <c r="G12" s="149"/>
    </row>
    <row r="13" spans="1:10">
      <c r="A13" s="113" t="s">
        <v>54</v>
      </c>
      <c r="B13" s="36"/>
      <c r="C13" s="149"/>
      <c r="D13" s="149"/>
      <c r="E13" s="149"/>
      <c r="F13" s="149"/>
      <c r="G13" s="149"/>
    </row>
    <row r="14" spans="1:10">
      <c r="A14" s="112" t="s">
        <v>149</v>
      </c>
      <c r="B14" s="36"/>
      <c r="C14" s="115">
        <f>'OPER EXP'!C45</f>
        <v>160000</v>
      </c>
      <c r="D14" s="115">
        <f>'OPER EXP'!D45</f>
        <v>840000</v>
      </c>
      <c r="E14" s="115">
        <f>'OPER EXP'!E45</f>
        <v>1560000</v>
      </c>
      <c r="F14" s="115">
        <f>'OPER EXP'!F45</f>
        <v>2600000</v>
      </c>
      <c r="G14" s="115">
        <f>'OPER EXP'!G45</f>
        <v>4160000</v>
      </c>
      <c r="I14" s="84"/>
      <c r="J14" s="36"/>
    </row>
    <row r="15" spans="1:10">
      <c r="A15" s="112" t="s">
        <v>148</v>
      </c>
      <c r="B15" s="36"/>
      <c r="C15" s="602">
        <f>'OPER EXP'!C46</f>
        <v>389666.81666666671</v>
      </c>
      <c r="D15" s="602">
        <f>'OPER EXP'!D46</f>
        <v>1035900</v>
      </c>
      <c r="E15" s="602">
        <f>'OPER EXP'!E46</f>
        <v>1738056.6666666667</v>
      </c>
      <c r="F15" s="602">
        <f>'OPER EXP'!F46</f>
        <v>2744933.3333333335</v>
      </c>
      <c r="G15" s="602">
        <f>'OPER EXP'!G46</f>
        <v>4039466.6666666665</v>
      </c>
      <c r="H15" s="79"/>
      <c r="I15" s="117"/>
      <c r="J15" s="36"/>
    </row>
    <row r="16" spans="1:10">
      <c r="A16" s="112" t="s">
        <v>150</v>
      </c>
      <c r="B16" s="36"/>
      <c r="C16" s="115">
        <f>'OPER EXP'!C47</f>
        <v>549666.81666666665</v>
      </c>
      <c r="D16" s="115">
        <f>'OPER EXP'!D47</f>
        <v>1875900</v>
      </c>
      <c r="E16" s="115">
        <f>'OPER EXP'!E47</f>
        <v>3298056.666666667</v>
      </c>
      <c r="F16" s="115">
        <f>'OPER EXP'!F47</f>
        <v>5344933.333333334</v>
      </c>
      <c r="G16" s="115">
        <f>'OPER EXP'!G47</f>
        <v>8199466.666666666</v>
      </c>
    </row>
    <row r="17" spans="1:7">
      <c r="B17" s="36"/>
      <c r="C17" s="149"/>
      <c r="D17" s="149"/>
      <c r="E17" s="149"/>
      <c r="F17" s="149"/>
      <c r="G17" s="149"/>
    </row>
    <row r="18" spans="1:7">
      <c r="A18" s="113" t="s">
        <v>384</v>
      </c>
      <c r="B18" s="36"/>
      <c r="C18" s="149"/>
      <c r="D18" s="149"/>
      <c r="E18" s="149"/>
      <c r="F18" s="149"/>
      <c r="G18" s="149"/>
    </row>
    <row r="19" spans="1:7">
      <c r="A19" s="112" t="s">
        <v>149</v>
      </c>
      <c r="B19" s="36"/>
      <c r="C19" s="116">
        <f t="shared" ref="C19:G20" si="0">C9+C14</f>
        <v>889750</v>
      </c>
      <c r="D19" s="116">
        <f t="shared" si="0"/>
        <v>3290450</v>
      </c>
      <c r="E19" s="116">
        <f t="shared" si="0"/>
        <v>5682000</v>
      </c>
      <c r="F19" s="116">
        <f t="shared" si="0"/>
        <v>9739000</v>
      </c>
      <c r="G19" s="116">
        <f t="shared" si="0"/>
        <v>15150000</v>
      </c>
    </row>
    <row r="20" spans="1:7">
      <c r="A20" s="112" t="s">
        <v>148</v>
      </c>
      <c r="B20" s="36"/>
      <c r="C20" s="603">
        <f t="shared" si="0"/>
        <v>777381.10238095245</v>
      </c>
      <c r="D20" s="603">
        <f t="shared" si="0"/>
        <v>2117614.2857142854</v>
      </c>
      <c r="E20" s="603">
        <f t="shared" si="0"/>
        <v>3315485.2380952379</v>
      </c>
      <c r="F20" s="603">
        <f t="shared" si="0"/>
        <v>4945219.0476190485</v>
      </c>
      <c r="G20" s="603">
        <f t="shared" si="0"/>
        <v>7082609.5238095243</v>
      </c>
    </row>
    <row r="21" spans="1:7">
      <c r="A21" s="112" t="s">
        <v>150</v>
      </c>
      <c r="B21" s="36"/>
      <c r="C21" s="116">
        <f>C19+C20</f>
        <v>1667131.1023809523</v>
      </c>
      <c r="D21" s="116">
        <f>D19+D20</f>
        <v>5408064.2857142854</v>
      </c>
      <c r="E21" s="116">
        <f>E19+E20</f>
        <v>8997485.2380952388</v>
      </c>
      <c r="F21" s="116">
        <f>F19+F20</f>
        <v>14684219.047619049</v>
      </c>
      <c r="G21" s="116">
        <f>G19+G20</f>
        <v>22232609.523809522</v>
      </c>
    </row>
    <row r="22" spans="1:7">
      <c r="A22" s="113"/>
      <c r="B22" s="36"/>
      <c r="C22" s="149"/>
      <c r="D22" s="149"/>
      <c r="E22" s="149"/>
      <c r="F22" s="149"/>
      <c r="G22" s="149"/>
    </row>
    <row r="23" spans="1:7">
      <c r="A23" s="113" t="s">
        <v>394</v>
      </c>
      <c r="B23" s="36"/>
      <c r="C23" s="538">
        <f>C19/C6</f>
        <v>0.88975000000000004</v>
      </c>
      <c r="D23" s="538">
        <f>D19/D6</f>
        <v>0.62675238095238095</v>
      </c>
      <c r="E23" s="538">
        <f>E19/E6</f>
        <v>0.58276923076923082</v>
      </c>
      <c r="F23" s="538">
        <f>F19/F6</f>
        <v>0.59932307692307696</v>
      </c>
      <c r="G23" s="538">
        <f>G19/G6</f>
        <v>0.58269230769230773</v>
      </c>
    </row>
    <row r="24" spans="1:7">
      <c r="A24" s="36"/>
      <c r="B24" s="36"/>
      <c r="C24" s="149"/>
      <c r="D24" s="149"/>
      <c r="E24" s="149"/>
      <c r="F24" s="149"/>
      <c r="G24" s="149"/>
    </row>
    <row r="25" spans="1:7">
      <c r="A25" s="72" t="s">
        <v>139</v>
      </c>
      <c r="C25" s="82">
        <f>C20/(1-C19/C6)</f>
        <v>7051075.7585573941</v>
      </c>
      <c r="D25" s="82">
        <f>D20/(1-D19/D6)</f>
        <v>5673483.7079941817</v>
      </c>
      <c r="E25" s="82">
        <f>E20/(1-E19/E6)</f>
        <v>7946406.3597415369</v>
      </c>
      <c r="F25" s="82">
        <f>F20/(1-F19/F6)</f>
        <v>12342160.885241829</v>
      </c>
      <c r="G25" s="82">
        <f>G20/(1-G19/G6)</f>
        <v>16972151.854290105</v>
      </c>
    </row>
    <row r="26" spans="1:7">
      <c r="A26" s="596"/>
      <c r="B26" s="103"/>
      <c r="C26" s="401"/>
      <c r="D26" s="401"/>
      <c r="E26" s="401"/>
      <c r="F26" s="401"/>
      <c r="G26" s="401"/>
    </row>
    <row r="27" spans="1:7">
      <c r="A27" s="596"/>
      <c r="B27" s="103"/>
      <c r="C27" s="401"/>
      <c r="D27" s="401"/>
      <c r="E27" s="401"/>
      <c r="F27" s="401"/>
      <c r="G27" s="401"/>
    </row>
    <row r="28" spans="1:7">
      <c r="A28" s="453"/>
      <c r="B28" s="36"/>
      <c r="C28" s="149"/>
      <c r="D28" s="149"/>
      <c r="E28" s="149"/>
      <c r="F28" s="149"/>
      <c r="G28" s="149"/>
    </row>
    <row r="29" spans="1:7">
      <c r="A29" s="453"/>
      <c r="C29" s="29"/>
      <c r="D29" s="29"/>
      <c r="E29" s="29"/>
      <c r="F29" s="29"/>
      <c r="G29" s="29"/>
    </row>
    <row r="30" spans="1:7">
      <c r="C30" s="29"/>
      <c r="D30" s="29"/>
      <c r="E30" s="29"/>
      <c r="F30" s="29"/>
      <c r="G30" s="29"/>
    </row>
    <row r="31" spans="1:7">
      <c r="C31" s="29"/>
      <c r="D31" s="29"/>
      <c r="E31" s="29"/>
      <c r="F31" s="29"/>
      <c r="G31" s="29"/>
    </row>
    <row r="34" spans="1:13">
      <c r="A34" s="72"/>
    </row>
    <row r="35" spans="1:13">
      <c r="K35" s="540"/>
      <c r="M35" s="540"/>
    </row>
    <row r="36" spans="1:13">
      <c r="A36" s="453"/>
      <c r="C36" s="29"/>
      <c r="D36" s="29"/>
      <c r="E36" s="29"/>
      <c r="F36" s="29"/>
      <c r="G36" s="29"/>
      <c r="K36" s="540"/>
      <c r="M36" s="540"/>
    </row>
    <row r="37" spans="1:13">
      <c r="C37" s="29"/>
      <c r="D37" s="29"/>
      <c r="E37" s="29"/>
      <c r="F37" s="29"/>
      <c r="G37" s="29"/>
      <c r="K37" s="540"/>
      <c r="M37" s="540"/>
    </row>
    <row r="38" spans="1:13">
      <c r="C38" s="29"/>
      <c r="D38" s="29"/>
      <c r="E38" s="29"/>
      <c r="F38" s="29"/>
      <c r="G38" s="539"/>
      <c r="K38" s="540"/>
      <c r="M38" s="540"/>
    </row>
    <row r="39" spans="1:13">
      <c r="C39" s="29"/>
      <c r="D39" s="29"/>
      <c r="E39" s="29"/>
      <c r="F39" s="29"/>
      <c r="G39" s="29"/>
      <c r="K39" s="540"/>
      <c r="M39" s="540"/>
    </row>
  </sheetData>
  <phoneticPr fontId="0" type="noConversion"/>
  <pageMargins left="0.75" right="0.75" top="1" bottom="1" header="0.5" footer="0.5"/>
  <pageSetup orientation="landscape" horizontalDpi="300" verticalDpi="300" r:id="rId1"/>
  <headerFooter alignWithMargins="0">
    <oddHeader>&amp;R&amp;D
&amp;T</oddHeader>
  </headerFooter>
  <colBreaks count="1" manualBreakCount="1">
    <brk id="8"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pageSetUpPr fitToPage="1"/>
  </sheetPr>
  <dimension ref="A1:T175"/>
  <sheetViews>
    <sheetView view="pageBreakPreview" zoomScale="60" zoomScaleNormal="50" workbookViewId="0">
      <selection activeCell="C1" sqref="C1"/>
    </sheetView>
  </sheetViews>
  <sheetFormatPr defaultColWidth="8.7109375" defaultRowHeight="12.75"/>
  <cols>
    <col min="1" max="1" width="48" style="2" customWidth="1"/>
    <col min="2" max="2" width="3.28515625" style="2" hidden="1" customWidth="1"/>
    <col min="3" max="4" width="12.28515625" style="2" customWidth="1"/>
    <col min="5" max="8" width="12" style="2" customWidth="1"/>
    <col min="9" max="9" width="11.5703125" style="2" customWidth="1"/>
    <col min="10" max="10" width="10.85546875" style="2" customWidth="1"/>
    <col min="11" max="11" width="11.5703125" style="2" customWidth="1"/>
    <col min="12" max="12" width="12.42578125" style="2" customWidth="1"/>
    <col min="13" max="14" width="11.28515625" style="2" customWidth="1"/>
    <col min="15" max="15" width="12.85546875" style="2" customWidth="1"/>
    <col min="16" max="16" width="12" style="2" customWidth="1"/>
    <col min="17" max="17" width="11.28515625" style="2" customWidth="1"/>
    <col min="18" max="20" width="13.7109375" style="2" bestFit="1" customWidth="1"/>
    <col min="21" max="16384" width="8.7109375" style="2"/>
  </cols>
  <sheetData>
    <row r="1" spans="1:16" ht="20.25">
      <c r="A1" s="228" t="str">
        <f>COMPS!A1</f>
        <v>XYZ Company</v>
      </c>
      <c r="B1" s="229"/>
    </row>
    <row r="2" spans="1:16" s="226" customFormat="1" ht="15.75">
      <c r="A2" s="223" t="s">
        <v>252</v>
      </c>
      <c r="B2" s="224"/>
    </row>
    <row r="3" spans="1:16" s="226" customFormat="1" ht="15.75">
      <c r="A3" s="345" t="s">
        <v>253</v>
      </c>
      <c r="B3" s="224"/>
    </row>
    <row r="4" spans="1:16" s="226" customFormat="1" ht="15.75">
      <c r="A4" s="227" t="s">
        <v>94</v>
      </c>
      <c r="B4" s="224"/>
    </row>
    <row r="5" spans="1:16" ht="15.75">
      <c r="A5" s="227"/>
      <c r="B5" s="224"/>
      <c r="C5" s="226"/>
      <c r="D5" s="226"/>
      <c r="E5" s="226"/>
      <c r="F5" s="226"/>
      <c r="G5" s="226"/>
      <c r="H5" s="226"/>
      <c r="I5" s="226"/>
      <c r="J5" s="226"/>
      <c r="K5" s="226"/>
      <c r="L5" s="226"/>
      <c r="M5" s="226"/>
      <c r="N5" s="226"/>
      <c r="O5" s="226"/>
      <c r="P5" s="226"/>
    </row>
    <row r="6" spans="1:16" ht="20.25">
      <c r="A6" s="353" t="str">
        <f>A1</f>
        <v>XYZ Company</v>
      </c>
      <c r="B6" s="224"/>
      <c r="C6" s="226"/>
      <c r="D6" s="226"/>
      <c r="E6" s="226"/>
      <c r="F6" s="226"/>
      <c r="G6" s="226"/>
      <c r="H6" s="226"/>
      <c r="I6" s="226"/>
      <c r="J6" s="226"/>
      <c r="K6" s="226"/>
      <c r="L6" s="226"/>
      <c r="M6" s="226"/>
      <c r="N6" s="226"/>
      <c r="O6" s="226"/>
      <c r="P6" s="226"/>
    </row>
    <row r="7" spans="1:16" ht="15.75">
      <c r="A7" s="227" t="s">
        <v>6</v>
      </c>
      <c r="B7" s="224"/>
      <c r="C7" s="226"/>
      <c r="D7" s="226"/>
      <c r="E7" s="226"/>
      <c r="F7" s="226"/>
      <c r="G7" s="226"/>
      <c r="H7" s="226"/>
      <c r="I7" s="226"/>
      <c r="J7" s="226"/>
      <c r="K7" s="226"/>
      <c r="L7" s="226"/>
      <c r="M7" s="226"/>
      <c r="N7" s="226"/>
      <c r="O7" s="295"/>
      <c r="P7" s="348" t="s">
        <v>72</v>
      </c>
    </row>
    <row r="8" spans="1:16" ht="15.75">
      <c r="A8" s="223" t="s">
        <v>170</v>
      </c>
      <c r="B8" s="224"/>
      <c r="C8" s="226"/>
      <c r="D8" s="226"/>
      <c r="E8" s="226"/>
      <c r="F8" s="226"/>
      <c r="G8" s="226"/>
      <c r="H8" s="226"/>
      <c r="I8" s="226"/>
      <c r="J8" s="226"/>
      <c r="K8" s="226"/>
      <c r="L8" s="226"/>
      <c r="M8" s="226"/>
      <c r="N8" s="226"/>
      <c r="O8" s="348" t="s">
        <v>185</v>
      </c>
      <c r="P8" s="348" t="s">
        <v>251</v>
      </c>
    </row>
    <row r="9" spans="1:16" ht="15.75">
      <c r="B9" s="123"/>
      <c r="C9" s="352" t="s">
        <v>172</v>
      </c>
      <c r="D9" s="352" t="s">
        <v>173</v>
      </c>
      <c r="E9" s="352" t="s">
        <v>174</v>
      </c>
      <c r="F9" s="352" t="s">
        <v>175</v>
      </c>
      <c r="G9" s="352" t="s">
        <v>176</v>
      </c>
      <c r="H9" s="352" t="s">
        <v>177</v>
      </c>
      <c r="I9" s="352" t="s">
        <v>178</v>
      </c>
      <c r="J9" s="352" t="s">
        <v>179</v>
      </c>
      <c r="K9" s="352" t="s">
        <v>180</v>
      </c>
      <c r="L9" s="352" t="s">
        <v>181</v>
      </c>
      <c r="M9" s="352" t="s">
        <v>182</v>
      </c>
      <c r="N9" s="352" t="s">
        <v>183</v>
      </c>
      <c r="O9" s="352" t="s">
        <v>263</v>
      </c>
      <c r="P9" s="352" t="s">
        <v>264</v>
      </c>
    </row>
    <row r="10" spans="1:16" ht="15">
      <c r="A10" s="47"/>
      <c r="B10" s="123"/>
      <c r="C10" s="224"/>
      <c r="D10" s="224"/>
      <c r="E10" s="224"/>
      <c r="F10" s="224"/>
      <c r="G10" s="224"/>
      <c r="H10" s="224"/>
      <c r="I10" s="224"/>
      <c r="J10" s="224"/>
      <c r="K10" s="224"/>
      <c r="L10" s="224"/>
      <c r="M10" s="224"/>
      <c r="N10" s="224"/>
      <c r="O10" s="224"/>
      <c r="P10" s="224"/>
    </row>
    <row r="11" spans="1:16">
      <c r="A11" s="53" t="s">
        <v>159</v>
      </c>
      <c r="B11" s="125"/>
      <c r="C11" s="129">
        <f>REVENUE!C22</f>
        <v>0</v>
      </c>
      <c r="D11" s="129">
        <f>REVENUE!C23</f>
        <v>0</v>
      </c>
      <c r="E11" s="129">
        <f>REVENUE!C24</f>
        <v>0</v>
      </c>
      <c r="F11" s="129">
        <f>REVENUE!C26</f>
        <v>50000</v>
      </c>
      <c r="G11" s="129">
        <f>REVENUE!C27</f>
        <v>80000</v>
      </c>
      <c r="H11" s="129">
        <f>REVENUE!C28</f>
        <v>100000</v>
      </c>
      <c r="I11" s="129">
        <f>REVENUE!C30</f>
        <v>100000</v>
      </c>
      <c r="J11" s="129">
        <f>REVENUE!C31</f>
        <v>120000</v>
      </c>
      <c r="K11" s="129">
        <f>REVENUE!C32</f>
        <v>150000</v>
      </c>
      <c r="L11" s="129">
        <f>REVENUE!C34</f>
        <v>120000</v>
      </c>
      <c r="M11" s="129">
        <f>REVENUE!C35</f>
        <v>130000</v>
      </c>
      <c r="N11" s="129">
        <f>REVENUE!C36</f>
        <v>150000</v>
      </c>
      <c r="O11" s="278">
        <f>SUM(C11:N11)</f>
        <v>1000000</v>
      </c>
      <c r="P11" s="129">
        <f>INCOME!C7</f>
        <v>1000000</v>
      </c>
    </row>
    <row r="12" spans="1:16">
      <c r="A12" s="47"/>
      <c r="B12" s="125"/>
      <c r="C12" s="125"/>
      <c r="D12" s="125"/>
      <c r="E12" s="125"/>
      <c r="F12" s="125"/>
      <c r="G12" s="125"/>
      <c r="H12" s="125"/>
      <c r="I12" s="125"/>
      <c r="J12" s="125"/>
      <c r="K12" s="125"/>
      <c r="L12" s="125"/>
      <c r="M12" s="125"/>
      <c r="N12" s="125"/>
      <c r="O12" s="125"/>
      <c r="P12" s="129"/>
    </row>
    <row r="13" spans="1:16">
      <c r="A13" s="53" t="s">
        <v>234</v>
      </c>
      <c r="B13" s="31"/>
      <c r="C13" s="127">
        <f>'COST OF REV'!$C$33*'INCOME-MOS'!C11</f>
        <v>0</v>
      </c>
      <c r="D13" s="127">
        <f>'COST OF REV'!$C$33*'INCOME-MOS'!D11</f>
        <v>0</v>
      </c>
      <c r="E13" s="127">
        <f>'COST OF REV'!$C$33*'INCOME-MOS'!E11</f>
        <v>0</v>
      </c>
      <c r="F13" s="127">
        <f>'COST OF REV'!$C$33*'INCOME-MOS'!F11</f>
        <v>55873.214285714275</v>
      </c>
      <c r="G13" s="127">
        <f>'COST OF REV'!$C$33*'INCOME-MOS'!G11</f>
        <v>89397.142857142841</v>
      </c>
      <c r="H13" s="127">
        <f>'COST OF REV'!$C$33*'INCOME-MOS'!H11</f>
        <v>111746.42857142855</v>
      </c>
      <c r="I13" s="127">
        <f>'COST OF REV'!$C$33*'INCOME-MOS'!I11</f>
        <v>111746.42857142855</v>
      </c>
      <c r="J13" s="127">
        <f>'COST OF REV'!$C$33*'INCOME-MOS'!J11</f>
        <v>134095.71428571426</v>
      </c>
      <c r="K13" s="127">
        <f>'COST OF REV'!$C$33*'INCOME-MOS'!K11</f>
        <v>167619.64285714284</v>
      </c>
      <c r="L13" s="127">
        <f>'COST OF REV'!$C$33*'INCOME-MOS'!L11</f>
        <v>134095.71428571426</v>
      </c>
      <c r="M13" s="127">
        <f>'COST OF REV'!$C$33*'INCOME-MOS'!M11</f>
        <v>145270.35714285713</v>
      </c>
      <c r="N13" s="127">
        <f>'COST OF REV'!$C$33*'INCOME-MOS'!N11</f>
        <v>167619.64285714284</v>
      </c>
      <c r="O13" s="297">
        <f>SUM(C13:N13)</f>
        <v>1117464.2857142857</v>
      </c>
      <c r="P13" s="127">
        <f>INCOME!C9</f>
        <v>1117464.2857142857</v>
      </c>
    </row>
    <row r="14" spans="1:16">
      <c r="A14" s="47"/>
      <c r="B14" s="31"/>
      <c r="C14" s="125"/>
      <c r="D14" s="125"/>
      <c r="E14" s="125"/>
      <c r="F14" s="125"/>
      <c r="G14" s="125"/>
      <c r="H14" s="125"/>
      <c r="I14" s="125"/>
      <c r="J14" s="125"/>
      <c r="K14" s="125"/>
      <c r="L14" s="125"/>
      <c r="M14" s="125"/>
      <c r="N14" s="125"/>
      <c r="O14" s="125"/>
      <c r="P14" s="373"/>
    </row>
    <row r="15" spans="1:16">
      <c r="A15" s="53" t="s">
        <v>160</v>
      </c>
      <c r="B15" s="125"/>
      <c r="C15" s="278">
        <f>C11-C13</f>
        <v>0</v>
      </c>
      <c r="D15" s="278">
        <f>D11-D13</f>
        <v>0</v>
      </c>
      <c r="E15" s="278">
        <f t="shared" ref="E15:N15" si="0">E11-E13</f>
        <v>0</v>
      </c>
      <c r="F15" s="278">
        <f t="shared" si="0"/>
        <v>-5873.2142857142753</v>
      </c>
      <c r="G15" s="278">
        <f t="shared" si="0"/>
        <v>-9397.1428571428405</v>
      </c>
      <c r="H15" s="278">
        <f t="shared" si="0"/>
        <v>-11746.428571428551</v>
      </c>
      <c r="I15" s="278">
        <f t="shared" si="0"/>
        <v>-11746.428571428551</v>
      </c>
      <c r="J15" s="278">
        <f t="shared" si="0"/>
        <v>-14095.714285714261</v>
      </c>
      <c r="K15" s="278">
        <f t="shared" si="0"/>
        <v>-17619.642857142841</v>
      </c>
      <c r="L15" s="278">
        <f t="shared" si="0"/>
        <v>-14095.714285714261</v>
      </c>
      <c r="M15" s="278">
        <f t="shared" si="0"/>
        <v>-15270.35714285713</v>
      </c>
      <c r="N15" s="278">
        <f t="shared" si="0"/>
        <v>-17619.642857142841</v>
      </c>
      <c r="O15" s="278">
        <f>SUM(C15:N15)</f>
        <v>-117464.28571428555</v>
      </c>
      <c r="P15" s="129">
        <f>INCOME!C12</f>
        <v>-117464.28571428568</v>
      </c>
    </row>
    <row r="16" spans="1:16">
      <c r="A16" s="47"/>
      <c r="B16" s="125"/>
      <c r="C16" s="125"/>
      <c r="D16" s="125"/>
      <c r="E16" s="125"/>
      <c r="F16" s="125"/>
      <c r="G16" s="125"/>
      <c r="H16" s="125"/>
      <c r="I16" s="125"/>
      <c r="J16" s="125"/>
      <c r="K16" s="125"/>
      <c r="L16" s="125"/>
      <c r="M16" s="125"/>
      <c r="N16" s="125"/>
      <c r="O16" s="125"/>
      <c r="P16" s="129"/>
    </row>
    <row r="17" spans="1:16">
      <c r="A17" s="53" t="s">
        <v>8</v>
      </c>
      <c r="B17" s="125"/>
      <c r="C17" s="125"/>
      <c r="D17" s="125"/>
      <c r="E17" s="125"/>
      <c r="F17" s="125"/>
      <c r="G17" s="125"/>
      <c r="H17" s="125"/>
      <c r="I17" s="125"/>
      <c r="J17" s="125"/>
      <c r="K17" s="125"/>
      <c r="L17" s="125"/>
      <c r="M17" s="125"/>
      <c r="N17" s="125"/>
      <c r="O17" s="125"/>
      <c r="P17" s="129"/>
    </row>
    <row r="18" spans="1:16">
      <c r="A18" s="47" t="s">
        <v>92</v>
      </c>
      <c r="B18" s="125"/>
      <c r="C18" s="129">
        <f>'OPER EXP'!C53</f>
        <v>0</v>
      </c>
      <c r="D18" s="129">
        <f>'OPER EXP'!C54</f>
        <v>0</v>
      </c>
      <c r="E18" s="129">
        <f>'OPER EXP'!C55</f>
        <v>0</v>
      </c>
      <c r="F18" s="129">
        <f>'OPER EXP'!C57</f>
        <v>11450</v>
      </c>
      <c r="G18" s="129">
        <f>'OPER EXP'!C58</f>
        <v>18320</v>
      </c>
      <c r="H18" s="129">
        <f>'OPER EXP'!C59</f>
        <v>22900</v>
      </c>
      <c r="I18" s="129">
        <f>'OPER EXP'!C61</f>
        <v>22900</v>
      </c>
      <c r="J18" s="129">
        <f>'OPER EXP'!C62</f>
        <v>27480</v>
      </c>
      <c r="K18" s="129">
        <f>'OPER EXP'!C63</f>
        <v>34350</v>
      </c>
      <c r="L18" s="129">
        <f>'OPER EXP'!C65</f>
        <v>27480</v>
      </c>
      <c r="M18" s="129">
        <f>'OPER EXP'!C66</f>
        <v>29770</v>
      </c>
      <c r="N18" s="129">
        <f>'OPER EXP'!C67</f>
        <v>34350</v>
      </c>
      <c r="O18" s="278">
        <f>SUM(C18:N18)</f>
        <v>229000</v>
      </c>
      <c r="P18" s="129">
        <f>INCOME!C16</f>
        <v>229000</v>
      </c>
    </row>
    <row r="19" spans="1:16">
      <c r="A19" s="130" t="s">
        <v>91</v>
      </c>
      <c r="B19" s="125"/>
      <c r="C19" s="129">
        <f>'OPER EXP'!C75</f>
        <v>0</v>
      </c>
      <c r="D19" s="129">
        <f>'OPER EXP'!C76</f>
        <v>0</v>
      </c>
      <c r="E19" s="129">
        <f>'OPER EXP'!C77</f>
        <v>0</v>
      </c>
      <c r="F19" s="129">
        <f>'OPER EXP'!C79</f>
        <v>7450</v>
      </c>
      <c r="G19" s="129">
        <f>'OPER EXP'!C80</f>
        <v>11920</v>
      </c>
      <c r="H19" s="129">
        <f>'OPER EXP'!C81</f>
        <v>14900</v>
      </c>
      <c r="I19" s="129">
        <f>'OPER EXP'!C83</f>
        <v>14900</v>
      </c>
      <c r="J19" s="129">
        <f>'OPER EXP'!C84</f>
        <v>17880</v>
      </c>
      <c r="K19" s="129">
        <f>'OPER EXP'!C85</f>
        <v>22350</v>
      </c>
      <c r="L19" s="129">
        <f>'OPER EXP'!C87</f>
        <v>17880</v>
      </c>
      <c r="M19" s="129">
        <f>'OPER EXP'!C88</f>
        <v>19370</v>
      </c>
      <c r="N19" s="129">
        <f>'OPER EXP'!C89</f>
        <v>22350</v>
      </c>
      <c r="O19" s="278">
        <f>SUM(C19:N19)</f>
        <v>149000</v>
      </c>
      <c r="P19" s="129">
        <f>INCOME!C17</f>
        <v>149000</v>
      </c>
    </row>
    <row r="20" spans="1:16">
      <c r="A20" s="47" t="s">
        <v>9</v>
      </c>
      <c r="B20" s="125"/>
      <c r="C20" s="127">
        <f>'OPER EXP'!C97</f>
        <v>0</v>
      </c>
      <c r="D20" s="127">
        <f>'OPER EXP'!C98</f>
        <v>0</v>
      </c>
      <c r="E20" s="127">
        <f>'OPER EXP'!C99</f>
        <v>0</v>
      </c>
      <c r="F20" s="127">
        <f>'OPER EXP'!C101</f>
        <v>8583.3408333333318</v>
      </c>
      <c r="G20" s="127">
        <f>'OPER EXP'!C102</f>
        <v>13733.345333333331</v>
      </c>
      <c r="H20" s="127">
        <f>'OPER EXP'!C103</f>
        <v>17166.681666666664</v>
      </c>
      <c r="I20" s="127">
        <f>'OPER EXP'!C105</f>
        <v>17166.681666666664</v>
      </c>
      <c r="J20" s="127">
        <f>'OPER EXP'!C106</f>
        <v>20600.017999999996</v>
      </c>
      <c r="K20" s="127">
        <f>'OPER EXP'!C107</f>
        <v>25750.022499999995</v>
      </c>
      <c r="L20" s="127">
        <f>'OPER EXP'!C109</f>
        <v>20600.017999999996</v>
      </c>
      <c r="M20" s="127">
        <f>'OPER EXP'!C110</f>
        <v>22316.686166666663</v>
      </c>
      <c r="N20" s="127">
        <f>'OPER EXP'!C111</f>
        <v>25750.022499999995</v>
      </c>
      <c r="O20" s="297">
        <f>SUM(C20:N20)</f>
        <v>171666.81666666662</v>
      </c>
      <c r="P20" s="127">
        <f>INCOME!C18</f>
        <v>171666.81666666665</v>
      </c>
    </row>
    <row r="21" spans="1:16">
      <c r="A21" s="47" t="s">
        <v>10</v>
      </c>
      <c r="B21" s="125"/>
      <c r="C21" s="278">
        <f>SUM(C18:C20)</f>
        <v>0</v>
      </c>
      <c r="D21" s="278">
        <f t="shared" ref="D21:N21" si="1">SUM(D18:D20)</f>
        <v>0</v>
      </c>
      <c r="E21" s="278">
        <f t="shared" si="1"/>
        <v>0</v>
      </c>
      <c r="F21" s="278">
        <f t="shared" si="1"/>
        <v>27483.340833333332</v>
      </c>
      <c r="G21" s="278">
        <f t="shared" si="1"/>
        <v>43973.345333333331</v>
      </c>
      <c r="H21" s="278">
        <f t="shared" si="1"/>
        <v>54966.681666666664</v>
      </c>
      <c r="I21" s="278">
        <f t="shared" si="1"/>
        <v>54966.681666666664</v>
      </c>
      <c r="J21" s="278">
        <f t="shared" si="1"/>
        <v>65960.017999999996</v>
      </c>
      <c r="K21" s="278">
        <f t="shared" si="1"/>
        <v>82450.022499999992</v>
      </c>
      <c r="L21" s="278">
        <f t="shared" si="1"/>
        <v>65960.017999999996</v>
      </c>
      <c r="M21" s="278">
        <f t="shared" si="1"/>
        <v>71456.686166666666</v>
      </c>
      <c r="N21" s="278">
        <f t="shared" si="1"/>
        <v>82450.022499999992</v>
      </c>
      <c r="O21" s="278">
        <f>SUM(C21:N21)</f>
        <v>549666.81666666665</v>
      </c>
      <c r="P21" s="129">
        <f>INCOME!C19</f>
        <v>549666.81666666665</v>
      </c>
    </row>
    <row r="22" spans="1:16">
      <c r="A22" s="47"/>
      <c r="B22" s="31"/>
      <c r="C22" s="298"/>
      <c r="D22" s="298"/>
      <c r="E22" s="298"/>
      <c r="F22" s="298"/>
      <c r="G22" s="298"/>
      <c r="H22" s="298"/>
      <c r="I22" s="298"/>
      <c r="J22" s="298"/>
      <c r="K22" s="298"/>
      <c r="L22" s="298"/>
      <c r="M22" s="298"/>
      <c r="N22" s="298"/>
      <c r="O22" s="298"/>
      <c r="P22" s="127"/>
    </row>
    <row r="23" spans="1:16">
      <c r="A23" s="53" t="s">
        <v>11</v>
      </c>
      <c r="B23" s="31"/>
      <c r="C23" s="278">
        <f t="shared" ref="C23:N23" si="2">C15-C21</f>
        <v>0</v>
      </c>
      <c r="D23" s="278">
        <f t="shared" si="2"/>
        <v>0</v>
      </c>
      <c r="E23" s="278">
        <f t="shared" si="2"/>
        <v>0</v>
      </c>
      <c r="F23" s="278">
        <f t="shared" si="2"/>
        <v>-33356.555119047611</v>
      </c>
      <c r="G23" s="278">
        <f t="shared" si="2"/>
        <v>-53370.488190476171</v>
      </c>
      <c r="H23" s="278">
        <f t="shared" si="2"/>
        <v>-66713.110238095222</v>
      </c>
      <c r="I23" s="278">
        <f t="shared" si="2"/>
        <v>-66713.110238095222</v>
      </c>
      <c r="J23" s="278">
        <f t="shared" si="2"/>
        <v>-80055.732285714257</v>
      </c>
      <c r="K23" s="278">
        <f t="shared" si="2"/>
        <v>-100069.66535714283</v>
      </c>
      <c r="L23" s="278">
        <f t="shared" si="2"/>
        <v>-80055.732285714257</v>
      </c>
      <c r="M23" s="278">
        <f t="shared" si="2"/>
        <v>-86727.043309523797</v>
      </c>
      <c r="N23" s="278">
        <f t="shared" si="2"/>
        <v>-100069.66535714283</v>
      </c>
      <c r="O23" s="278">
        <f>SUM(C23:N23)</f>
        <v>-667131.10238095222</v>
      </c>
      <c r="P23" s="129">
        <f>INCOME!C22</f>
        <v>-667131.10238095233</v>
      </c>
    </row>
    <row r="24" spans="1:16">
      <c r="A24" s="47"/>
      <c r="B24" s="31"/>
      <c r="C24" s="125"/>
      <c r="D24" s="125"/>
      <c r="E24" s="125"/>
      <c r="F24" s="125"/>
      <c r="G24" s="125"/>
      <c r="H24" s="125"/>
      <c r="I24" s="125"/>
      <c r="J24" s="125"/>
      <c r="K24" s="125"/>
      <c r="L24" s="125"/>
      <c r="M24" s="125"/>
      <c r="N24" s="125"/>
      <c r="O24" s="125"/>
      <c r="P24" s="129"/>
    </row>
    <row r="25" spans="1:16">
      <c r="A25" s="53" t="s">
        <v>12</v>
      </c>
      <c r="B25" s="31"/>
      <c r="C25" s="129">
        <f>EXTRA!C24</f>
        <v>-25000</v>
      </c>
      <c r="D25" s="129">
        <f>EXTRA!C25</f>
        <v>-20000</v>
      </c>
      <c r="E25" s="129">
        <f>EXTRA!C26</f>
        <v>0</v>
      </c>
      <c r="F25" s="129">
        <f>EXTRA!C28</f>
        <v>0</v>
      </c>
      <c r="G25" s="129">
        <f>EXTRA!C29</f>
        <v>0</v>
      </c>
      <c r="H25" s="129">
        <f>EXTRA!C30</f>
        <v>0</v>
      </c>
      <c r="I25" s="129">
        <f>EXTRA!C32</f>
        <v>0</v>
      </c>
      <c r="J25" s="129">
        <f>EXTRA!C33</f>
        <v>0</v>
      </c>
      <c r="K25" s="129">
        <f>EXTRA!C34</f>
        <v>0</v>
      </c>
      <c r="L25" s="129">
        <f>EXTRA!C36</f>
        <v>0</v>
      </c>
      <c r="M25" s="129">
        <f>EXTRA!C37</f>
        <v>0</v>
      </c>
      <c r="N25" s="129">
        <f>EXTRA!C38</f>
        <v>0</v>
      </c>
      <c r="O25" s="278">
        <f>SUM(C25:N25)</f>
        <v>-45000</v>
      </c>
      <c r="P25" s="129">
        <f>INCOME!C24</f>
        <v>-45000</v>
      </c>
    </row>
    <row r="26" spans="1:16">
      <c r="A26" s="47"/>
      <c r="B26" s="132"/>
      <c r="C26" s="298"/>
      <c r="D26" s="298"/>
      <c r="E26" s="298"/>
      <c r="F26" s="298"/>
      <c r="G26" s="298"/>
      <c r="H26" s="298"/>
      <c r="I26" s="298"/>
      <c r="J26" s="298"/>
      <c r="K26" s="298"/>
      <c r="L26" s="298"/>
      <c r="M26" s="298"/>
      <c r="N26" s="298"/>
      <c r="O26" s="298"/>
      <c r="P26" s="127"/>
    </row>
    <row r="27" spans="1:16">
      <c r="A27" s="53" t="s">
        <v>13</v>
      </c>
      <c r="B27" s="31"/>
      <c r="C27" s="278">
        <f>C23+C25</f>
        <v>-25000</v>
      </c>
      <c r="D27" s="278">
        <f t="shared" ref="D27:N27" si="3">D23+D25</f>
        <v>-20000</v>
      </c>
      <c r="E27" s="278">
        <f t="shared" si="3"/>
        <v>0</v>
      </c>
      <c r="F27" s="278">
        <f t="shared" si="3"/>
        <v>-33356.555119047611</v>
      </c>
      <c r="G27" s="278">
        <f t="shared" si="3"/>
        <v>-53370.488190476171</v>
      </c>
      <c r="H27" s="278">
        <f t="shared" si="3"/>
        <v>-66713.110238095222</v>
      </c>
      <c r="I27" s="278">
        <f t="shared" si="3"/>
        <v>-66713.110238095222</v>
      </c>
      <c r="J27" s="278">
        <f t="shared" si="3"/>
        <v>-80055.732285714257</v>
      </c>
      <c r="K27" s="278">
        <f t="shared" si="3"/>
        <v>-100069.66535714283</v>
      </c>
      <c r="L27" s="278">
        <f t="shared" si="3"/>
        <v>-80055.732285714257</v>
      </c>
      <c r="M27" s="278">
        <f t="shared" si="3"/>
        <v>-86727.043309523797</v>
      </c>
      <c r="N27" s="278">
        <f t="shared" si="3"/>
        <v>-100069.66535714283</v>
      </c>
      <c r="O27" s="278">
        <f>SUM(C27:N27)</f>
        <v>-712131.10238095222</v>
      </c>
      <c r="P27" s="129">
        <f>INCOME!C26</f>
        <v>-712131.10238095233</v>
      </c>
    </row>
    <row r="28" spans="1:16">
      <c r="P28" s="129"/>
    </row>
    <row r="29" spans="1:16">
      <c r="A29" s="53" t="s">
        <v>116</v>
      </c>
      <c r="B29" s="31"/>
      <c r="C29" s="278">
        <f t="shared" ref="C29:N29" si="4">$D$120</f>
        <v>0</v>
      </c>
      <c r="D29" s="278">
        <f t="shared" si="4"/>
        <v>0</v>
      </c>
      <c r="E29" s="278">
        <f t="shared" si="4"/>
        <v>0</v>
      </c>
      <c r="F29" s="278">
        <f t="shared" si="4"/>
        <v>0</v>
      </c>
      <c r="G29" s="278">
        <f t="shared" si="4"/>
        <v>0</v>
      </c>
      <c r="H29" s="278">
        <f t="shared" si="4"/>
        <v>0</v>
      </c>
      <c r="I29" s="278">
        <f t="shared" si="4"/>
        <v>0</v>
      </c>
      <c r="J29" s="278">
        <f t="shared" si="4"/>
        <v>0</v>
      </c>
      <c r="K29" s="278">
        <f t="shared" si="4"/>
        <v>0</v>
      </c>
      <c r="L29" s="278">
        <f t="shared" si="4"/>
        <v>0</v>
      </c>
      <c r="M29" s="278">
        <f t="shared" si="4"/>
        <v>0</v>
      </c>
      <c r="N29" s="278">
        <f t="shared" si="4"/>
        <v>0</v>
      </c>
      <c r="O29" s="278">
        <f>SUM(C29:N29)</f>
        <v>0</v>
      </c>
      <c r="P29" s="129">
        <f>INCOME!C28</f>
        <v>0</v>
      </c>
    </row>
    <row r="30" spans="1:16">
      <c r="A30" s="47"/>
      <c r="B30" s="132"/>
      <c r="C30" s="125"/>
      <c r="D30" s="125"/>
      <c r="E30" s="125"/>
      <c r="F30" s="125"/>
      <c r="G30" s="125"/>
      <c r="H30" s="125"/>
      <c r="I30" s="125"/>
      <c r="J30" s="125"/>
      <c r="K30" s="125"/>
      <c r="L30" s="125"/>
      <c r="M30" s="125"/>
      <c r="N30" s="125"/>
      <c r="O30" s="125"/>
      <c r="P30" s="129"/>
    </row>
    <row r="31" spans="1:16">
      <c r="A31" s="53" t="s">
        <v>14</v>
      </c>
      <c r="B31" s="31"/>
      <c r="C31" s="278">
        <f>C27+C29</f>
        <v>-25000</v>
      </c>
      <c r="D31" s="278">
        <f>D27+D29</f>
        <v>-20000</v>
      </c>
      <c r="E31" s="278">
        <f t="shared" ref="E31:N31" si="5">E27+E29</f>
        <v>0</v>
      </c>
      <c r="F31" s="278">
        <f t="shared" si="5"/>
        <v>-33356.555119047611</v>
      </c>
      <c r="G31" s="278">
        <f t="shared" si="5"/>
        <v>-53370.488190476171</v>
      </c>
      <c r="H31" s="278">
        <f t="shared" si="5"/>
        <v>-66713.110238095222</v>
      </c>
      <c r="I31" s="278">
        <f t="shared" si="5"/>
        <v>-66713.110238095222</v>
      </c>
      <c r="J31" s="278">
        <f t="shared" si="5"/>
        <v>-80055.732285714257</v>
      </c>
      <c r="K31" s="278">
        <f t="shared" si="5"/>
        <v>-100069.66535714283</v>
      </c>
      <c r="L31" s="278">
        <f t="shared" si="5"/>
        <v>-80055.732285714257</v>
      </c>
      <c r="M31" s="278">
        <f t="shared" si="5"/>
        <v>-86727.043309523797</v>
      </c>
      <c r="N31" s="278">
        <f t="shared" si="5"/>
        <v>-100069.66535714283</v>
      </c>
      <c r="O31" s="278">
        <f>SUM(C31:N31)</f>
        <v>-712131.10238095222</v>
      </c>
      <c r="P31" s="129">
        <f>INCOME!C30</f>
        <v>-712131.10238095233</v>
      </c>
    </row>
    <row r="32" spans="1:16">
      <c r="O32" s="125"/>
      <c r="P32" s="129"/>
    </row>
    <row r="33" spans="1:16">
      <c r="A33" s="53" t="s">
        <v>15</v>
      </c>
      <c r="B33" s="31"/>
      <c r="C33" s="278">
        <f>-IF(TAXES!$C11&gt;=0,IF(TAXES!$C12&lt;=TAXES!$C11,(TAXES!$C9*'INCOME-MOS'!C31)*TAXES!$C12/TAXES!$C11,TAXES!$C9*'INCOME-MOS'!C31),0)</f>
        <v>0</v>
      </c>
      <c r="D33" s="278">
        <f>-IF(TAXES!$C11&gt;=0,IF(TAXES!$C12&lt;=TAXES!$C11,(TAXES!$C9*'INCOME-MOS'!D31)*TAXES!$C12/TAXES!$C11,TAXES!$C9*'INCOME-MOS'!D31),0)</f>
        <v>0</v>
      </c>
      <c r="E33" s="278">
        <f>-IF(TAXES!$C11&gt;=0,IF(TAXES!$C12&lt;=TAXES!$C11,(TAXES!$C9*'INCOME-MOS'!E31)*TAXES!$C12/TAXES!$C11,TAXES!$C9*'INCOME-MOS'!E31),0)</f>
        <v>0</v>
      </c>
      <c r="F33" s="278">
        <f>-IF(TAXES!$C11&gt;=0,IF(TAXES!$C12&lt;=TAXES!$C11,(TAXES!$C9*'INCOME-MOS'!F31)*TAXES!$C12/TAXES!$C11,TAXES!$C9*'INCOME-MOS'!F31),0)</f>
        <v>0</v>
      </c>
      <c r="G33" s="278">
        <f>-IF(TAXES!$C11&gt;=0,IF(TAXES!$C12&lt;=TAXES!$C11,(TAXES!$C9*'INCOME-MOS'!G31)*TAXES!$C12/TAXES!$C11,TAXES!$C9*'INCOME-MOS'!G31),0)</f>
        <v>0</v>
      </c>
      <c r="H33" s="278">
        <f>-IF(TAXES!$C11&gt;=0,IF(TAXES!$C12&lt;=TAXES!$C11,(TAXES!$C9*'INCOME-MOS'!H31)*TAXES!$C12/TAXES!$C11,TAXES!$C9*'INCOME-MOS'!H31),0)</f>
        <v>0</v>
      </c>
      <c r="I33" s="278">
        <f>-IF(TAXES!$C11&gt;=0,IF(TAXES!$C12&lt;=TAXES!$C11,(TAXES!$C9*'INCOME-MOS'!I31)*TAXES!$C12/TAXES!$C11,TAXES!$C9*'INCOME-MOS'!I31),0)</f>
        <v>0</v>
      </c>
      <c r="J33" s="278">
        <f>-IF(TAXES!$C11&gt;=0,IF(TAXES!$C12&lt;=TAXES!$C11,(TAXES!$C9*'INCOME-MOS'!J31)*TAXES!$C12/TAXES!$C11,TAXES!$C9*'INCOME-MOS'!J31),0)</f>
        <v>0</v>
      </c>
      <c r="K33" s="278">
        <f>-IF(TAXES!$C11&gt;=0,IF(TAXES!$C12&lt;=TAXES!$C11,(TAXES!$C9*'INCOME-MOS'!K31)*TAXES!$C12/TAXES!$C11,TAXES!$C9*'INCOME-MOS'!K31),0)</f>
        <v>0</v>
      </c>
      <c r="L33" s="278">
        <f>-IF(TAXES!$C11&gt;=0,IF(TAXES!$C12&lt;=TAXES!$C11,(TAXES!$C9*'INCOME-MOS'!L31)*TAXES!$C12/TAXES!$C11,TAXES!$C9*'INCOME-MOS'!L31),0)</f>
        <v>0</v>
      </c>
      <c r="M33" s="278">
        <f>-IF(TAXES!$C11&gt;=0,IF(TAXES!$C12&lt;=TAXES!$C11,(TAXES!$C9*'INCOME-MOS'!M31)*TAXES!$C12/TAXES!$C11,TAXES!$C9*'INCOME-MOS'!M31),0)</f>
        <v>0</v>
      </c>
      <c r="N33" s="278">
        <f>-IF(TAXES!$C11&gt;=0,IF(TAXES!$C12&lt;=TAXES!$C11,(TAXES!$C9*'INCOME-MOS'!N31)*TAXES!$C12/TAXES!$C11,TAXES!$C9*'INCOME-MOS'!N31),0)</f>
        <v>0</v>
      </c>
      <c r="O33" s="278">
        <f>SUM(C33:N33)</f>
        <v>0</v>
      </c>
      <c r="P33" s="129">
        <f>INCOME!C32</f>
        <v>0</v>
      </c>
    </row>
    <row r="34" spans="1:16">
      <c r="A34" s="47"/>
      <c r="B34" s="132"/>
      <c r="C34" s="298"/>
      <c r="D34" s="298"/>
      <c r="E34" s="298"/>
      <c r="F34" s="298"/>
      <c r="G34" s="298"/>
      <c r="H34" s="298"/>
      <c r="I34" s="298"/>
      <c r="J34" s="298"/>
      <c r="K34" s="298"/>
      <c r="L34" s="298"/>
      <c r="M34" s="298"/>
      <c r="N34" s="298"/>
      <c r="O34" s="298"/>
      <c r="P34" s="127"/>
    </row>
    <row r="35" spans="1:16">
      <c r="A35" s="53" t="s">
        <v>16</v>
      </c>
      <c r="B35" s="31"/>
      <c r="C35" s="302">
        <f>C31+C33</f>
        <v>-25000</v>
      </c>
      <c r="D35" s="302">
        <f>D31+D33</f>
        <v>-20000</v>
      </c>
      <c r="E35" s="302">
        <f t="shared" ref="E35:N35" si="6">E31+E33</f>
        <v>0</v>
      </c>
      <c r="F35" s="302">
        <f t="shared" si="6"/>
        <v>-33356.555119047611</v>
      </c>
      <c r="G35" s="302">
        <f t="shared" si="6"/>
        <v>-53370.488190476171</v>
      </c>
      <c r="H35" s="302">
        <f t="shared" si="6"/>
        <v>-66713.110238095222</v>
      </c>
      <c r="I35" s="302">
        <f t="shared" si="6"/>
        <v>-66713.110238095222</v>
      </c>
      <c r="J35" s="302">
        <f t="shared" si="6"/>
        <v>-80055.732285714257</v>
      </c>
      <c r="K35" s="302">
        <f t="shared" si="6"/>
        <v>-100069.66535714283</v>
      </c>
      <c r="L35" s="302">
        <f t="shared" si="6"/>
        <v>-80055.732285714257</v>
      </c>
      <c r="M35" s="302">
        <f t="shared" si="6"/>
        <v>-86727.043309523797</v>
      </c>
      <c r="N35" s="302">
        <f t="shared" si="6"/>
        <v>-100069.66535714283</v>
      </c>
      <c r="O35" s="302">
        <f>SUM(C35:N35)</f>
        <v>-712131.10238095222</v>
      </c>
      <c r="P35" s="279">
        <f>INCOME!C34</f>
        <v>-712131.10238095233</v>
      </c>
    </row>
    <row r="39" spans="1:16" ht="20.25">
      <c r="A39" s="354" t="str">
        <f>A1</f>
        <v>XYZ Company</v>
      </c>
    </row>
    <row r="40" spans="1:16" ht="15.75">
      <c r="A40" s="223" t="s">
        <v>6</v>
      </c>
      <c r="B40" s="47"/>
      <c r="P40" s="348" t="s">
        <v>73</v>
      </c>
    </row>
    <row r="41" spans="1:16" ht="15.75">
      <c r="A41" s="223" t="s">
        <v>254</v>
      </c>
      <c r="B41" s="224"/>
      <c r="C41" s="226"/>
      <c r="D41" s="226"/>
      <c r="E41" s="226"/>
      <c r="F41" s="226"/>
      <c r="G41" s="226"/>
      <c r="H41" s="226"/>
      <c r="I41" s="226"/>
      <c r="J41" s="226"/>
      <c r="K41" s="226"/>
      <c r="L41" s="226"/>
      <c r="M41" s="226"/>
      <c r="N41" s="226"/>
      <c r="O41" s="348" t="s">
        <v>185</v>
      </c>
      <c r="P41" s="348" t="s">
        <v>251</v>
      </c>
    </row>
    <row r="42" spans="1:16" ht="15.75">
      <c r="B42" s="123"/>
      <c r="C42" s="352" t="s">
        <v>172</v>
      </c>
      <c r="D42" s="352" t="s">
        <v>173</v>
      </c>
      <c r="E42" s="352" t="s">
        <v>174</v>
      </c>
      <c r="F42" s="352" t="s">
        <v>175</v>
      </c>
      <c r="G42" s="352" t="s">
        <v>176</v>
      </c>
      <c r="H42" s="352" t="s">
        <v>177</v>
      </c>
      <c r="I42" s="352" t="s">
        <v>178</v>
      </c>
      <c r="J42" s="352" t="s">
        <v>179</v>
      </c>
      <c r="K42" s="352" t="s">
        <v>180</v>
      </c>
      <c r="L42" s="352" t="s">
        <v>181</v>
      </c>
      <c r="M42" s="352" t="s">
        <v>182</v>
      </c>
      <c r="N42" s="352" t="s">
        <v>183</v>
      </c>
      <c r="O42" s="352" t="s">
        <v>263</v>
      </c>
      <c r="P42" s="296" t="s">
        <v>264</v>
      </c>
    </row>
    <row r="43" spans="1:16" ht="15">
      <c r="A43" s="47"/>
      <c r="B43" s="123"/>
      <c r="C43" s="224"/>
      <c r="D43" s="224"/>
      <c r="E43" s="224"/>
      <c r="F43" s="224"/>
      <c r="G43" s="224"/>
      <c r="H43" s="224"/>
      <c r="I43" s="224"/>
      <c r="J43" s="224"/>
      <c r="K43" s="224"/>
      <c r="L43" s="224"/>
      <c r="M43" s="224"/>
      <c r="N43" s="224"/>
      <c r="O43" s="224"/>
      <c r="P43" s="224"/>
    </row>
    <row r="44" spans="1:16">
      <c r="A44" s="53" t="s">
        <v>159</v>
      </c>
      <c r="B44" s="125"/>
      <c r="C44" s="129">
        <f>REVENUE!D22</f>
        <v>262500</v>
      </c>
      <c r="D44" s="129">
        <f>REVENUE!D23</f>
        <v>262500</v>
      </c>
      <c r="E44" s="129">
        <f>REVENUE!D24</f>
        <v>367500.00000000006</v>
      </c>
      <c r="F44" s="129">
        <f>REVENUE!D26</f>
        <v>315000</v>
      </c>
      <c r="G44" s="129">
        <f>REVENUE!D27</f>
        <v>367500.00000000006</v>
      </c>
      <c r="H44" s="129">
        <f>REVENUE!D28</f>
        <v>367500.00000000006</v>
      </c>
      <c r="I44" s="129">
        <f>REVENUE!D30</f>
        <v>420000</v>
      </c>
      <c r="J44" s="129">
        <f>REVENUE!D31</f>
        <v>525000</v>
      </c>
      <c r="K44" s="129">
        <f>REVENUE!D32</f>
        <v>525000</v>
      </c>
      <c r="L44" s="129">
        <f>REVENUE!D34</f>
        <v>577500</v>
      </c>
      <c r="M44" s="129">
        <f>REVENUE!D35</f>
        <v>630000</v>
      </c>
      <c r="N44" s="129">
        <f>REVENUE!D36</f>
        <v>630000</v>
      </c>
      <c r="O44" s="278">
        <f>SUM(C44:N44)</f>
        <v>5250000</v>
      </c>
      <c r="P44" s="129">
        <f>INCOME!D7</f>
        <v>5250000</v>
      </c>
    </row>
    <row r="45" spans="1:16">
      <c r="A45" s="47"/>
      <c r="B45" s="125"/>
      <c r="C45" s="125"/>
      <c r="D45" s="125"/>
      <c r="E45" s="125"/>
      <c r="F45" s="125"/>
      <c r="G45" s="125"/>
      <c r="H45" s="125"/>
      <c r="I45" s="125"/>
      <c r="J45" s="125"/>
      <c r="K45" s="125"/>
      <c r="L45" s="125"/>
      <c r="M45" s="125"/>
      <c r="N45" s="125"/>
      <c r="O45" s="125"/>
      <c r="P45" s="129"/>
    </row>
    <row r="46" spans="1:16">
      <c r="A46" s="53" t="s">
        <v>234</v>
      </c>
      <c r="B46" s="31"/>
      <c r="C46" s="127">
        <f>'COST OF REV'!$D$33*'INCOME-MOS'!C44</f>
        <v>176608.21428571429</v>
      </c>
      <c r="D46" s="127">
        <f>'COST OF REV'!$D$33*'INCOME-MOS'!D44</f>
        <v>176608.21428571429</v>
      </c>
      <c r="E46" s="127">
        <f>'COST OF REV'!$D$33*'INCOME-MOS'!E44</f>
        <v>247251.50000000006</v>
      </c>
      <c r="F46" s="127">
        <f>'COST OF REV'!$D$33*'INCOME-MOS'!F44</f>
        <v>211929.85714285716</v>
      </c>
      <c r="G46" s="127">
        <f>'COST OF REV'!$D$33*'INCOME-MOS'!G44</f>
        <v>247251.50000000006</v>
      </c>
      <c r="H46" s="127">
        <f>'COST OF REV'!$D$33*'INCOME-MOS'!H44</f>
        <v>247251.50000000006</v>
      </c>
      <c r="I46" s="127">
        <f>'COST OF REV'!$D$33*'INCOME-MOS'!I44</f>
        <v>282573.1428571429</v>
      </c>
      <c r="J46" s="127">
        <f>'COST OF REV'!$D$33*'INCOME-MOS'!J44</f>
        <v>353216.42857142858</v>
      </c>
      <c r="K46" s="127">
        <f>'COST OF REV'!$D$33*'INCOME-MOS'!K44</f>
        <v>353216.42857142858</v>
      </c>
      <c r="L46" s="127">
        <f>'COST OF REV'!$D$33*'INCOME-MOS'!L44</f>
        <v>388538.07142857148</v>
      </c>
      <c r="M46" s="127">
        <f>'COST OF REV'!$D$33*'INCOME-MOS'!M44</f>
        <v>423859.71428571432</v>
      </c>
      <c r="N46" s="127">
        <f>'COST OF REV'!$D$33*'INCOME-MOS'!N44</f>
        <v>423859.71428571432</v>
      </c>
      <c r="O46" s="297">
        <f>SUM(C46:N46)</f>
        <v>3532164.2857142864</v>
      </c>
      <c r="P46" s="127">
        <f>INCOME!D9</f>
        <v>3532164.2857142859</v>
      </c>
    </row>
    <row r="47" spans="1:16">
      <c r="A47" s="47"/>
      <c r="B47" s="31"/>
      <c r="C47" s="125"/>
      <c r="D47" s="125"/>
      <c r="E47" s="125"/>
      <c r="F47" s="125"/>
      <c r="G47" s="125"/>
      <c r="H47" s="125"/>
      <c r="I47" s="125"/>
      <c r="J47" s="125"/>
      <c r="K47" s="125"/>
      <c r="L47" s="125"/>
      <c r="M47" s="125"/>
      <c r="N47" s="125"/>
      <c r="O47" s="125"/>
      <c r="P47" s="129"/>
    </row>
    <row r="48" spans="1:16">
      <c r="A48" s="53" t="s">
        <v>160</v>
      </c>
      <c r="B48" s="125"/>
      <c r="C48" s="278">
        <f>C44-C46</f>
        <v>85891.78571428571</v>
      </c>
      <c r="D48" s="278">
        <f>D44-D46</f>
        <v>85891.78571428571</v>
      </c>
      <c r="E48" s="278">
        <f t="shared" ref="E48:N48" si="7">E44-E46</f>
        <v>120248.5</v>
      </c>
      <c r="F48" s="278">
        <f t="shared" si="7"/>
        <v>103070.14285714284</v>
      </c>
      <c r="G48" s="278">
        <f t="shared" si="7"/>
        <v>120248.5</v>
      </c>
      <c r="H48" s="278">
        <f t="shared" si="7"/>
        <v>120248.5</v>
      </c>
      <c r="I48" s="278">
        <f t="shared" si="7"/>
        <v>137426.8571428571</v>
      </c>
      <c r="J48" s="278">
        <f t="shared" si="7"/>
        <v>171783.57142857142</v>
      </c>
      <c r="K48" s="278">
        <f t="shared" si="7"/>
        <v>171783.57142857142</v>
      </c>
      <c r="L48" s="278">
        <f t="shared" si="7"/>
        <v>188961.92857142852</v>
      </c>
      <c r="M48" s="278">
        <f t="shared" si="7"/>
        <v>206140.28571428568</v>
      </c>
      <c r="N48" s="278">
        <f t="shared" si="7"/>
        <v>206140.28571428568</v>
      </c>
      <c r="O48" s="278">
        <f>SUM(C48:N48)</f>
        <v>1717835.7142857141</v>
      </c>
      <c r="P48" s="129">
        <f>INCOME!D12</f>
        <v>1717835.7142857141</v>
      </c>
    </row>
    <row r="49" spans="1:16">
      <c r="A49" s="47"/>
      <c r="B49" s="125"/>
      <c r="C49" s="125"/>
      <c r="D49" s="125"/>
      <c r="E49" s="125"/>
      <c r="F49" s="125"/>
      <c r="G49" s="125"/>
      <c r="H49" s="125"/>
      <c r="I49" s="125"/>
      <c r="J49" s="125"/>
      <c r="K49" s="125"/>
      <c r="L49" s="125"/>
      <c r="M49" s="125"/>
      <c r="N49" s="125"/>
      <c r="O49" s="125"/>
      <c r="P49" s="129"/>
    </row>
    <row r="50" spans="1:16">
      <c r="A50" s="53" t="s">
        <v>8</v>
      </c>
      <c r="B50" s="125"/>
      <c r="C50" s="125"/>
      <c r="D50" s="125"/>
      <c r="E50" s="125"/>
      <c r="F50" s="125"/>
      <c r="G50" s="125"/>
      <c r="H50" s="125"/>
      <c r="I50" s="125"/>
      <c r="J50" s="125"/>
      <c r="K50" s="125"/>
      <c r="L50" s="125"/>
      <c r="M50" s="125"/>
      <c r="N50" s="125"/>
      <c r="O50" s="125"/>
      <c r="P50" s="129"/>
    </row>
    <row r="51" spans="1:16">
      <c r="A51" s="47" t="s">
        <v>92</v>
      </c>
      <c r="B51" s="125"/>
      <c r="C51" s="129">
        <f>'OPER EXP'!D53</f>
        <v>49887.5</v>
      </c>
      <c r="D51" s="129">
        <f>'OPER EXP'!D54</f>
        <v>49887.5</v>
      </c>
      <c r="E51" s="129">
        <f>'OPER EXP'!D55</f>
        <v>69842.500000000015</v>
      </c>
      <c r="F51" s="129">
        <f>'OPER EXP'!D57</f>
        <v>59865</v>
      </c>
      <c r="G51" s="129">
        <f>'OPER EXP'!D58</f>
        <v>69842.500000000015</v>
      </c>
      <c r="H51" s="129">
        <f>'OPER EXP'!D59</f>
        <v>69842.500000000015</v>
      </c>
      <c r="I51" s="129">
        <f>'OPER EXP'!D61</f>
        <v>79820</v>
      </c>
      <c r="J51" s="129">
        <f>'OPER EXP'!D62</f>
        <v>99775</v>
      </c>
      <c r="K51" s="129">
        <f>'OPER EXP'!D63</f>
        <v>99775</v>
      </c>
      <c r="L51" s="129">
        <f>'OPER EXP'!D65</f>
        <v>109752.5</v>
      </c>
      <c r="M51" s="129">
        <f>'OPER EXP'!D66</f>
        <v>119730</v>
      </c>
      <c r="N51" s="129">
        <f>'OPER EXP'!D67</f>
        <v>119730</v>
      </c>
      <c r="O51" s="278">
        <f>SUM(C51:N51)</f>
        <v>997750</v>
      </c>
      <c r="P51" s="129">
        <f>INCOME!D16</f>
        <v>997750</v>
      </c>
    </row>
    <row r="52" spans="1:16">
      <c r="A52" s="130" t="s">
        <v>91</v>
      </c>
      <c r="B52" s="125"/>
      <c r="C52" s="129">
        <f>'OPER EXP'!D75</f>
        <v>20650</v>
      </c>
      <c r="D52" s="129">
        <f>'OPER EXP'!D76</f>
        <v>20650</v>
      </c>
      <c r="E52" s="129">
        <f>'OPER EXP'!D77</f>
        <v>28910.000000000004</v>
      </c>
      <c r="F52" s="129">
        <f>'OPER EXP'!D79</f>
        <v>24780</v>
      </c>
      <c r="G52" s="129">
        <f>'OPER EXP'!D80</f>
        <v>28910.000000000004</v>
      </c>
      <c r="H52" s="129">
        <f>'OPER EXP'!D81</f>
        <v>28910.000000000004</v>
      </c>
      <c r="I52" s="129">
        <f>'OPER EXP'!D83</f>
        <v>33040</v>
      </c>
      <c r="J52" s="129">
        <f>'OPER EXP'!D84</f>
        <v>41300</v>
      </c>
      <c r="K52" s="129">
        <f>'OPER EXP'!D85</f>
        <v>41300</v>
      </c>
      <c r="L52" s="129">
        <f>'OPER EXP'!D87</f>
        <v>45430</v>
      </c>
      <c r="M52" s="129">
        <f>'OPER EXP'!D88</f>
        <v>49560</v>
      </c>
      <c r="N52" s="129">
        <f>'OPER EXP'!D89</f>
        <v>49560</v>
      </c>
      <c r="O52" s="278">
        <f>SUM(C52:N52)</f>
        <v>413000</v>
      </c>
      <c r="P52" s="129">
        <f>INCOME!D17</f>
        <v>413000</v>
      </c>
    </row>
    <row r="53" spans="1:16">
      <c r="A53" s="47" t="s">
        <v>9</v>
      </c>
      <c r="B53" s="125"/>
      <c r="C53" s="127">
        <f>'OPER EXP'!D97</f>
        <v>23257.5</v>
      </c>
      <c r="D53" s="127">
        <f>'OPER EXP'!D98</f>
        <v>23257.5</v>
      </c>
      <c r="E53" s="127">
        <f>'OPER EXP'!D99</f>
        <v>32560.500000000004</v>
      </c>
      <c r="F53" s="127">
        <f>'OPER EXP'!D101</f>
        <v>27909</v>
      </c>
      <c r="G53" s="127">
        <f>'OPER EXP'!D102</f>
        <v>32560.500000000004</v>
      </c>
      <c r="H53" s="127">
        <f>'OPER EXP'!D103</f>
        <v>32560.500000000004</v>
      </c>
      <c r="I53" s="127">
        <f>'OPER EXP'!D105</f>
        <v>37212</v>
      </c>
      <c r="J53" s="127">
        <f>'OPER EXP'!D106</f>
        <v>46515</v>
      </c>
      <c r="K53" s="127">
        <f>'OPER EXP'!D107</f>
        <v>46515</v>
      </c>
      <c r="L53" s="127">
        <f>'OPER EXP'!D109</f>
        <v>51166.5</v>
      </c>
      <c r="M53" s="127">
        <f>'OPER EXP'!D110</f>
        <v>55818</v>
      </c>
      <c r="N53" s="127">
        <f>'OPER EXP'!D111</f>
        <v>55818</v>
      </c>
      <c r="O53" s="297">
        <f>SUM(C53:N53)</f>
        <v>465150</v>
      </c>
      <c r="P53" s="127">
        <f>INCOME!D18</f>
        <v>465150</v>
      </c>
    </row>
    <row r="54" spans="1:16">
      <c r="A54" s="47" t="s">
        <v>10</v>
      </c>
      <c r="B54" s="125"/>
      <c r="C54" s="278">
        <f t="shared" ref="C54:N54" si="8">SUM(C51:C53)</f>
        <v>93795</v>
      </c>
      <c r="D54" s="278">
        <f t="shared" si="8"/>
        <v>93795</v>
      </c>
      <c r="E54" s="278">
        <f t="shared" si="8"/>
        <v>131313.00000000003</v>
      </c>
      <c r="F54" s="278">
        <f t="shared" si="8"/>
        <v>112554</v>
      </c>
      <c r="G54" s="278">
        <f t="shared" si="8"/>
        <v>131313.00000000003</v>
      </c>
      <c r="H54" s="278">
        <f t="shared" si="8"/>
        <v>131313.00000000003</v>
      </c>
      <c r="I54" s="278">
        <f t="shared" si="8"/>
        <v>150072</v>
      </c>
      <c r="J54" s="278">
        <f t="shared" si="8"/>
        <v>187590</v>
      </c>
      <c r="K54" s="278">
        <f t="shared" si="8"/>
        <v>187590</v>
      </c>
      <c r="L54" s="278">
        <f t="shared" si="8"/>
        <v>206349</v>
      </c>
      <c r="M54" s="278">
        <f t="shared" si="8"/>
        <v>225108</v>
      </c>
      <c r="N54" s="278">
        <f t="shared" si="8"/>
        <v>225108</v>
      </c>
      <c r="O54" s="278">
        <f>SUM(C54:N54)</f>
        <v>1875900</v>
      </c>
      <c r="P54" s="129">
        <f>INCOME!D19</f>
        <v>1875900</v>
      </c>
    </row>
    <row r="55" spans="1:16">
      <c r="A55" s="47"/>
      <c r="B55" s="31"/>
      <c r="C55" s="298"/>
      <c r="D55" s="298"/>
      <c r="E55" s="298"/>
      <c r="F55" s="298"/>
      <c r="G55" s="298"/>
      <c r="H55" s="298"/>
      <c r="I55" s="298"/>
      <c r="J55" s="298"/>
      <c r="K55" s="298"/>
      <c r="L55" s="298"/>
      <c r="M55" s="298"/>
      <c r="N55" s="298"/>
      <c r="O55" s="298"/>
      <c r="P55" s="127"/>
    </row>
    <row r="56" spans="1:16">
      <c r="A56" s="53" t="s">
        <v>11</v>
      </c>
      <c r="B56" s="31"/>
      <c r="C56" s="278">
        <f t="shared" ref="C56:N56" si="9">C48-C54</f>
        <v>-7903.2142857142899</v>
      </c>
      <c r="D56" s="278">
        <f t="shared" si="9"/>
        <v>-7903.2142857142899</v>
      </c>
      <c r="E56" s="278">
        <f t="shared" si="9"/>
        <v>-11064.500000000029</v>
      </c>
      <c r="F56" s="278">
        <f t="shared" si="9"/>
        <v>-9483.8571428571595</v>
      </c>
      <c r="G56" s="278">
        <f t="shared" si="9"/>
        <v>-11064.500000000029</v>
      </c>
      <c r="H56" s="278">
        <f t="shared" si="9"/>
        <v>-11064.500000000029</v>
      </c>
      <c r="I56" s="278">
        <f t="shared" si="9"/>
        <v>-12645.142857142899</v>
      </c>
      <c r="J56" s="278">
        <f t="shared" si="9"/>
        <v>-15806.42857142858</v>
      </c>
      <c r="K56" s="278">
        <f t="shared" si="9"/>
        <v>-15806.42857142858</v>
      </c>
      <c r="L56" s="278">
        <f t="shared" si="9"/>
        <v>-17387.071428571478</v>
      </c>
      <c r="M56" s="278">
        <f t="shared" si="9"/>
        <v>-18967.714285714319</v>
      </c>
      <c r="N56" s="278">
        <f t="shared" si="9"/>
        <v>-18967.714285714319</v>
      </c>
      <c r="O56" s="278">
        <f>SUM(C56:N56)</f>
        <v>-158064.285714286</v>
      </c>
      <c r="P56" s="129">
        <f>INCOME!D22</f>
        <v>-158064.28571428591</v>
      </c>
    </row>
    <row r="57" spans="1:16">
      <c r="A57" s="47"/>
      <c r="B57" s="31"/>
      <c r="C57" s="125"/>
      <c r="D57" s="125"/>
      <c r="E57" s="125"/>
      <c r="F57" s="125"/>
      <c r="G57" s="125"/>
      <c r="H57" s="125"/>
      <c r="I57" s="125"/>
      <c r="J57" s="125"/>
      <c r="K57" s="125"/>
      <c r="L57" s="125"/>
      <c r="M57" s="125"/>
      <c r="N57" s="125"/>
      <c r="O57" s="125"/>
      <c r="P57" s="129"/>
    </row>
    <row r="58" spans="1:16">
      <c r="A58" s="53" t="s">
        <v>12</v>
      </c>
      <c r="B58" s="31"/>
      <c r="C58" s="129">
        <f>EXTRA!D24</f>
        <v>0</v>
      </c>
      <c r="D58" s="129">
        <f>EXTRA!D25</f>
        <v>0</v>
      </c>
      <c r="E58" s="129">
        <f>EXTRA!D26</f>
        <v>0</v>
      </c>
      <c r="F58" s="129">
        <f>EXTRA!D28</f>
        <v>0</v>
      </c>
      <c r="G58" s="129">
        <f>EXTRA!D29</f>
        <v>0</v>
      </c>
      <c r="H58" s="129">
        <f>EXTRA!D30</f>
        <v>0</v>
      </c>
      <c r="I58" s="129">
        <f>EXTRA!D32</f>
        <v>0</v>
      </c>
      <c r="J58" s="129">
        <f>EXTRA!D33</f>
        <v>0</v>
      </c>
      <c r="K58" s="129">
        <f>EXTRA!D34</f>
        <v>0</v>
      </c>
      <c r="L58" s="129">
        <f>EXTRA!D36</f>
        <v>0</v>
      </c>
      <c r="M58" s="129">
        <f>EXTRA!D37</f>
        <v>0</v>
      </c>
      <c r="N58" s="129">
        <f>EXTRA!D38</f>
        <v>0</v>
      </c>
      <c r="O58" s="278">
        <f>SUM(C58:N58)</f>
        <v>0</v>
      </c>
      <c r="P58" s="129">
        <f>INCOME!D24</f>
        <v>0</v>
      </c>
    </row>
    <row r="59" spans="1:16">
      <c r="A59" s="47"/>
      <c r="B59" s="132"/>
      <c r="C59" s="298"/>
      <c r="D59" s="298"/>
      <c r="E59" s="298"/>
      <c r="F59" s="298"/>
      <c r="G59" s="298"/>
      <c r="H59" s="298"/>
      <c r="I59" s="298"/>
      <c r="J59" s="298"/>
      <c r="K59" s="298"/>
      <c r="L59" s="298"/>
      <c r="M59" s="298"/>
      <c r="N59" s="298"/>
      <c r="O59" s="298"/>
      <c r="P59" s="127"/>
    </row>
    <row r="60" spans="1:16">
      <c r="A60" s="53" t="s">
        <v>13</v>
      </c>
      <c r="B60" s="31"/>
      <c r="C60" s="278">
        <f>C56+C58</f>
        <v>-7903.2142857142899</v>
      </c>
      <c r="D60" s="278">
        <f t="shared" ref="D60:N60" si="10">D56+D58</f>
        <v>-7903.2142857142899</v>
      </c>
      <c r="E60" s="278">
        <f t="shared" si="10"/>
        <v>-11064.500000000029</v>
      </c>
      <c r="F60" s="278">
        <f t="shared" si="10"/>
        <v>-9483.8571428571595</v>
      </c>
      <c r="G60" s="278">
        <f t="shared" si="10"/>
        <v>-11064.500000000029</v>
      </c>
      <c r="H60" s="278">
        <f t="shared" si="10"/>
        <v>-11064.500000000029</v>
      </c>
      <c r="I60" s="278">
        <f t="shared" si="10"/>
        <v>-12645.142857142899</v>
      </c>
      <c r="J60" s="278">
        <f t="shared" si="10"/>
        <v>-15806.42857142858</v>
      </c>
      <c r="K60" s="278">
        <f t="shared" si="10"/>
        <v>-15806.42857142858</v>
      </c>
      <c r="L60" s="278">
        <f t="shared" si="10"/>
        <v>-17387.071428571478</v>
      </c>
      <c r="M60" s="278">
        <f t="shared" si="10"/>
        <v>-18967.714285714319</v>
      </c>
      <c r="N60" s="278">
        <f t="shared" si="10"/>
        <v>-18967.714285714319</v>
      </c>
      <c r="O60" s="278">
        <f>SUM(C60:N60)</f>
        <v>-158064.285714286</v>
      </c>
      <c r="P60" s="129">
        <f>INCOME!D26</f>
        <v>-158064.28571428591</v>
      </c>
    </row>
    <row r="61" spans="1:16">
      <c r="A61" s="47"/>
      <c r="B61" s="132"/>
      <c r="C61" s="125"/>
      <c r="D61" s="125"/>
      <c r="E61" s="125"/>
      <c r="F61" s="125"/>
      <c r="G61" s="125"/>
      <c r="H61" s="125"/>
      <c r="I61" s="125"/>
      <c r="J61" s="125"/>
      <c r="K61" s="125"/>
      <c r="L61" s="125"/>
      <c r="M61" s="125"/>
      <c r="N61" s="125"/>
      <c r="O61" s="125"/>
      <c r="P61" s="129"/>
    </row>
    <row r="62" spans="1:16">
      <c r="A62" s="53" t="s">
        <v>116</v>
      </c>
      <c r="B62" s="31"/>
      <c r="C62" s="278">
        <f t="shared" ref="C62:N62" si="11">$D$121</f>
        <v>-5000</v>
      </c>
      <c r="D62" s="278">
        <f t="shared" si="11"/>
        <v>-5000</v>
      </c>
      <c r="E62" s="278">
        <f t="shared" si="11"/>
        <v>-5000</v>
      </c>
      <c r="F62" s="278">
        <f t="shared" si="11"/>
        <v>-5000</v>
      </c>
      <c r="G62" s="278">
        <f t="shared" si="11"/>
        <v>-5000</v>
      </c>
      <c r="H62" s="278">
        <f t="shared" si="11"/>
        <v>-5000</v>
      </c>
      <c r="I62" s="278">
        <f t="shared" si="11"/>
        <v>-5000</v>
      </c>
      <c r="J62" s="278">
        <f t="shared" si="11"/>
        <v>-5000</v>
      </c>
      <c r="K62" s="278">
        <f t="shared" si="11"/>
        <v>-5000</v>
      </c>
      <c r="L62" s="278">
        <f t="shared" si="11"/>
        <v>-5000</v>
      </c>
      <c r="M62" s="278">
        <f t="shared" si="11"/>
        <v>-5000</v>
      </c>
      <c r="N62" s="278">
        <f t="shared" si="11"/>
        <v>-5000</v>
      </c>
      <c r="O62" s="278">
        <f>SUM(C62:N62)</f>
        <v>-60000</v>
      </c>
      <c r="P62" s="129">
        <f>INCOME!D28</f>
        <v>-60000</v>
      </c>
    </row>
    <row r="63" spans="1:16">
      <c r="A63" s="47"/>
      <c r="B63" s="132"/>
      <c r="C63" s="125"/>
      <c r="D63" s="125"/>
      <c r="E63" s="125"/>
      <c r="F63" s="125"/>
      <c r="G63" s="125"/>
      <c r="H63" s="125"/>
      <c r="I63" s="125"/>
      <c r="J63" s="125"/>
      <c r="K63" s="125"/>
      <c r="L63" s="125"/>
      <c r="M63" s="125"/>
      <c r="N63" s="125"/>
      <c r="O63" s="125"/>
      <c r="P63" s="129"/>
    </row>
    <row r="64" spans="1:16">
      <c r="A64" s="53" t="s">
        <v>14</v>
      </c>
      <c r="B64" s="31"/>
      <c r="C64" s="278">
        <f>C60+C62</f>
        <v>-12903.21428571429</v>
      </c>
      <c r="D64" s="278">
        <f>D60+D62</f>
        <v>-12903.21428571429</v>
      </c>
      <c r="E64" s="278">
        <f t="shared" ref="E64:N64" si="12">E60+E62</f>
        <v>-16064.500000000029</v>
      </c>
      <c r="F64" s="278">
        <f t="shared" si="12"/>
        <v>-14483.857142857159</v>
      </c>
      <c r="G64" s="278">
        <f t="shared" si="12"/>
        <v>-16064.500000000029</v>
      </c>
      <c r="H64" s="278">
        <f t="shared" si="12"/>
        <v>-16064.500000000029</v>
      </c>
      <c r="I64" s="278">
        <f t="shared" si="12"/>
        <v>-17645.142857142899</v>
      </c>
      <c r="J64" s="278">
        <f t="shared" si="12"/>
        <v>-20806.42857142858</v>
      </c>
      <c r="K64" s="278">
        <f t="shared" si="12"/>
        <v>-20806.42857142858</v>
      </c>
      <c r="L64" s="278">
        <f t="shared" si="12"/>
        <v>-22387.071428571478</v>
      </c>
      <c r="M64" s="278">
        <f t="shared" si="12"/>
        <v>-23967.714285714319</v>
      </c>
      <c r="N64" s="278">
        <f t="shared" si="12"/>
        <v>-23967.714285714319</v>
      </c>
      <c r="O64" s="278">
        <f>SUM(C64:N64)</f>
        <v>-218064.285714286</v>
      </c>
      <c r="P64" s="129">
        <f>INCOME!D30</f>
        <v>-218064.28571428591</v>
      </c>
    </row>
    <row r="65" spans="1:20">
      <c r="A65" s="47"/>
      <c r="B65" s="132"/>
      <c r="O65" s="125"/>
      <c r="P65" s="129"/>
    </row>
    <row r="66" spans="1:20">
      <c r="A66" s="53" t="s">
        <v>15</v>
      </c>
      <c r="B66" s="31"/>
      <c r="C66" s="278">
        <f>-IF(TAXES!$D12&gt;=0,IF(TAXES!$D12&lt;=TAXES!$D11,(TAXES!$D9*'INCOME-MOS'!C64)*TAXES!$D12/TAXES!$D11,TAXES!$D9*'INCOME-MOS'!C64),0)</f>
        <v>0</v>
      </c>
      <c r="D66" s="278">
        <f>-IF(TAXES!$D12&gt;=0,IF(TAXES!$D12&lt;=TAXES!$D11,(TAXES!$D9*'INCOME-MOS'!D64)*TAXES!$D12/TAXES!$D11,TAXES!$D9*'INCOME-MOS'!D64),0)</f>
        <v>0</v>
      </c>
      <c r="E66" s="278">
        <f>-IF(TAXES!$D12&gt;=0,IF(TAXES!$D12&lt;=TAXES!$D11,(TAXES!$D9*'INCOME-MOS'!E64)*TAXES!$D12/TAXES!$D11,TAXES!$D9*'INCOME-MOS'!E64),0)</f>
        <v>0</v>
      </c>
      <c r="F66" s="278">
        <f>-IF(TAXES!$D12&gt;=0,IF(TAXES!$D12&lt;=TAXES!$D11,(TAXES!$D9*'INCOME-MOS'!F64)*TAXES!$D12/TAXES!$D11,TAXES!$D9*'INCOME-MOS'!F64),0)</f>
        <v>0</v>
      </c>
      <c r="G66" s="278">
        <f>-IF(TAXES!$D12&gt;=0,IF(TAXES!$D12&lt;=TAXES!$D11,(TAXES!$D9*'INCOME-MOS'!G64)*TAXES!$D12/TAXES!$D11,TAXES!$D9*'INCOME-MOS'!G64),0)</f>
        <v>0</v>
      </c>
      <c r="H66" s="278">
        <f>-IF(TAXES!$D12&gt;=0,IF(TAXES!$D12&lt;=TAXES!$D11,(TAXES!$D9*'INCOME-MOS'!H64)*TAXES!$D12/TAXES!$D11,TAXES!$D9*'INCOME-MOS'!H64),0)</f>
        <v>0</v>
      </c>
      <c r="I66" s="278">
        <f>-IF(TAXES!$D12&gt;=0,IF(TAXES!$D12&lt;=TAXES!$D11,(TAXES!$D9*'INCOME-MOS'!I64)*TAXES!$D12/TAXES!$D11,TAXES!$D9*'INCOME-MOS'!I64),0)</f>
        <v>0</v>
      </c>
      <c r="J66" s="278">
        <f>-IF(TAXES!$D12&gt;=0,IF(TAXES!$D12&lt;=TAXES!$D11,(TAXES!$D9*'INCOME-MOS'!J64)*TAXES!$D12/TAXES!$D11,TAXES!$D9*'INCOME-MOS'!J64),0)</f>
        <v>0</v>
      </c>
      <c r="K66" s="278">
        <f>-IF(TAXES!$D12&gt;=0,IF(TAXES!$D12&lt;=TAXES!$D11,(TAXES!$D9*'INCOME-MOS'!K64)*TAXES!$D12/TAXES!$D11,TAXES!$D9*'INCOME-MOS'!K64),0)</f>
        <v>0</v>
      </c>
      <c r="L66" s="278">
        <f>-IF(TAXES!$D12&gt;=0,IF(TAXES!$D12&lt;=TAXES!$D11,(TAXES!$D9*'INCOME-MOS'!L64)*TAXES!$D12/TAXES!$D11,TAXES!$D9*'INCOME-MOS'!L64),0)</f>
        <v>0</v>
      </c>
      <c r="M66" s="278">
        <f>-IF(TAXES!$D12&gt;=0,IF(TAXES!$D12&lt;=TAXES!$D11,(TAXES!$D9*'INCOME-MOS'!M64)*TAXES!$D12/TAXES!$D11,TAXES!$D9*'INCOME-MOS'!M64),0)</f>
        <v>0</v>
      </c>
      <c r="N66" s="278">
        <f>-IF(TAXES!$D12&gt;=0,IF(TAXES!$D12&lt;=TAXES!$D11,(TAXES!$D9*'INCOME-MOS'!N64)*TAXES!$D12/TAXES!$D11,TAXES!$D9*'INCOME-MOS'!N64),0)</f>
        <v>0</v>
      </c>
      <c r="O66" s="278">
        <f>SUM(C66:N66)</f>
        <v>0</v>
      </c>
      <c r="P66" s="129">
        <f>INCOME!D32</f>
        <v>0</v>
      </c>
    </row>
    <row r="67" spans="1:20">
      <c r="A67" s="47"/>
      <c r="B67" s="132"/>
      <c r="C67" s="298"/>
      <c r="D67" s="298"/>
      <c r="E67" s="298"/>
      <c r="F67" s="298"/>
      <c r="G67" s="298"/>
      <c r="H67" s="298"/>
      <c r="I67" s="298"/>
      <c r="J67" s="298"/>
      <c r="K67" s="298"/>
      <c r="L67" s="298"/>
      <c r="M67" s="298"/>
      <c r="N67" s="298"/>
      <c r="O67" s="298"/>
      <c r="P67" s="129"/>
    </row>
    <row r="68" spans="1:20" ht="13.5" thickBot="1">
      <c r="A68" s="53" t="s">
        <v>16</v>
      </c>
      <c r="B68" s="31"/>
      <c r="C68" s="302">
        <f>C64+C66</f>
        <v>-12903.21428571429</v>
      </c>
      <c r="D68" s="302">
        <f>D64+D66</f>
        <v>-12903.21428571429</v>
      </c>
      <c r="E68" s="302">
        <f t="shared" ref="E68:N68" si="13">E64+E66</f>
        <v>-16064.500000000029</v>
      </c>
      <c r="F68" s="302">
        <f t="shared" si="13"/>
        <v>-14483.857142857159</v>
      </c>
      <c r="G68" s="302">
        <f t="shared" si="13"/>
        <v>-16064.500000000029</v>
      </c>
      <c r="H68" s="302">
        <f t="shared" si="13"/>
        <v>-16064.500000000029</v>
      </c>
      <c r="I68" s="302">
        <f t="shared" si="13"/>
        <v>-17645.142857142899</v>
      </c>
      <c r="J68" s="302">
        <f t="shared" si="13"/>
        <v>-20806.42857142858</v>
      </c>
      <c r="K68" s="302">
        <f t="shared" si="13"/>
        <v>-20806.42857142858</v>
      </c>
      <c r="L68" s="302">
        <f t="shared" si="13"/>
        <v>-22387.071428571478</v>
      </c>
      <c r="M68" s="302">
        <f t="shared" si="13"/>
        <v>-23967.714285714319</v>
      </c>
      <c r="N68" s="302">
        <f t="shared" si="13"/>
        <v>-23967.714285714319</v>
      </c>
      <c r="O68" s="302">
        <f>SUM(C68:N68)</f>
        <v>-218064.285714286</v>
      </c>
      <c r="P68" s="390">
        <f>INCOME!D34</f>
        <v>-218064.28571428591</v>
      </c>
    </row>
    <row r="72" spans="1:20" ht="20.25">
      <c r="A72" s="354" t="str">
        <f>A1</f>
        <v>XYZ Company</v>
      </c>
    </row>
    <row r="73" spans="1:20" ht="15.75">
      <c r="A73" s="223" t="s">
        <v>6</v>
      </c>
      <c r="R73" s="348" t="s">
        <v>74</v>
      </c>
      <c r="S73" s="348" t="s">
        <v>75</v>
      </c>
      <c r="T73" s="348" t="s">
        <v>76</v>
      </c>
    </row>
    <row r="74" spans="1:20" ht="15.75">
      <c r="A74" s="223" t="s">
        <v>265</v>
      </c>
      <c r="R74" s="348" t="s">
        <v>251</v>
      </c>
      <c r="S74" s="348" t="s">
        <v>251</v>
      </c>
      <c r="T74" s="348" t="s">
        <v>251</v>
      </c>
    </row>
    <row r="75" spans="1:20" ht="15.75">
      <c r="A75" s="223"/>
      <c r="C75" s="617" t="s">
        <v>74</v>
      </c>
      <c r="D75" s="617"/>
      <c r="E75" s="617"/>
      <c r="F75" s="617"/>
      <c r="G75" s="617"/>
      <c r="H75" s="617" t="s">
        <v>75</v>
      </c>
      <c r="I75" s="617"/>
      <c r="J75" s="617"/>
      <c r="K75" s="617"/>
      <c r="L75" s="617"/>
      <c r="M75" s="372" t="s">
        <v>76</v>
      </c>
      <c r="N75" s="372"/>
      <c r="O75" s="372"/>
      <c r="P75" s="372"/>
      <c r="Q75" s="372"/>
      <c r="R75" s="296" t="s">
        <v>264</v>
      </c>
      <c r="S75" s="296" t="s">
        <v>264</v>
      </c>
      <c r="T75" s="296" t="s">
        <v>264</v>
      </c>
    </row>
    <row r="76" spans="1:20">
      <c r="A76" s="47"/>
      <c r="B76" s="47"/>
      <c r="C76" s="351" t="s">
        <v>255</v>
      </c>
      <c r="D76" s="351" t="s">
        <v>257</v>
      </c>
      <c r="E76" s="351" t="s">
        <v>258</v>
      </c>
      <c r="F76" s="351" t="s">
        <v>259</v>
      </c>
      <c r="G76" s="351" t="s">
        <v>150</v>
      </c>
      <c r="H76" s="351" t="s">
        <v>255</v>
      </c>
      <c r="I76" s="351" t="s">
        <v>260</v>
      </c>
      <c r="J76" s="351" t="s">
        <v>261</v>
      </c>
      <c r="K76" s="351" t="s">
        <v>262</v>
      </c>
      <c r="L76" s="351" t="s">
        <v>150</v>
      </c>
      <c r="M76" s="351" t="s">
        <v>255</v>
      </c>
      <c r="N76" s="351" t="s">
        <v>260</v>
      </c>
      <c r="O76" s="351" t="s">
        <v>261</v>
      </c>
      <c r="P76" s="351" t="s">
        <v>262</v>
      </c>
      <c r="Q76" s="351" t="s">
        <v>150</v>
      </c>
    </row>
    <row r="77" spans="1:20">
      <c r="A77" s="47"/>
      <c r="B77" s="47"/>
      <c r="C77" s="53"/>
      <c r="D77" s="53"/>
      <c r="E77" s="53"/>
      <c r="F77" s="53"/>
      <c r="G77" s="53"/>
      <c r="H77" s="53"/>
      <c r="I77" s="53"/>
      <c r="J77" s="53"/>
      <c r="K77" s="53"/>
      <c r="L77" s="53"/>
      <c r="M77" s="53"/>
      <c r="N77" s="53"/>
      <c r="O77" s="53"/>
      <c r="P77" s="53"/>
      <c r="Q77" s="53"/>
    </row>
    <row r="78" spans="1:20">
      <c r="A78" s="53" t="s">
        <v>159</v>
      </c>
      <c r="B78" s="47"/>
      <c r="C78" s="129">
        <f>REVENUE!E25</f>
        <v>2000000</v>
      </c>
      <c r="D78" s="129">
        <f>REVENUE!E29</f>
        <v>2500000</v>
      </c>
      <c r="E78" s="129">
        <f>REVENUE!E33</f>
        <v>2500000</v>
      </c>
      <c r="F78" s="129">
        <f>REVENUE!E37</f>
        <v>2750000</v>
      </c>
      <c r="G78" s="129">
        <f>SUM(C78:F78)</f>
        <v>9750000</v>
      </c>
      <c r="H78" s="129">
        <f>REVENUE!F25</f>
        <v>3000000</v>
      </c>
      <c r="I78" s="129">
        <f>REVENUE!F29</f>
        <v>4000000</v>
      </c>
      <c r="J78" s="129">
        <f>REVENUE!F33</f>
        <v>4500000</v>
      </c>
      <c r="K78" s="129">
        <f>REVENUE!F37</f>
        <v>4750000</v>
      </c>
      <c r="L78" s="129">
        <f>SUM(H78:K78)</f>
        <v>16250000</v>
      </c>
      <c r="M78" s="129">
        <f>REVENUE!G25</f>
        <v>5000000</v>
      </c>
      <c r="N78" s="129">
        <f>REVENUE!G29</f>
        <v>6000000</v>
      </c>
      <c r="O78" s="129">
        <f>REVENUE!G33</f>
        <v>7000000</v>
      </c>
      <c r="P78" s="129">
        <f>REVENUE!G37</f>
        <v>8000000</v>
      </c>
      <c r="Q78" s="129">
        <f>SUM(M78:P78)</f>
        <v>26000000</v>
      </c>
      <c r="R78" s="356">
        <f>INCOME!E7</f>
        <v>9750000</v>
      </c>
      <c r="S78" s="356">
        <f>INCOME!F7</f>
        <v>16250000</v>
      </c>
      <c r="T78" s="356">
        <f>INCOME!G7</f>
        <v>26000000</v>
      </c>
    </row>
    <row r="79" spans="1:20">
      <c r="A79" s="47"/>
      <c r="B79" s="47"/>
      <c r="C79" s="125"/>
      <c r="D79" s="125"/>
      <c r="E79" s="125"/>
      <c r="F79" s="125"/>
      <c r="G79" s="125"/>
      <c r="H79" s="125"/>
      <c r="I79" s="125"/>
      <c r="J79" s="125"/>
      <c r="K79" s="125"/>
      <c r="L79" s="125"/>
      <c r="M79" s="125"/>
      <c r="N79" s="125"/>
      <c r="O79" s="125"/>
      <c r="P79" s="125"/>
      <c r="Q79" s="125"/>
      <c r="R79" s="356">
        <f>INCOME!E8</f>
        <v>0</v>
      </c>
      <c r="S79" s="356">
        <f>INCOME!F8</f>
        <v>0</v>
      </c>
      <c r="T79" s="356">
        <f>INCOME!G8</f>
        <v>0</v>
      </c>
    </row>
    <row r="80" spans="1:20">
      <c r="A80" s="53" t="s">
        <v>234</v>
      </c>
      <c r="B80" s="47"/>
      <c r="C80" s="127">
        <f>'COST OF REV'!$E$33*C78</f>
        <v>1169113.5531135532</v>
      </c>
      <c r="D80" s="127">
        <f>'COST OF REV'!$E$33*D78</f>
        <v>1461391.9413919416</v>
      </c>
      <c r="E80" s="127">
        <f>'COST OF REV'!$E$33*E78</f>
        <v>1461391.9413919416</v>
      </c>
      <c r="F80" s="127">
        <f>'COST OF REV'!$E$33*F78</f>
        <v>1607531.1355311358</v>
      </c>
      <c r="G80" s="127">
        <f>SUM(C80:F80)</f>
        <v>5699428.5714285728</v>
      </c>
      <c r="H80" s="127">
        <f>'COST OF REV'!$F$33*H78</f>
        <v>1724175.8241758244</v>
      </c>
      <c r="I80" s="127">
        <f>'COST OF REV'!$F$33*I78</f>
        <v>2298901.0989010991</v>
      </c>
      <c r="J80" s="127">
        <f>'COST OF REV'!$F$33*J78</f>
        <v>2586263.7362637366</v>
      </c>
      <c r="K80" s="127">
        <f>'COST OF REV'!$F$33*K78</f>
        <v>2729945.0549450554</v>
      </c>
      <c r="L80" s="127">
        <f>SUM(H80:K80)</f>
        <v>9339285.7142857164</v>
      </c>
      <c r="M80" s="127">
        <f>'COST OF REV'!$G$33*M78</f>
        <v>2698681.3186813188</v>
      </c>
      <c r="N80" s="127">
        <f>'COST OF REV'!$G$33*N78</f>
        <v>3238417.5824175822</v>
      </c>
      <c r="O80" s="127">
        <f>'COST OF REV'!$G$33*O78</f>
        <v>3778153.846153846</v>
      </c>
      <c r="P80" s="127">
        <f>'COST OF REV'!$G$33*P78</f>
        <v>4317890.1098901099</v>
      </c>
      <c r="Q80" s="127">
        <f>SUM(M80:P80)</f>
        <v>14033142.857142858</v>
      </c>
      <c r="R80" s="357">
        <f>INCOME!E9</f>
        <v>5699428.5714285718</v>
      </c>
      <c r="S80" s="357">
        <f>INCOME!F9</f>
        <v>9339285.7142857146</v>
      </c>
      <c r="T80" s="357">
        <f>INCOME!G9</f>
        <v>14033142.857142856</v>
      </c>
    </row>
    <row r="81" spans="1:20">
      <c r="A81" s="47"/>
      <c r="B81" s="47"/>
      <c r="C81" s="125"/>
      <c r="D81" s="125"/>
      <c r="E81" s="125"/>
      <c r="F81" s="125"/>
      <c r="G81" s="125"/>
      <c r="H81" s="125"/>
      <c r="I81" s="125"/>
      <c r="J81" s="125"/>
      <c r="K81" s="125"/>
      <c r="L81" s="125"/>
      <c r="M81" s="125"/>
      <c r="N81" s="125"/>
      <c r="O81" s="125"/>
      <c r="P81" s="125"/>
      <c r="Q81" s="125"/>
      <c r="R81" s="356"/>
      <c r="S81" s="356"/>
      <c r="T81" s="356"/>
    </row>
    <row r="82" spans="1:20">
      <c r="A82" s="53" t="s">
        <v>160</v>
      </c>
      <c r="B82" s="47"/>
      <c r="C82" s="278">
        <f t="shared" ref="C82:P82" si="14">C78-C80</f>
        <v>830886.44688644679</v>
      </c>
      <c r="D82" s="278">
        <f t="shared" si="14"/>
        <v>1038608.0586080584</v>
      </c>
      <c r="E82" s="278">
        <f t="shared" si="14"/>
        <v>1038608.0586080584</v>
      </c>
      <c r="F82" s="278">
        <f t="shared" si="14"/>
        <v>1142468.8644688642</v>
      </c>
      <c r="G82" s="278">
        <f t="shared" si="14"/>
        <v>4050571.4285714272</v>
      </c>
      <c r="H82" s="278">
        <f t="shared" si="14"/>
        <v>1275824.1758241756</v>
      </c>
      <c r="I82" s="278">
        <f t="shared" si="14"/>
        <v>1701098.9010989009</v>
      </c>
      <c r="J82" s="278">
        <f t="shared" si="14"/>
        <v>1913736.2637362634</v>
      </c>
      <c r="K82" s="278">
        <f t="shared" si="14"/>
        <v>2020054.9450549446</v>
      </c>
      <c r="L82" s="278">
        <f t="shared" si="14"/>
        <v>6910714.2857142836</v>
      </c>
      <c r="M82" s="278">
        <f t="shared" si="14"/>
        <v>2301318.6813186812</v>
      </c>
      <c r="N82" s="278">
        <f t="shared" si="14"/>
        <v>2761582.4175824178</v>
      </c>
      <c r="O82" s="278">
        <f t="shared" si="14"/>
        <v>3221846.153846154</v>
      </c>
      <c r="P82" s="278">
        <f t="shared" si="14"/>
        <v>3682109.8901098901</v>
      </c>
      <c r="Q82" s="278">
        <f>Q78-Q80</f>
        <v>11966857.142857142</v>
      </c>
      <c r="R82" s="356">
        <f>INCOME!E12</f>
        <v>4050571.4285714282</v>
      </c>
      <c r="S82" s="356">
        <f>INCOME!F12</f>
        <v>6910714.2857142854</v>
      </c>
      <c r="T82" s="356">
        <f>INCOME!G12</f>
        <v>11966857.142857144</v>
      </c>
    </row>
    <row r="83" spans="1:20">
      <c r="A83" s="47"/>
      <c r="B83" s="47"/>
      <c r="C83" s="125"/>
      <c r="D83" s="125"/>
      <c r="E83" s="125"/>
      <c r="F83" s="125"/>
      <c r="G83" s="125"/>
      <c r="H83" s="125"/>
      <c r="I83" s="125"/>
      <c r="J83" s="125"/>
      <c r="K83" s="125"/>
      <c r="L83" s="125"/>
      <c r="M83" s="125"/>
      <c r="N83" s="125"/>
      <c r="O83" s="125"/>
      <c r="P83" s="125"/>
      <c r="Q83" s="125"/>
      <c r="R83" s="356"/>
      <c r="S83" s="356"/>
      <c r="T83" s="356"/>
    </row>
    <row r="84" spans="1:20">
      <c r="A84" s="53" t="s">
        <v>8</v>
      </c>
      <c r="B84" s="47"/>
      <c r="C84" s="125"/>
      <c r="D84" s="125"/>
      <c r="E84" s="125"/>
      <c r="F84" s="125"/>
      <c r="G84" s="125"/>
      <c r="H84" s="125"/>
      <c r="I84" s="125"/>
      <c r="J84" s="125"/>
      <c r="K84" s="125"/>
      <c r="L84" s="125"/>
      <c r="M84" s="125"/>
      <c r="N84" s="125"/>
      <c r="O84" s="125"/>
      <c r="P84" s="125"/>
      <c r="Q84" s="125"/>
      <c r="R84" s="356"/>
      <c r="S84" s="356"/>
      <c r="T84" s="356"/>
    </row>
    <row r="85" spans="1:20">
      <c r="A85" s="47" t="s">
        <v>92</v>
      </c>
      <c r="B85" s="47"/>
      <c r="C85" s="129">
        <f>'OPER EXP'!E56</f>
        <v>370338.46153846156</v>
      </c>
      <c r="D85" s="129">
        <f>'OPER EXP'!E60</f>
        <v>462923.07692307694</v>
      </c>
      <c r="E85" s="129">
        <f>'OPER EXP'!E64</f>
        <v>462923.07692307694</v>
      </c>
      <c r="F85" s="129">
        <f>'OPER EXP'!E68</f>
        <v>509215.38461538462</v>
      </c>
      <c r="G85" s="129">
        <f>'OPER EXP'!E69</f>
        <v>1805400</v>
      </c>
      <c r="H85" s="129">
        <f>'OPER EXP'!F56</f>
        <v>537507.69230769237</v>
      </c>
      <c r="I85" s="129">
        <f>'OPER EXP'!F60</f>
        <v>716676.92307692312</v>
      </c>
      <c r="J85" s="129">
        <f>'OPER EXP'!F64</f>
        <v>806261.5384615385</v>
      </c>
      <c r="K85" s="129">
        <f>'OPER EXP'!F68</f>
        <v>851053.84615384613</v>
      </c>
      <c r="L85" s="129">
        <f>'OPER EXP'!F69</f>
        <v>2911500</v>
      </c>
      <c r="M85" s="129">
        <f>'OPER EXP'!G56</f>
        <v>899230.76923076925</v>
      </c>
      <c r="N85" s="129">
        <f>'OPER EXP'!G60</f>
        <v>1079076.923076923</v>
      </c>
      <c r="O85" s="129">
        <f>'OPER EXP'!G64</f>
        <v>1258923.076923077</v>
      </c>
      <c r="P85" s="129">
        <f>'OPER EXP'!G68</f>
        <v>1438769.2307692308</v>
      </c>
      <c r="Q85" s="129">
        <f>'OPER EXP'!G69</f>
        <v>4676000</v>
      </c>
      <c r="R85" s="356">
        <f>INCOME!E16</f>
        <v>1805400</v>
      </c>
      <c r="S85" s="356">
        <f>INCOME!F16</f>
        <v>2911500</v>
      </c>
      <c r="T85" s="356">
        <f>INCOME!G16</f>
        <v>4676000</v>
      </c>
    </row>
    <row r="86" spans="1:20">
      <c r="A86" s="130" t="s">
        <v>91</v>
      </c>
      <c r="B86" s="47"/>
      <c r="C86" s="129">
        <f>'OPER EXP'!E78</f>
        <v>144112.8205128205</v>
      </c>
      <c r="D86" s="129">
        <f>'OPER EXP'!E82</f>
        <v>180141.02564102563</v>
      </c>
      <c r="E86" s="129">
        <f>'OPER EXP'!E86</f>
        <v>180141.02564102563</v>
      </c>
      <c r="F86" s="129">
        <f>'OPER EXP'!E90</f>
        <v>198155.12820512819</v>
      </c>
      <c r="G86" s="129">
        <f>'OPER EXP'!E91</f>
        <v>702550</v>
      </c>
      <c r="H86" s="129">
        <f>'OPER EXP'!F78</f>
        <v>229200</v>
      </c>
      <c r="I86" s="129">
        <f>'OPER EXP'!F82</f>
        <v>305600</v>
      </c>
      <c r="J86" s="129">
        <f>'OPER EXP'!F86</f>
        <v>343800</v>
      </c>
      <c r="K86" s="129">
        <f>'OPER EXP'!F90</f>
        <v>362900</v>
      </c>
      <c r="L86" s="129">
        <f>'OPER EXP'!F91</f>
        <v>1241500</v>
      </c>
      <c r="M86" s="129">
        <f>'OPER EXP'!G78</f>
        <v>336923.07692307694</v>
      </c>
      <c r="N86" s="129">
        <f>'OPER EXP'!G82</f>
        <v>404307.69230769231</v>
      </c>
      <c r="O86" s="129">
        <f>'OPER EXP'!G86</f>
        <v>471692.30769230775</v>
      </c>
      <c r="P86" s="129">
        <f>'OPER EXP'!G90</f>
        <v>539076.92307692312</v>
      </c>
      <c r="Q86" s="129">
        <f>'OPER EXP'!G91</f>
        <v>1752000.0000000002</v>
      </c>
      <c r="R86" s="356">
        <f>INCOME!E17</f>
        <v>702550</v>
      </c>
      <c r="S86" s="356">
        <f>INCOME!F17</f>
        <v>1241500</v>
      </c>
      <c r="T86" s="356">
        <f>INCOME!G17</f>
        <v>1752000</v>
      </c>
    </row>
    <row r="87" spans="1:20">
      <c r="A87" s="47" t="s">
        <v>9</v>
      </c>
      <c r="B87" s="47"/>
      <c r="C87" s="127">
        <f>'OPER EXP'!E100</f>
        <v>162073.16239316241</v>
      </c>
      <c r="D87" s="127">
        <f>'OPER EXP'!E104</f>
        <v>202591.45299145303</v>
      </c>
      <c r="E87" s="127">
        <f>'OPER EXP'!E108</f>
        <v>202591.45299145303</v>
      </c>
      <c r="F87" s="127">
        <f>'OPER EXP'!E112</f>
        <v>222850.59829059831</v>
      </c>
      <c r="G87" s="127">
        <f>'OPER EXP'!E113</f>
        <v>790106.66666666674</v>
      </c>
      <c r="H87" s="127">
        <f>'OPER EXP'!F100</f>
        <v>220049.23076923075</v>
      </c>
      <c r="I87" s="127">
        <f>'OPER EXP'!F104</f>
        <v>293398.97435897432</v>
      </c>
      <c r="J87" s="127">
        <f>'OPER EXP'!F108</f>
        <v>330073.84615384613</v>
      </c>
      <c r="K87" s="127">
        <f>'OPER EXP'!F112</f>
        <v>348411.282051282</v>
      </c>
      <c r="L87" s="127">
        <f>'OPER EXP'!F113</f>
        <v>1191933.3333333333</v>
      </c>
      <c r="M87" s="127">
        <f>'OPER EXP'!G100</f>
        <v>340666.66666666669</v>
      </c>
      <c r="N87" s="127">
        <f>'OPER EXP'!G104</f>
        <v>408800</v>
      </c>
      <c r="O87" s="127">
        <f>'OPER EXP'!G108</f>
        <v>476933.33333333337</v>
      </c>
      <c r="P87" s="127">
        <f>'OPER EXP'!G112</f>
        <v>545066.66666666674</v>
      </c>
      <c r="Q87" s="127">
        <f>'OPER EXP'!G113</f>
        <v>1771466.6666666667</v>
      </c>
      <c r="R87" s="357">
        <f>INCOME!E18</f>
        <v>790106.66666666674</v>
      </c>
      <c r="S87" s="357">
        <f>INCOME!F18</f>
        <v>1191933.3333333333</v>
      </c>
      <c r="T87" s="357">
        <f>INCOME!G18</f>
        <v>1771466.6666666667</v>
      </c>
    </row>
    <row r="88" spans="1:20">
      <c r="A88" s="47" t="s">
        <v>10</v>
      </c>
      <c r="B88" s="47"/>
      <c r="C88" s="278">
        <f>SUM(C85:C87)</f>
        <v>676524.4444444445</v>
      </c>
      <c r="D88" s="278">
        <f t="shared" ref="D88:P88" si="15">SUM(D85:D87)</f>
        <v>845655.5555555555</v>
      </c>
      <c r="E88" s="278">
        <f t="shared" si="15"/>
        <v>845655.5555555555</v>
      </c>
      <c r="F88" s="278">
        <f t="shared" si="15"/>
        <v>930221.11111111101</v>
      </c>
      <c r="G88" s="278">
        <f>SUM(C88:F88)</f>
        <v>3298056.6666666665</v>
      </c>
      <c r="H88" s="278">
        <f t="shared" si="15"/>
        <v>986756.92307692312</v>
      </c>
      <c r="I88" s="278">
        <f t="shared" si="15"/>
        <v>1315675.8974358975</v>
      </c>
      <c r="J88" s="278">
        <f t="shared" si="15"/>
        <v>1480135.3846153845</v>
      </c>
      <c r="K88" s="278">
        <f t="shared" si="15"/>
        <v>1562365.128205128</v>
      </c>
      <c r="L88" s="278">
        <f>SUM(H88:K88)</f>
        <v>5344933.333333333</v>
      </c>
      <c r="M88" s="278">
        <f t="shared" si="15"/>
        <v>1576820.512820513</v>
      </c>
      <c r="N88" s="278">
        <f t="shared" si="15"/>
        <v>1892184.6153846153</v>
      </c>
      <c r="O88" s="278">
        <f t="shared" si="15"/>
        <v>2207548.717948718</v>
      </c>
      <c r="P88" s="278">
        <f t="shared" si="15"/>
        <v>2522912.820512821</v>
      </c>
      <c r="Q88" s="278">
        <f>SUM(M88:P88)</f>
        <v>8199466.666666667</v>
      </c>
      <c r="R88" s="356">
        <f>INCOME!E19</f>
        <v>3298056.666666667</v>
      </c>
      <c r="S88" s="356">
        <f>INCOME!F19</f>
        <v>5344933.333333333</v>
      </c>
      <c r="T88" s="356">
        <f>INCOME!G19</f>
        <v>8199466.666666667</v>
      </c>
    </row>
    <row r="89" spans="1:20">
      <c r="A89" s="47"/>
      <c r="B89" s="47"/>
      <c r="C89" s="125"/>
      <c r="D89" s="125"/>
      <c r="E89" s="125"/>
      <c r="F89" s="125"/>
      <c r="G89" s="125"/>
      <c r="H89" s="125"/>
      <c r="I89" s="125"/>
      <c r="J89" s="125"/>
      <c r="K89" s="125"/>
      <c r="L89" s="125"/>
      <c r="M89" s="125"/>
      <c r="N89" s="125"/>
      <c r="O89" s="125"/>
      <c r="P89" s="125"/>
      <c r="Q89" s="125"/>
      <c r="R89" s="356"/>
      <c r="S89" s="356"/>
      <c r="T89" s="356"/>
    </row>
    <row r="90" spans="1:20">
      <c r="A90" s="350" t="s">
        <v>11</v>
      </c>
      <c r="B90" s="349"/>
      <c r="C90" s="278">
        <f>C82-C88</f>
        <v>154362.0024420023</v>
      </c>
      <c r="D90" s="278">
        <f>D82-D88</f>
        <v>192952.50305250287</v>
      </c>
      <c r="E90" s="278">
        <f>E82-E88</f>
        <v>192952.50305250287</v>
      </c>
      <c r="F90" s="278">
        <f>F82-F88</f>
        <v>212247.75335775316</v>
      </c>
      <c r="G90" s="278">
        <f>SUM(C90:F90)</f>
        <v>752514.7619047612</v>
      </c>
      <c r="H90" s="278">
        <f>H82-H88</f>
        <v>289067.25274725247</v>
      </c>
      <c r="I90" s="278">
        <f>I82-I88</f>
        <v>385423.00366300344</v>
      </c>
      <c r="J90" s="278">
        <f>J82-J88</f>
        <v>433600.87912087888</v>
      </c>
      <c r="K90" s="278">
        <f>K82-K88</f>
        <v>457689.81684981659</v>
      </c>
      <c r="L90" s="278">
        <f>SUM(H90:K90)</f>
        <v>1565780.9523809515</v>
      </c>
      <c r="M90" s="278">
        <f>M82-M88</f>
        <v>724498.16849816823</v>
      </c>
      <c r="N90" s="278">
        <f>N82-N88</f>
        <v>869397.80219780258</v>
      </c>
      <c r="O90" s="278">
        <f>O82-O88</f>
        <v>1014297.435897436</v>
      </c>
      <c r="P90" s="278">
        <f>P82-P88</f>
        <v>1159197.0695970692</v>
      </c>
      <c r="Q90" s="278">
        <f>SUM(M90:P90)</f>
        <v>3767390.4761904757</v>
      </c>
      <c r="R90" s="356">
        <f>INCOME!E22</f>
        <v>752514.7619047612</v>
      </c>
      <c r="S90" s="356">
        <f>INCOME!F22</f>
        <v>1565780.9523809524</v>
      </c>
      <c r="T90" s="356">
        <f>INCOME!G22</f>
        <v>3767390.4761904767</v>
      </c>
    </row>
    <row r="91" spans="1:20">
      <c r="A91" s="47"/>
      <c r="B91" s="47"/>
      <c r="C91" s="125"/>
      <c r="D91" s="125"/>
      <c r="E91" s="125"/>
      <c r="F91" s="125"/>
      <c r="G91" s="125"/>
      <c r="H91" s="125"/>
      <c r="I91" s="125"/>
      <c r="J91" s="125"/>
      <c r="K91" s="125"/>
      <c r="L91" s="125"/>
      <c r="M91" s="125"/>
      <c r="N91" s="125"/>
      <c r="O91" s="125"/>
      <c r="P91" s="125"/>
      <c r="Q91" s="125"/>
      <c r="R91" s="356"/>
      <c r="S91" s="356"/>
      <c r="T91" s="356"/>
    </row>
    <row r="92" spans="1:20">
      <c r="A92" s="53" t="s">
        <v>12</v>
      </c>
      <c r="B92" s="47"/>
      <c r="C92" s="356">
        <f>EXTRA!E27</f>
        <v>0</v>
      </c>
      <c r="D92" s="356">
        <f>EXTRA!E31</f>
        <v>0</v>
      </c>
      <c r="E92" s="356">
        <f>EXTRA!E35</f>
        <v>0</v>
      </c>
      <c r="F92" s="356">
        <f>EXTRA!E39</f>
        <v>0</v>
      </c>
      <c r="G92" s="356">
        <f>EXTRA!E40</f>
        <v>0</v>
      </c>
      <c r="H92" s="356">
        <f>EXTRA!F27</f>
        <v>0</v>
      </c>
      <c r="I92" s="356">
        <f>EXTRA!F31</f>
        <v>0</v>
      </c>
      <c r="J92" s="356">
        <f>EXTRA!F35</f>
        <v>0</v>
      </c>
      <c r="K92" s="356">
        <f>EXTRA!F39</f>
        <v>0</v>
      </c>
      <c r="L92" s="356">
        <f>EXTRA!F40</f>
        <v>0</v>
      </c>
      <c r="M92" s="356">
        <f>EXTRA!G27</f>
        <v>0</v>
      </c>
      <c r="N92" s="356">
        <f>EXTRA!G31</f>
        <v>0</v>
      </c>
      <c r="O92" s="356">
        <f>EXTRA!G35</f>
        <v>0</v>
      </c>
      <c r="P92" s="356">
        <f>EXTRA!G39</f>
        <v>0</v>
      </c>
      <c r="Q92" s="356">
        <f>EXTRA!G40</f>
        <v>0</v>
      </c>
      <c r="R92" s="356">
        <f>INCOME!E24</f>
        <v>0</v>
      </c>
      <c r="S92" s="356">
        <f>INCOME!F24</f>
        <v>0</v>
      </c>
      <c r="T92" s="356">
        <f>INCOME!G24</f>
        <v>0</v>
      </c>
    </row>
    <row r="93" spans="1:20">
      <c r="A93" s="47"/>
      <c r="B93" s="47"/>
      <c r="C93" s="125"/>
      <c r="D93" s="125"/>
      <c r="E93" s="125"/>
      <c r="F93" s="125"/>
      <c r="G93" s="125"/>
      <c r="H93" s="125"/>
      <c r="I93" s="125"/>
      <c r="J93" s="125"/>
      <c r="K93" s="125"/>
      <c r="L93" s="125"/>
      <c r="M93" s="125"/>
      <c r="N93" s="125"/>
      <c r="O93" s="125"/>
      <c r="P93" s="125"/>
      <c r="Q93" s="125"/>
      <c r="R93" s="356"/>
      <c r="S93" s="356"/>
      <c r="T93" s="356"/>
    </row>
    <row r="94" spans="1:20">
      <c r="A94" s="53" t="s">
        <v>13</v>
      </c>
      <c r="B94" s="47"/>
      <c r="C94" s="278">
        <f>C90+C92</f>
        <v>154362.0024420023</v>
      </c>
      <c r="D94" s="278">
        <f>D90+D92</f>
        <v>192952.50305250287</v>
      </c>
      <c r="E94" s="278">
        <f>E90+E92</f>
        <v>192952.50305250287</v>
      </c>
      <c r="F94" s="278">
        <f>F90+F92</f>
        <v>212247.75335775316</v>
      </c>
      <c r="G94" s="278">
        <f>SUM(C94:F94)</f>
        <v>752514.7619047612</v>
      </c>
      <c r="H94" s="278">
        <f>H90+H92</f>
        <v>289067.25274725247</v>
      </c>
      <c r="I94" s="278">
        <f>I90+I92</f>
        <v>385423.00366300344</v>
      </c>
      <c r="J94" s="278">
        <f>J90+J92</f>
        <v>433600.87912087888</v>
      </c>
      <c r="K94" s="278">
        <f>K90+K92</f>
        <v>457689.81684981659</v>
      </c>
      <c r="L94" s="278">
        <f>SUM(H94:K94)</f>
        <v>1565780.9523809515</v>
      </c>
      <c r="M94" s="278">
        <f>M90+M92</f>
        <v>724498.16849816823</v>
      </c>
      <c r="N94" s="278">
        <f>N90+N92</f>
        <v>869397.80219780258</v>
      </c>
      <c r="O94" s="278">
        <f>O90+O92</f>
        <v>1014297.435897436</v>
      </c>
      <c r="P94" s="278">
        <f>P90+P92</f>
        <v>1159197.0695970692</v>
      </c>
      <c r="Q94" s="278">
        <f>SUM(M94:P94)</f>
        <v>3767390.4761904757</v>
      </c>
      <c r="R94" s="356">
        <f>INCOME!E26</f>
        <v>752514.7619047612</v>
      </c>
      <c r="S94" s="356">
        <f>INCOME!F26</f>
        <v>1565780.9523809524</v>
      </c>
      <c r="T94" s="356">
        <f>INCOME!G26</f>
        <v>3767390.4761904767</v>
      </c>
    </row>
    <row r="95" spans="1:20">
      <c r="A95" s="47"/>
      <c r="B95" s="47"/>
      <c r="C95" s="125"/>
      <c r="D95" s="125"/>
      <c r="E95" s="125"/>
      <c r="F95" s="125"/>
      <c r="G95" s="125"/>
      <c r="H95" s="125"/>
      <c r="I95" s="125"/>
      <c r="J95" s="125"/>
      <c r="K95" s="125"/>
      <c r="L95" s="125"/>
      <c r="M95" s="125"/>
      <c r="N95" s="125"/>
      <c r="O95" s="125"/>
      <c r="P95" s="125"/>
      <c r="Q95" s="125"/>
      <c r="R95" s="356"/>
      <c r="S95" s="356"/>
      <c r="T95" s="356"/>
    </row>
    <row r="96" spans="1:20">
      <c r="A96" s="53" t="s">
        <v>116</v>
      </c>
      <c r="B96" s="47"/>
      <c r="C96" s="278">
        <f>$D$122</f>
        <v>-12000</v>
      </c>
      <c r="D96" s="278">
        <f>$D$122</f>
        <v>-12000</v>
      </c>
      <c r="E96" s="278">
        <f>$D$122</f>
        <v>-12000</v>
      </c>
      <c r="F96" s="278">
        <f>$D$122</f>
        <v>-12000</v>
      </c>
      <c r="G96" s="278">
        <f>SUM(C96:F96)</f>
        <v>-48000</v>
      </c>
      <c r="H96" s="278">
        <f>$D$123</f>
        <v>-11250</v>
      </c>
      <c r="I96" s="278">
        <f>$D$123</f>
        <v>-11250</v>
      </c>
      <c r="J96" s="278">
        <f>$D$123</f>
        <v>-11250</v>
      </c>
      <c r="K96" s="278">
        <f>$D$123</f>
        <v>-11250</v>
      </c>
      <c r="L96" s="278">
        <f>SUM(H96:K96)</f>
        <v>-45000</v>
      </c>
      <c r="M96" s="278">
        <f>$D$124</f>
        <v>-3500</v>
      </c>
      <c r="N96" s="278">
        <f>$D$124</f>
        <v>-3500</v>
      </c>
      <c r="O96" s="278">
        <f>$D$124</f>
        <v>-3500</v>
      </c>
      <c r="P96" s="278">
        <f>$D$124</f>
        <v>-3500</v>
      </c>
      <c r="Q96" s="278">
        <f>SUM(M96:P96)</f>
        <v>-14000</v>
      </c>
      <c r="R96" s="356">
        <f>INCOME!E28</f>
        <v>-48000</v>
      </c>
      <c r="S96" s="356">
        <f>INCOME!F28</f>
        <v>-45000</v>
      </c>
      <c r="T96" s="356">
        <f>INCOME!G28</f>
        <v>-14000</v>
      </c>
    </row>
    <row r="97" spans="1:20">
      <c r="A97" s="47"/>
      <c r="B97" s="47"/>
      <c r="C97" s="125"/>
      <c r="D97" s="125"/>
      <c r="E97" s="125"/>
      <c r="F97" s="125"/>
      <c r="G97" s="125"/>
      <c r="H97" s="125"/>
      <c r="I97" s="125"/>
      <c r="J97" s="125"/>
      <c r="K97" s="125"/>
      <c r="L97" s="125"/>
      <c r="M97" s="125"/>
      <c r="N97" s="125"/>
      <c r="O97" s="125"/>
      <c r="P97" s="125"/>
      <c r="Q97" s="125"/>
      <c r="R97" s="356"/>
      <c r="S97" s="356"/>
      <c r="T97" s="356"/>
    </row>
    <row r="98" spans="1:20">
      <c r="A98" s="53" t="s">
        <v>14</v>
      </c>
      <c r="B98" s="47"/>
      <c r="C98" s="278">
        <f t="shared" ref="C98:P98" si="16">C94+C96</f>
        <v>142362.0024420023</v>
      </c>
      <c r="D98" s="278">
        <f t="shared" si="16"/>
        <v>180952.50305250287</v>
      </c>
      <c r="E98" s="278">
        <f t="shared" si="16"/>
        <v>180952.50305250287</v>
      </c>
      <c r="F98" s="278">
        <f t="shared" si="16"/>
        <v>200247.75335775316</v>
      </c>
      <c r="G98" s="278">
        <f>SUM(C98:F98)</f>
        <v>704514.7619047612</v>
      </c>
      <c r="H98" s="278">
        <f t="shared" si="16"/>
        <v>277817.25274725247</v>
      </c>
      <c r="I98" s="278">
        <f t="shared" si="16"/>
        <v>374173.00366300344</v>
      </c>
      <c r="J98" s="278">
        <f t="shared" si="16"/>
        <v>422350.87912087888</v>
      </c>
      <c r="K98" s="278">
        <f t="shared" si="16"/>
        <v>446439.81684981659</v>
      </c>
      <c r="L98" s="278">
        <f>SUM(H98:K98)</f>
        <v>1520780.9523809515</v>
      </c>
      <c r="M98" s="278">
        <f t="shared" si="16"/>
        <v>720998.16849816823</v>
      </c>
      <c r="N98" s="278">
        <f t="shared" si="16"/>
        <v>865897.80219780258</v>
      </c>
      <c r="O98" s="278">
        <f t="shared" si="16"/>
        <v>1010797.435897436</v>
      </c>
      <c r="P98" s="278">
        <f t="shared" si="16"/>
        <v>1155697.0695970692</v>
      </c>
      <c r="Q98" s="278">
        <f>SUM(M98:P98)</f>
        <v>3753390.4761904757</v>
      </c>
      <c r="R98" s="356">
        <f>INCOME!E30</f>
        <v>704514.7619047612</v>
      </c>
      <c r="S98" s="356">
        <f>INCOME!F30</f>
        <v>1520780.9523809524</v>
      </c>
      <c r="T98" s="356">
        <f>INCOME!G30</f>
        <v>3753390.4761904767</v>
      </c>
    </row>
    <row r="99" spans="1:20">
      <c r="A99" s="47"/>
      <c r="B99" s="47"/>
      <c r="Q99" s="125"/>
      <c r="R99" s="356"/>
      <c r="S99" s="356"/>
      <c r="T99" s="356"/>
    </row>
    <row r="100" spans="1:20">
      <c r="A100" s="53" t="s">
        <v>15</v>
      </c>
      <c r="B100" s="47"/>
      <c r="C100" s="278">
        <f>-IF(TAXES!$E12&gt;=0,IF(TAXES!$E12&lt;=TAXES!$E11,(TAXES!$E9*'INCOME-MOS'!C98)*TAXES!$E12/TAXES!$E11,TAXES!$E9*'INCOME-MOS'!C98),0)</f>
        <v>0</v>
      </c>
      <c r="D100" s="278">
        <f>-IF(TAXES!$E12&gt;=0,IF(TAXES!$E12&lt;=TAXES!$E11,(TAXES!$E9*'INCOME-MOS'!D98)*TAXES!$E12/TAXES!$E11,TAXES!$E9*'INCOME-MOS'!D98),0)</f>
        <v>0</v>
      </c>
      <c r="E100" s="278">
        <f>-IF(TAXES!$E12&gt;=0,IF(TAXES!$E12&lt;=TAXES!$E11,(TAXES!$E9*'INCOME-MOS'!E98)*TAXES!$E12/TAXES!$E11,TAXES!$E9*'INCOME-MOS'!E98),0)</f>
        <v>0</v>
      </c>
      <c r="F100" s="278">
        <f>-IF(TAXES!$E12&gt;=0,IF(TAXES!$E12&lt;=TAXES!$E11,(TAXES!$E9*'INCOME-MOS'!F98)*TAXES!$E12/TAXES!$E11,TAXES!$E9*'INCOME-MOS'!F98),0)</f>
        <v>0</v>
      </c>
      <c r="G100" s="278">
        <f>SUM(C100:F100)</f>
        <v>0</v>
      </c>
      <c r="H100" s="278">
        <f>-IF(TAXES!$F12&gt;=0,IF(TAXES!$F12&lt;=TAXES!$F11,(TAXES!$F9*'INCOME-MOS'!H98)*TAXES!$F12/TAXES!$F11,TAXES!$F9*'INCOME-MOS'!H98),0)</f>
        <v>-94635.90771333623</v>
      </c>
      <c r="I100" s="278">
        <f>-IF(TAXES!$F12&gt;=0,IF(TAXES!$F12&lt;=TAXES!$F11,(TAXES!$F9*'INCOME-MOS'!I98)*TAXES!$F12/TAXES!$F11,TAXES!$F9*'INCOME-MOS'!I98),0)</f>
        <v>-127458.61350694681</v>
      </c>
      <c r="J100" s="278">
        <f>-IF(TAXES!$F12&gt;=0,IF(TAXES!$F12&lt;=TAXES!$F11,(TAXES!$F9*'INCOME-MOS'!J98)*TAXES!$F12/TAXES!$F11,TAXES!$F9*'INCOME-MOS'!J98),0)</f>
        <v>-143869.96640375207</v>
      </c>
      <c r="K100" s="278">
        <f>-IF(TAXES!$F12&gt;=0,IF(TAXES!$F12&lt;=TAXES!$F11,(TAXES!$F9*'INCOME-MOS'!K98)*TAXES!$F12/TAXES!$F11,TAXES!$F9*'INCOME-MOS'!K98),0)</f>
        <v>-152075.64285215474</v>
      </c>
      <c r="L100" s="278">
        <f>SUM(H100:K100)</f>
        <v>-518040.13047618984</v>
      </c>
      <c r="M100" s="278">
        <f>-IF(TAXES!$G12&gt;=0,IF(TAXES!$G12&lt;=TAXES!$G11,(TAXES!$G9*'INCOME-MOS'!M98)*TAXES!$G12/TAXES!$G11,TAXES!$G9*'INCOME-MOS'!M98),0)</f>
        <v>-288399.26739926729</v>
      </c>
      <c r="N100" s="278">
        <f>-IF(TAXES!$G12&gt;=0,IF(TAXES!$G12&lt;=TAXES!$G11,(TAXES!$G9*'INCOME-MOS'!N98)*TAXES!$G12/TAXES!$G11,TAXES!$G9*'INCOME-MOS'!N98),0)</f>
        <v>-346359.12087912107</v>
      </c>
      <c r="O100" s="278">
        <f>-IF(TAXES!$G12&gt;=0,IF(TAXES!$G12&lt;=TAXES!$G11,(TAXES!$G9*'INCOME-MOS'!O98)*TAXES!$G12/TAXES!$G11,TAXES!$G9*'INCOME-MOS'!O98),0)</f>
        <v>-404318.97435897443</v>
      </c>
      <c r="P100" s="278">
        <f>-IF(TAXES!$G12&gt;=0,IF(TAXES!$G12&lt;=TAXES!$G11,(TAXES!$G9*'INCOME-MOS'!P98)*TAXES!$G12/TAXES!$G11,TAXES!$G9*'INCOME-MOS'!P98),0)</f>
        <v>-462278.82783882768</v>
      </c>
      <c r="Q100" s="278">
        <f>SUM(M100:P100)</f>
        <v>-1501356.1904761905</v>
      </c>
      <c r="R100" s="356">
        <f>INCOME!E32</f>
        <v>0</v>
      </c>
      <c r="S100" s="356">
        <f>INCOME!F32</f>
        <v>-518040.13047619018</v>
      </c>
      <c r="T100" s="356">
        <f>INCOME!G32</f>
        <v>-1501356.1904761908</v>
      </c>
    </row>
    <row r="101" spans="1:20">
      <c r="A101" s="47"/>
      <c r="B101" s="47"/>
      <c r="C101" s="125"/>
      <c r="D101" s="125"/>
      <c r="E101" s="125"/>
      <c r="F101" s="125"/>
      <c r="G101" s="125"/>
      <c r="H101" s="125"/>
      <c r="I101" s="125"/>
      <c r="J101" s="125"/>
      <c r="K101" s="125"/>
      <c r="L101" s="125"/>
      <c r="M101" s="125"/>
      <c r="N101" s="125"/>
      <c r="O101" s="125"/>
      <c r="P101" s="125"/>
      <c r="Q101" s="125"/>
      <c r="R101" s="356"/>
      <c r="S101" s="356"/>
      <c r="T101" s="356"/>
    </row>
    <row r="102" spans="1:20">
      <c r="A102" s="53" t="s">
        <v>16</v>
      </c>
      <c r="B102" s="47"/>
      <c r="C102" s="302">
        <f>C98+C100</f>
        <v>142362.0024420023</v>
      </c>
      <c r="D102" s="302">
        <f t="shared" ref="D102:P102" si="17">D98+D100</f>
        <v>180952.50305250287</v>
      </c>
      <c r="E102" s="302">
        <f t="shared" si="17"/>
        <v>180952.50305250287</v>
      </c>
      <c r="F102" s="302">
        <f t="shared" si="17"/>
        <v>200247.75335775316</v>
      </c>
      <c r="G102" s="302">
        <f>SUM(C102:F102)</f>
        <v>704514.7619047612</v>
      </c>
      <c r="H102" s="302">
        <f t="shared" si="17"/>
        <v>183181.34503391624</v>
      </c>
      <c r="I102" s="302">
        <f t="shared" si="17"/>
        <v>246714.39015605662</v>
      </c>
      <c r="J102" s="302">
        <f t="shared" si="17"/>
        <v>278480.91271712678</v>
      </c>
      <c r="K102" s="302">
        <f t="shared" si="17"/>
        <v>294364.17399766186</v>
      </c>
      <c r="L102" s="302">
        <f>SUM(H102:K102)</f>
        <v>1002740.8219047615</v>
      </c>
      <c r="M102" s="302">
        <f t="shared" si="17"/>
        <v>432598.90109890094</v>
      </c>
      <c r="N102" s="302">
        <f t="shared" si="17"/>
        <v>519538.68131868151</v>
      </c>
      <c r="O102" s="302">
        <f t="shared" si="17"/>
        <v>606478.4615384615</v>
      </c>
      <c r="P102" s="302">
        <f t="shared" si="17"/>
        <v>693418.24175824155</v>
      </c>
      <c r="Q102" s="302">
        <f>SUM(M102:P102)</f>
        <v>2252034.2857142854</v>
      </c>
      <c r="R102" s="358">
        <f>INCOME!E34</f>
        <v>704514.7619047612</v>
      </c>
      <c r="S102" s="358">
        <f>INCOME!F34</f>
        <v>1002740.8219047622</v>
      </c>
      <c r="T102" s="358">
        <f>INCOME!G34</f>
        <v>2252034.2857142859</v>
      </c>
    </row>
    <row r="103" spans="1:20">
      <c r="A103" s="47"/>
      <c r="B103" s="47"/>
      <c r="C103" s="47"/>
      <c r="D103" s="47"/>
      <c r="E103" s="47"/>
      <c r="F103" s="47"/>
      <c r="G103" s="47"/>
      <c r="H103" s="47"/>
      <c r="I103" s="47"/>
      <c r="J103" s="47"/>
      <c r="K103" s="47"/>
      <c r="L103" s="47"/>
      <c r="M103" s="47"/>
      <c r="N103" s="47"/>
      <c r="O103" s="47"/>
      <c r="P103" s="47"/>
    </row>
    <row r="104" spans="1:20">
      <c r="A104" s="47"/>
      <c r="B104" s="47"/>
      <c r="C104" s="47"/>
      <c r="D104" s="47"/>
      <c r="E104" s="47"/>
      <c r="F104" s="47"/>
      <c r="G104" s="47"/>
      <c r="H104" s="47"/>
      <c r="I104" s="47"/>
      <c r="J104" s="47"/>
      <c r="K104" s="47"/>
      <c r="L104" s="47"/>
      <c r="M104" s="47"/>
      <c r="N104" s="47"/>
      <c r="O104" s="47"/>
      <c r="P104" s="47"/>
    </row>
    <row r="105" spans="1:20" ht="15.75">
      <c r="A105" s="223"/>
      <c r="B105" s="47"/>
      <c r="C105" s="47"/>
      <c r="D105" s="47"/>
      <c r="E105" s="47"/>
      <c r="F105" s="47"/>
      <c r="G105" s="47"/>
      <c r="H105" s="47"/>
      <c r="I105" s="47"/>
      <c r="J105" s="47"/>
      <c r="K105" s="47"/>
      <c r="L105" s="47"/>
      <c r="M105" s="47"/>
      <c r="N105" s="47"/>
      <c r="O105" s="47"/>
      <c r="P105" s="47"/>
    </row>
    <row r="106" spans="1:20" ht="20.25">
      <c r="A106" s="424"/>
      <c r="B106" s="425"/>
      <c r="C106" s="425"/>
      <c r="D106" s="425"/>
      <c r="E106" s="425"/>
      <c r="F106" s="424"/>
      <c r="G106" s="426"/>
      <c r="H106" s="427" t="s">
        <v>287</v>
      </c>
      <c r="I106" s="425"/>
      <c r="J106" s="425"/>
      <c r="K106" s="425"/>
      <c r="L106" s="425"/>
      <c r="M106" s="425"/>
      <c r="N106" s="425"/>
      <c r="O106" s="425"/>
      <c r="P106" s="425"/>
      <c r="Q106" s="425"/>
    </row>
    <row r="107" spans="1:20" ht="15.75">
      <c r="A107" s="424"/>
      <c r="B107" s="425"/>
      <c r="C107" s="425"/>
      <c r="D107" s="425"/>
      <c r="E107" s="425"/>
      <c r="F107" s="426"/>
      <c r="G107" s="426"/>
      <c r="H107" s="425" t="s">
        <v>401</v>
      </c>
      <c r="I107" s="425"/>
      <c r="J107" s="425"/>
      <c r="K107" s="425"/>
      <c r="L107" s="425"/>
      <c r="M107" s="425"/>
      <c r="N107" s="425"/>
      <c r="O107" s="425"/>
      <c r="P107" s="425"/>
      <c r="Q107" s="425"/>
    </row>
    <row r="108" spans="1:20" ht="15.75">
      <c r="A108" s="424"/>
      <c r="B108" s="424"/>
      <c r="C108" s="424"/>
      <c r="D108" s="424"/>
      <c r="E108" s="424"/>
      <c r="F108" s="426"/>
      <c r="G108" s="428" t="s">
        <v>402</v>
      </c>
      <c r="H108" s="426"/>
      <c r="I108" s="424"/>
      <c r="J108" s="424"/>
      <c r="K108" s="424"/>
      <c r="L108" s="424"/>
      <c r="M108" s="424"/>
      <c r="N108" s="424"/>
      <c r="O108" s="424"/>
      <c r="P108" s="424"/>
      <c r="Q108" s="425"/>
    </row>
    <row r="109" spans="1:20" ht="15.75">
      <c r="A109" s="424"/>
      <c r="B109" s="424"/>
      <c r="C109" s="424"/>
      <c r="D109" s="424"/>
      <c r="E109" s="424"/>
      <c r="F109" s="426"/>
      <c r="G109" s="428" t="s">
        <v>266</v>
      </c>
      <c r="H109" s="426"/>
      <c r="I109" s="424"/>
      <c r="J109" s="424"/>
      <c r="K109" s="424"/>
      <c r="L109" s="424"/>
      <c r="M109" s="424"/>
      <c r="N109" s="424"/>
      <c r="O109" s="424"/>
      <c r="P109" s="424"/>
      <c r="Q109" s="425"/>
    </row>
    <row r="110" spans="1:20" ht="15.75">
      <c r="A110" s="598" t="s">
        <v>402</v>
      </c>
      <c r="B110" s="424"/>
      <c r="C110" s="424"/>
      <c r="D110" s="424"/>
      <c r="E110" s="424"/>
      <c r="F110" s="424"/>
      <c r="G110" s="424"/>
      <c r="H110" s="424"/>
      <c r="I110" s="424"/>
      <c r="J110" s="424"/>
      <c r="K110" s="424"/>
      <c r="L110" s="424"/>
      <c r="M110" s="424"/>
      <c r="N110" s="424"/>
      <c r="O110" s="424"/>
      <c r="P110" s="424"/>
      <c r="Q110" s="425"/>
    </row>
    <row r="111" spans="1:20" ht="15.75">
      <c r="A111" s="424" t="s">
        <v>403</v>
      </c>
      <c r="B111" s="424"/>
      <c r="C111" s="429" t="s">
        <v>172</v>
      </c>
      <c r="D111" s="429" t="s">
        <v>173</v>
      </c>
      <c r="E111" s="429" t="s">
        <v>174</v>
      </c>
      <c r="F111" s="429" t="s">
        <v>175</v>
      </c>
      <c r="G111" s="429" t="s">
        <v>176</v>
      </c>
      <c r="H111" s="429" t="s">
        <v>177</v>
      </c>
      <c r="I111" s="429" t="s">
        <v>178</v>
      </c>
      <c r="J111" s="429" t="s">
        <v>179</v>
      </c>
      <c r="K111" s="429" t="s">
        <v>180</v>
      </c>
      <c r="L111" s="429" t="s">
        <v>181</v>
      </c>
      <c r="M111" s="429" t="s">
        <v>182</v>
      </c>
      <c r="N111" s="429" t="s">
        <v>183</v>
      </c>
      <c r="O111" s="424"/>
      <c r="P111" s="424"/>
      <c r="Q111" s="425"/>
    </row>
    <row r="112" spans="1:20" ht="15.75">
      <c r="A112" s="430" t="s">
        <v>72</v>
      </c>
      <c r="B112" s="431"/>
      <c r="C112" s="424">
        <f>C31</f>
        <v>-25000</v>
      </c>
      <c r="D112" s="424">
        <f t="shared" ref="D112:N112" si="18">C112+D31</f>
        <v>-45000</v>
      </c>
      <c r="E112" s="424">
        <f t="shared" si="18"/>
        <v>-45000</v>
      </c>
      <c r="F112" s="424">
        <f t="shared" si="18"/>
        <v>-78356.555119047611</v>
      </c>
      <c r="G112" s="424">
        <f t="shared" si="18"/>
        <v>-131727.04330952378</v>
      </c>
      <c r="H112" s="424">
        <f t="shared" si="18"/>
        <v>-198440.153547619</v>
      </c>
      <c r="I112" s="424">
        <f t="shared" si="18"/>
        <v>-265153.26378571423</v>
      </c>
      <c r="J112" s="424">
        <f t="shared" si="18"/>
        <v>-345208.99607142847</v>
      </c>
      <c r="K112" s="424">
        <f t="shared" si="18"/>
        <v>-445278.66142857133</v>
      </c>
      <c r="L112" s="424">
        <f t="shared" si="18"/>
        <v>-525334.39371428557</v>
      </c>
      <c r="M112" s="424">
        <f t="shared" si="18"/>
        <v>-612061.43702380941</v>
      </c>
      <c r="N112" s="424">
        <f t="shared" si="18"/>
        <v>-712131.10238095222</v>
      </c>
      <c r="O112" s="424"/>
      <c r="P112" s="424"/>
      <c r="Q112" s="425"/>
    </row>
    <row r="113" spans="1:17" ht="15.75">
      <c r="A113" s="430" t="s">
        <v>73</v>
      </c>
      <c r="B113" s="424"/>
      <c r="C113" s="424">
        <f>N112+C64</f>
        <v>-725034.31666666653</v>
      </c>
      <c r="D113" s="424">
        <f t="shared" ref="D113:N113" si="19">C113+D64</f>
        <v>-737937.53095238085</v>
      </c>
      <c r="E113" s="424">
        <f t="shared" si="19"/>
        <v>-754002.03095238085</v>
      </c>
      <c r="F113" s="424">
        <f t="shared" si="19"/>
        <v>-768485.88809523801</v>
      </c>
      <c r="G113" s="424">
        <f t="shared" si="19"/>
        <v>-784550.38809523801</v>
      </c>
      <c r="H113" s="424">
        <f t="shared" si="19"/>
        <v>-800614.88809523801</v>
      </c>
      <c r="I113" s="424">
        <f t="shared" si="19"/>
        <v>-818260.03095238097</v>
      </c>
      <c r="J113" s="424">
        <f t="shared" si="19"/>
        <v>-839066.45952380961</v>
      </c>
      <c r="K113" s="424">
        <f t="shared" si="19"/>
        <v>-859872.88809523825</v>
      </c>
      <c r="L113" s="424">
        <f t="shared" si="19"/>
        <v>-882259.95952380972</v>
      </c>
      <c r="M113" s="424">
        <f t="shared" si="19"/>
        <v>-906227.67380952404</v>
      </c>
      <c r="N113" s="424">
        <f t="shared" si="19"/>
        <v>-930195.38809523836</v>
      </c>
      <c r="O113" s="424"/>
      <c r="P113" s="424"/>
      <c r="Q113" s="425"/>
    </row>
    <row r="114" spans="1:17" ht="15.75">
      <c r="A114" s="432"/>
      <c r="B114" s="424"/>
      <c r="C114" s="424"/>
      <c r="D114" s="424"/>
      <c r="E114" s="424"/>
      <c r="F114" s="424"/>
      <c r="G114" s="424"/>
      <c r="H114" s="424"/>
      <c r="I114" s="424"/>
      <c r="J114" s="424"/>
      <c r="K114" s="424"/>
      <c r="L114" s="424"/>
      <c r="M114" s="424"/>
      <c r="N114" s="424"/>
      <c r="O114" s="424"/>
      <c r="P114" s="424"/>
      <c r="Q114" s="425"/>
    </row>
    <row r="115" spans="1:17">
      <c r="A115" s="424" t="s">
        <v>403</v>
      </c>
      <c r="B115" s="424"/>
      <c r="C115" s="616" t="s">
        <v>74</v>
      </c>
      <c r="D115" s="616"/>
      <c r="E115" s="616"/>
      <c r="F115" s="616"/>
      <c r="G115" s="424"/>
      <c r="H115" s="616" t="s">
        <v>75</v>
      </c>
      <c r="I115" s="616"/>
      <c r="J115" s="616"/>
      <c r="K115" s="616"/>
      <c r="L115" s="424"/>
      <c r="M115" s="616" t="s">
        <v>76</v>
      </c>
      <c r="N115" s="616"/>
      <c r="O115" s="616"/>
      <c r="P115" s="616"/>
      <c r="Q115" s="424"/>
    </row>
    <row r="116" spans="1:17">
      <c r="A116" s="432"/>
      <c r="B116" s="424"/>
      <c r="C116" s="429" t="s">
        <v>283</v>
      </c>
      <c r="D116" s="429" t="s">
        <v>284</v>
      </c>
      <c r="E116" s="429" t="s">
        <v>285</v>
      </c>
      <c r="F116" s="429" t="s">
        <v>286</v>
      </c>
      <c r="G116" s="424"/>
      <c r="H116" s="429" t="s">
        <v>283</v>
      </c>
      <c r="I116" s="429" t="s">
        <v>284</v>
      </c>
      <c r="J116" s="429" t="s">
        <v>285</v>
      </c>
      <c r="K116" s="429" t="s">
        <v>286</v>
      </c>
      <c r="L116" s="424"/>
      <c r="M116" s="429" t="s">
        <v>283</v>
      </c>
      <c r="N116" s="429" t="s">
        <v>284</v>
      </c>
      <c r="O116" s="429" t="s">
        <v>285</v>
      </c>
      <c r="P116" s="429" t="s">
        <v>286</v>
      </c>
      <c r="Q116" s="424"/>
    </row>
    <row r="117" spans="1:17">
      <c r="A117" s="432"/>
      <c r="B117" s="424"/>
      <c r="C117" s="424">
        <f>N113+C98</f>
        <v>-787833.38565323607</v>
      </c>
      <c r="D117" s="424">
        <f>C117+D98</f>
        <v>-606880.8826007332</v>
      </c>
      <c r="E117" s="424">
        <f>D117+E98</f>
        <v>-425928.37954823032</v>
      </c>
      <c r="F117" s="424">
        <f>E117+F98</f>
        <v>-225680.62619047717</v>
      </c>
      <c r="G117" s="424"/>
      <c r="H117" s="424">
        <f>F117+H98</f>
        <v>52136.6265567753</v>
      </c>
      <c r="I117" s="424">
        <f>H117+I98</f>
        <v>426309.63021977874</v>
      </c>
      <c r="J117" s="424">
        <f>I117+J98</f>
        <v>848660.50934065762</v>
      </c>
      <c r="K117" s="424">
        <f>J117+K98</f>
        <v>1295100.3261904742</v>
      </c>
      <c r="L117" s="424"/>
      <c r="M117" s="424">
        <f>K117+M98</f>
        <v>2016098.4946886424</v>
      </c>
      <c r="N117" s="424">
        <f>M117+N98</f>
        <v>2881996.296886445</v>
      </c>
      <c r="O117" s="424">
        <f>N117+O98</f>
        <v>3892793.732783881</v>
      </c>
      <c r="P117" s="424">
        <f>O117+P98</f>
        <v>5048490.8023809502</v>
      </c>
      <c r="Q117" s="424"/>
    </row>
    <row r="118" spans="1:17">
      <c r="A118" s="432"/>
      <c r="B118" s="424"/>
      <c r="C118" s="424"/>
      <c r="D118" s="424"/>
      <c r="E118" s="424"/>
      <c r="F118" s="424"/>
      <c r="G118" s="424"/>
      <c r="H118" s="424"/>
      <c r="I118" s="424"/>
      <c r="J118" s="424"/>
      <c r="K118" s="424"/>
      <c r="L118" s="424"/>
      <c r="M118" s="424"/>
      <c r="N118" s="424"/>
      <c r="O118" s="424"/>
      <c r="P118" s="424"/>
      <c r="Q118" s="424"/>
    </row>
    <row r="119" spans="1:17">
      <c r="A119" s="552" t="s">
        <v>266</v>
      </c>
      <c r="B119" s="424"/>
      <c r="C119" s="424" t="s">
        <v>267</v>
      </c>
      <c r="D119" s="424" t="s">
        <v>268</v>
      </c>
      <c r="E119" s="424"/>
      <c r="F119" s="424"/>
      <c r="G119" s="424"/>
      <c r="H119" s="424"/>
      <c r="I119" s="424"/>
      <c r="J119" s="424"/>
      <c r="K119" s="424"/>
      <c r="L119" s="424"/>
      <c r="M119" s="424"/>
      <c r="N119" s="424"/>
      <c r="O119" s="424"/>
      <c r="P119" s="424"/>
      <c r="Q119" s="424"/>
    </row>
    <row r="120" spans="1:17">
      <c r="A120" s="432" t="s">
        <v>72</v>
      </c>
      <c r="B120" s="424"/>
      <c r="C120" s="424">
        <f>FUNDING!C45-FUNDING!C41</f>
        <v>0</v>
      </c>
      <c r="D120" s="424">
        <f>C120/12</f>
        <v>0</v>
      </c>
      <c r="E120" s="424"/>
      <c r="F120" s="424"/>
      <c r="G120" s="424"/>
      <c r="H120" s="424"/>
      <c r="I120" s="424"/>
      <c r="J120" s="424"/>
      <c r="K120" s="424"/>
      <c r="L120" s="424"/>
      <c r="M120" s="424"/>
      <c r="N120" s="424"/>
      <c r="O120" s="424"/>
      <c r="P120" s="424"/>
      <c r="Q120" s="424"/>
    </row>
    <row r="121" spans="1:17">
      <c r="A121" s="432" t="s">
        <v>73</v>
      </c>
      <c r="B121" s="424"/>
      <c r="C121" s="424">
        <f>FUNDING!D45-FUNDING!D41</f>
        <v>-60000</v>
      </c>
      <c r="D121" s="424">
        <f>C121/12</f>
        <v>-5000</v>
      </c>
      <c r="E121" s="424"/>
      <c r="F121" s="424"/>
      <c r="G121" s="424"/>
      <c r="H121" s="424"/>
      <c r="I121" s="424"/>
      <c r="J121" s="424"/>
      <c r="K121" s="424"/>
      <c r="L121" s="424"/>
      <c r="M121" s="424"/>
      <c r="N121" s="424"/>
      <c r="O121" s="424"/>
      <c r="P121" s="424"/>
      <c r="Q121" s="424"/>
    </row>
    <row r="122" spans="1:17">
      <c r="A122" s="432" t="s">
        <v>74</v>
      </c>
      <c r="B122" s="424"/>
      <c r="C122" s="424">
        <f>FUNDING!E45-FUNDING!E41</f>
        <v>-48000</v>
      </c>
      <c r="D122" s="424">
        <f>C122/4</f>
        <v>-12000</v>
      </c>
      <c r="E122" s="424"/>
      <c r="F122" s="424"/>
      <c r="G122" s="424"/>
      <c r="H122" s="424"/>
      <c r="I122" s="424"/>
      <c r="J122" s="424"/>
      <c r="K122" s="424"/>
      <c r="L122" s="424"/>
      <c r="M122" s="424"/>
      <c r="N122" s="424"/>
      <c r="O122" s="424"/>
      <c r="P122" s="424"/>
      <c r="Q122" s="424"/>
    </row>
    <row r="123" spans="1:17">
      <c r="A123" s="432" t="s">
        <v>75</v>
      </c>
      <c r="B123" s="424"/>
      <c r="C123" s="424">
        <f>FUNDING!F45-FUNDING!F41</f>
        <v>-45000</v>
      </c>
      <c r="D123" s="424">
        <f>C123/4</f>
        <v>-11250</v>
      </c>
      <c r="E123" s="424"/>
      <c r="F123" s="424"/>
      <c r="G123" s="424"/>
      <c r="H123" s="424"/>
      <c r="I123" s="424"/>
      <c r="J123" s="424"/>
      <c r="K123" s="424"/>
      <c r="L123" s="424"/>
      <c r="M123" s="424"/>
      <c r="N123" s="424"/>
      <c r="O123" s="424"/>
      <c r="P123" s="424"/>
      <c r="Q123" s="424"/>
    </row>
    <row r="124" spans="1:17">
      <c r="A124" s="432" t="s">
        <v>76</v>
      </c>
      <c r="B124" s="424"/>
      <c r="C124" s="424">
        <f>FUNDING!G45-FUNDING!G41</f>
        <v>-14000</v>
      </c>
      <c r="D124" s="424">
        <f>C124/4</f>
        <v>-3500</v>
      </c>
      <c r="E124" s="424"/>
      <c r="F124" s="424"/>
      <c r="G124" s="424"/>
      <c r="H124" s="424"/>
      <c r="I124" s="424"/>
      <c r="J124" s="424"/>
      <c r="K124" s="424"/>
      <c r="L124" s="424"/>
      <c r="M124" s="424"/>
      <c r="N124" s="424"/>
      <c r="O124" s="424"/>
      <c r="P124" s="424"/>
      <c r="Q124" s="424"/>
    </row>
    <row r="125" spans="1:17">
      <c r="A125" s="355"/>
      <c r="B125" s="125"/>
      <c r="C125" s="125"/>
      <c r="D125" s="125"/>
      <c r="E125" s="125"/>
      <c r="F125" s="125"/>
      <c r="G125" s="125"/>
      <c r="H125" s="125"/>
      <c r="I125" s="125"/>
      <c r="J125" s="125"/>
      <c r="K125" s="125"/>
      <c r="L125" s="125"/>
      <c r="M125" s="125"/>
      <c r="N125" s="125"/>
      <c r="O125" s="125"/>
      <c r="P125" s="125"/>
      <c r="Q125" s="126"/>
    </row>
    <row r="126" spans="1:17">
      <c r="A126" s="125"/>
      <c r="B126" s="125"/>
      <c r="C126" s="125"/>
      <c r="D126" s="125"/>
      <c r="E126" s="125"/>
      <c r="F126" s="125"/>
      <c r="G126" s="125"/>
      <c r="H126" s="125"/>
      <c r="I126" s="125"/>
      <c r="J126" s="125"/>
      <c r="K126" s="125"/>
      <c r="L126" s="125"/>
      <c r="M126" s="125"/>
      <c r="N126" s="125"/>
      <c r="O126" s="125"/>
      <c r="P126" s="125"/>
      <c r="Q126" s="126"/>
    </row>
    <row r="127" spans="1:17">
      <c r="A127" s="125"/>
      <c r="B127" s="125"/>
      <c r="C127" s="125"/>
      <c r="D127" s="125"/>
      <c r="E127" s="125"/>
      <c r="F127" s="125"/>
      <c r="G127" s="125"/>
      <c r="H127" s="125"/>
      <c r="I127" s="125"/>
      <c r="J127" s="125"/>
      <c r="K127" s="125"/>
      <c r="L127" s="125"/>
      <c r="M127" s="125"/>
      <c r="N127" s="125"/>
      <c r="O127" s="125"/>
      <c r="P127" s="125"/>
      <c r="Q127" s="126"/>
    </row>
    <row r="128" spans="1:17">
      <c r="A128" s="125"/>
      <c r="B128" s="125"/>
      <c r="C128" s="125"/>
      <c r="D128" s="125"/>
      <c r="E128" s="125"/>
      <c r="F128" s="125"/>
      <c r="G128" s="125"/>
      <c r="H128" s="125"/>
      <c r="I128" s="125"/>
      <c r="J128" s="125"/>
      <c r="K128" s="125"/>
      <c r="L128" s="125"/>
      <c r="M128" s="125"/>
      <c r="N128" s="125"/>
      <c r="O128" s="125"/>
      <c r="P128" s="125"/>
      <c r="Q128" s="126"/>
    </row>
    <row r="129" spans="1:1">
      <c r="A129" s="47"/>
    </row>
    <row r="130" spans="1:1">
      <c r="A130" s="53"/>
    </row>
    <row r="131" spans="1:1">
      <c r="A131" s="47"/>
    </row>
    <row r="132" spans="1:1">
      <c r="A132" s="53"/>
    </row>
    <row r="133" spans="1:1">
      <c r="A133" s="47"/>
    </row>
    <row r="134" spans="1:1">
      <c r="A134" s="53"/>
    </row>
    <row r="135" spans="1:1">
      <c r="A135" s="47"/>
    </row>
    <row r="136" spans="1:1">
      <c r="A136" s="53"/>
    </row>
    <row r="137" spans="1:1">
      <c r="A137" s="47"/>
    </row>
    <row r="138" spans="1:1">
      <c r="A138" s="53"/>
    </row>
    <row r="139" spans="1:1">
      <c r="A139" s="47"/>
    </row>
    <row r="140" spans="1:1">
      <c r="A140" s="53"/>
    </row>
    <row r="141" spans="1:1">
      <c r="A141" s="47"/>
    </row>
    <row r="142" spans="1:1">
      <c r="A142" s="53"/>
    </row>
    <row r="145" spans="1:1" ht="15.75">
      <c r="A145" s="223"/>
    </row>
    <row r="147" spans="1:1">
      <c r="A147" s="47"/>
    </row>
    <row r="148" spans="1:1">
      <c r="A148" s="53"/>
    </row>
    <row r="149" spans="1:1">
      <c r="A149" s="47"/>
    </row>
    <row r="150" spans="1:1">
      <c r="A150" s="53"/>
    </row>
    <row r="151" spans="1:1">
      <c r="A151" s="47"/>
    </row>
    <row r="152" spans="1:1">
      <c r="A152" s="53"/>
    </row>
    <row r="153" spans="1:1">
      <c r="A153" s="53"/>
    </row>
    <row r="154" spans="1:1">
      <c r="A154" s="47"/>
    </row>
    <row r="155" spans="1:1">
      <c r="A155" s="47"/>
    </row>
    <row r="156" spans="1:1">
      <c r="A156" s="53"/>
    </row>
    <row r="157" spans="1:1">
      <c r="A157" s="47"/>
    </row>
    <row r="158" spans="1:1">
      <c r="A158" s="130"/>
    </row>
    <row r="159" spans="1:1">
      <c r="A159" s="47"/>
    </row>
    <row r="160" spans="1:1">
      <c r="A160" s="47"/>
    </row>
    <row r="161" spans="1:1">
      <c r="A161" s="47"/>
    </row>
    <row r="162" spans="1:1">
      <c r="A162" s="47"/>
    </row>
    <row r="163" spans="1:1">
      <c r="A163" s="53"/>
    </row>
    <row r="164" spans="1:1">
      <c r="A164" s="47"/>
    </row>
    <row r="165" spans="1:1">
      <c r="A165" s="53"/>
    </row>
    <row r="166" spans="1:1">
      <c r="A166" s="47"/>
    </row>
    <row r="167" spans="1:1">
      <c r="A167" s="53"/>
    </row>
    <row r="168" spans="1:1">
      <c r="A168" s="47"/>
    </row>
    <row r="169" spans="1:1">
      <c r="A169" s="53"/>
    </row>
    <row r="170" spans="1:1">
      <c r="A170" s="47"/>
    </row>
    <row r="171" spans="1:1">
      <c r="A171" s="53"/>
    </row>
    <row r="172" spans="1:1">
      <c r="A172" s="47"/>
    </row>
    <row r="173" spans="1:1">
      <c r="A173" s="53"/>
    </row>
    <row r="174" spans="1:1">
      <c r="A174" s="47"/>
    </row>
    <row r="175" spans="1:1">
      <c r="A175" s="53"/>
    </row>
  </sheetData>
  <mergeCells count="5">
    <mergeCell ref="M115:P115"/>
    <mergeCell ref="C75:G75"/>
    <mergeCell ref="H75:L75"/>
    <mergeCell ref="C115:F115"/>
    <mergeCell ref="H115:K115"/>
  </mergeCells>
  <phoneticPr fontId="0" type="noConversion"/>
  <pageMargins left="0.75" right="0.75" top="0.5" bottom="0.5" header="0.5" footer="0.5"/>
  <pageSetup scale="44" orientation="landscape" horizontalDpi="300" verticalDpi="300" r:id="rId1"/>
  <headerFooter alignWithMargins="0">
    <oddHeader>&amp;R&amp;D
&amp;T</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pageSetUpPr fitToPage="1"/>
  </sheetPr>
  <dimension ref="A1:V115"/>
  <sheetViews>
    <sheetView topLeftCell="A37" zoomScale="50" zoomScaleNormal="50" workbookViewId="0">
      <selection activeCell="F95" sqref="F95"/>
    </sheetView>
  </sheetViews>
  <sheetFormatPr defaultColWidth="8.7109375" defaultRowHeight="12.75"/>
  <cols>
    <col min="1" max="1" width="46.85546875" style="8" bestFit="1" customWidth="1"/>
    <col min="2" max="2" width="10.7109375" style="8" hidden="1" customWidth="1"/>
    <col min="3" max="3" width="11.5703125" style="8" bestFit="1" customWidth="1"/>
    <col min="4" max="11" width="12" style="8" bestFit="1" customWidth="1"/>
    <col min="12" max="12" width="13" style="8" bestFit="1" customWidth="1"/>
    <col min="13" max="13" width="12.5703125" style="8" bestFit="1" customWidth="1"/>
    <col min="14" max="14" width="13" style="8" bestFit="1" customWidth="1"/>
    <col min="15" max="15" width="14.140625" style="8" bestFit="1" customWidth="1"/>
    <col min="16" max="16" width="14.85546875" style="8" bestFit="1" customWidth="1"/>
    <col min="17" max="17" width="11.7109375" style="8" customWidth="1"/>
    <col min="18" max="18" width="13.140625" style="8" customWidth="1"/>
    <col min="19" max="19" width="12.85546875" style="8" customWidth="1"/>
    <col min="20" max="20" width="11.28515625" style="8" customWidth="1"/>
    <col min="21" max="16384" width="8.7109375" style="8"/>
  </cols>
  <sheetData>
    <row r="1" spans="1:17" ht="20.25">
      <c r="A1" s="240" t="str">
        <f>COMPS!A1</f>
        <v>XYZ Company</v>
      </c>
      <c r="B1" s="299"/>
      <c r="C1" s="275"/>
      <c r="D1" s="275"/>
      <c r="E1" s="38"/>
      <c r="F1" s="38"/>
      <c r="G1" s="38"/>
      <c r="H1" s="7"/>
      <c r="I1" s="7"/>
      <c r="J1" s="7"/>
      <c r="K1" s="7"/>
      <c r="L1" s="7"/>
    </row>
    <row r="2" spans="1:17" s="238" customFormat="1" ht="15.75">
      <c r="A2" s="235" t="s">
        <v>35</v>
      </c>
      <c r="B2" s="236"/>
      <c r="C2" s="236"/>
      <c r="D2" s="236"/>
      <c r="E2" s="236"/>
      <c r="F2" s="236"/>
      <c r="G2" s="236"/>
      <c r="H2" s="237"/>
      <c r="I2" s="237"/>
      <c r="J2" s="237"/>
      <c r="K2" s="237"/>
      <c r="L2" s="237"/>
    </row>
    <row r="3" spans="1:17" s="238" customFormat="1" ht="15.75">
      <c r="A3" s="235" t="s">
        <v>170</v>
      </c>
      <c r="B3" s="236"/>
      <c r="C3" s="236"/>
      <c r="D3" s="236"/>
      <c r="E3" s="236"/>
      <c r="F3" s="236"/>
      <c r="G3" s="236"/>
      <c r="H3" s="237"/>
      <c r="I3" s="237"/>
      <c r="J3" s="237"/>
      <c r="K3" s="237"/>
      <c r="L3" s="237"/>
    </row>
    <row r="4" spans="1:17" s="238" customFormat="1" ht="15.75">
      <c r="A4" s="239" t="s">
        <v>94</v>
      </c>
      <c r="B4" s="236"/>
      <c r="C4" s="236"/>
      <c r="D4" s="236"/>
      <c r="E4" s="236"/>
      <c r="F4" s="236"/>
      <c r="G4" s="236"/>
      <c r="H4" s="237"/>
      <c r="I4" s="237"/>
      <c r="J4" s="237"/>
      <c r="K4" s="237"/>
      <c r="L4" s="237"/>
      <c r="P4" s="348"/>
    </row>
    <row r="5" spans="1:17" ht="15.75">
      <c r="A5" s="235"/>
      <c r="B5" s="236"/>
      <c r="C5" s="236"/>
      <c r="D5" s="236"/>
      <c r="E5" s="236"/>
      <c r="F5" s="236"/>
      <c r="G5" s="236"/>
      <c r="H5" s="237"/>
      <c r="I5" s="237"/>
      <c r="J5" s="237"/>
      <c r="K5" s="237"/>
      <c r="L5" s="237"/>
      <c r="M5" s="238"/>
      <c r="N5" s="238"/>
      <c r="O5" s="238"/>
      <c r="P5" s="348"/>
    </row>
    <row r="6" spans="1:17" ht="15.75">
      <c r="A6" s="235"/>
      <c r="B6" s="236"/>
      <c r="C6" s="236"/>
      <c r="D6" s="236"/>
      <c r="E6" s="236"/>
      <c r="F6" s="236"/>
      <c r="G6" s="236"/>
      <c r="H6" s="237"/>
      <c r="I6" s="237"/>
      <c r="J6" s="237"/>
      <c r="K6" s="237"/>
      <c r="L6" s="237"/>
      <c r="M6" s="238"/>
      <c r="N6" s="238"/>
      <c r="O6" s="238"/>
      <c r="P6" s="348"/>
    </row>
    <row r="7" spans="1:17" ht="20.25">
      <c r="A7" s="353" t="str">
        <f>A1</f>
        <v>XYZ Company</v>
      </c>
      <c r="B7" s="236"/>
      <c r="C7" s="236"/>
      <c r="D7" s="236"/>
      <c r="E7" s="236"/>
      <c r="F7" s="236"/>
      <c r="G7" s="236"/>
      <c r="H7" s="237"/>
      <c r="I7" s="237"/>
      <c r="J7" s="237"/>
      <c r="K7" s="237"/>
      <c r="L7" s="237"/>
      <c r="M7" s="238"/>
      <c r="N7" s="238"/>
      <c r="O7" s="238"/>
      <c r="P7" s="348"/>
    </row>
    <row r="8" spans="1:17" ht="15.75">
      <c r="A8" s="227" t="s">
        <v>269</v>
      </c>
      <c r="B8" s="236"/>
      <c r="C8" s="236"/>
      <c r="D8" s="236"/>
      <c r="E8" s="236"/>
      <c r="F8" s="236"/>
      <c r="G8" s="236"/>
      <c r="H8" s="237"/>
      <c r="I8" s="237"/>
      <c r="J8" s="237"/>
      <c r="K8" s="237"/>
      <c r="L8" s="237"/>
      <c r="M8" s="238"/>
      <c r="N8" s="238"/>
      <c r="O8" s="238"/>
      <c r="P8" s="348" t="s">
        <v>72</v>
      </c>
    </row>
    <row r="9" spans="1:17" ht="15.75">
      <c r="A9" s="223" t="s">
        <v>170</v>
      </c>
      <c r="B9" s="236"/>
      <c r="C9" s="236"/>
      <c r="D9" s="236"/>
      <c r="E9" s="236"/>
      <c r="F9" s="236"/>
      <c r="G9" s="236"/>
      <c r="H9" s="237"/>
      <c r="I9" s="237"/>
      <c r="J9" s="237"/>
      <c r="K9" s="237"/>
      <c r="L9" s="237"/>
      <c r="M9" s="238"/>
      <c r="N9" s="238"/>
      <c r="O9" s="295" t="s">
        <v>171</v>
      </c>
      <c r="P9" s="348" t="s">
        <v>251</v>
      </c>
    </row>
    <row r="10" spans="1:17" ht="15.75">
      <c r="A10" s="38"/>
      <c r="B10" s="169"/>
      <c r="C10" s="300" t="s">
        <v>172</v>
      </c>
      <c r="D10" s="300" t="s">
        <v>173</v>
      </c>
      <c r="E10" s="300" t="s">
        <v>174</v>
      </c>
      <c r="F10" s="300" t="s">
        <v>175</v>
      </c>
      <c r="G10" s="300" t="s">
        <v>176</v>
      </c>
      <c r="H10" s="300" t="s">
        <v>177</v>
      </c>
      <c r="I10" s="300" t="s">
        <v>178</v>
      </c>
      <c r="J10" s="300" t="s">
        <v>179</v>
      </c>
      <c r="K10" s="300" t="s">
        <v>180</v>
      </c>
      <c r="L10" s="300" t="s">
        <v>181</v>
      </c>
      <c r="M10" s="300" t="s">
        <v>182</v>
      </c>
      <c r="N10" s="300" t="s">
        <v>183</v>
      </c>
      <c r="O10" s="271" t="s">
        <v>72</v>
      </c>
      <c r="P10" s="352" t="s">
        <v>264</v>
      </c>
    </row>
    <row r="11" spans="1:17">
      <c r="A11" s="195" t="s">
        <v>36</v>
      </c>
      <c r="B11" s="38"/>
      <c r="C11" s="38"/>
      <c r="D11" s="38"/>
      <c r="E11" s="38"/>
      <c r="F11" s="38"/>
      <c r="G11" s="38"/>
      <c r="H11" s="38"/>
      <c r="I11" s="38"/>
      <c r="J11" s="38"/>
      <c r="K11" s="38"/>
      <c r="L11" s="38"/>
      <c r="M11" s="38"/>
      <c r="N11" s="38"/>
      <c r="O11" s="38"/>
      <c r="P11" s="38"/>
      <c r="Q11" s="195"/>
    </row>
    <row r="12" spans="1:17">
      <c r="A12" s="38" t="s">
        <v>37</v>
      </c>
      <c r="B12" s="170"/>
      <c r="C12" s="171">
        <f>'INCOME-MOS'!C35</f>
        <v>-25000</v>
      </c>
      <c r="D12" s="171">
        <f>'INCOME-MOS'!D35</f>
        <v>-20000</v>
      </c>
      <c r="E12" s="171">
        <f>'INCOME-MOS'!E35</f>
        <v>0</v>
      </c>
      <c r="F12" s="171">
        <f>'INCOME-MOS'!F35</f>
        <v>-33356.555119047611</v>
      </c>
      <c r="G12" s="171">
        <f>'INCOME-MOS'!G35</f>
        <v>-53370.488190476171</v>
      </c>
      <c r="H12" s="171">
        <f>'INCOME-MOS'!H35</f>
        <v>-66713.110238095222</v>
      </c>
      <c r="I12" s="171">
        <f>'INCOME-MOS'!I35</f>
        <v>-66713.110238095222</v>
      </c>
      <c r="J12" s="171">
        <f>'INCOME-MOS'!J35</f>
        <v>-80055.732285714257</v>
      </c>
      <c r="K12" s="171">
        <f>'INCOME-MOS'!K35</f>
        <v>-100069.66535714283</v>
      </c>
      <c r="L12" s="171">
        <f>'INCOME-MOS'!L35</f>
        <v>-80055.732285714257</v>
      </c>
      <c r="M12" s="171">
        <f>'INCOME-MOS'!M35</f>
        <v>-86727.043309523797</v>
      </c>
      <c r="N12" s="171">
        <f>'INCOME-MOS'!N35</f>
        <v>-100069.66535714283</v>
      </c>
      <c r="O12" s="177">
        <f>SUM(C12:N12)</f>
        <v>-712131.10238095222</v>
      </c>
      <c r="P12" s="171">
        <f>CASHFLOW!C7</f>
        <v>-712131.10238095233</v>
      </c>
      <c r="Q12" s="38"/>
    </row>
    <row r="13" spans="1:17">
      <c r="A13" s="38" t="s">
        <v>38</v>
      </c>
      <c r="B13" s="170"/>
      <c r="C13" s="171">
        <f>'PROP &amp; EQUIP'!$C$47/12</f>
        <v>3615.0793650793653</v>
      </c>
      <c r="D13" s="171">
        <f>'PROP &amp; EQUIP'!$C$47/12</f>
        <v>3615.0793650793653</v>
      </c>
      <c r="E13" s="171">
        <f>'PROP &amp; EQUIP'!$C$47/12</f>
        <v>3615.0793650793653</v>
      </c>
      <c r="F13" s="171">
        <f>'PROP &amp; EQUIP'!$C$47/12</f>
        <v>3615.0793650793653</v>
      </c>
      <c r="G13" s="171">
        <f>'PROP &amp; EQUIP'!$C$47/12</f>
        <v>3615.0793650793653</v>
      </c>
      <c r="H13" s="171">
        <f>'PROP &amp; EQUIP'!$C$47/12</f>
        <v>3615.0793650793653</v>
      </c>
      <c r="I13" s="171">
        <f>'PROP &amp; EQUIP'!$C$47/12</f>
        <v>3615.0793650793653</v>
      </c>
      <c r="J13" s="171">
        <f>'PROP &amp; EQUIP'!$C$47/12</f>
        <v>3615.0793650793653</v>
      </c>
      <c r="K13" s="171">
        <f>'PROP &amp; EQUIP'!$C$47/12</f>
        <v>3615.0793650793653</v>
      </c>
      <c r="L13" s="171">
        <f>'PROP &amp; EQUIP'!$C$47/12</f>
        <v>3615.0793650793653</v>
      </c>
      <c r="M13" s="171">
        <f>'PROP &amp; EQUIP'!$C$47/12</f>
        <v>3615.0793650793653</v>
      </c>
      <c r="N13" s="171">
        <f>'PROP &amp; EQUIP'!$C$47/12</f>
        <v>3615.0793650793653</v>
      </c>
      <c r="O13" s="177">
        <f>SUM(C13:N13)</f>
        <v>43380.952380952374</v>
      </c>
      <c r="P13" s="171">
        <f>CASHFLOW!C8</f>
        <v>43380.952380952382</v>
      </c>
      <c r="Q13" s="38"/>
    </row>
    <row r="14" spans="1:17">
      <c r="A14" s="38" t="s">
        <v>39</v>
      </c>
      <c r="B14" s="170"/>
      <c r="C14" s="170"/>
      <c r="D14" s="170"/>
      <c r="E14" s="170"/>
      <c r="F14" s="170"/>
      <c r="G14" s="170"/>
      <c r="H14" s="170"/>
      <c r="I14" s="170"/>
      <c r="J14" s="170"/>
      <c r="K14" s="170"/>
      <c r="L14" s="170"/>
      <c r="M14" s="170"/>
      <c r="N14" s="170"/>
      <c r="O14" s="170"/>
      <c r="P14" s="170"/>
      <c r="Q14" s="38"/>
    </row>
    <row r="15" spans="1:17">
      <c r="A15" s="173" t="s">
        <v>107</v>
      </c>
      <c r="B15" s="170"/>
      <c r="C15" s="171">
        <f>-WORKCAP!C67</f>
        <v>0</v>
      </c>
      <c r="D15" s="171">
        <f>-(WORKCAP!$C68-WORKCAP!$C67)</f>
        <v>0</v>
      </c>
      <c r="E15" s="171">
        <f>-(WORKCAP!$C69-WORKCAP!$C68)</f>
        <v>0</v>
      </c>
      <c r="F15" s="171">
        <f>-(WORKCAP!$C70-WORKCAP!$C69)</f>
        <v>-49800.000000000007</v>
      </c>
      <c r="G15" s="171">
        <f>-(WORKCAP!$C71-WORKCAP!$C70)</f>
        <v>-29880.000000000007</v>
      </c>
      <c r="H15" s="171">
        <f>-(WORKCAP!$C72-WORKCAP!$C71)</f>
        <v>-19920</v>
      </c>
      <c r="I15" s="171">
        <f>-(WORKCAP!$C73-WORKCAP!$C72)</f>
        <v>0</v>
      </c>
      <c r="J15" s="171">
        <f>-(WORKCAP!$C74-WORKCAP!$C73)</f>
        <v>-19920</v>
      </c>
      <c r="K15" s="171">
        <f>-(WORKCAP!$C75-WORKCAP!$C74)</f>
        <v>-29880.000000000015</v>
      </c>
      <c r="L15" s="171">
        <f>-(WORKCAP!$C76-WORKCAP!$C75)</f>
        <v>29880.000000000015</v>
      </c>
      <c r="M15" s="171">
        <f>-(WORKCAP!$C77-WORKCAP!$C76)</f>
        <v>-9960</v>
      </c>
      <c r="N15" s="171">
        <f>-(WORKCAP!$C78-WORKCAP!$C77)</f>
        <v>-19920.000000000015</v>
      </c>
      <c r="O15" s="177">
        <f>SUM(C15:N15)</f>
        <v>-149400.00000000003</v>
      </c>
      <c r="P15" s="171">
        <f>CASHFLOW!C10</f>
        <v>-149400.00000000003</v>
      </c>
      <c r="Q15" s="173"/>
    </row>
    <row r="16" spans="1:17">
      <c r="A16" s="173" t="s">
        <v>108</v>
      </c>
      <c r="B16" s="170"/>
      <c r="C16" s="171">
        <f>-WORKCAP!C84</f>
        <v>0</v>
      </c>
      <c r="D16" s="171">
        <f>-(WORKCAP!$C85-WORKCAP!$C84)</f>
        <v>0</v>
      </c>
      <c r="E16" s="171">
        <f>-(WORKCAP!$C86-WORKCAP!$C85)</f>
        <v>0</v>
      </c>
      <c r="F16" s="171">
        <f>-(WORKCAP!$C87-WORKCAP!$C86)</f>
        <v>-49800.000000000007</v>
      </c>
      <c r="G16" s="171">
        <f>-(WORKCAP!$C88-WORKCAP!$C87)</f>
        <v>-29880.000000000007</v>
      </c>
      <c r="H16" s="171">
        <f>-(WORKCAP!$C89-WORKCAP!$C88)</f>
        <v>-19920</v>
      </c>
      <c r="I16" s="171">
        <f>-(WORKCAP!$C90-WORKCAP!$C89)</f>
        <v>0</v>
      </c>
      <c r="J16" s="171">
        <f>-(WORKCAP!$C91-WORKCAP!$C90)</f>
        <v>-19920</v>
      </c>
      <c r="K16" s="171">
        <f>-(WORKCAP!$C92-WORKCAP!$C91)</f>
        <v>-29880.000000000015</v>
      </c>
      <c r="L16" s="171">
        <f>-(WORKCAP!$C93-WORKCAP!$C92)</f>
        <v>29880.000000000015</v>
      </c>
      <c r="M16" s="171">
        <f>-(WORKCAP!$C94-WORKCAP!$C93)</f>
        <v>-9960</v>
      </c>
      <c r="N16" s="171">
        <f>-(WORKCAP!$C95-WORKCAP!$C94)</f>
        <v>-19920.000000000015</v>
      </c>
      <c r="O16" s="177">
        <f>SUM(C16:N16)</f>
        <v>-149400.00000000003</v>
      </c>
      <c r="P16" s="171">
        <f>CASHFLOW!C11</f>
        <v>-149400.00000000003</v>
      </c>
      <c r="Q16" s="173"/>
    </row>
    <row r="17" spans="1:17">
      <c r="A17" s="173" t="s">
        <v>109</v>
      </c>
      <c r="B17" s="170"/>
      <c r="C17" s="171">
        <f>-WORKCAP!$C101</f>
        <v>0</v>
      </c>
      <c r="D17" s="171">
        <f>-(WORKCAP!$C102-WORKCAP!$C101)</f>
        <v>0</v>
      </c>
      <c r="E17" s="171">
        <f>-(WORKCAP!$C103-WORKCAP!$C102)</f>
        <v>0</v>
      </c>
      <c r="F17" s="171">
        <f>-(WORKCAP!$C104-WORKCAP!$C103)</f>
        <v>-6000.0000000000009</v>
      </c>
      <c r="G17" s="171">
        <f>-(WORKCAP!$C105-WORKCAP!$C104)</f>
        <v>-3599.9999999999991</v>
      </c>
      <c r="H17" s="171">
        <f>-(WORKCAP!$C106-WORKCAP!$C105)</f>
        <v>-2400.0000000000018</v>
      </c>
      <c r="I17" s="171">
        <f>-(WORKCAP!$C107-WORKCAP!$C106)</f>
        <v>0</v>
      </c>
      <c r="J17" s="171">
        <f>-(WORKCAP!$C108-WORKCAP!$C107)</f>
        <v>-2400</v>
      </c>
      <c r="K17" s="171">
        <f>-(WORKCAP!$C109-WORKCAP!$C108)</f>
        <v>-3599.9999999999982</v>
      </c>
      <c r="L17" s="171">
        <f>-(WORKCAP!$C110-WORKCAP!$C109)</f>
        <v>3599.9999999999982</v>
      </c>
      <c r="M17" s="171">
        <f>-(WORKCAP!$C111-WORKCAP!$C110)</f>
        <v>-1200</v>
      </c>
      <c r="N17" s="171">
        <f>-(WORKCAP!$C112-WORKCAP!$C111)</f>
        <v>-2399.9999999999982</v>
      </c>
      <c r="O17" s="177">
        <f>SUM(C17:N17)</f>
        <v>-18000</v>
      </c>
      <c r="P17" s="171">
        <f>CASHFLOW!C12</f>
        <v>-18000</v>
      </c>
      <c r="Q17" s="173"/>
    </row>
    <row r="18" spans="1:17">
      <c r="A18" s="173" t="s">
        <v>117</v>
      </c>
      <c r="B18" s="170"/>
      <c r="C18" s="171">
        <f>WORKCAP!$C118</f>
        <v>0</v>
      </c>
      <c r="D18" s="171">
        <f>(WORKCAP!$C119-WORKCAP!$C118)</f>
        <v>8.6999999999999994E-2</v>
      </c>
      <c r="E18" s="171">
        <f>(WORKCAP!$C120-WORKCAP!$C119)</f>
        <v>31.236827999999996</v>
      </c>
      <c r="F18" s="171">
        <f>(WORKCAP!$C121-WORKCAP!$C120)</f>
        <v>49968.676171999999</v>
      </c>
      <c r="G18" s="171">
        <f>(WORKCAP!$C122-WORKCAP!$C121)</f>
        <v>32200</v>
      </c>
      <c r="H18" s="171">
        <f>(WORKCAP!$C123-WORKCAP!$C122)</f>
        <v>21319.999999999985</v>
      </c>
      <c r="I18" s="171">
        <f>(WORKCAP!$C124-WORKCAP!$C123)</f>
        <v>880</v>
      </c>
      <c r="J18" s="171">
        <f>(WORKCAP!$C125-WORKCAP!$C124)</f>
        <v>20000</v>
      </c>
      <c r="K18" s="171">
        <f>(WORKCAP!$C126-WORKCAP!$C125)</f>
        <v>30880.000000000015</v>
      </c>
      <c r="L18" s="171">
        <f>(WORKCAP!$C127-WORKCAP!$C126)</f>
        <v>-28680.000000000015</v>
      </c>
      <c r="M18" s="171">
        <f>(WORKCAP!$C128-WORKCAP!$C127)</f>
        <v>8680.0000000000146</v>
      </c>
      <c r="N18" s="171">
        <f>(WORKCAP!$C129-WORKCAP!$C128)</f>
        <v>20440</v>
      </c>
      <c r="O18" s="177">
        <f>SUM(C18:N18)</f>
        <v>155720</v>
      </c>
      <c r="P18" s="171">
        <f>CASHFLOW!C13</f>
        <v>155720</v>
      </c>
      <c r="Q18" s="173"/>
    </row>
    <row r="19" spans="1:17">
      <c r="A19" s="173" t="s">
        <v>152</v>
      </c>
      <c r="B19" s="175"/>
      <c r="C19" s="171">
        <f>WORKCAP!C135</f>
        <v>0</v>
      </c>
      <c r="D19" s="171">
        <f>(WORKCAP!$C136-WORKCAP!$C135)</f>
        <v>0</v>
      </c>
      <c r="E19" s="171">
        <f>(WORKCAP!$C137-WORKCAP!$C136)</f>
        <v>0</v>
      </c>
      <c r="F19" s="171">
        <f>(WORKCAP!$C138-WORKCAP!$C137)</f>
        <v>6000.0000000000009</v>
      </c>
      <c r="G19" s="171">
        <f>(WORKCAP!$C139-WORKCAP!$C138)</f>
        <v>3599.9999999999991</v>
      </c>
      <c r="H19" s="171">
        <f>(WORKCAP!$C140-WORKCAP!$C139)</f>
        <v>2400.0000000000018</v>
      </c>
      <c r="I19" s="171">
        <f>(WORKCAP!$C141-WORKCAP!$C140)</f>
        <v>0</v>
      </c>
      <c r="J19" s="171">
        <f>(WORKCAP!$C142-WORKCAP!$C141)</f>
        <v>2400</v>
      </c>
      <c r="K19" s="171">
        <f>(WORKCAP!$C143-WORKCAP!$C142)</f>
        <v>3599.9999999999982</v>
      </c>
      <c r="L19" s="171">
        <f>(WORKCAP!$C144-WORKCAP!$C143)</f>
        <v>-3599.9999999999982</v>
      </c>
      <c r="M19" s="171">
        <f>(WORKCAP!$C145-WORKCAP!$C144)</f>
        <v>1200</v>
      </c>
      <c r="N19" s="171">
        <f>(WORKCAP!$C146-WORKCAP!$C145)</f>
        <v>2399.9999999999982</v>
      </c>
      <c r="O19" s="177">
        <f>SUM(C19:N19)</f>
        <v>18000</v>
      </c>
      <c r="P19" s="171">
        <f>CASHFLOW!C14</f>
        <v>18000</v>
      </c>
      <c r="Q19" s="173"/>
    </row>
    <row r="20" spans="1:17">
      <c r="A20" s="173" t="s">
        <v>235</v>
      </c>
      <c r="B20" s="170"/>
      <c r="C20" s="177">
        <f t="shared" ref="C20:O20" si="0">SUM(C12:C19)</f>
        <v>-21384.920634920636</v>
      </c>
      <c r="D20" s="177">
        <f t="shared" si="0"/>
        <v>-16384.833634920637</v>
      </c>
      <c r="E20" s="177">
        <f t="shared" si="0"/>
        <v>3646.3161930793653</v>
      </c>
      <c r="F20" s="177">
        <f t="shared" si="0"/>
        <v>-79372.799581968255</v>
      </c>
      <c r="G20" s="177">
        <f t="shared" si="0"/>
        <v>-77315.408825396822</v>
      </c>
      <c r="H20" s="177">
        <f t="shared" si="0"/>
        <v>-81618.030873015872</v>
      </c>
      <c r="I20" s="177">
        <f t="shared" si="0"/>
        <v>-62218.030873015858</v>
      </c>
      <c r="J20" s="177">
        <f t="shared" si="0"/>
        <v>-96280.652920634893</v>
      </c>
      <c r="K20" s="177">
        <f t="shared" si="0"/>
        <v>-125334.5859920635</v>
      </c>
      <c r="L20" s="177">
        <f t="shared" si="0"/>
        <v>-45360.652920634879</v>
      </c>
      <c r="M20" s="177">
        <f t="shared" si="0"/>
        <v>-94351.963944444418</v>
      </c>
      <c r="N20" s="177">
        <f t="shared" si="0"/>
        <v>-115854.58599206351</v>
      </c>
      <c r="O20" s="177">
        <f t="shared" si="0"/>
        <v>-811830.14999999979</v>
      </c>
      <c r="P20" s="171">
        <f>CASHFLOW!C15</f>
        <v>-811830.14999999991</v>
      </c>
      <c r="Q20" s="173"/>
    </row>
    <row r="21" spans="1:17">
      <c r="A21" s="38"/>
      <c r="B21" s="170"/>
      <c r="C21" s="170"/>
      <c r="D21" s="170"/>
      <c r="E21" s="170"/>
      <c r="F21" s="170"/>
      <c r="G21" s="170"/>
      <c r="H21" s="170"/>
      <c r="I21" s="170"/>
      <c r="J21" s="170"/>
      <c r="K21" s="170"/>
      <c r="L21" s="170"/>
      <c r="M21" s="170"/>
      <c r="N21" s="170"/>
      <c r="O21" s="170"/>
      <c r="P21" s="170"/>
      <c r="Q21" s="38"/>
    </row>
    <row r="22" spans="1:17">
      <c r="A22" s="195" t="s">
        <v>40</v>
      </c>
      <c r="B22" s="170"/>
      <c r="C22" s="170"/>
      <c r="D22" s="170"/>
      <c r="E22" s="170"/>
      <c r="F22" s="170"/>
      <c r="G22" s="170"/>
      <c r="H22" s="170"/>
      <c r="I22" s="170"/>
      <c r="J22" s="170"/>
      <c r="K22" s="170"/>
      <c r="L22" s="170"/>
      <c r="M22" s="170"/>
      <c r="N22" s="170"/>
      <c r="O22" s="170"/>
      <c r="P22" s="170"/>
      <c r="Q22" s="195"/>
    </row>
    <row r="23" spans="1:17">
      <c r="A23" s="38" t="s">
        <v>227</v>
      </c>
      <c r="B23" s="170"/>
      <c r="C23" s="171">
        <f>-'PROP &amp; EQUIP'!$C61</f>
        <v>-50000</v>
      </c>
      <c r="D23" s="171">
        <f>-'PROP &amp; EQUIP'!$C62</f>
        <v>-100000</v>
      </c>
      <c r="E23" s="171">
        <f>-'PROP &amp; EQUIP'!$C63</f>
        <v>-50000</v>
      </c>
      <c r="F23" s="171">
        <f>-'PROP &amp; EQUIP'!$C65</f>
        <v>-40000</v>
      </c>
      <c r="G23" s="171">
        <f>-'PROP &amp; EQUIP'!$C66</f>
        <v>0</v>
      </c>
      <c r="H23" s="171">
        <f>-'PROP &amp; EQUIP'!$C67</f>
        <v>0</v>
      </c>
      <c r="I23" s="171">
        <f>-'PROP &amp; EQUIP'!$C69</f>
        <v>-40000</v>
      </c>
      <c r="J23" s="171">
        <f>-'PROP &amp; EQUIP'!$C70</f>
        <v>0</v>
      </c>
      <c r="K23" s="171">
        <f>-'PROP &amp; EQUIP'!$C71</f>
        <v>0</v>
      </c>
      <c r="L23" s="171">
        <f>-'PROP &amp; EQUIP'!$C73</f>
        <v>0</v>
      </c>
      <c r="M23" s="171">
        <f>-'PROP &amp; EQUIP'!$C74</f>
        <v>0</v>
      </c>
      <c r="N23" s="171">
        <f>-'PROP &amp; EQUIP'!$C75</f>
        <v>0</v>
      </c>
      <c r="O23" s="177">
        <f>SUM(C23:N23)</f>
        <v>-280000</v>
      </c>
      <c r="P23" s="171">
        <f>CASHFLOW!C18</f>
        <v>-280000</v>
      </c>
      <c r="Q23" s="38"/>
    </row>
    <row r="24" spans="1:17">
      <c r="A24" s="178" t="s">
        <v>110</v>
      </c>
      <c r="B24" s="170"/>
      <c r="C24" s="179"/>
      <c r="D24" s="179"/>
      <c r="E24" s="179"/>
      <c r="F24" s="179"/>
      <c r="G24" s="179"/>
      <c r="H24" s="179"/>
      <c r="I24" s="179"/>
      <c r="J24" s="179"/>
      <c r="K24" s="179"/>
      <c r="L24" s="179"/>
      <c r="M24" s="179"/>
      <c r="N24" s="179"/>
      <c r="O24" s="180">
        <f>SUM(C24:N24)</f>
        <v>0</v>
      </c>
      <c r="P24" s="179">
        <f>CASHFLOW!C19</f>
        <v>0</v>
      </c>
      <c r="Q24" s="178"/>
    </row>
    <row r="25" spans="1:17">
      <c r="A25" s="173" t="s">
        <v>41</v>
      </c>
      <c r="B25" s="170"/>
      <c r="C25" s="177">
        <f>SUM(C23:C24)</f>
        <v>-50000</v>
      </c>
      <c r="D25" s="177">
        <f t="shared" ref="D25:O25" si="1">SUM(D23:D24)</f>
        <v>-100000</v>
      </c>
      <c r="E25" s="177">
        <f t="shared" si="1"/>
        <v>-50000</v>
      </c>
      <c r="F25" s="177">
        <f t="shared" si="1"/>
        <v>-40000</v>
      </c>
      <c r="G25" s="177">
        <f t="shared" si="1"/>
        <v>0</v>
      </c>
      <c r="H25" s="177">
        <f t="shared" si="1"/>
        <v>0</v>
      </c>
      <c r="I25" s="177">
        <f t="shared" si="1"/>
        <v>-40000</v>
      </c>
      <c r="J25" s="177">
        <f t="shared" si="1"/>
        <v>0</v>
      </c>
      <c r="K25" s="177">
        <f t="shared" si="1"/>
        <v>0</v>
      </c>
      <c r="L25" s="177">
        <f t="shared" si="1"/>
        <v>0</v>
      </c>
      <c r="M25" s="177">
        <f t="shared" si="1"/>
        <v>0</v>
      </c>
      <c r="N25" s="177">
        <f t="shared" si="1"/>
        <v>0</v>
      </c>
      <c r="O25" s="177">
        <f t="shared" si="1"/>
        <v>-280000</v>
      </c>
      <c r="P25" s="171">
        <f>CASHFLOW!C20</f>
        <v>-280000</v>
      </c>
      <c r="Q25" s="173"/>
    </row>
    <row r="26" spans="1:17">
      <c r="A26" s="38"/>
      <c r="B26" s="170"/>
      <c r="C26" s="170"/>
      <c r="D26" s="170"/>
      <c r="E26" s="170"/>
      <c r="F26" s="170"/>
      <c r="G26" s="170"/>
      <c r="H26" s="170"/>
      <c r="I26" s="170"/>
      <c r="J26" s="170"/>
      <c r="K26" s="170"/>
      <c r="L26" s="170"/>
      <c r="M26" s="170"/>
      <c r="N26" s="170"/>
      <c r="O26" s="170"/>
      <c r="P26" s="170"/>
      <c r="Q26" s="38"/>
    </row>
    <row r="27" spans="1:17">
      <c r="A27" s="195" t="s">
        <v>42</v>
      </c>
      <c r="B27" s="170"/>
      <c r="C27" s="170"/>
      <c r="D27" s="170"/>
      <c r="E27" s="170"/>
      <c r="F27" s="170"/>
      <c r="G27" s="170"/>
      <c r="H27" s="170"/>
      <c r="I27" s="170"/>
      <c r="J27" s="170"/>
      <c r="K27" s="170"/>
      <c r="L27" s="170"/>
      <c r="M27" s="170"/>
      <c r="N27" s="170"/>
      <c r="O27" s="170"/>
      <c r="P27" s="170"/>
      <c r="Q27" s="195"/>
    </row>
    <row r="28" spans="1:17">
      <c r="A28" s="38" t="s">
        <v>43</v>
      </c>
      <c r="B28" s="170"/>
      <c r="C28" s="171">
        <f>IF(FUNDING!C19&gt;=0,FUNDING!C19,0)</f>
        <v>0</v>
      </c>
      <c r="D28" s="171"/>
      <c r="E28" s="171"/>
      <c r="F28" s="171"/>
      <c r="G28" s="171"/>
      <c r="H28" s="171"/>
      <c r="I28" s="171"/>
      <c r="J28" s="171"/>
      <c r="K28" s="171"/>
      <c r="L28" s="171"/>
      <c r="M28" s="171"/>
      <c r="N28" s="171">
        <f>IF(FUNDING!C19&lt;0,FUNDING!C19,0)</f>
        <v>0</v>
      </c>
      <c r="O28" s="177">
        <f>SUM(C28:N28)</f>
        <v>0</v>
      </c>
      <c r="P28" s="171">
        <f>CASHFLOW!C23</f>
        <v>0</v>
      </c>
      <c r="Q28" s="38"/>
    </row>
    <row r="29" spans="1:17">
      <c r="A29" s="38" t="s">
        <v>44</v>
      </c>
      <c r="B29" s="170"/>
      <c r="C29" s="171">
        <f>IF(FUNDING!C27&gt;=0,FUNDING!C27,0)</f>
        <v>0</v>
      </c>
      <c r="D29" s="171"/>
      <c r="E29" s="171"/>
      <c r="F29" s="171"/>
      <c r="G29" s="171"/>
      <c r="H29" s="171"/>
      <c r="I29" s="171"/>
      <c r="J29" s="171"/>
      <c r="K29" s="171"/>
      <c r="L29" s="171"/>
      <c r="M29" s="171"/>
      <c r="N29" s="171">
        <f>IF(FUNDING!C27&lt;0,FUNDING!C27,0)</f>
        <v>0</v>
      </c>
      <c r="O29" s="177">
        <f t="shared" ref="O29:O34" si="2">SUM(C29:N29)</f>
        <v>0</v>
      </c>
      <c r="P29" s="171">
        <f>CASHFLOW!C24</f>
        <v>0</v>
      </c>
      <c r="Q29" s="38"/>
    </row>
    <row r="30" spans="1:17">
      <c r="A30" s="38" t="s">
        <v>79</v>
      </c>
      <c r="B30" s="170"/>
      <c r="C30" s="171">
        <f>IF(FUNDING!C28&gt;=0,FUNDING!C28,0)</f>
        <v>0</v>
      </c>
      <c r="D30" s="171"/>
      <c r="E30" s="171"/>
      <c r="F30" s="171"/>
      <c r="G30" s="171"/>
      <c r="H30" s="171"/>
      <c r="I30" s="171"/>
      <c r="J30" s="171"/>
      <c r="K30" s="171"/>
      <c r="L30" s="171"/>
      <c r="M30" s="171"/>
      <c r="N30" s="171">
        <f>IF(FUNDING!C28&lt;0,FUNDING!C28,0)</f>
        <v>0</v>
      </c>
      <c r="O30" s="177">
        <f t="shared" si="2"/>
        <v>0</v>
      </c>
      <c r="P30" s="171">
        <f>CASHFLOW!C25</f>
        <v>0</v>
      </c>
      <c r="Q30" s="38"/>
    </row>
    <row r="31" spans="1:17">
      <c r="A31" s="38" t="s">
        <v>45</v>
      </c>
      <c r="B31" s="170"/>
      <c r="C31" s="171">
        <f>IF(FUNDING!C9&gt;=0,FUNDING!C9,0)</f>
        <v>0</v>
      </c>
      <c r="D31" s="171"/>
      <c r="E31" s="171"/>
      <c r="F31" s="171"/>
      <c r="G31" s="171"/>
      <c r="H31" s="171"/>
      <c r="I31" s="171"/>
      <c r="J31" s="171"/>
      <c r="K31" s="171"/>
      <c r="L31" s="171"/>
      <c r="M31" s="171"/>
      <c r="N31" s="171">
        <f>IF(FUNDING!C9&lt;0,FUNDING!C9,0)</f>
        <v>0</v>
      </c>
      <c r="O31" s="177">
        <f t="shared" si="2"/>
        <v>0</v>
      </c>
      <c r="P31" s="171">
        <f>CASHFLOW!C26</f>
        <v>0</v>
      </c>
      <c r="Q31" s="38"/>
    </row>
    <row r="32" spans="1:17">
      <c r="A32" s="38" t="s">
        <v>46</v>
      </c>
      <c r="B32" s="170"/>
      <c r="C32" s="171">
        <f>IF(FUNDING!C14&gt;=0,FUNDING!C14,0)</f>
        <v>0</v>
      </c>
      <c r="D32" s="171"/>
      <c r="E32" s="171"/>
      <c r="F32" s="171"/>
      <c r="G32" s="171"/>
      <c r="H32" s="171"/>
      <c r="I32" s="171"/>
      <c r="J32" s="171"/>
      <c r="K32" s="171"/>
      <c r="L32" s="171"/>
      <c r="M32" s="171"/>
      <c r="N32" s="171">
        <f>IF(FUNDING!C14&lt;0,FUNDING!C14,0)</f>
        <v>0</v>
      </c>
      <c r="O32" s="177">
        <f t="shared" si="2"/>
        <v>0</v>
      </c>
      <c r="P32" s="171">
        <f>CASHFLOW!C27</f>
        <v>0</v>
      </c>
      <c r="Q32" s="38"/>
    </row>
    <row r="33" spans="1:17">
      <c r="A33" s="38" t="s">
        <v>47</v>
      </c>
      <c r="B33" s="175"/>
      <c r="C33" s="179"/>
      <c r="D33" s="179"/>
      <c r="E33" s="179"/>
      <c r="F33" s="179"/>
      <c r="G33" s="179"/>
      <c r="H33" s="179"/>
      <c r="I33" s="179"/>
      <c r="J33" s="179"/>
      <c r="K33" s="179"/>
      <c r="L33" s="179"/>
      <c r="M33" s="179"/>
      <c r="N33" s="179">
        <f>-FUNDING!C49</f>
        <v>0</v>
      </c>
      <c r="O33" s="180">
        <f t="shared" si="2"/>
        <v>0</v>
      </c>
      <c r="P33" s="179">
        <f>CASHFLOW!C28</f>
        <v>0</v>
      </c>
      <c r="Q33" s="38"/>
    </row>
    <row r="34" spans="1:17">
      <c r="A34" s="173" t="s">
        <v>48</v>
      </c>
      <c r="B34" s="175"/>
      <c r="C34" s="177">
        <f>SUM(C28:C33)</f>
        <v>0</v>
      </c>
      <c r="D34" s="177">
        <f t="shared" ref="D34:N34" si="3">SUM(D28:D33)</f>
        <v>0</v>
      </c>
      <c r="E34" s="177">
        <f t="shared" si="3"/>
        <v>0</v>
      </c>
      <c r="F34" s="177">
        <f t="shared" si="3"/>
        <v>0</v>
      </c>
      <c r="G34" s="177">
        <f t="shared" si="3"/>
        <v>0</v>
      </c>
      <c r="H34" s="177">
        <f t="shared" si="3"/>
        <v>0</v>
      </c>
      <c r="I34" s="177">
        <f t="shared" si="3"/>
        <v>0</v>
      </c>
      <c r="J34" s="177">
        <f t="shared" si="3"/>
        <v>0</v>
      </c>
      <c r="K34" s="177">
        <f t="shared" si="3"/>
        <v>0</v>
      </c>
      <c r="L34" s="177">
        <f t="shared" si="3"/>
        <v>0</v>
      </c>
      <c r="M34" s="177">
        <f t="shared" si="3"/>
        <v>0</v>
      </c>
      <c r="N34" s="177">
        <f t="shared" si="3"/>
        <v>0</v>
      </c>
      <c r="O34" s="177">
        <f t="shared" si="2"/>
        <v>0</v>
      </c>
      <c r="P34" s="171">
        <f>CASHFLOW!C29</f>
        <v>0</v>
      </c>
      <c r="Q34" s="173"/>
    </row>
    <row r="35" spans="1:17">
      <c r="A35" s="38"/>
      <c r="B35" s="175"/>
      <c r="C35" s="301"/>
      <c r="D35" s="301"/>
      <c r="E35" s="301"/>
      <c r="F35" s="301"/>
      <c r="G35" s="301"/>
      <c r="H35" s="301"/>
      <c r="I35" s="301"/>
      <c r="J35" s="301"/>
      <c r="K35" s="301"/>
      <c r="L35" s="301"/>
      <c r="M35" s="301"/>
      <c r="N35" s="301"/>
      <c r="O35" s="301"/>
      <c r="P35" s="301"/>
      <c r="Q35" s="38"/>
    </row>
    <row r="36" spans="1:17">
      <c r="A36" s="195" t="s">
        <v>106</v>
      </c>
      <c r="B36" s="175"/>
      <c r="C36" s="180">
        <f>C20+C25+C34</f>
        <v>-71384.920634920636</v>
      </c>
      <c r="D36" s="180">
        <f t="shared" ref="D36:N36" si="4">D20+D25+D34</f>
        <v>-116384.83363492064</v>
      </c>
      <c r="E36" s="180">
        <f t="shared" si="4"/>
        <v>-46353.683806920635</v>
      </c>
      <c r="F36" s="180">
        <f t="shared" si="4"/>
        <v>-119372.79958196825</v>
      </c>
      <c r="G36" s="180">
        <f t="shared" si="4"/>
        <v>-77315.408825396822</v>
      </c>
      <c r="H36" s="180">
        <f t="shared" si="4"/>
        <v>-81618.030873015872</v>
      </c>
      <c r="I36" s="180">
        <f t="shared" si="4"/>
        <v>-102218.03087301586</v>
      </c>
      <c r="J36" s="180">
        <f t="shared" si="4"/>
        <v>-96280.652920634893</v>
      </c>
      <c r="K36" s="180">
        <f t="shared" si="4"/>
        <v>-125334.5859920635</v>
      </c>
      <c r="L36" s="180">
        <f t="shared" si="4"/>
        <v>-45360.652920634879</v>
      </c>
      <c r="M36" s="180">
        <f t="shared" si="4"/>
        <v>-94351.963944444418</v>
      </c>
      <c r="N36" s="180">
        <f t="shared" si="4"/>
        <v>-115854.58599206351</v>
      </c>
      <c r="O36" s="180">
        <f>SUM(C36:N36)</f>
        <v>-1091830.1499999999</v>
      </c>
      <c r="P36" s="599">
        <f>CASHFLOW!C31</f>
        <v>-1091830.1499999999</v>
      </c>
      <c r="Q36" s="195"/>
    </row>
    <row r="37" spans="1:17">
      <c r="A37" s="38"/>
      <c r="B37" s="170"/>
      <c r="C37" s="170"/>
      <c r="D37" s="170"/>
      <c r="E37" s="170"/>
      <c r="F37" s="170"/>
      <c r="G37" s="170"/>
      <c r="H37" s="170"/>
      <c r="I37" s="170"/>
      <c r="J37" s="170"/>
      <c r="K37" s="170"/>
      <c r="L37" s="170"/>
      <c r="M37" s="170"/>
      <c r="N37" s="170"/>
      <c r="O37" s="170"/>
      <c r="P37" s="170"/>
      <c r="Q37" s="38"/>
    </row>
    <row r="38" spans="1:17">
      <c r="A38" s="195" t="s">
        <v>400</v>
      </c>
      <c r="B38" s="170"/>
      <c r="C38" s="177">
        <f>BALANCE!B9</f>
        <v>1500000</v>
      </c>
      <c r="D38" s="177">
        <f>C39</f>
        <v>1428615.0793650793</v>
      </c>
      <c r="E38" s="177">
        <f t="shared" ref="E38:N38" si="5">D39</f>
        <v>1312230.2457301586</v>
      </c>
      <c r="F38" s="177">
        <f t="shared" si="5"/>
        <v>1265876.561923238</v>
      </c>
      <c r="G38" s="177">
        <f t="shared" si="5"/>
        <v>1146503.7623412698</v>
      </c>
      <c r="H38" s="177">
        <f t="shared" si="5"/>
        <v>1069188.353515873</v>
      </c>
      <c r="I38" s="177">
        <f t="shared" si="5"/>
        <v>987570.32264285709</v>
      </c>
      <c r="J38" s="177">
        <f t="shared" si="5"/>
        <v>885352.29176984122</v>
      </c>
      <c r="K38" s="177">
        <f t="shared" si="5"/>
        <v>789071.63884920627</v>
      </c>
      <c r="L38" s="177">
        <f t="shared" si="5"/>
        <v>663737.05285714276</v>
      </c>
      <c r="M38" s="177">
        <f t="shared" si="5"/>
        <v>618376.39993650792</v>
      </c>
      <c r="N38" s="177">
        <f t="shared" si="5"/>
        <v>524024.43599206349</v>
      </c>
      <c r="O38" s="170"/>
      <c r="P38" s="171">
        <f>CASHFLOW!C33</f>
        <v>1500000</v>
      </c>
      <c r="Q38" s="195"/>
    </row>
    <row r="39" spans="1:17">
      <c r="A39" s="195" t="s">
        <v>399</v>
      </c>
      <c r="B39" s="52" t="e">
        <f>BALANCE!Cash_Begin</f>
        <v>#NAME?</v>
      </c>
      <c r="C39" s="177">
        <f>C38+C36</f>
        <v>1428615.0793650793</v>
      </c>
      <c r="D39" s="177">
        <f>D38+D36</f>
        <v>1312230.2457301586</v>
      </c>
      <c r="E39" s="177">
        <f t="shared" ref="E39:N39" si="6">E38+E36</f>
        <v>1265876.561923238</v>
      </c>
      <c r="F39" s="177">
        <f t="shared" si="6"/>
        <v>1146503.7623412698</v>
      </c>
      <c r="G39" s="177">
        <f t="shared" si="6"/>
        <v>1069188.353515873</v>
      </c>
      <c r="H39" s="177">
        <f t="shared" si="6"/>
        <v>987570.32264285709</v>
      </c>
      <c r="I39" s="177">
        <f t="shared" si="6"/>
        <v>885352.29176984122</v>
      </c>
      <c r="J39" s="177">
        <f t="shared" si="6"/>
        <v>789071.63884920627</v>
      </c>
      <c r="K39" s="177">
        <f t="shared" si="6"/>
        <v>663737.05285714276</v>
      </c>
      <c r="L39" s="177">
        <f t="shared" si="6"/>
        <v>618376.39993650792</v>
      </c>
      <c r="M39" s="177">
        <f t="shared" si="6"/>
        <v>524024.43599206349</v>
      </c>
      <c r="N39" s="177">
        <f t="shared" si="6"/>
        <v>408169.85</v>
      </c>
      <c r="O39" s="170"/>
      <c r="P39" s="171">
        <f>CASHFLOW!C34</f>
        <v>408169.85000000009</v>
      </c>
      <c r="Q39" s="195"/>
    </row>
    <row r="40" spans="1:17">
      <c r="C40" s="38"/>
      <c r="D40" s="38"/>
      <c r="E40" s="38"/>
      <c r="F40" s="38"/>
      <c r="G40" s="38"/>
      <c r="H40" s="38"/>
      <c r="I40" s="38"/>
      <c r="J40" s="38"/>
      <c r="K40" s="38"/>
      <c r="L40" s="38"/>
      <c r="M40" s="38"/>
      <c r="N40" s="38"/>
      <c r="O40" s="38"/>
      <c r="P40" s="38"/>
    </row>
    <row r="41" spans="1:17">
      <c r="C41" s="38"/>
      <c r="D41" s="38"/>
      <c r="E41" s="38"/>
      <c r="F41" s="38"/>
      <c r="G41" s="38"/>
      <c r="H41" s="38"/>
      <c r="I41" s="38"/>
      <c r="J41" s="38"/>
      <c r="K41" s="38"/>
      <c r="L41" s="38"/>
      <c r="M41" s="38"/>
      <c r="N41" s="38"/>
      <c r="O41" s="38"/>
      <c r="P41" s="38"/>
    </row>
    <row r="42" spans="1:17">
      <c r="C42" s="38"/>
      <c r="D42" s="38"/>
      <c r="E42" s="38"/>
      <c r="F42" s="38"/>
      <c r="G42" s="38"/>
      <c r="H42" s="38"/>
      <c r="I42" s="38"/>
      <c r="J42" s="38"/>
      <c r="K42" s="38"/>
      <c r="L42" s="38"/>
      <c r="M42" s="38"/>
      <c r="N42" s="38"/>
      <c r="O42" s="38"/>
      <c r="P42" s="38"/>
    </row>
    <row r="43" spans="1:17" ht="20.25">
      <c r="A43" s="353" t="str">
        <f>A1</f>
        <v>XYZ Company</v>
      </c>
      <c r="B43" s="236"/>
      <c r="C43" s="236"/>
      <c r="D43" s="236"/>
      <c r="E43" s="236"/>
      <c r="F43" s="236"/>
      <c r="G43" s="236"/>
      <c r="H43" s="237"/>
      <c r="I43" s="237"/>
      <c r="J43" s="237"/>
      <c r="K43" s="237"/>
      <c r="L43" s="237"/>
      <c r="M43" s="238"/>
      <c r="N43" s="238"/>
      <c r="O43" s="238"/>
      <c r="P43" s="348"/>
    </row>
    <row r="44" spans="1:17" ht="15.75">
      <c r="A44" s="227" t="s">
        <v>269</v>
      </c>
      <c r="B44" s="236"/>
      <c r="C44" s="236"/>
      <c r="D44" s="236"/>
      <c r="E44" s="236"/>
      <c r="F44" s="236"/>
      <c r="G44" s="236"/>
      <c r="H44" s="237"/>
      <c r="I44" s="237"/>
      <c r="J44" s="237"/>
      <c r="K44" s="237"/>
      <c r="L44" s="237"/>
      <c r="M44" s="238"/>
      <c r="N44" s="238"/>
      <c r="O44" s="238"/>
      <c r="P44" s="348" t="s">
        <v>73</v>
      </c>
    </row>
    <row r="45" spans="1:17" ht="15.75">
      <c r="A45" s="223" t="s">
        <v>254</v>
      </c>
      <c r="B45" s="236"/>
      <c r="C45" s="236"/>
      <c r="D45" s="236"/>
      <c r="E45" s="236"/>
      <c r="F45" s="236"/>
      <c r="G45" s="236"/>
      <c r="H45" s="237"/>
      <c r="I45" s="237"/>
      <c r="J45" s="237"/>
      <c r="K45" s="237"/>
      <c r="L45" s="237"/>
      <c r="M45" s="238"/>
      <c r="N45" s="238"/>
      <c r="O45" s="295" t="s">
        <v>171</v>
      </c>
      <c r="P45" s="348" t="s">
        <v>251</v>
      </c>
    </row>
    <row r="46" spans="1:17" ht="15.75">
      <c r="A46" s="38"/>
      <c r="B46" s="169"/>
      <c r="C46" s="300" t="s">
        <v>172</v>
      </c>
      <c r="D46" s="300" t="s">
        <v>173</v>
      </c>
      <c r="E46" s="300" t="s">
        <v>174</v>
      </c>
      <c r="F46" s="300" t="s">
        <v>175</v>
      </c>
      <c r="G46" s="300" t="s">
        <v>176</v>
      </c>
      <c r="H46" s="300" t="s">
        <v>177</v>
      </c>
      <c r="I46" s="300" t="s">
        <v>178</v>
      </c>
      <c r="J46" s="300" t="s">
        <v>179</v>
      </c>
      <c r="K46" s="300" t="s">
        <v>180</v>
      </c>
      <c r="L46" s="300" t="s">
        <v>181</v>
      </c>
      <c r="M46" s="300" t="s">
        <v>182</v>
      </c>
      <c r="N46" s="300" t="s">
        <v>183</v>
      </c>
      <c r="O46" s="271" t="s">
        <v>73</v>
      </c>
      <c r="P46" s="352" t="s">
        <v>264</v>
      </c>
    </row>
    <row r="47" spans="1:17">
      <c r="A47" s="195" t="s">
        <v>36</v>
      </c>
      <c r="B47" s="38"/>
      <c r="C47" s="38"/>
      <c r="D47" s="38"/>
      <c r="E47" s="38"/>
      <c r="F47" s="38"/>
      <c r="G47" s="38"/>
      <c r="H47" s="38"/>
      <c r="I47" s="38"/>
      <c r="J47" s="38"/>
      <c r="K47" s="38"/>
      <c r="L47" s="38"/>
      <c r="M47" s="38"/>
      <c r="N47" s="38"/>
      <c r="O47" s="38"/>
      <c r="P47" s="38"/>
      <c r="Q47" s="195"/>
    </row>
    <row r="48" spans="1:17">
      <c r="A48" s="38" t="s">
        <v>37</v>
      </c>
      <c r="B48" s="170"/>
      <c r="C48" s="171">
        <f>'INCOME-MOS'!C68</f>
        <v>-12903.21428571429</v>
      </c>
      <c r="D48" s="171">
        <f>'INCOME-MOS'!D68</f>
        <v>-12903.21428571429</v>
      </c>
      <c r="E48" s="171">
        <f>'INCOME-MOS'!E68</f>
        <v>-16064.500000000029</v>
      </c>
      <c r="F48" s="171">
        <f>'INCOME-MOS'!F68</f>
        <v>-14483.857142857159</v>
      </c>
      <c r="G48" s="171">
        <f>'INCOME-MOS'!G68</f>
        <v>-16064.500000000029</v>
      </c>
      <c r="H48" s="171">
        <f>'INCOME-MOS'!H68</f>
        <v>-16064.500000000029</v>
      </c>
      <c r="I48" s="171">
        <f>'INCOME-MOS'!I68</f>
        <v>-17645.142857142899</v>
      </c>
      <c r="J48" s="171">
        <f>'INCOME-MOS'!J68</f>
        <v>-20806.42857142858</v>
      </c>
      <c r="K48" s="171">
        <f>'INCOME-MOS'!K68</f>
        <v>-20806.42857142858</v>
      </c>
      <c r="L48" s="171">
        <f>'INCOME-MOS'!L68</f>
        <v>-22387.071428571478</v>
      </c>
      <c r="M48" s="171">
        <f>'INCOME-MOS'!M68</f>
        <v>-23967.714285714319</v>
      </c>
      <c r="N48" s="171">
        <f>'INCOME-MOS'!N68</f>
        <v>-23967.714285714319</v>
      </c>
      <c r="O48" s="177">
        <f>SUM(C48:N48)</f>
        <v>-218064.285714286</v>
      </c>
      <c r="P48" s="171">
        <f>CASHFLOW!D7</f>
        <v>-218064.28571428591</v>
      </c>
      <c r="Q48" s="38"/>
    </row>
    <row r="49" spans="1:17">
      <c r="A49" s="38" t="s">
        <v>38</v>
      </c>
      <c r="B49" s="170"/>
      <c r="C49" s="171">
        <f>'PROP &amp; EQUIP'!$D$47/12</f>
        <v>10976.190476190475</v>
      </c>
      <c r="D49" s="171">
        <f>'PROP &amp; EQUIP'!$D$47/12</f>
        <v>10976.190476190475</v>
      </c>
      <c r="E49" s="171">
        <f>'PROP &amp; EQUIP'!$D$47/12</f>
        <v>10976.190476190475</v>
      </c>
      <c r="F49" s="171">
        <f>'PROP &amp; EQUIP'!$D$47/12</f>
        <v>10976.190476190475</v>
      </c>
      <c r="G49" s="171">
        <f>'PROP &amp; EQUIP'!$D$47/12</f>
        <v>10976.190476190475</v>
      </c>
      <c r="H49" s="171">
        <f>'PROP &amp; EQUIP'!$D$47/12</f>
        <v>10976.190476190475</v>
      </c>
      <c r="I49" s="171">
        <f>'PROP &amp; EQUIP'!$D$47/12</f>
        <v>10976.190476190475</v>
      </c>
      <c r="J49" s="171">
        <f>'PROP &amp; EQUIP'!$D$47/12</f>
        <v>10976.190476190475</v>
      </c>
      <c r="K49" s="171">
        <f>'PROP &amp; EQUIP'!$D$47/12</f>
        <v>10976.190476190475</v>
      </c>
      <c r="L49" s="171">
        <f>'PROP &amp; EQUIP'!$D$47/12</f>
        <v>10976.190476190475</v>
      </c>
      <c r="M49" s="171">
        <f>'PROP &amp; EQUIP'!$D$47/12</f>
        <v>10976.190476190475</v>
      </c>
      <c r="N49" s="171">
        <f>'PROP &amp; EQUIP'!$D$47/12</f>
        <v>10976.190476190475</v>
      </c>
      <c r="O49" s="177">
        <f>SUM(C49:N49)</f>
        <v>131714.28571428571</v>
      </c>
      <c r="P49" s="171">
        <f>CASHFLOW!D8</f>
        <v>131714.28571428571</v>
      </c>
      <c r="Q49" s="38"/>
    </row>
    <row r="50" spans="1:17">
      <c r="A50" s="38" t="s">
        <v>39</v>
      </c>
      <c r="B50" s="170"/>
      <c r="C50" s="170"/>
      <c r="D50" s="170"/>
      <c r="E50" s="170"/>
      <c r="F50" s="170"/>
      <c r="G50" s="170"/>
      <c r="H50" s="170"/>
      <c r="I50" s="170"/>
      <c r="J50" s="170"/>
      <c r="K50" s="170"/>
      <c r="L50" s="170"/>
      <c r="M50" s="170"/>
      <c r="N50" s="170"/>
      <c r="O50" s="170"/>
      <c r="P50" s="171">
        <f>CASHFLOW!D9</f>
        <v>0</v>
      </c>
      <c r="Q50" s="38"/>
    </row>
    <row r="51" spans="1:17">
      <c r="A51" s="173" t="s">
        <v>107</v>
      </c>
      <c r="B51" s="170"/>
      <c r="C51" s="171">
        <f>-(WORKCAP!$D67-WORKCAP!$C78)</f>
        <v>-112050</v>
      </c>
      <c r="D51" s="171">
        <f>-(WORKCAP!$D68-WORKCAP!$D67)</f>
        <v>0</v>
      </c>
      <c r="E51" s="171">
        <f>-(WORKCAP!$D69-WORKCAP!$D68)</f>
        <v>-104580.00000000009</v>
      </c>
      <c r="F51" s="171">
        <f>-(WORKCAP!$D70-WORKCAP!$D69)</f>
        <v>52290.000000000058</v>
      </c>
      <c r="G51" s="171">
        <f>-(WORKCAP!$D71-WORKCAP!$D70)</f>
        <v>-52290.000000000058</v>
      </c>
      <c r="H51" s="171">
        <f>-(WORKCAP!$D72-WORKCAP!$D71)</f>
        <v>0</v>
      </c>
      <c r="I51" s="171">
        <f>-(WORKCAP!$D73-WORKCAP!$D72)</f>
        <v>-52289.999999999942</v>
      </c>
      <c r="J51" s="171">
        <f>-(WORKCAP!$D74-WORKCAP!$D73)</f>
        <v>-104580</v>
      </c>
      <c r="K51" s="171">
        <f>-(WORKCAP!$D75-WORKCAP!$D74)</f>
        <v>0</v>
      </c>
      <c r="L51" s="171">
        <f>-(WORKCAP!$D76-WORKCAP!$D75)</f>
        <v>-52290.000000000058</v>
      </c>
      <c r="M51" s="171">
        <f>-(WORKCAP!$D77-WORKCAP!$D76)</f>
        <v>-52290</v>
      </c>
      <c r="N51" s="171">
        <f>-(WORKCAP!$D78-WORKCAP!$D77)</f>
        <v>0</v>
      </c>
      <c r="O51" s="177">
        <f t="shared" ref="O51:O56" si="7">SUM(C51:N51)</f>
        <v>-478080.00000000006</v>
      </c>
      <c r="P51" s="171">
        <f>CASHFLOW!D10</f>
        <v>-478080.00000000012</v>
      </c>
      <c r="Q51" s="173"/>
    </row>
    <row r="52" spans="1:17">
      <c r="A52" s="173" t="s">
        <v>108</v>
      </c>
      <c r="B52" s="170"/>
      <c r="C52" s="171">
        <f>-(WORKCAP!$D84-WORKCAP!$C95)</f>
        <v>-112050</v>
      </c>
      <c r="D52" s="171">
        <f>-(WORKCAP!$D85-WORKCAP!$D84)</f>
        <v>0</v>
      </c>
      <c r="E52" s="171">
        <f>-(WORKCAP!$D86-WORKCAP!$D85)</f>
        <v>-104580.00000000009</v>
      </c>
      <c r="F52" s="171">
        <f>-(WORKCAP!$D87-WORKCAP!$D86)</f>
        <v>52290.000000000058</v>
      </c>
      <c r="G52" s="171">
        <f>-(WORKCAP!$D88-WORKCAP!$D87)</f>
        <v>-52290.000000000058</v>
      </c>
      <c r="H52" s="171">
        <f>-(WORKCAP!$D89-WORKCAP!$D88)</f>
        <v>0</v>
      </c>
      <c r="I52" s="171">
        <f>-(WORKCAP!$D90-WORKCAP!$D89)</f>
        <v>-52289.999999999942</v>
      </c>
      <c r="J52" s="171">
        <f>-(WORKCAP!$D91-WORKCAP!$D90)</f>
        <v>-104580</v>
      </c>
      <c r="K52" s="171">
        <f>-(WORKCAP!$D92-WORKCAP!$D91)</f>
        <v>0</v>
      </c>
      <c r="L52" s="171">
        <f>-(WORKCAP!$D93-WORKCAP!$D92)</f>
        <v>-52290.000000000058</v>
      </c>
      <c r="M52" s="171">
        <f>-(WORKCAP!$D94-WORKCAP!$D93)</f>
        <v>-52290</v>
      </c>
      <c r="N52" s="171">
        <f>-(WORKCAP!$D95-WORKCAP!$D94)</f>
        <v>0</v>
      </c>
      <c r="O52" s="177">
        <f t="shared" si="7"/>
        <v>-478080.00000000006</v>
      </c>
      <c r="P52" s="171">
        <f>CASHFLOW!D11</f>
        <v>-478080.00000000012</v>
      </c>
      <c r="Q52" s="173"/>
    </row>
    <row r="53" spans="1:17">
      <c r="A53" s="173" t="s">
        <v>109</v>
      </c>
      <c r="B53" s="170"/>
      <c r="C53" s="171">
        <f>-(WORKCAP!$D101-WORKCAP!$C112)</f>
        <v>-13500.000000000004</v>
      </c>
      <c r="D53" s="171">
        <f>-(WORKCAP!$D102-WORKCAP!$D101)</f>
        <v>0</v>
      </c>
      <c r="E53" s="171">
        <f>-(WORKCAP!$D103-WORKCAP!$D102)</f>
        <v>-12600.000000000004</v>
      </c>
      <c r="F53" s="171">
        <f>-(WORKCAP!$D104-WORKCAP!$D103)</f>
        <v>6300.0000000000073</v>
      </c>
      <c r="G53" s="171">
        <f>-(WORKCAP!$D105-WORKCAP!$D104)</f>
        <v>-6300.0000000000073</v>
      </c>
      <c r="H53" s="171">
        <f>-(WORKCAP!$D106-WORKCAP!$D105)</f>
        <v>0</v>
      </c>
      <c r="I53" s="171">
        <f>-(WORKCAP!$D107-WORKCAP!$D106)</f>
        <v>-6300</v>
      </c>
      <c r="J53" s="171">
        <f>-(WORKCAP!$D108-WORKCAP!$D107)</f>
        <v>-12600</v>
      </c>
      <c r="K53" s="171">
        <f>-(WORKCAP!$D109-WORKCAP!$D108)</f>
        <v>0</v>
      </c>
      <c r="L53" s="171">
        <f>-(WORKCAP!$D110-WORKCAP!$D109)</f>
        <v>-6299.9999999999927</v>
      </c>
      <c r="M53" s="171">
        <f>-(WORKCAP!$D111-WORKCAP!$D110)</f>
        <v>-6300</v>
      </c>
      <c r="N53" s="171">
        <f>-(WORKCAP!$D112-WORKCAP!$D111)</f>
        <v>0</v>
      </c>
      <c r="O53" s="177">
        <f t="shared" si="7"/>
        <v>-57600</v>
      </c>
      <c r="P53" s="171">
        <f>CASHFLOW!D12</f>
        <v>-57600</v>
      </c>
      <c r="Q53" s="173"/>
    </row>
    <row r="54" spans="1:17">
      <c r="A54" s="173" t="s">
        <v>117</v>
      </c>
      <c r="B54" s="170"/>
      <c r="C54" s="171">
        <f>(WORKCAP!$D118-WORKCAP!$C129)</f>
        <v>-149120.00000000003</v>
      </c>
      <c r="D54" s="171">
        <f>(WORKCAP!$D119-WORKCAP!$D118)</f>
        <v>-6599.9129999999832</v>
      </c>
      <c r="E54" s="171">
        <f>(WORKCAP!$D120-WORKCAP!$D119)</f>
        <v>31.236827999999996</v>
      </c>
      <c r="F54" s="171">
        <f>(WORKCAP!$D121-WORKCAP!$D120)</f>
        <v>331138.67617199995</v>
      </c>
      <c r="G54" s="171">
        <f>(WORKCAP!$D122-WORKCAP!$D121)</f>
        <v>50190.000000000058</v>
      </c>
      <c r="H54" s="171">
        <f>(WORKCAP!$D123-WORKCAP!$D122)</f>
        <v>2310</v>
      </c>
      <c r="I54" s="171">
        <f>(WORKCAP!$D124-WORKCAP!$D123)</f>
        <v>52499.999999999942</v>
      </c>
      <c r="J54" s="171">
        <f>(WORKCAP!$D125-WORKCAP!$D124)</f>
        <v>107310.00000000006</v>
      </c>
      <c r="K54" s="171">
        <f>(WORKCAP!$D126-WORKCAP!$D125)</f>
        <v>4620</v>
      </c>
      <c r="L54" s="171">
        <f>(WORKCAP!$D127-WORKCAP!$D126)</f>
        <v>52500</v>
      </c>
      <c r="M54" s="171">
        <f>(WORKCAP!$D128-WORKCAP!$D127)</f>
        <v>54809.999999999884</v>
      </c>
      <c r="N54" s="171">
        <f>(WORKCAP!$D129-WORKCAP!$D128)</f>
        <v>2310</v>
      </c>
      <c r="O54" s="177">
        <f t="shared" si="7"/>
        <v>501999.99999999988</v>
      </c>
      <c r="P54" s="171">
        <f>CASHFLOW!D13</f>
        <v>501999.99999999988</v>
      </c>
      <c r="Q54" s="173"/>
    </row>
    <row r="55" spans="1:17">
      <c r="A55" s="173" t="s">
        <v>152</v>
      </c>
      <c r="B55" s="175"/>
      <c r="C55" s="179">
        <f>(WORKCAP!$D135-WORKCAP!$C146)</f>
        <v>13500.000000000004</v>
      </c>
      <c r="D55" s="179">
        <f>(WORKCAP!$D136-WORKCAP!$D135)</f>
        <v>0</v>
      </c>
      <c r="E55" s="179">
        <f>(WORKCAP!$D137-WORKCAP!$D136)</f>
        <v>12600.000000000004</v>
      </c>
      <c r="F55" s="179">
        <f>(WORKCAP!$D138-WORKCAP!$D137)</f>
        <v>-6300.0000000000073</v>
      </c>
      <c r="G55" s="179">
        <f>(WORKCAP!$D139-WORKCAP!$D138)</f>
        <v>6300.0000000000073</v>
      </c>
      <c r="H55" s="179">
        <f>(WORKCAP!$D140-WORKCAP!$D139)</f>
        <v>0</v>
      </c>
      <c r="I55" s="179">
        <f>(WORKCAP!$D141-WORKCAP!$D140)</f>
        <v>6300</v>
      </c>
      <c r="J55" s="179">
        <f>(WORKCAP!$D142-WORKCAP!$D141)</f>
        <v>12600</v>
      </c>
      <c r="K55" s="179">
        <f>(WORKCAP!$D143-WORKCAP!$D142)</f>
        <v>0</v>
      </c>
      <c r="L55" s="179">
        <f>(WORKCAP!$D144-WORKCAP!$D143)</f>
        <v>6299.9999999999927</v>
      </c>
      <c r="M55" s="179">
        <f>(WORKCAP!$D145-WORKCAP!$D144)</f>
        <v>6300</v>
      </c>
      <c r="N55" s="179">
        <f>(WORKCAP!$D146-WORKCAP!$D145)</f>
        <v>0</v>
      </c>
      <c r="O55" s="180">
        <f t="shared" si="7"/>
        <v>57600</v>
      </c>
      <c r="P55" s="179">
        <f>CASHFLOW!D14</f>
        <v>57600</v>
      </c>
      <c r="Q55" s="173"/>
    </row>
    <row r="56" spans="1:17">
      <c r="A56" s="173" t="s">
        <v>235</v>
      </c>
      <c r="B56" s="170"/>
      <c r="C56" s="177">
        <f t="shared" ref="C56:N56" si="8">SUM(C48:C55)</f>
        <v>-375147.02380952385</v>
      </c>
      <c r="D56" s="177">
        <f t="shared" si="8"/>
        <v>-8526.9368095237987</v>
      </c>
      <c r="E56" s="177">
        <f t="shared" si="8"/>
        <v>-214217.07269580974</v>
      </c>
      <c r="F56" s="177">
        <f t="shared" si="8"/>
        <v>432211.00950533338</v>
      </c>
      <c r="G56" s="177">
        <f t="shared" si="8"/>
        <v>-59478.309523809607</v>
      </c>
      <c r="H56" s="177">
        <f t="shared" si="8"/>
        <v>-2778.3095238095539</v>
      </c>
      <c r="I56" s="177">
        <f t="shared" si="8"/>
        <v>-58748.952380952367</v>
      </c>
      <c r="J56" s="177">
        <f t="shared" si="8"/>
        <v>-111680.23809523805</v>
      </c>
      <c r="K56" s="177">
        <f t="shared" si="8"/>
        <v>-5210.2380952381045</v>
      </c>
      <c r="L56" s="177">
        <f t="shared" si="8"/>
        <v>-63490.880952381129</v>
      </c>
      <c r="M56" s="177">
        <f t="shared" si="8"/>
        <v>-62761.523809523962</v>
      </c>
      <c r="N56" s="177">
        <f t="shared" si="8"/>
        <v>-10681.523809523844</v>
      </c>
      <c r="O56" s="177">
        <f t="shared" si="7"/>
        <v>-540510.00000000058</v>
      </c>
      <c r="P56" s="171">
        <f>CASHFLOW!D15</f>
        <v>-540510.00000000058</v>
      </c>
      <c r="Q56" s="173"/>
    </row>
    <row r="57" spans="1:17">
      <c r="A57" s="38"/>
      <c r="B57" s="170"/>
      <c r="C57" s="170"/>
      <c r="D57" s="170"/>
      <c r="E57" s="170"/>
      <c r="F57" s="170"/>
      <c r="G57" s="170"/>
      <c r="H57" s="170"/>
      <c r="I57" s="170"/>
      <c r="J57" s="170"/>
      <c r="K57" s="170"/>
      <c r="L57" s="170"/>
      <c r="M57" s="170"/>
      <c r="N57" s="170"/>
      <c r="O57" s="170"/>
      <c r="P57" s="172">
        <f>CASHFLOW!D16</f>
        <v>0</v>
      </c>
      <c r="Q57" s="38"/>
    </row>
    <row r="58" spans="1:17">
      <c r="A58" s="195" t="s">
        <v>40</v>
      </c>
      <c r="B58" s="170"/>
      <c r="C58" s="170"/>
      <c r="D58" s="170"/>
      <c r="E58" s="170"/>
      <c r="F58" s="170"/>
      <c r="G58" s="170"/>
      <c r="H58" s="170"/>
      <c r="I58" s="170"/>
      <c r="J58" s="170"/>
      <c r="K58" s="170"/>
      <c r="L58" s="170"/>
      <c r="M58" s="170"/>
      <c r="N58" s="170"/>
      <c r="O58" s="170"/>
      <c r="P58" s="172">
        <f>CASHFLOW!D17</f>
        <v>0</v>
      </c>
      <c r="Q58" s="195"/>
    </row>
    <row r="59" spans="1:17">
      <c r="A59" s="38" t="s">
        <v>227</v>
      </c>
      <c r="B59" s="170"/>
      <c r="C59" s="171">
        <f>-'PROP &amp; EQUIP'!$D61</f>
        <v>-100000</v>
      </c>
      <c r="D59" s="171">
        <f>-'PROP &amp; EQUIP'!$D62</f>
        <v>-100000</v>
      </c>
      <c r="E59" s="171">
        <f>-'PROP &amp; EQUIP'!$D63</f>
        <v>0</v>
      </c>
      <c r="F59" s="171">
        <f>-'PROP &amp; EQUIP'!$D65</f>
        <v>0</v>
      </c>
      <c r="G59" s="171">
        <f>-'PROP &amp; EQUIP'!$D66</f>
        <v>0</v>
      </c>
      <c r="H59" s="171">
        <f>-'PROP &amp; EQUIP'!$D67</f>
        <v>-100000</v>
      </c>
      <c r="I59" s="171">
        <f>-'PROP &amp; EQUIP'!$D69</f>
        <v>0</v>
      </c>
      <c r="J59" s="171">
        <f>-'PROP &amp; EQUIP'!$D70</f>
        <v>0</v>
      </c>
      <c r="K59" s="171">
        <f>-'PROP &amp; EQUIP'!$D71</f>
        <v>-100000</v>
      </c>
      <c r="L59" s="171">
        <f>-'PROP &amp; EQUIP'!$D73</f>
        <v>0</v>
      </c>
      <c r="M59" s="171">
        <f>-'PROP &amp; EQUIP'!$D74</f>
        <v>0</v>
      </c>
      <c r="N59" s="171">
        <f>-'PROP &amp; EQUIP'!$D75</f>
        <v>-100000</v>
      </c>
      <c r="O59" s="177">
        <f>SUM(C59:N59)</f>
        <v>-500000</v>
      </c>
      <c r="P59" s="171">
        <f>CASHFLOW!D18</f>
        <v>-500000</v>
      </c>
      <c r="Q59" s="38"/>
    </row>
    <row r="60" spans="1:17">
      <c r="A60" s="178" t="s">
        <v>110</v>
      </c>
      <c r="B60" s="170"/>
      <c r="C60" s="179"/>
      <c r="D60" s="179"/>
      <c r="E60" s="179"/>
      <c r="F60" s="179"/>
      <c r="G60" s="179"/>
      <c r="H60" s="179"/>
      <c r="I60" s="179"/>
      <c r="J60" s="179"/>
      <c r="K60" s="179"/>
      <c r="L60" s="179"/>
      <c r="M60" s="179"/>
      <c r="N60" s="179"/>
      <c r="O60" s="180">
        <f>SUM(C60:N60)</f>
        <v>0</v>
      </c>
      <c r="P60" s="179">
        <f>CASHFLOW!D19</f>
        <v>0</v>
      </c>
      <c r="Q60" s="178"/>
    </row>
    <row r="61" spans="1:17">
      <c r="A61" s="173" t="s">
        <v>41</v>
      </c>
      <c r="B61" s="170"/>
      <c r="C61" s="177">
        <f t="shared" ref="C61:N61" si="9">SUM(C59:C60)</f>
        <v>-100000</v>
      </c>
      <c r="D61" s="177">
        <f t="shared" si="9"/>
        <v>-100000</v>
      </c>
      <c r="E61" s="177">
        <f t="shared" si="9"/>
        <v>0</v>
      </c>
      <c r="F61" s="177">
        <f t="shared" si="9"/>
        <v>0</v>
      </c>
      <c r="G61" s="177">
        <f t="shared" si="9"/>
        <v>0</v>
      </c>
      <c r="H61" s="177">
        <f t="shared" si="9"/>
        <v>-100000</v>
      </c>
      <c r="I61" s="177">
        <f t="shared" si="9"/>
        <v>0</v>
      </c>
      <c r="J61" s="177">
        <f t="shared" si="9"/>
        <v>0</v>
      </c>
      <c r="K61" s="177">
        <f t="shared" si="9"/>
        <v>-100000</v>
      </c>
      <c r="L61" s="177">
        <f t="shared" si="9"/>
        <v>0</v>
      </c>
      <c r="M61" s="177">
        <f t="shared" si="9"/>
        <v>0</v>
      </c>
      <c r="N61" s="177">
        <f t="shared" si="9"/>
        <v>-100000</v>
      </c>
      <c r="O61" s="177">
        <f>SUM(C61:N61)</f>
        <v>-500000</v>
      </c>
      <c r="P61" s="171">
        <f>CASHFLOW!D20</f>
        <v>-500000</v>
      </c>
      <c r="Q61" s="173"/>
    </row>
    <row r="62" spans="1:17">
      <c r="A62" s="38"/>
      <c r="B62" s="170"/>
      <c r="C62" s="170"/>
      <c r="D62" s="170"/>
      <c r="E62" s="170"/>
      <c r="F62" s="170"/>
      <c r="G62" s="170"/>
      <c r="H62" s="170"/>
      <c r="I62" s="170"/>
      <c r="J62" s="170"/>
      <c r="K62" s="170"/>
      <c r="L62" s="170"/>
      <c r="M62" s="170"/>
      <c r="N62" s="170"/>
      <c r="O62" s="170"/>
      <c r="P62" s="172">
        <f>CASHFLOW!D21</f>
        <v>0</v>
      </c>
      <c r="Q62" s="38"/>
    </row>
    <row r="63" spans="1:17">
      <c r="A63" s="195" t="s">
        <v>42</v>
      </c>
      <c r="B63" s="170"/>
      <c r="C63" s="170"/>
      <c r="D63" s="170"/>
      <c r="E63" s="170"/>
      <c r="F63" s="170"/>
      <c r="G63" s="170"/>
      <c r="H63" s="170"/>
      <c r="I63" s="170"/>
      <c r="J63" s="170"/>
      <c r="K63" s="170"/>
      <c r="L63" s="170"/>
      <c r="M63" s="170"/>
      <c r="N63" s="170"/>
      <c r="O63" s="170"/>
      <c r="P63" s="172">
        <f>CASHFLOW!D22</f>
        <v>0</v>
      </c>
      <c r="Q63" s="195"/>
    </row>
    <row r="64" spans="1:17">
      <c r="A64" s="38" t="s">
        <v>43</v>
      </c>
      <c r="B64" s="170"/>
      <c r="C64" s="171">
        <f>IF(FUNDING!D19&gt;=0,FUNDING!D19,0)</f>
        <v>0</v>
      </c>
      <c r="D64" s="171"/>
      <c r="E64" s="171"/>
      <c r="F64" s="171"/>
      <c r="G64" s="171"/>
      <c r="H64" s="171"/>
      <c r="I64" s="171"/>
      <c r="J64" s="171"/>
      <c r="K64" s="171"/>
      <c r="L64" s="171"/>
      <c r="M64" s="171"/>
      <c r="N64" s="171">
        <f>IF(FUNDING!D19&lt;0,FUNDING!D19,0)</f>
        <v>0</v>
      </c>
      <c r="O64" s="177">
        <f t="shared" ref="O64:O70" si="10">SUM(C64:N64)</f>
        <v>0</v>
      </c>
      <c r="P64" s="171">
        <f>CASHFLOW!D23</f>
        <v>0</v>
      </c>
      <c r="Q64" s="38"/>
    </row>
    <row r="65" spans="1:20">
      <c r="A65" s="38" t="s">
        <v>44</v>
      </c>
      <c r="B65" s="170"/>
      <c r="C65" s="171">
        <f>IF(FUNDING!D27&gt;=0,FUNDING!D27,0)</f>
        <v>100000</v>
      </c>
      <c r="D65" s="171"/>
      <c r="E65" s="171"/>
      <c r="F65" s="171"/>
      <c r="G65" s="171"/>
      <c r="H65" s="171"/>
      <c r="I65" s="171"/>
      <c r="J65" s="171"/>
      <c r="K65" s="171"/>
      <c r="L65" s="171"/>
      <c r="M65" s="171"/>
      <c r="N65" s="171">
        <f>IF(FUNDING!D27&lt;0,FUNDING!D27,0)</f>
        <v>0</v>
      </c>
      <c r="O65" s="177">
        <f t="shared" si="10"/>
        <v>100000</v>
      </c>
      <c r="P65" s="171">
        <f>CASHFLOW!D24</f>
        <v>100000</v>
      </c>
      <c r="Q65" s="38"/>
    </row>
    <row r="66" spans="1:20">
      <c r="A66" s="38" t="s">
        <v>79</v>
      </c>
      <c r="B66" s="170"/>
      <c r="C66" s="171">
        <f>IF(FUNDING!D28&gt;=0,FUNDING!D28,0)</f>
        <v>400000</v>
      </c>
      <c r="D66" s="171"/>
      <c r="E66" s="171"/>
      <c r="F66" s="171"/>
      <c r="G66" s="171"/>
      <c r="H66" s="171"/>
      <c r="I66" s="171"/>
      <c r="J66" s="171"/>
      <c r="K66" s="171"/>
      <c r="L66" s="171"/>
      <c r="M66" s="171"/>
      <c r="N66" s="171">
        <f>IF(FUNDING!D28&lt;0,FUNDING!D28,0)</f>
        <v>0</v>
      </c>
      <c r="O66" s="177">
        <f t="shared" si="10"/>
        <v>400000</v>
      </c>
      <c r="P66" s="171">
        <f>CASHFLOW!D25</f>
        <v>400000</v>
      </c>
      <c r="Q66" s="38"/>
    </row>
    <row r="67" spans="1:20">
      <c r="A67" s="38" t="s">
        <v>45</v>
      </c>
      <c r="B67" s="170"/>
      <c r="C67" s="171">
        <f>IF(FUNDING!D9&gt;=0,FUNDING!D9,0)</f>
        <v>0</v>
      </c>
      <c r="D67" s="171"/>
      <c r="E67" s="171"/>
      <c r="F67" s="171"/>
      <c r="G67" s="171"/>
      <c r="H67" s="171"/>
      <c r="I67" s="171"/>
      <c r="J67" s="171"/>
      <c r="K67" s="171"/>
      <c r="L67" s="171"/>
      <c r="M67" s="171"/>
      <c r="N67" s="171">
        <f>IF(FUNDING!D9&lt;0,FUNDING!CD9,0)</f>
        <v>0</v>
      </c>
      <c r="O67" s="177">
        <f t="shared" si="10"/>
        <v>0</v>
      </c>
      <c r="P67" s="171">
        <f>CASHFLOW!D26</f>
        <v>0</v>
      </c>
      <c r="Q67" s="38"/>
    </row>
    <row r="68" spans="1:20">
      <c r="A68" s="38" t="s">
        <v>46</v>
      </c>
      <c r="B68" s="170"/>
      <c r="C68" s="171">
        <f>IF(FUNDING!D14&gt;=0,FUNDING!D14,0)</f>
        <v>500000</v>
      </c>
      <c r="D68" s="171"/>
      <c r="E68" s="171"/>
      <c r="F68" s="171"/>
      <c r="G68" s="171"/>
      <c r="H68" s="171"/>
      <c r="I68" s="171"/>
      <c r="J68" s="171"/>
      <c r="K68" s="171"/>
      <c r="L68" s="171"/>
      <c r="M68" s="171"/>
      <c r="N68" s="171">
        <f>IF(FUNDING!D14&lt;0,FUNDING!D14,0)</f>
        <v>0</v>
      </c>
      <c r="O68" s="177">
        <f t="shared" si="10"/>
        <v>500000</v>
      </c>
      <c r="P68" s="171">
        <f>CASHFLOW!D27</f>
        <v>500000</v>
      </c>
      <c r="Q68" s="38"/>
    </row>
    <row r="69" spans="1:20">
      <c r="A69" s="38" t="s">
        <v>47</v>
      </c>
      <c r="B69" s="175"/>
      <c r="C69" s="179"/>
      <c r="D69" s="179"/>
      <c r="E69" s="179"/>
      <c r="F69" s="179"/>
      <c r="G69" s="179"/>
      <c r="H69" s="179"/>
      <c r="I69" s="179"/>
      <c r="J69" s="179"/>
      <c r="K69" s="179"/>
      <c r="L69" s="179"/>
      <c r="M69" s="179"/>
      <c r="N69" s="179">
        <f>-FUNDING!D49</f>
        <v>0</v>
      </c>
      <c r="O69" s="180">
        <f t="shared" si="10"/>
        <v>0</v>
      </c>
      <c r="P69" s="179">
        <f>CASHFLOW!D28</f>
        <v>0</v>
      </c>
      <c r="Q69" s="38"/>
    </row>
    <row r="70" spans="1:20">
      <c r="A70" s="173" t="s">
        <v>48</v>
      </c>
      <c r="B70" s="175"/>
      <c r="C70" s="177">
        <f t="shared" ref="C70:N70" si="11">SUM(C64:C69)</f>
        <v>1000000</v>
      </c>
      <c r="D70" s="177">
        <f t="shared" si="11"/>
        <v>0</v>
      </c>
      <c r="E70" s="177">
        <f t="shared" si="11"/>
        <v>0</v>
      </c>
      <c r="F70" s="177">
        <f t="shared" si="11"/>
        <v>0</v>
      </c>
      <c r="G70" s="177">
        <f t="shared" si="11"/>
        <v>0</v>
      </c>
      <c r="H70" s="177">
        <f t="shared" si="11"/>
        <v>0</v>
      </c>
      <c r="I70" s="177">
        <f t="shared" si="11"/>
        <v>0</v>
      </c>
      <c r="J70" s="177">
        <f t="shared" si="11"/>
        <v>0</v>
      </c>
      <c r="K70" s="177">
        <f t="shared" si="11"/>
        <v>0</v>
      </c>
      <c r="L70" s="177">
        <f t="shared" si="11"/>
        <v>0</v>
      </c>
      <c r="M70" s="177">
        <f t="shared" si="11"/>
        <v>0</v>
      </c>
      <c r="N70" s="177">
        <f t="shared" si="11"/>
        <v>0</v>
      </c>
      <c r="O70" s="177">
        <f t="shared" si="10"/>
        <v>1000000</v>
      </c>
      <c r="P70" s="171">
        <f>CASHFLOW!D29</f>
        <v>1000000</v>
      </c>
      <c r="Q70" s="173"/>
    </row>
    <row r="71" spans="1:20">
      <c r="A71" s="38"/>
      <c r="B71" s="175"/>
      <c r="C71" s="301"/>
      <c r="D71" s="301"/>
      <c r="E71" s="301"/>
      <c r="F71" s="301"/>
      <c r="G71" s="301"/>
      <c r="H71" s="301"/>
      <c r="I71" s="301"/>
      <c r="J71" s="301"/>
      <c r="K71" s="301"/>
      <c r="L71" s="301"/>
      <c r="M71" s="301"/>
      <c r="N71" s="301"/>
      <c r="O71" s="301"/>
      <c r="P71" s="441">
        <f>CASHFLOW!D30</f>
        <v>0</v>
      </c>
      <c r="Q71" s="38"/>
    </row>
    <row r="72" spans="1:20">
      <c r="A72" s="195" t="s">
        <v>106</v>
      </c>
      <c r="B72" s="175"/>
      <c r="C72" s="180">
        <f>C56+C61+C70</f>
        <v>524852.97619047621</v>
      </c>
      <c r="D72" s="180">
        <f t="shared" ref="D72:N72" si="12">D56+D61+D70</f>
        <v>-108526.9368095238</v>
      </c>
      <c r="E72" s="180">
        <f t="shared" si="12"/>
        <v>-214217.07269580974</v>
      </c>
      <c r="F72" s="180">
        <f t="shared" si="12"/>
        <v>432211.00950533338</v>
      </c>
      <c r="G72" s="180">
        <f t="shared" si="12"/>
        <v>-59478.309523809607</v>
      </c>
      <c r="H72" s="180">
        <f t="shared" si="12"/>
        <v>-102778.30952380956</v>
      </c>
      <c r="I72" s="180">
        <f t="shared" si="12"/>
        <v>-58748.952380952367</v>
      </c>
      <c r="J72" s="180">
        <f t="shared" si="12"/>
        <v>-111680.23809523805</v>
      </c>
      <c r="K72" s="180">
        <f t="shared" si="12"/>
        <v>-105210.23809523811</v>
      </c>
      <c r="L72" s="180">
        <f t="shared" si="12"/>
        <v>-63490.880952381129</v>
      </c>
      <c r="M72" s="180">
        <f t="shared" si="12"/>
        <v>-62761.523809523962</v>
      </c>
      <c r="N72" s="180">
        <f t="shared" si="12"/>
        <v>-110681.52380952385</v>
      </c>
      <c r="O72" s="180">
        <f>SUM(C72:N72)</f>
        <v>-40510.000000000524</v>
      </c>
      <c r="P72" s="599">
        <f>CASHFLOW!D31</f>
        <v>-40510.000000000582</v>
      </c>
      <c r="Q72" s="195"/>
    </row>
    <row r="73" spans="1:20">
      <c r="A73" s="38"/>
      <c r="B73" s="170"/>
      <c r="C73" s="170"/>
      <c r="D73" s="170"/>
      <c r="E73" s="170"/>
      <c r="F73" s="170"/>
      <c r="G73" s="170"/>
      <c r="H73" s="170"/>
      <c r="I73" s="170"/>
      <c r="J73" s="170"/>
      <c r="K73" s="170"/>
      <c r="L73" s="170"/>
      <c r="M73" s="170"/>
      <c r="N73" s="170"/>
      <c r="O73" s="170"/>
      <c r="P73" s="170"/>
      <c r="Q73" s="38"/>
    </row>
    <row r="74" spans="1:20">
      <c r="A74" s="195" t="s">
        <v>400</v>
      </c>
      <c r="B74" s="170"/>
      <c r="C74" s="177">
        <f>N39</f>
        <v>408169.85</v>
      </c>
      <c r="D74" s="177">
        <f t="shared" ref="D74:N74" si="13">C75</f>
        <v>933022.82619047619</v>
      </c>
      <c r="E74" s="177">
        <f t="shared" si="13"/>
        <v>824495.88938095234</v>
      </c>
      <c r="F74" s="177">
        <f t="shared" si="13"/>
        <v>610278.81668514258</v>
      </c>
      <c r="G74" s="177">
        <f t="shared" si="13"/>
        <v>1042489.826190476</v>
      </c>
      <c r="H74" s="177">
        <f t="shared" si="13"/>
        <v>983011.51666666637</v>
      </c>
      <c r="I74" s="177">
        <f t="shared" si="13"/>
        <v>880233.20714285679</v>
      </c>
      <c r="J74" s="177">
        <f t="shared" si="13"/>
        <v>821484.25476190448</v>
      </c>
      <c r="K74" s="177">
        <f t="shared" si="13"/>
        <v>709804.01666666637</v>
      </c>
      <c r="L74" s="177">
        <f t="shared" si="13"/>
        <v>604593.77857142827</v>
      </c>
      <c r="M74" s="177">
        <f t="shared" si="13"/>
        <v>541102.89761904709</v>
      </c>
      <c r="N74" s="177">
        <f t="shared" si="13"/>
        <v>478341.37380952312</v>
      </c>
      <c r="O74" s="170"/>
      <c r="P74" s="171">
        <f>CASHFLOW!D33</f>
        <v>408169.85000000009</v>
      </c>
      <c r="Q74" s="195"/>
    </row>
    <row r="75" spans="1:20">
      <c r="A75" s="195" t="s">
        <v>399</v>
      </c>
      <c r="B75" s="52" t="e">
        <f>BALANCE!Cash_Begin</f>
        <v>#NAME?</v>
      </c>
      <c r="C75" s="177">
        <f t="shared" ref="C75:N75" si="14">C74+C72</f>
        <v>933022.82619047619</v>
      </c>
      <c r="D75" s="177">
        <f t="shared" si="14"/>
        <v>824495.88938095234</v>
      </c>
      <c r="E75" s="177">
        <f t="shared" si="14"/>
        <v>610278.81668514258</v>
      </c>
      <c r="F75" s="177">
        <f t="shared" si="14"/>
        <v>1042489.826190476</v>
      </c>
      <c r="G75" s="177">
        <f t="shared" si="14"/>
        <v>983011.51666666637</v>
      </c>
      <c r="H75" s="177">
        <f t="shared" si="14"/>
        <v>880233.20714285679</v>
      </c>
      <c r="I75" s="177">
        <f t="shared" si="14"/>
        <v>821484.25476190448</v>
      </c>
      <c r="J75" s="177">
        <f t="shared" si="14"/>
        <v>709804.01666666637</v>
      </c>
      <c r="K75" s="177">
        <f t="shared" si="14"/>
        <v>604593.77857142827</v>
      </c>
      <c r="L75" s="177">
        <f t="shared" si="14"/>
        <v>541102.89761904709</v>
      </c>
      <c r="M75" s="177">
        <f t="shared" si="14"/>
        <v>478341.37380952312</v>
      </c>
      <c r="N75" s="177">
        <f t="shared" si="14"/>
        <v>367659.84999999928</v>
      </c>
      <c r="O75" s="170"/>
      <c r="P75" s="171">
        <f>CASHFLOW!D34</f>
        <v>367659.84999999951</v>
      </c>
      <c r="Q75" s="195"/>
    </row>
    <row r="78" spans="1:20" ht="20.25">
      <c r="A78" s="354" t="str">
        <f>A1</f>
        <v>XYZ Company</v>
      </c>
      <c r="B78" s="2"/>
      <c r="C78" s="2"/>
      <c r="D78" s="2"/>
      <c r="E78" s="2"/>
      <c r="F78" s="2"/>
      <c r="G78" s="2"/>
      <c r="H78" s="2"/>
      <c r="I78" s="2"/>
      <c r="J78" s="2"/>
      <c r="K78" s="2"/>
      <c r="L78" s="2"/>
      <c r="M78" s="2"/>
      <c r="N78" s="2"/>
      <c r="O78" s="2"/>
      <c r="P78" s="2"/>
    </row>
    <row r="79" spans="1:20" ht="15.75">
      <c r="A79" s="223" t="s">
        <v>269</v>
      </c>
      <c r="B79" s="2"/>
      <c r="C79" s="2"/>
      <c r="D79" s="2"/>
      <c r="E79" s="2"/>
      <c r="F79" s="2"/>
      <c r="G79" s="2"/>
      <c r="H79" s="2"/>
      <c r="I79" s="2"/>
      <c r="J79" s="2"/>
      <c r="K79" s="2"/>
      <c r="L79" s="2"/>
      <c r="M79" s="2"/>
      <c r="N79" s="2"/>
      <c r="O79" s="2"/>
      <c r="P79" s="2"/>
      <c r="R79" s="348" t="s">
        <v>74</v>
      </c>
      <c r="S79" s="348" t="s">
        <v>75</v>
      </c>
      <c r="T79" s="348" t="s">
        <v>76</v>
      </c>
    </row>
    <row r="80" spans="1:20" ht="15.75">
      <c r="A80" s="223" t="s">
        <v>265</v>
      </c>
      <c r="B80" s="2"/>
      <c r="C80" s="2"/>
      <c r="D80" s="2"/>
      <c r="E80" s="2"/>
      <c r="F80" s="2"/>
      <c r="G80" s="2"/>
      <c r="H80" s="2"/>
      <c r="I80" s="2"/>
      <c r="J80" s="2"/>
      <c r="K80" s="2"/>
      <c r="L80" s="2"/>
      <c r="M80" s="2"/>
      <c r="N80" s="2"/>
      <c r="O80" s="2"/>
      <c r="P80" s="2"/>
      <c r="Q80" s="2"/>
      <c r="R80" s="348" t="s">
        <v>251</v>
      </c>
      <c r="S80" s="348" t="s">
        <v>251</v>
      </c>
      <c r="T80" s="348" t="s">
        <v>251</v>
      </c>
    </row>
    <row r="81" spans="1:22" ht="15.75">
      <c r="A81" s="223"/>
      <c r="B81" s="2"/>
      <c r="C81" s="617" t="s">
        <v>74</v>
      </c>
      <c r="D81" s="617"/>
      <c r="E81" s="617"/>
      <c r="F81" s="617"/>
      <c r="G81" s="617"/>
      <c r="H81" s="617" t="s">
        <v>75</v>
      </c>
      <c r="I81" s="617"/>
      <c r="J81" s="617"/>
      <c r="K81" s="617"/>
      <c r="L81" s="617"/>
      <c r="M81" s="617" t="s">
        <v>76</v>
      </c>
      <c r="N81" s="617"/>
      <c r="O81" s="617"/>
      <c r="P81" s="617"/>
      <c r="Q81" s="617"/>
      <c r="R81" s="296" t="s">
        <v>264</v>
      </c>
      <c r="S81" s="296" t="s">
        <v>264</v>
      </c>
      <c r="T81" s="296" t="s">
        <v>264</v>
      </c>
    </row>
    <row r="82" spans="1:22">
      <c r="A82" s="47"/>
      <c r="B82" s="47"/>
      <c r="C82" s="351" t="s">
        <v>255</v>
      </c>
      <c r="D82" s="351" t="s">
        <v>257</v>
      </c>
      <c r="E82" s="351" t="s">
        <v>258</v>
      </c>
      <c r="F82" s="351" t="s">
        <v>259</v>
      </c>
      <c r="G82" s="351" t="s">
        <v>150</v>
      </c>
      <c r="H82" s="351" t="s">
        <v>255</v>
      </c>
      <c r="I82" s="351" t="s">
        <v>260</v>
      </c>
      <c r="J82" s="351" t="s">
        <v>261</v>
      </c>
      <c r="K82" s="351" t="s">
        <v>262</v>
      </c>
      <c r="L82" s="351" t="s">
        <v>150</v>
      </c>
      <c r="M82" s="351" t="s">
        <v>255</v>
      </c>
      <c r="N82" s="351" t="s">
        <v>260</v>
      </c>
      <c r="O82" s="351" t="s">
        <v>261</v>
      </c>
      <c r="P82" s="351" t="s">
        <v>262</v>
      </c>
      <c r="Q82" s="351" t="s">
        <v>150</v>
      </c>
    </row>
    <row r="83" spans="1:22" ht="15.75">
      <c r="A83" s="195" t="s">
        <v>36</v>
      </c>
      <c r="Q83" s="393"/>
      <c r="V83" s="195"/>
    </row>
    <row r="84" spans="1:22">
      <c r="A84" s="38" t="s">
        <v>37</v>
      </c>
      <c r="C84" s="396">
        <f>'INCOME-MOS'!C102</f>
        <v>142362.0024420023</v>
      </c>
      <c r="D84" s="396">
        <f>'INCOME-MOS'!D102</f>
        <v>180952.50305250287</v>
      </c>
      <c r="E84" s="396">
        <f>'INCOME-MOS'!E102</f>
        <v>180952.50305250287</v>
      </c>
      <c r="F84" s="396">
        <f>'INCOME-MOS'!F102</f>
        <v>200247.75335775316</v>
      </c>
      <c r="G84" s="397">
        <f>SUM(C84:F84)</f>
        <v>704514.7619047612</v>
      </c>
      <c r="H84" s="396">
        <f>'INCOME-MOS'!H102</f>
        <v>183181.34503391624</v>
      </c>
      <c r="I84" s="396">
        <f>'INCOME-MOS'!I102</f>
        <v>246714.39015605662</v>
      </c>
      <c r="J84" s="396">
        <f>'INCOME-MOS'!J102</f>
        <v>278480.91271712678</v>
      </c>
      <c r="K84" s="396">
        <f>'INCOME-MOS'!K102</f>
        <v>294364.17399766186</v>
      </c>
      <c r="L84" s="397">
        <f>SUM(H84:K84)</f>
        <v>1002740.8219047615</v>
      </c>
      <c r="M84" s="396">
        <f>'INCOME-MOS'!M102</f>
        <v>432598.90109890094</v>
      </c>
      <c r="N84" s="396">
        <f>'INCOME-MOS'!N102</f>
        <v>519538.68131868151</v>
      </c>
      <c r="O84" s="396">
        <f>'INCOME-MOS'!O102</f>
        <v>606478.4615384615</v>
      </c>
      <c r="P84" s="396">
        <f>'INCOME-MOS'!P102</f>
        <v>693418.24175824155</v>
      </c>
      <c r="Q84" s="397">
        <f>SUM(M84:P84)</f>
        <v>2252034.2857142854</v>
      </c>
      <c r="R84" s="394">
        <f>CASHFLOW!E7</f>
        <v>704514.7619047612</v>
      </c>
      <c r="S84" s="394">
        <f>CASHFLOW!F7</f>
        <v>1002740.8219047622</v>
      </c>
      <c r="T84" s="394">
        <f>CASHFLOW!G7</f>
        <v>2252034.2857142859</v>
      </c>
      <c r="V84" s="38"/>
    </row>
    <row r="85" spans="1:22">
      <c r="A85" s="38" t="s">
        <v>38</v>
      </c>
      <c r="C85" s="396">
        <f>'PROP &amp; EQUIP'!$E$47/4</f>
        <v>61023.809523809527</v>
      </c>
      <c r="D85" s="396">
        <f>'PROP &amp; EQUIP'!$E$47/4</f>
        <v>61023.809523809527</v>
      </c>
      <c r="E85" s="396">
        <f>'PROP &amp; EQUIP'!$E$47/4</f>
        <v>61023.809523809527</v>
      </c>
      <c r="F85" s="396">
        <f>'PROP &amp; EQUIP'!$E$47/4</f>
        <v>61023.809523809527</v>
      </c>
      <c r="G85" s="397">
        <f>SUM(C85:F85)</f>
        <v>244095.23809523811</v>
      </c>
      <c r="H85" s="396">
        <f>'PROP &amp; EQUIP'!$F$47/4</f>
        <v>93404.761904761894</v>
      </c>
      <c r="I85" s="396">
        <f>'PROP &amp; EQUIP'!$F$47/4</f>
        <v>93404.761904761894</v>
      </c>
      <c r="J85" s="396">
        <f>'PROP &amp; EQUIP'!$F$47/4</f>
        <v>93404.761904761894</v>
      </c>
      <c r="K85" s="396">
        <f>'PROP &amp; EQUIP'!$F$47/4</f>
        <v>93404.761904761894</v>
      </c>
      <c r="L85" s="397">
        <f>SUM(H85:K85)</f>
        <v>373619.04761904757</v>
      </c>
      <c r="M85" s="396">
        <f>'PROP &amp; EQUIP'!$G$47/4</f>
        <v>127452.38095238095</v>
      </c>
      <c r="N85" s="396">
        <f>'PROP &amp; EQUIP'!$G$47/4</f>
        <v>127452.38095238095</v>
      </c>
      <c r="O85" s="396">
        <f>'PROP &amp; EQUIP'!$G$47/4</f>
        <v>127452.38095238095</v>
      </c>
      <c r="P85" s="396">
        <f>'PROP &amp; EQUIP'!$G$47/4</f>
        <v>127452.38095238095</v>
      </c>
      <c r="Q85" s="397">
        <f>SUM(M85:P85)</f>
        <v>509809.52380952379</v>
      </c>
      <c r="R85" s="394">
        <f>CASHFLOW!E8</f>
        <v>244095.23809523811</v>
      </c>
      <c r="S85" s="394">
        <f>CASHFLOW!F8</f>
        <v>373619.04761904757</v>
      </c>
      <c r="T85" s="394">
        <f>CASHFLOW!G8</f>
        <v>509809.52380952379</v>
      </c>
      <c r="V85" s="38"/>
    </row>
    <row r="86" spans="1:22">
      <c r="A86" s="38" t="s">
        <v>39</v>
      </c>
      <c r="C86" s="392"/>
      <c r="D86" s="392"/>
      <c r="E86" s="392"/>
      <c r="F86" s="392"/>
      <c r="G86" s="392"/>
      <c r="H86" s="392"/>
      <c r="I86" s="392"/>
      <c r="J86" s="392"/>
      <c r="K86" s="392"/>
      <c r="L86" s="392"/>
      <c r="M86" s="392"/>
      <c r="N86" s="392"/>
      <c r="O86" s="392"/>
      <c r="P86" s="392"/>
      <c r="Q86" s="392"/>
      <c r="R86" s="394"/>
      <c r="S86" s="394"/>
      <c r="T86" s="394"/>
      <c r="V86" s="38"/>
    </row>
    <row r="87" spans="1:22">
      <c r="A87" s="173" t="s">
        <v>107</v>
      </c>
      <c r="C87" s="171">
        <f>-(WORKCAP!$E69-WORKCAP!$D78)</f>
        <v>-36520</v>
      </c>
      <c r="D87" s="171">
        <f>-(WORKCAP!$E72-WORKCAP!$E69)</f>
        <v>-165999.99999999988</v>
      </c>
      <c r="E87" s="171">
        <f>-(WORKCAP!$E75-WORKCAP!$E72)</f>
        <v>0</v>
      </c>
      <c r="F87" s="171">
        <f>-(WORKCAP!$E78-WORKCAP!$E75)</f>
        <v>-83000</v>
      </c>
      <c r="G87" s="397">
        <f t="shared" ref="G87:G92" si="15">SUM(C87:F87)</f>
        <v>-285519.99999999988</v>
      </c>
      <c r="H87" s="171">
        <f>-(WORKCAP!$F69-WORKCAP!$E78)</f>
        <v>-83000.000000000116</v>
      </c>
      <c r="I87" s="171">
        <f>-(WORKCAP!$F72-WORKCAP!$F69)</f>
        <v>-332000.00000000012</v>
      </c>
      <c r="J87" s="171">
        <f>-(WORKCAP!$F75-WORKCAP!$F72)</f>
        <v>-165999.99999999977</v>
      </c>
      <c r="K87" s="171">
        <f>-(WORKCAP!$F78-WORKCAP!$F75)</f>
        <v>-83000</v>
      </c>
      <c r="L87" s="397">
        <f t="shared" ref="L87:L92" si="16">SUM(H87:K87)</f>
        <v>-664000</v>
      </c>
      <c r="M87" s="171">
        <f>-(WORKCAP!$G69-WORKCAP!$F78)</f>
        <v>-83000</v>
      </c>
      <c r="N87" s="171">
        <f>-(WORKCAP!$G72-WORKCAP!$G69)</f>
        <v>-332000.00000000023</v>
      </c>
      <c r="O87" s="171">
        <f>-(WORKCAP!$G75-WORKCAP!$G72)</f>
        <v>-332000.00000000023</v>
      </c>
      <c r="P87" s="171">
        <f>-(WORKCAP!$G78-WORKCAP!$G75)</f>
        <v>-332000</v>
      </c>
      <c r="Q87" s="397">
        <f t="shared" ref="Q87:Q92" si="17">SUM(M87:P87)</f>
        <v>-1079000.0000000005</v>
      </c>
      <c r="R87" s="394">
        <f>CASHFLOW!E10</f>
        <v>-285519.99999999988</v>
      </c>
      <c r="S87" s="394">
        <f>CASHFLOW!F10</f>
        <v>-664000</v>
      </c>
      <c r="T87" s="394">
        <f>CASHFLOW!G10</f>
        <v>-1079000.0000000005</v>
      </c>
      <c r="V87" s="173"/>
    </row>
    <row r="88" spans="1:22">
      <c r="A88" s="173" t="s">
        <v>108</v>
      </c>
      <c r="C88" s="396">
        <f>-(WORKCAP!E86-WORKCAP!D95)</f>
        <v>91480.000000000116</v>
      </c>
      <c r="D88" s="396">
        <f>-(WORKCAP!E89-WORKCAP!E86)</f>
        <v>-134000</v>
      </c>
      <c r="E88" s="396">
        <f>-(WORKCAP!E92-WORKCAP!E89)</f>
        <v>0</v>
      </c>
      <c r="F88" s="396">
        <f>-(WORKCAP!E95-WORKCAP!E92)</f>
        <v>-67000</v>
      </c>
      <c r="G88" s="397">
        <f t="shared" si="15"/>
        <v>-109519.99999999988</v>
      </c>
      <c r="H88" s="396">
        <f>-(WORKCAP!F86-WORKCAP!E95)</f>
        <v>-67000</v>
      </c>
      <c r="I88" s="396">
        <f>-(WORKCAP!F89-WORKCAP!F86)</f>
        <v>-268000</v>
      </c>
      <c r="J88" s="396">
        <f>-(WORKCAP!F92-WORKCAP!F89)</f>
        <v>-134000</v>
      </c>
      <c r="K88" s="396">
        <f>-(WORKCAP!F95-WORKCAP!F92)</f>
        <v>-67000</v>
      </c>
      <c r="L88" s="397">
        <f t="shared" si="16"/>
        <v>-536000</v>
      </c>
      <c r="M88" s="396">
        <f>-(WORKCAP!G86-WORKCAP!F95)</f>
        <v>-67000</v>
      </c>
      <c r="N88" s="396">
        <f>-(WORKCAP!G89-WORKCAP!G86)</f>
        <v>-268000</v>
      </c>
      <c r="O88" s="396">
        <f>-(WORKCAP!G92-WORKCAP!G89)</f>
        <v>-268000</v>
      </c>
      <c r="P88" s="396">
        <f>-(WORKCAP!G95-WORKCAP!G92)</f>
        <v>-268000</v>
      </c>
      <c r="Q88" s="397">
        <f t="shared" si="17"/>
        <v>-871000</v>
      </c>
      <c r="R88" s="394">
        <f>CASHFLOW!E11</f>
        <v>-109519.99999999988</v>
      </c>
      <c r="S88" s="394">
        <f>CASHFLOW!F11</f>
        <v>-536000</v>
      </c>
      <c r="T88" s="394">
        <f>CASHFLOW!G11</f>
        <v>-871000</v>
      </c>
      <c r="V88" s="173"/>
    </row>
    <row r="89" spans="1:22">
      <c r="A89" s="173" t="s">
        <v>109</v>
      </c>
      <c r="C89" s="396">
        <f>-(WORKCAP!E103-WORKCAP!D112)</f>
        <v>-4400</v>
      </c>
      <c r="D89" s="396">
        <f>-(WORKCAP!E106-WORKCAP!E103)</f>
        <v>-20000</v>
      </c>
      <c r="E89" s="396">
        <f>-(WORKCAP!E109-WORKCAP!E106)</f>
        <v>0</v>
      </c>
      <c r="F89" s="396">
        <f>-(WORKCAP!E112-WORKCAP!E109)</f>
        <v>-10000</v>
      </c>
      <c r="G89" s="397">
        <f t="shared" si="15"/>
        <v>-34400</v>
      </c>
      <c r="H89" s="396">
        <f>-(WORKCAP!F103-WORKCAP!E112)</f>
        <v>-10000</v>
      </c>
      <c r="I89" s="396">
        <f>-(WORKCAP!F106-WORKCAP!F103)</f>
        <v>-40000</v>
      </c>
      <c r="J89" s="396">
        <f>-(WORKCAP!F109-WORKCAP!F106)</f>
        <v>-20000</v>
      </c>
      <c r="K89" s="396">
        <f>-(WORKCAP!F112-WORKCAP!F109)</f>
        <v>-10000</v>
      </c>
      <c r="L89" s="397">
        <f t="shared" si="16"/>
        <v>-80000</v>
      </c>
      <c r="M89" s="396">
        <f>-(WORKCAP!G103-WORKCAP!F112)</f>
        <v>-10000</v>
      </c>
      <c r="N89" s="396">
        <f>-(WORKCAP!G106-WORKCAP!G103)</f>
        <v>-40000</v>
      </c>
      <c r="O89" s="396">
        <f>-(WORKCAP!G109-WORKCAP!G106)</f>
        <v>-40000</v>
      </c>
      <c r="P89" s="396">
        <f>-(WORKCAP!G112-WORKCAP!G109)</f>
        <v>-40000</v>
      </c>
      <c r="Q89" s="397">
        <f t="shared" si="17"/>
        <v>-130000</v>
      </c>
      <c r="R89" s="394">
        <f>CASHFLOW!E12</f>
        <v>-34400</v>
      </c>
      <c r="S89" s="394">
        <f>CASHFLOW!F12</f>
        <v>-80000</v>
      </c>
      <c r="T89" s="394">
        <f>CASHFLOW!G12</f>
        <v>-130000</v>
      </c>
      <c r="V89" s="173"/>
    </row>
    <row r="90" spans="1:22">
      <c r="A90" s="173" t="s">
        <v>117</v>
      </c>
      <c r="C90" s="396">
        <f>(WORKCAP!E120-WORKCAP!D129)</f>
        <v>38280</v>
      </c>
      <c r="D90" s="396">
        <f>(WORKCAP!E123-WORKCAP!E120)</f>
        <v>174000</v>
      </c>
      <c r="E90" s="396">
        <f>(WORKCAP!E126-WORKCAP!E123)</f>
        <v>0</v>
      </c>
      <c r="F90" s="396">
        <f>(WORKCAP!E129-WORKCAP!E126)</f>
        <v>87000</v>
      </c>
      <c r="G90" s="397">
        <f t="shared" si="15"/>
        <v>299280</v>
      </c>
      <c r="H90" s="396">
        <f>(WORKCAP!F120-WORKCAP!E129)</f>
        <v>87000</v>
      </c>
      <c r="I90" s="396">
        <f>(WORKCAP!F123-WORKCAP!F120)</f>
        <v>347999.99999999988</v>
      </c>
      <c r="J90" s="396">
        <f>(WORKCAP!F126-WORKCAP!F123)</f>
        <v>174000.00000000023</v>
      </c>
      <c r="K90" s="396">
        <f>(WORKCAP!F129-WORKCAP!F126)</f>
        <v>86999.999999999767</v>
      </c>
      <c r="L90" s="397">
        <f t="shared" si="16"/>
        <v>695999.99999999988</v>
      </c>
      <c r="M90" s="396">
        <f>(WORKCAP!G120-WORKCAP!F129)</f>
        <v>87000</v>
      </c>
      <c r="N90" s="396">
        <f>(WORKCAP!G123-WORKCAP!G120)</f>
        <v>348000</v>
      </c>
      <c r="O90" s="396">
        <f>(WORKCAP!G126-WORKCAP!G123)</f>
        <v>347999.99999999977</v>
      </c>
      <c r="P90" s="396">
        <f>(WORKCAP!G129-WORKCAP!G126)</f>
        <v>348000</v>
      </c>
      <c r="Q90" s="397">
        <f t="shared" si="17"/>
        <v>1130999.9999999998</v>
      </c>
      <c r="R90" s="394">
        <f>CASHFLOW!E13</f>
        <v>299280</v>
      </c>
      <c r="S90" s="394">
        <f>CASHFLOW!F13</f>
        <v>695999.99999999988</v>
      </c>
      <c r="T90" s="394">
        <f>CASHFLOW!G13</f>
        <v>1130999.9999999998</v>
      </c>
      <c r="V90" s="173"/>
    </row>
    <row r="91" spans="1:22">
      <c r="A91" s="173" t="s">
        <v>152</v>
      </c>
      <c r="C91" s="442">
        <f>(WORKCAP!E137-WORKCAP!D146)</f>
        <v>4400</v>
      </c>
      <c r="D91" s="442">
        <f>(WORKCAP!E140-WORKCAP!E137)</f>
        <v>20000</v>
      </c>
      <c r="E91" s="442">
        <f>(WORKCAP!E143-WORKCAP!E140)</f>
        <v>0</v>
      </c>
      <c r="F91" s="442">
        <f>(WORKCAP!E146-WORKCAP!E143)</f>
        <v>10000</v>
      </c>
      <c r="G91" s="443">
        <f t="shared" si="15"/>
        <v>34400</v>
      </c>
      <c r="H91" s="442">
        <f>(WORKCAP!F137-WORKCAP!E146)</f>
        <v>10000</v>
      </c>
      <c r="I91" s="442">
        <f>(WORKCAP!F140-WORKCAP!F137)</f>
        <v>40000</v>
      </c>
      <c r="J91" s="442">
        <f>(WORKCAP!F143-WORKCAP!F140)</f>
        <v>20000</v>
      </c>
      <c r="K91" s="442">
        <f>(WORKCAP!F146-WORKCAP!F143)</f>
        <v>10000</v>
      </c>
      <c r="L91" s="443">
        <f t="shared" si="16"/>
        <v>80000</v>
      </c>
      <c r="M91" s="442">
        <f>(WORKCAP!G137-WORKCAP!F146)</f>
        <v>10000</v>
      </c>
      <c r="N91" s="442">
        <f>(WORKCAP!G140-WORKCAP!G137)</f>
        <v>40000</v>
      </c>
      <c r="O91" s="442">
        <f>(WORKCAP!G143-WORKCAP!G140)</f>
        <v>40000</v>
      </c>
      <c r="P91" s="442">
        <f>(WORKCAP!G146-WORKCAP!G143)</f>
        <v>40000</v>
      </c>
      <c r="Q91" s="443">
        <f t="shared" si="17"/>
        <v>130000</v>
      </c>
      <c r="R91" s="444">
        <f>CASHFLOW!E14</f>
        <v>34400</v>
      </c>
      <c r="S91" s="444">
        <f>CASHFLOW!F14</f>
        <v>80000</v>
      </c>
      <c r="T91" s="444">
        <f>CASHFLOW!G14</f>
        <v>130000</v>
      </c>
      <c r="V91" s="173"/>
    </row>
    <row r="92" spans="1:22">
      <c r="A92" s="173" t="s">
        <v>235</v>
      </c>
      <c r="C92" s="397">
        <f>SUM(C84:C91)</f>
        <v>296625.81196581194</v>
      </c>
      <c r="D92" s="397">
        <f>SUM(D84:D91)</f>
        <v>115976.31257631251</v>
      </c>
      <c r="E92" s="397">
        <f>SUM(E84:E91)</f>
        <v>241976.3125763124</v>
      </c>
      <c r="F92" s="397">
        <f>SUM(F84:F91)</f>
        <v>198271.56288156268</v>
      </c>
      <c r="G92" s="397">
        <f t="shared" si="15"/>
        <v>852849.99999999953</v>
      </c>
      <c r="H92" s="397">
        <f>SUM(H84:H91)</f>
        <v>213586.10693867801</v>
      </c>
      <c r="I92" s="397">
        <f>SUM(I84:I91)</f>
        <v>88119.152060818276</v>
      </c>
      <c r="J92" s="397">
        <f>SUM(J84:J91)</f>
        <v>245885.67462188913</v>
      </c>
      <c r="K92" s="397">
        <f>SUM(K84:K91)</f>
        <v>324768.93590242352</v>
      </c>
      <c r="L92" s="397">
        <f t="shared" si="16"/>
        <v>872359.86952380883</v>
      </c>
      <c r="M92" s="397">
        <f>SUM(M84:M91)</f>
        <v>497051.28205128189</v>
      </c>
      <c r="N92" s="397">
        <f>SUM(N84:N91)</f>
        <v>394991.06227106228</v>
      </c>
      <c r="O92" s="397">
        <f>SUM(O84:O91)</f>
        <v>481930.84249084198</v>
      </c>
      <c r="P92" s="397">
        <f>SUM(P84:P91)</f>
        <v>568870.6227106225</v>
      </c>
      <c r="Q92" s="397">
        <f t="shared" si="17"/>
        <v>1942843.8095238088</v>
      </c>
      <c r="R92" s="394">
        <f>CASHFLOW!E15</f>
        <v>852849.99999999953</v>
      </c>
      <c r="S92" s="394">
        <f>CASHFLOW!F15</f>
        <v>872359.86952380964</v>
      </c>
      <c r="T92" s="394">
        <f>CASHFLOW!G15</f>
        <v>1942843.809523809</v>
      </c>
      <c r="V92" s="173"/>
    </row>
    <row r="93" spans="1:22">
      <c r="A93" s="38"/>
      <c r="C93" s="392"/>
      <c r="D93" s="392"/>
      <c r="E93" s="392"/>
      <c r="F93" s="392"/>
      <c r="G93" s="392"/>
      <c r="H93" s="392"/>
      <c r="I93" s="392"/>
      <c r="J93" s="392"/>
      <c r="K93" s="392"/>
      <c r="L93" s="392"/>
      <c r="M93" s="392"/>
      <c r="N93" s="392"/>
      <c r="O93" s="392"/>
      <c r="P93" s="392"/>
      <c r="Q93" s="392"/>
      <c r="R93" s="394"/>
      <c r="S93" s="394"/>
      <c r="T93" s="394"/>
      <c r="V93" s="38"/>
    </row>
    <row r="94" spans="1:22">
      <c r="A94" s="195" t="s">
        <v>40</v>
      </c>
      <c r="C94" s="392"/>
      <c r="D94" s="392"/>
      <c r="E94" s="392"/>
      <c r="F94" s="392"/>
      <c r="G94" s="392"/>
      <c r="H94" s="392"/>
      <c r="I94" s="392"/>
      <c r="J94" s="392"/>
      <c r="K94" s="392"/>
      <c r="L94" s="392"/>
      <c r="M94" s="392"/>
      <c r="N94" s="392"/>
      <c r="O94" s="392"/>
      <c r="P94" s="392"/>
      <c r="Q94" s="392"/>
      <c r="R94" s="394"/>
      <c r="S94" s="394"/>
      <c r="T94" s="394"/>
      <c r="V94" s="195"/>
    </row>
    <row r="95" spans="1:22">
      <c r="A95" s="38" t="s">
        <v>227</v>
      </c>
      <c r="C95" s="396">
        <f>-'PROP &amp; EQUIP'!E64</f>
        <v>-100000</v>
      </c>
      <c r="D95" s="396">
        <f>-'PROP &amp; EQUIP'!E68</f>
        <v>-200000</v>
      </c>
      <c r="E95" s="396">
        <f>-'PROP &amp; EQUIP'!E72</f>
        <v>-100000</v>
      </c>
      <c r="F95" s="396">
        <f>-'PROP &amp; EQUIP'!E76</f>
        <v>-150000</v>
      </c>
      <c r="G95" s="397">
        <f>SUM(C95:F95)</f>
        <v>-550000</v>
      </c>
      <c r="H95" s="398">
        <f>-'PROP &amp; EQUIP'!F64</f>
        <v>-200000</v>
      </c>
      <c r="I95" s="396">
        <f>-'PROP &amp; EQUIP'!F68</f>
        <v>-200000</v>
      </c>
      <c r="J95" s="396">
        <f>-'PROP &amp; EQUIP'!F72</f>
        <v>-100000</v>
      </c>
      <c r="K95" s="396">
        <f>-'PROP &amp; EQUIP'!F76</f>
        <v>-150000</v>
      </c>
      <c r="L95" s="397">
        <f>SUM(H95:K95)</f>
        <v>-650000</v>
      </c>
      <c r="M95" s="396">
        <f>-'PROP &amp; EQUIP'!G64</f>
        <v>-200000</v>
      </c>
      <c r="N95" s="396">
        <f>-'PROP &amp; EQUIP'!G68</f>
        <v>-200000</v>
      </c>
      <c r="O95" s="396">
        <f>-'PROP &amp; EQUIP'!G72</f>
        <v>-200000</v>
      </c>
      <c r="P95" s="396">
        <f>-'PROP &amp; EQUIP'!G76</f>
        <v>-150000</v>
      </c>
      <c r="Q95" s="397">
        <f>SUM(M95:P95)</f>
        <v>-750000</v>
      </c>
      <c r="R95" s="394">
        <f>CASHFLOW!E18</f>
        <v>-550000</v>
      </c>
      <c r="S95" s="394">
        <f>CASHFLOW!F18</f>
        <v>-650000</v>
      </c>
      <c r="T95" s="394">
        <f>CASHFLOW!G18</f>
        <v>-750000</v>
      </c>
      <c r="V95" s="38"/>
    </row>
    <row r="96" spans="1:22">
      <c r="A96" s="178" t="s">
        <v>110</v>
      </c>
      <c r="C96" s="442"/>
      <c r="D96" s="442"/>
      <c r="E96" s="442"/>
      <c r="F96" s="442"/>
      <c r="G96" s="443">
        <f>SUM(C96:F96)</f>
        <v>0</v>
      </c>
      <c r="H96" s="442"/>
      <c r="I96" s="442"/>
      <c r="J96" s="442"/>
      <c r="K96" s="442"/>
      <c r="L96" s="443">
        <f>SUM(H96:K96)</f>
        <v>0</v>
      </c>
      <c r="M96" s="442"/>
      <c r="N96" s="442"/>
      <c r="O96" s="442"/>
      <c r="P96" s="442"/>
      <c r="Q96" s="443"/>
      <c r="R96" s="444">
        <f>CASHFLOW!E19</f>
        <v>0</v>
      </c>
      <c r="S96" s="444">
        <f>CASHFLOW!F19</f>
        <v>0</v>
      </c>
      <c r="T96" s="444">
        <f>CASHFLOW!G19</f>
        <v>0</v>
      </c>
      <c r="V96" s="178"/>
    </row>
    <row r="97" spans="1:22">
      <c r="A97" s="173" t="s">
        <v>41</v>
      </c>
      <c r="C97" s="397">
        <f>SUM(C95:C96)</f>
        <v>-100000</v>
      </c>
      <c r="D97" s="397">
        <f>SUM(D95:D96)</f>
        <v>-200000</v>
      </c>
      <c r="E97" s="397">
        <f>SUM(E95:E96)</f>
        <v>-100000</v>
      </c>
      <c r="F97" s="397">
        <f>SUM(F95:F96)</f>
        <v>-150000</v>
      </c>
      <c r="G97" s="397">
        <f>SUM(C97:F97)</f>
        <v>-550000</v>
      </c>
      <c r="H97" s="397">
        <f>SUM(H95:H96)</f>
        <v>-200000</v>
      </c>
      <c r="I97" s="397">
        <f>SUM(I95:I96)</f>
        <v>-200000</v>
      </c>
      <c r="J97" s="397">
        <f>SUM(J95:J96)</f>
        <v>-100000</v>
      </c>
      <c r="K97" s="397">
        <f>SUM(K95:K96)</f>
        <v>-150000</v>
      </c>
      <c r="L97" s="397">
        <f>SUM(H97:K97)</f>
        <v>-650000</v>
      </c>
      <c r="M97" s="397">
        <f>SUM(M95:M96)</f>
        <v>-200000</v>
      </c>
      <c r="N97" s="397">
        <f>SUM(N95:N96)</f>
        <v>-200000</v>
      </c>
      <c r="O97" s="397">
        <f>SUM(O95:O96)</f>
        <v>-200000</v>
      </c>
      <c r="P97" s="397">
        <f>SUM(P95:P96)</f>
        <v>-150000</v>
      </c>
      <c r="Q97" s="397">
        <f>SUM(M97:P97)</f>
        <v>-750000</v>
      </c>
      <c r="R97" s="394">
        <f>CASHFLOW!E20</f>
        <v>-550000</v>
      </c>
      <c r="S97" s="394">
        <f>CASHFLOW!F20</f>
        <v>-650000</v>
      </c>
      <c r="T97" s="394">
        <f>CASHFLOW!G20</f>
        <v>-750000</v>
      </c>
      <c r="V97" s="173"/>
    </row>
    <row r="98" spans="1:22">
      <c r="A98" s="38"/>
      <c r="C98" s="392"/>
      <c r="D98" s="392"/>
      <c r="E98" s="392"/>
      <c r="F98" s="392"/>
      <c r="G98" s="392"/>
      <c r="H98" s="392"/>
      <c r="I98" s="392"/>
      <c r="J98" s="392"/>
      <c r="K98" s="392"/>
      <c r="L98" s="392"/>
      <c r="M98" s="392"/>
      <c r="N98" s="392"/>
      <c r="O98" s="392"/>
      <c r="P98" s="392"/>
      <c r="Q98" s="392"/>
      <c r="R98" s="394"/>
      <c r="S98" s="394"/>
      <c r="T98" s="394"/>
      <c r="V98" s="38"/>
    </row>
    <row r="99" spans="1:22">
      <c r="A99" s="195" t="s">
        <v>42</v>
      </c>
      <c r="C99" s="392"/>
      <c r="D99" s="392"/>
      <c r="E99" s="392"/>
      <c r="F99" s="392"/>
      <c r="G99" s="392"/>
      <c r="H99" s="392"/>
      <c r="I99" s="392"/>
      <c r="J99" s="392"/>
      <c r="K99" s="392"/>
      <c r="L99" s="392"/>
      <c r="M99" s="392"/>
      <c r="N99" s="392"/>
      <c r="O99" s="392"/>
      <c r="P99" s="392"/>
      <c r="Q99" s="392"/>
      <c r="R99" s="394"/>
      <c r="S99" s="394"/>
      <c r="T99" s="394"/>
      <c r="V99" s="195"/>
    </row>
    <row r="100" spans="1:22">
      <c r="A100" s="38" t="s">
        <v>43</v>
      </c>
      <c r="C100" s="171">
        <f>IF(FUNDING!E19&gt;=0,FUNDING!E19,0)</f>
        <v>0</v>
      </c>
      <c r="D100" s="396"/>
      <c r="E100" s="396"/>
      <c r="F100" s="171">
        <f>IF(FUNDING!E19&lt;0,FUNDING!E19,0)</f>
        <v>0</v>
      </c>
      <c r="G100" s="397">
        <f t="shared" ref="G100:G105" si="18">SUM(C100:F100)</f>
        <v>0</v>
      </c>
      <c r="H100" s="171">
        <f>IF(FUNDING!F19&gt;=0,FUNDING!F19,0)</f>
        <v>100000</v>
      </c>
      <c r="I100" s="396"/>
      <c r="J100" s="396"/>
      <c r="K100" s="171">
        <f>IF(FUNDING!F19&lt;0,FUNDING!F19,0)</f>
        <v>0</v>
      </c>
      <c r="L100" s="397">
        <f t="shared" ref="L100:L105" si="19">SUM(H100:K100)</f>
        <v>100000</v>
      </c>
      <c r="M100" s="171">
        <f>IF(FUNDING!G19&gt;=0,FUNDING!G19,0)</f>
        <v>0</v>
      </c>
      <c r="N100" s="396"/>
      <c r="O100" s="396"/>
      <c r="P100" s="171">
        <f>IF(FUNDING!G19&lt;0,FUNDING!G19,0)</f>
        <v>-100000</v>
      </c>
      <c r="Q100" s="397">
        <f t="shared" ref="Q100:Q105" si="20">SUM(M100:P100)</f>
        <v>-100000</v>
      </c>
      <c r="R100" s="394">
        <f>CASHFLOW!E23</f>
        <v>0</v>
      </c>
      <c r="S100" s="394">
        <f>CASHFLOW!F23</f>
        <v>100000</v>
      </c>
      <c r="T100" s="394">
        <f>CASHFLOW!G23</f>
        <v>-100000</v>
      </c>
      <c r="V100" s="38"/>
    </row>
    <row r="101" spans="1:22">
      <c r="A101" s="38" t="s">
        <v>44</v>
      </c>
      <c r="C101" s="171">
        <f>IF(FUNDING!E27&gt;=0,FUNDING!E27,0)</f>
        <v>0</v>
      </c>
      <c r="D101" s="396"/>
      <c r="E101" s="396"/>
      <c r="F101" s="171">
        <f>IF(FUNDING!E27&lt;0,FUNDING!E27,0)</f>
        <v>0</v>
      </c>
      <c r="G101" s="397">
        <f t="shared" si="18"/>
        <v>0</v>
      </c>
      <c r="H101" s="171">
        <f>IF(FUNDING!F27&gt;=0,FUNDING!F27,0)</f>
        <v>0</v>
      </c>
      <c r="I101" s="396"/>
      <c r="J101" s="396"/>
      <c r="K101" s="171">
        <f>IF(FUNDING!F27&lt;0,FUNDING!F27,0)</f>
        <v>0</v>
      </c>
      <c r="L101" s="397">
        <f t="shared" si="19"/>
        <v>0</v>
      </c>
      <c r="M101" s="171">
        <f>IF(FUNDING!G27&gt;=0,FUNDING!G27,0)</f>
        <v>0</v>
      </c>
      <c r="N101" s="396"/>
      <c r="O101" s="396"/>
      <c r="P101" s="171">
        <f>IF(FUNDING!G27&lt;0,FUNDING!G27,0)</f>
        <v>0</v>
      </c>
      <c r="Q101" s="397">
        <f t="shared" si="20"/>
        <v>0</v>
      </c>
      <c r="R101" s="394">
        <f>CASHFLOW!E24</f>
        <v>0</v>
      </c>
      <c r="S101" s="394">
        <f>CASHFLOW!F24</f>
        <v>0</v>
      </c>
      <c r="T101" s="394">
        <f>CASHFLOW!G24</f>
        <v>0</v>
      </c>
      <c r="V101" s="38"/>
    </row>
    <row r="102" spans="1:22">
      <c r="A102" s="38" t="s">
        <v>79</v>
      </c>
      <c r="C102" s="171">
        <f>IF(FUNDING!E28&gt;=0,FUNDING!E28,0)</f>
        <v>0</v>
      </c>
      <c r="D102" s="396"/>
      <c r="E102" s="396"/>
      <c r="F102" s="171">
        <f>IF(FUNDING!E28&lt;0,FUNDING!E28,0)</f>
        <v>-100000</v>
      </c>
      <c r="G102" s="397">
        <f t="shared" si="18"/>
        <v>-100000</v>
      </c>
      <c r="H102" s="171">
        <f>IF(FUNDING!F28&gt;=0,FUNDING!F28,0)</f>
        <v>0</v>
      </c>
      <c r="I102" s="396"/>
      <c r="J102" s="396"/>
      <c r="K102" s="171">
        <f>IF(FUNDING!F28&lt;0,FUNDING!F28,0)</f>
        <v>-100000</v>
      </c>
      <c r="L102" s="397">
        <f t="shared" si="19"/>
        <v>-100000</v>
      </c>
      <c r="M102" s="171">
        <f>IF(FUNDING!G28&gt;=0,FUNDING!G28,0)</f>
        <v>0</v>
      </c>
      <c r="N102" s="396"/>
      <c r="O102" s="396"/>
      <c r="P102" s="171">
        <f>IF(FUNDING!G28&lt;0,FUNDING!G28,0)</f>
        <v>-100000</v>
      </c>
      <c r="Q102" s="397">
        <f t="shared" si="20"/>
        <v>-100000</v>
      </c>
      <c r="R102" s="394">
        <f>CASHFLOW!E25</f>
        <v>-100000</v>
      </c>
      <c r="S102" s="394">
        <f>CASHFLOW!F25</f>
        <v>-100000</v>
      </c>
      <c r="T102" s="394">
        <f>CASHFLOW!G25</f>
        <v>-100000</v>
      </c>
      <c r="V102" s="38"/>
    </row>
    <row r="103" spans="1:22">
      <c r="A103" s="38" t="s">
        <v>45</v>
      </c>
      <c r="C103" s="171">
        <f>IF(FUNDING!E9&gt;=0,FUNDING!E9,0)</f>
        <v>0</v>
      </c>
      <c r="D103" s="396"/>
      <c r="E103" s="396"/>
      <c r="F103" s="171">
        <f>IF(FUNDING!E9&lt;0,FUNDING!E9,0)</f>
        <v>0</v>
      </c>
      <c r="G103" s="397">
        <f t="shared" si="18"/>
        <v>0</v>
      </c>
      <c r="H103" s="171">
        <f>IF(FUNDING!F9&gt;=0,FUNDING!F9,0)</f>
        <v>0</v>
      </c>
      <c r="I103" s="396"/>
      <c r="J103" s="396"/>
      <c r="K103" s="171">
        <f>IF(FUNDING!F9&lt;0,FUNDING!F9,0)</f>
        <v>0</v>
      </c>
      <c r="L103" s="397">
        <f t="shared" si="19"/>
        <v>0</v>
      </c>
      <c r="M103" s="171">
        <f>IF(FUNDING!G9&gt;=0,FUNDING!G9,0)</f>
        <v>0</v>
      </c>
      <c r="N103" s="396"/>
      <c r="O103" s="396"/>
      <c r="P103" s="171">
        <f>IF(FUNDING!G9&lt;0,FUNDING!G9,0)</f>
        <v>0</v>
      </c>
      <c r="Q103" s="397">
        <f t="shared" si="20"/>
        <v>0</v>
      </c>
      <c r="R103" s="394">
        <f>CASHFLOW!E26</f>
        <v>0</v>
      </c>
      <c r="S103" s="394">
        <f>CASHFLOW!F26</f>
        <v>0</v>
      </c>
      <c r="T103" s="394">
        <f>CASHFLOW!G26</f>
        <v>0</v>
      </c>
      <c r="V103" s="38"/>
    </row>
    <row r="104" spans="1:22">
      <c r="A104" s="38" t="s">
        <v>46</v>
      </c>
      <c r="C104" s="171">
        <f>IF(FUNDING!E14&gt;=0,FUNDING!E14,0)</f>
        <v>0</v>
      </c>
      <c r="D104" s="396"/>
      <c r="E104" s="396"/>
      <c r="F104" s="171">
        <f>IF(FUNDING!E14&lt;0,FUNDING!E14,0)</f>
        <v>0</v>
      </c>
      <c r="G104" s="397">
        <f t="shared" si="18"/>
        <v>0</v>
      </c>
      <c r="H104" s="171">
        <f>IF(FUNDING!F14&gt;=0,FUNDING!F14,0)</f>
        <v>0</v>
      </c>
      <c r="I104" s="396"/>
      <c r="J104" s="396"/>
      <c r="K104" s="171">
        <f>IF(FUNDING!F14&lt;0,FUNDINGf14,0)</f>
        <v>0</v>
      </c>
      <c r="L104" s="397">
        <f t="shared" si="19"/>
        <v>0</v>
      </c>
      <c r="M104" s="171">
        <f>IF(FUNDING!G14&gt;=0,FUNDING!G14,0)</f>
        <v>0</v>
      </c>
      <c r="N104" s="396"/>
      <c r="O104" s="396"/>
      <c r="P104" s="171">
        <f>IF(FUNDING!G14&lt;0,FUNDING!G14,0)</f>
        <v>0</v>
      </c>
      <c r="Q104" s="397">
        <f t="shared" si="20"/>
        <v>0</v>
      </c>
      <c r="R104" s="394">
        <f>CASHFLOW!E27</f>
        <v>0</v>
      </c>
      <c r="S104" s="394">
        <f>CASHFLOW!F27</f>
        <v>0</v>
      </c>
      <c r="T104" s="394">
        <f>CASHFLOW!G27</f>
        <v>0</v>
      </c>
      <c r="V104" s="38"/>
    </row>
    <row r="105" spans="1:22">
      <c r="A105" s="38" t="s">
        <v>47</v>
      </c>
      <c r="C105" s="179"/>
      <c r="D105" s="442"/>
      <c r="E105" s="442"/>
      <c r="F105" s="179">
        <f>-FUNDING!E49</f>
        <v>0</v>
      </c>
      <c r="G105" s="443">
        <f t="shared" si="18"/>
        <v>0</v>
      </c>
      <c r="H105" s="179"/>
      <c r="I105" s="442"/>
      <c r="J105" s="442"/>
      <c r="K105" s="179">
        <f>-FUNDING!F49</f>
        <v>0</v>
      </c>
      <c r="L105" s="443">
        <f t="shared" si="19"/>
        <v>0</v>
      </c>
      <c r="M105" s="179"/>
      <c r="N105" s="442"/>
      <c r="O105" s="442"/>
      <c r="P105" s="179">
        <f>-FUNDING!G49</f>
        <v>-50000</v>
      </c>
      <c r="Q105" s="443">
        <f t="shared" si="20"/>
        <v>-50000</v>
      </c>
      <c r="R105" s="444">
        <f>CASHFLOW!E28</f>
        <v>0</v>
      </c>
      <c r="S105" s="444">
        <f>CASHFLOW!F28</f>
        <v>0</v>
      </c>
      <c r="T105" s="444">
        <f>CASHFLOW!G28</f>
        <v>-50000</v>
      </c>
      <c r="V105" s="38"/>
    </row>
    <row r="106" spans="1:22">
      <c r="A106" s="173" t="s">
        <v>48</v>
      </c>
      <c r="C106" s="397">
        <f>SUM(C100:C105)</f>
        <v>0</v>
      </c>
      <c r="D106" s="397">
        <f>SUM(D100:D105)</f>
        <v>0</v>
      </c>
      <c r="E106" s="397">
        <f>SUM(E100:E105)</f>
        <v>0</v>
      </c>
      <c r="F106" s="397">
        <f>SUM(F100:F105)</f>
        <v>-100000</v>
      </c>
      <c r="G106" s="397">
        <f>SUM(C106:F106)</f>
        <v>-100000</v>
      </c>
      <c r="H106" s="397">
        <f>SUM(H100:H105)</f>
        <v>100000</v>
      </c>
      <c r="I106" s="397">
        <f>SUM(I100:I105)</f>
        <v>0</v>
      </c>
      <c r="J106" s="397">
        <f>SUM(J100:J105)</f>
        <v>0</v>
      </c>
      <c r="K106" s="397">
        <f>SUM(K100:K105)</f>
        <v>-100000</v>
      </c>
      <c r="L106" s="397">
        <f>SUM(H106:K106)</f>
        <v>0</v>
      </c>
      <c r="M106" s="397">
        <f>SUM(M100:M105)</f>
        <v>0</v>
      </c>
      <c r="N106" s="397">
        <f>SUM(N100:N105)</f>
        <v>0</v>
      </c>
      <c r="O106" s="397">
        <f>SUM(O100:O105)</f>
        <v>0</v>
      </c>
      <c r="P106" s="397">
        <f>SUM(P100:P105)</f>
        <v>-250000</v>
      </c>
      <c r="Q106" s="397">
        <f>SUM(P106)</f>
        <v>-250000</v>
      </c>
      <c r="R106" s="394">
        <f>CASHFLOW!E29</f>
        <v>-100000</v>
      </c>
      <c r="S106" s="394">
        <f>CASHFLOW!F29</f>
        <v>0</v>
      </c>
      <c r="T106" s="394">
        <f>CASHFLOW!G29</f>
        <v>-250000</v>
      </c>
      <c r="V106" s="173"/>
    </row>
    <row r="107" spans="1:22">
      <c r="A107" s="38"/>
      <c r="C107" s="392"/>
      <c r="D107" s="392"/>
      <c r="E107" s="392"/>
      <c r="F107" s="392"/>
      <c r="G107" s="445"/>
      <c r="H107" s="392"/>
      <c r="I107" s="392"/>
      <c r="J107" s="392"/>
      <c r="K107" s="392"/>
      <c r="L107" s="445"/>
      <c r="M107" s="392"/>
      <c r="N107" s="392"/>
      <c r="O107" s="392"/>
      <c r="P107" s="392"/>
      <c r="Q107" s="392"/>
      <c r="R107" s="394"/>
      <c r="S107" s="394"/>
      <c r="T107" s="394"/>
      <c r="V107" s="38"/>
    </row>
    <row r="108" spans="1:22">
      <c r="A108" s="195" t="s">
        <v>106</v>
      </c>
      <c r="C108" s="600">
        <f>C92+C97+C106</f>
        <v>196625.81196581194</v>
      </c>
      <c r="D108" s="600">
        <f t="shared" ref="D108:P108" si="21">D92+D97+D106</f>
        <v>-84023.687423687486</v>
      </c>
      <c r="E108" s="600">
        <f t="shared" si="21"/>
        <v>141976.3125763124</v>
      </c>
      <c r="F108" s="600">
        <f t="shared" si="21"/>
        <v>-51728.437118437316</v>
      </c>
      <c r="G108" s="600">
        <f>SUM(C108:F108)</f>
        <v>202849.99999999953</v>
      </c>
      <c r="H108" s="600">
        <f t="shared" si="21"/>
        <v>113586.10693867801</v>
      </c>
      <c r="I108" s="600">
        <f t="shared" si="21"/>
        <v>-111880.84793918172</v>
      </c>
      <c r="J108" s="600">
        <f t="shared" si="21"/>
        <v>145885.67462188913</v>
      </c>
      <c r="K108" s="600">
        <f t="shared" si="21"/>
        <v>74768.935902423516</v>
      </c>
      <c r="L108" s="600">
        <f>SUM(H108:K108)</f>
        <v>222359.86952380894</v>
      </c>
      <c r="M108" s="600">
        <f t="shared" si="21"/>
        <v>297051.28205128189</v>
      </c>
      <c r="N108" s="600">
        <f t="shared" si="21"/>
        <v>194991.06227106228</v>
      </c>
      <c r="O108" s="600">
        <f t="shared" si="21"/>
        <v>281930.84249084198</v>
      </c>
      <c r="P108" s="600">
        <f t="shared" si="21"/>
        <v>168870.6227106225</v>
      </c>
      <c r="Q108" s="600">
        <f>SUM(M108:P108)</f>
        <v>942843.80952380865</v>
      </c>
      <c r="R108" s="601">
        <f>CASHFLOW!E31</f>
        <v>202849.99999999953</v>
      </c>
      <c r="S108" s="601">
        <f>CASHFLOW!F31</f>
        <v>222359.86952380964</v>
      </c>
      <c r="T108" s="601">
        <f>CASHFLOW!G31</f>
        <v>942843.809523809</v>
      </c>
      <c r="V108" s="195"/>
    </row>
    <row r="109" spans="1:22">
      <c r="A109" s="38"/>
      <c r="C109" s="392"/>
      <c r="D109" s="392"/>
      <c r="E109" s="392"/>
      <c r="F109" s="392"/>
      <c r="G109" s="445"/>
      <c r="H109" s="392"/>
      <c r="I109" s="392"/>
      <c r="J109" s="392"/>
      <c r="K109" s="392"/>
      <c r="L109" s="445"/>
      <c r="M109" s="392"/>
      <c r="N109" s="392"/>
      <c r="O109" s="392"/>
      <c r="P109" s="392"/>
      <c r="Q109" s="392"/>
      <c r="R109" s="394"/>
      <c r="S109" s="394"/>
      <c r="T109" s="394"/>
      <c r="V109" s="38"/>
    </row>
    <row r="110" spans="1:22">
      <c r="A110" s="195" t="s">
        <v>400</v>
      </c>
      <c r="C110" s="397">
        <f>N75</f>
        <v>367659.84999999928</v>
      </c>
      <c r="D110" s="397">
        <f>C111</f>
        <v>564285.66196581116</v>
      </c>
      <c r="E110" s="397">
        <f>D111</f>
        <v>480261.97454212367</v>
      </c>
      <c r="F110" s="397">
        <f>E111</f>
        <v>622238.28711843607</v>
      </c>
      <c r="G110" s="445"/>
      <c r="H110" s="397">
        <f>F111</f>
        <v>570509.8499999987</v>
      </c>
      <c r="I110" s="397">
        <f>H111</f>
        <v>684095.95693867677</v>
      </c>
      <c r="J110" s="397">
        <f>I111</f>
        <v>572215.10899949505</v>
      </c>
      <c r="K110" s="397">
        <f>J111</f>
        <v>718100.78362138418</v>
      </c>
      <c r="L110" s="445"/>
      <c r="M110" s="397">
        <f>K111</f>
        <v>792869.71952380775</v>
      </c>
      <c r="N110" s="397">
        <f>M111</f>
        <v>1089921.0015750895</v>
      </c>
      <c r="O110" s="397">
        <f>N111</f>
        <v>1284912.0638461518</v>
      </c>
      <c r="P110" s="397">
        <f>O111</f>
        <v>1566842.9063369939</v>
      </c>
      <c r="Q110" s="445"/>
      <c r="R110" s="394">
        <f>CASHFLOW!E33</f>
        <v>367659.84999999951</v>
      </c>
      <c r="S110" s="394">
        <f>CASHFLOW!F33</f>
        <v>570509.84999999905</v>
      </c>
      <c r="T110" s="394">
        <f>CASHFLOW!G33</f>
        <v>792869.71952380869</v>
      </c>
      <c r="V110" s="195"/>
    </row>
    <row r="111" spans="1:22">
      <c r="A111" s="195" t="s">
        <v>399</v>
      </c>
      <c r="C111" s="397">
        <f>C108+C110</f>
        <v>564285.66196581116</v>
      </c>
      <c r="D111" s="397">
        <f>D108+D110</f>
        <v>480261.97454212367</v>
      </c>
      <c r="E111" s="397">
        <f>E108+E110</f>
        <v>622238.28711843607</v>
      </c>
      <c r="F111" s="397">
        <f>F108+F110</f>
        <v>570509.8499999987</v>
      </c>
      <c r="G111" s="445"/>
      <c r="H111" s="397">
        <f>H108+H110</f>
        <v>684095.95693867677</v>
      </c>
      <c r="I111" s="397">
        <f>I108+I110</f>
        <v>572215.10899949505</v>
      </c>
      <c r="J111" s="397">
        <f>J108+J110</f>
        <v>718100.78362138418</v>
      </c>
      <c r="K111" s="397">
        <f>K108+K110</f>
        <v>792869.71952380775</v>
      </c>
      <c r="L111" s="445"/>
      <c r="M111" s="397">
        <f>M108+M110</f>
        <v>1089921.0015750895</v>
      </c>
      <c r="N111" s="397">
        <f>N108+N110</f>
        <v>1284912.0638461518</v>
      </c>
      <c r="O111" s="397">
        <f>O108+O110</f>
        <v>1566842.9063369939</v>
      </c>
      <c r="P111" s="397">
        <f>P108+P110</f>
        <v>1735713.5290476163</v>
      </c>
      <c r="Q111" s="445"/>
      <c r="R111" s="394">
        <f>CASHFLOW!E34</f>
        <v>570509.84999999905</v>
      </c>
      <c r="S111" s="394">
        <f>CASHFLOW!F34</f>
        <v>792869.71952380869</v>
      </c>
      <c r="T111" s="394">
        <f>CASHFLOW!G34</f>
        <v>1735713.5290476177</v>
      </c>
      <c r="V111" s="195"/>
    </row>
    <row r="112" spans="1:22">
      <c r="Q112" s="392"/>
      <c r="R112" s="392"/>
      <c r="S112" s="392"/>
      <c r="T112" s="392"/>
    </row>
    <row r="113" spans="5:20">
      <c r="Q113" s="392"/>
      <c r="R113" s="392"/>
      <c r="S113" s="392"/>
      <c r="T113" s="392"/>
    </row>
    <row r="115" spans="5:20">
      <c r="E115" s="516"/>
    </row>
  </sheetData>
  <mergeCells count="3">
    <mergeCell ref="C81:G81"/>
    <mergeCell ref="H81:L81"/>
    <mergeCell ref="M81:Q81"/>
  </mergeCells>
  <phoneticPr fontId="0" type="noConversion"/>
  <pageMargins left="0.75" right="0.75" top="0.5" bottom="0.5" header="0.5" footer="0.5"/>
  <pageSetup scale="45" orientation="landscape" horizontalDpi="300" verticalDpi="300" r:id="rId1"/>
  <headerFooter alignWithMargins="0">
    <oddHeader>&amp;R&amp;D
&amp;T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46"/>
  <sheetViews>
    <sheetView zoomScale="75" workbookViewId="0"/>
  </sheetViews>
  <sheetFormatPr defaultColWidth="11.42578125" defaultRowHeight="12.75"/>
  <cols>
    <col min="1" max="1" width="32.5703125" customWidth="1"/>
    <col min="2" max="2" width="11.140625" customWidth="1"/>
    <col min="3" max="7" width="11.42578125" customWidth="1"/>
    <col min="8" max="8" width="14.28515625" customWidth="1"/>
  </cols>
  <sheetData>
    <row r="1" spans="1:7" ht="20.25">
      <c r="A1" s="248" t="str">
        <f>COMPS!A1</f>
        <v>XYZ Company</v>
      </c>
      <c r="B1" s="111"/>
      <c r="C1" s="111"/>
      <c r="D1" s="36"/>
      <c r="E1" s="36"/>
      <c r="F1" s="36"/>
      <c r="G1" s="36"/>
    </row>
    <row r="2" spans="1:7" s="74" customFormat="1" ht="15.75">
      <c r="A2" s="247" t="s">
        <v>90</v>
      </c>
      <c r="B2" s="144"/>
      <c r="C2" s="144"/>
      <c r="D2" s="144"/>
      <c r="E2" s="144"/>
      <c r="F2" s="144"/>
      <c r="G2" s="144"/>
    </row>
    <row r="3" spans="1:7" s="74" customFormat="1" ht="15.75">
      <c r="A3" s="247" t="s">
        <v>71</v>
      </c>
      <c r="B3" s="144"/>
      <c r="C3" s="144"/>
      <c r="D3" s="144"/>
      <c r="E3" s="144"/>
      <c r="F3" s="144"/>
      <c r="G3" s="144"/>
    </row>
    <row r="4" spans="1:7" ht="15">
      <c r="A4" s="144"/>
      <c r="B4" s="36"/>
      <c r="C4" s="36"/>
      <c r="D4" s="36"/>
      <c r="E4" s="36"/>
      <c r="F4" s="36"/>
      <c r="G4" s="36"/>
    </row>
    <row r="5" spans="1:7" s="74" customFormat="1" ht="15.75">
      <c r="A5" s="144"/>
      <c r="B5" s="433"/>
      <c r="C5" s="145" t="s">
        <v>72</v>
      </c>
      <c r="D5" s="145" t="s">
        <v>73</v>
      </c>
      <c r="E5" s="145" t="s">
        <v>74</v>
      </c>
      <c r="F5" s="145" t="s">
        <v>75</v>
      </c>
      <c r="G5" s="145" t="s">
        <v>76</v>
      </c>
    </row>
    <row r="6" spans="1:7">
      <c r="A6" s="113" t="s">
        <v>154</v>
      </c>
      <c r="B6" s="111"/>
      <c r="C6" s="36"/>
      <c r="D6" s="36"/>
      <c r="E6" s="36"/>
      <c r="F6" s="36"/>
      <c r="G6" s="36"/>
    </row>
    <row r="7" spans="1:7">
      <c r="A7" s="112" t="s">
        <v>3</v>
      </c>
      <c r="B7" s="111"/>
      <c r="C7" s="115">
        <f>INCOME!C7</f>
        <v>1000000</v>
      </c>
      <c r="D7" s="115">
        <f>INCOME!D7</f>
        <v>5250000</v>
      </c>
      <c r="E7" s="115">
        <f>INCOME!E7</f>
        <v>9750000</v>
      </c>
      <c r="F7" s="115">
        <f>INCOME!F7</f>
        <v>16250000</v>
      </c>
      <c r="G7" s="115">
        <f>INCOME!G7</f>
        <v>26000000</v>
      </c>
    </row>
    <row r="8" spans="1:7">
      <c r="A8" s="112" t="s">
        <v>80</v>
      </c>
      <c r="B8" s="434"/>
      <c r="C8" s="115">
        <f>INCOME!C12</f>
        <v>-117464.28571428568</v>
      </c>
      <c r="D8" s="115">
        <f>INCOME!D12</f>
        <v>1717835.7142857141</v>
      </c>
      <c r="E8" s="115">
        <f>INCOME!E12</f>
        <v>4050571.4285714282</v>
      </c>
      <c r="F8" s="115">
        <f>INCOME!F12</f>
        <v>6910714.2857142854</v>
      </c>
      <c r="G8" s="115">
        <f>INCOME!G12</f>
        <v>11966857.142857144</v>
      </c>
    </row>
    <row r="9" spans="1:7">
      <c r="A9" s="112" t="s">
        <v>0</v>
      </c>
      <c r="B9" s="434"/>
      <c r="C9" s="115">
        <f>INCOME!C26</f>
        <v>-712131.10238095233</v>
      </c>
      <c r="D9" s="115">
        <f>INCOME!D26</f>
        <v>-158064.28571428591</v>
      </c>
      <c r="E9" s="115">
        <f>INCOME!E26</f>
        <v>752514.7619047612</v>
      </c>
      <c r="F9" s="115">
        <f>INCOME!F26</f>
        <v>1565780.9523809524</v>
      </c>
      <c r="G9" s="115">
        <f>INCOME!G26</f>
        <v>3767390.4761904767</v>
      </c>
    </row>
    <row r="10" spans="1:7">
      <c r="A10" s="112" t="s">
        <v>395</v>
      </c>
      <c r="B10" s="434"/>
      <c r="C10" s="115">
        <f>INCOME!C26+'PROP &amp; EQUIP'!C47</f>
        <v>-668750.14999999991</v>
      </c>
      <c r="D10" s="115">
        <f>INCOME!D26+'PROP &amp; EQUIP'!D47</f>
        <v>-26350.000000000204</v>
      </c>
      <c r="E10" s="115">
        <f>INCOME!E26+'PROP &amp; EQUIP'!E47</f>
        <v>996609.9999999993</v>
      </c>
      <c r="F10" s="115">
        <f>INCOME!F26+'PROP &amp; EQUIP'!F47</f>
        <v>1939400</v>
      </c>
      <c r="G10" s="115">
        <f>INCOME!G26+'PROP &amp; EQUIP'!G47</f>
        <v>4277200</v>
      </c>
    </row>
    <row r="11" spans="1:7">
      <c r="A11" s="112" t="s">
        <v>4</v>
      </c>
      <c r="B11" s="434"/>
      <c r="C11" s="115">
        <f>INCOME!C34</f>
        <v>-712131.10238095233</v>
      </c>
      <c r="D11" s="115">
        <f>INCOME!D34</f>
        <v>-218064.28571428591</v>
      </c>
      <c r="E11" s="115">
        <f>INCOME!E34</f>
        <v>704514.7619047612</v>
      </c>
      <c r="F11" s="115">
        <f>INCOME!F34</f>
        <v>1002740.8219047622</v>
      </c>
      <c r="G11" s="115">
        <f>INCOME!G34</f>
        <v>2252034.2857142859</v>
      </c>
    </row>
    <row r="12" spans="1:7">
      <c r="A12" s="146" t="s">
        <v>165</v>
      </c>
      <c r="B12" s="111"/>
      <c r="C12" s="115">
        <f>CASHFLOW!C15</f>
        <v>-811830.14999999991</v>
      </c>
      <c r="D12" s="115">
        <f>CASHFLOW!D15</f>
        <v>-540510.00000000058</v>
      </c>
      <c r="E12" s="115">
        <f>CASHFLOW!E15</f>
        <v>852849.99999999953</v>
      </c>
      <c r="F12" s="115">
        <f>CASHFLOW!F15</f>
        <v>872359.86952380964</v>
      </c>
      <c r="G12" s="115">
        <f>CASHFLOW!G15</f>
        <v>1942843.809523809</v>
      </c>
    </row>
    <row r="13" spans="1:7">
      <c r="A13" s="112" t="s">
        <v>2</v>
      </c>
      <c r="B13" s="111"/>
      <c r="C13" s="115">
        <f>'PROP &amp; EQUIP'!C13</f>
        <v>280000</v>
      </c>
      <c r="D13" s="115">
        <f>'PROP &amp; EQUIP'!D13</f>
        <v>500000</v>
      </c>
      <c r="E13" s="115">
        <f>'PROP &amp; EQUIP'!E13</f>
        <v>550000</v>
      </c>
      <c r="F13" s="115">
        <f>'PROP &amp; EQUIP'!F13</f>
        <v>650000</v>
      </c>
      <c r="G13" s="115">
        <f>'PROP &amp; EQUIP'!G13</f>
        <v>750000</v>
      </c>
    </row>
    <row r="14" spans="1:7">
      <c r="A14" s="112" t="s">
        <v>266</v>
      </c>
      <c r="B14" s="111"/>
      <c r="C14" s="115">
        <f>FUNDING!C45-FUNDING!C41</f>
        <v>0</v>
      </c>
      <c r="D14" s="115">
        <f>FUNDING!D45-FUNDING!D41</f>
        <v>-60000</v>
      </c>
      <c r="E14" s="115">
        <f>FUNDING!E45-FUNDING!E41</f>
        <v>-48000</v>
      </c>
      <c r="F14" s="115">
        <f>FUNDING!F45-FUNDING!F41</f>
        <v>-45000</v>
      </c>
      <c r="G14" s="115">
        <f>FUNDING!G45-FUNDING!G41</f>
        <v>-14000</v>
      </c>
    </row>
    <row r="15" spans="1:7">
      <c r="A15" s="112" t="s">
        <v>83</v>
      </c>
      <c r="B15" s="111"/>
      <c r="C15" s="115">
        <f>FUNDING!C49</f>
        <v>0</v>
      </c>
      <c r="D15" s="115">
        <f>FUNDING!D49</f>
        <v>0</v>
      </c>
      <c r="E15" s="115">
        <f>FUNDING!E49</f>
        <v>0</v>
      </c>
      <c r="F15" s="115">
        <f>FUNDING!F49</f>
        <v>0</v>
      </c>
      <c r="G15" s="115">
        <f>FUNDING!G49</f>
        <v>50000</v>
      </c>
    </row>
    <row r="16" spans="1:7">
      <c r="A16" s="112" t="s">
        <v>84</v>
      </c>
      <c r="B16" s="111"/>
      <c r="C16" s="115">
        <f>BALANCE!C9</f>
        <v>408169.85000000009</v>
      </c>
      <c r="D16" s="115">
        <f>BALANCE!D9</f>
        <v>367659.84999999951</v>
      </c>
      <c r="E16" s="115">
        <f>BALANCE!E9</f>
        <v>570509.84999999905</v>
      </c>
      <c r="F16" s="115">
        <f>BALANCE!F9</f>
        <v>792869.71952380869</v>
      </c>
      <c r="G16" s="115">
        <f>BALANCE!G9</f>
        <v>1735713.5290476177</v>
      </c>
    </row>
    <row r="17" spans="1:7">
      <c r="A17" s="112" t="s">
        <v>85</v>
      </c>
      <c r="B17" s="111"/>
      <c r="C17" s="115">
        <f>FUNDING!C52+FUNDING!C8+FUNDING!C10</f>
        <v>-212131.10238095233</v>
      </c>
      <c r="D17" s="115">
        <f>FUNDING!D52+FUNDING!D8+FUNDING!D10</f>
        <v>-430195.38809523825</v>
      </c>
      <c r="E17" s="115">
        <f>FUNDING!E52+FUNDING!E8+FUNDING!E10</f>
        <v>274319.37380952295</v>
      </c>
      <c r="F17" s="115">
        <f>FUNDING!F52+FUNDING!F8+FUNDING!F10</f>
        <v>1277060.1957142851</v>
      </c>
      <c r="G17" s="115">
        <f>FUNDING!G52+FUNDING!G8+FUNDING!G10</f>
        <v>3479094.481428571</v>
      </c>
    </row>
    <row r="18" spans="1:7">
      <c r="A18" s="112" t="s">
        <v>86</v>
      </c>
      <c r="B18" s="111"/>
      <c r="C18" s="115">
        <f>FUNDING!C24</f>
        <v>0</v>
      </c>
      <c r="D18" s="115">
        <f>FUNDING!D24</f>
        <v>500000</v>
      </c>
      <c r="E18" s="115">
        <f>FUNDING!E24</f>
        <v>400000</v>
      </c>
      <c r="F18" s="115">
        <f>FUNDING!F24</f>
        <v>300000</v>
      </c>
      <c r="G18" s="115">
        <f>FUNDING!G24</f>
        <v>200000</v>
      </c>
    </row>
    <row r="19" spans="1:7">
      <c r="A19" s="36"/>
      <c r="B19" s="111"/>
      <c r="C19" s="147"/>
      <c r="D19" s="147"/>
      <c r="E19" s="147"/>
      <c r="F19" s="147"/>
      <c r="G19" s="147"/>
    </row>
    <row r="20" spans="1:7">
      <c r="A20" s="113" t="s">
        <v>155</v>
      </c>
      <c r="B20" s="111"/>
      <c r="C20" s="148"/>
      <c r="D20" s="148"/>
      <c r="E20" s="148"/>
      <c r="F20" s="148"/>
      <c r="G20" s="148"/>
    </row>
    <row r="21" spans="1:7">
      <c r="A21" s="36" t="s">
        <v>70</v>
      </c>
      <c r="B21" s="111"/>
      <c r="C21" s="118"/>
      <c r="D21" s="264">
        <f>D7/C7-1</f>
        <v>4.25</v>
      </c>
      <c r="E21" s="264">
        <f>E7/D7-1</f>
        <v>0.85714285714285721</v>
      </c>
      <c r="F21" s="264">
        <f>F7/E7-1</f>
        <v>0.66666666666666674</v>
      </c>
      <c r="G21" s="264">
        <f>G7/F7-1</f>
        <v>0.60000000000000009</v>
      </c>
    </row>
    <row r="22" spans="1:7">
      <c r="A22" s="36" t="s">
        <v>88</v>
      </c>
      <c r="B22" s="111"/>
      <c r="C22" s="118"/>
      <c r="D22" s="573" t="str">
        <f>IF((INCOME!D34/INCOME!C34-1)&gt;0,(INCOME!D34/INCOME!C34-1),"Nil")</f>
        <v>Nil</v>
      </c>
      <c r="E22" s="573" t="str">
        <f>IF((INCOME!E34/INCOME!D34-1)&gt;0,(INCOME!E34/INCOME!D34-1),"Nil")</f>
        <v>Nil</v>
      </c>
      <c r="F22" s="573">
        <f>IF((INCOME!F34/INCOME!E34-1)&gt;0,(INCOME!F34/INCOME!E34-1),"Nil")</f>
        <v>0.42330704213166825</v>
      </c>
      <c r="G22" s="573">
        <f>IF((INCOME!G34/INCOME!F34-1)&gt;0,(INCOME!G34/INCOME!F34-1),"Nil")</f>
        <v>1.2458787320899343</v>
      </c>
    </row>
    <row r="23" spans="1:7">
      <c r="A23" s="36"/>
      <c r="B23" s="111"/>
      <c r="C23" s="149"/>
      <c r="D23" s="149"/>
      <c r="E23" s="149"/>
      <c r="F23" s="149"/>
      <c r="G23" s="149"/>
    </row>
    <row r="24" spans="1:7">
      <c r="A24" s="113" t="s">
        <v>156</v>
      </c>
      <c r="B24" s="118"/>
      <c r="C24" s="149"/>
      <c r="D24" s="149"/>
      <c r="E24" s="149"/>
      <c r="F24" s="149"/>
      <c r="G24" s="149"/>
    </row>
    <row r="25" spans="1:7">
      <c r="A25" s="36" t="s">
        <v>153</v>
      </c>
      <c r="B25" s="435"/>
      <c r="C25" s="150">
        <f>BALANCE!C13/BALANCE!C23</f>
        <v>4.1732088993783103</v>
      </c>
      <c r="D25" s="150">
        <f>BALANCE!D13/BALANCE!D23</f>
        <v>2.0378964263428214</v>
      </c>
      <c r="E25" s="150">
        <f>BALANCE!E13/BALANCE!E23</f>
        <v>1.9970092973436153</v>
      </c>
      <c r="F25" s="150">
        <f>BALANCE!F13/BALANCE!F23</f>
        <v>1.8760987369181641</v>
      </c>
      <c r="G25" s="150">
        <f>BALANCE!G13/BALANCE!G23</f>
        <v>2.1397358080672966</v>
      </c>
    </row>
    <row r="26" spans="1:7">
      <c r="A26" s="36" t="s">
        <v>115</v>
      </c>
      <c r="B26" s="435"/>
      <c r="C26" s="150">
        <f>(BALANCE!C25+BALANCE!C22)/(BALANCE!C25+BALANCE!C22+BALANCE!C31)</f>
        <v>0</v>
      </c>
      <c r="D26" s="150">
        <f>(BALANCE!D25+BALANCE!D22)/(BALANCE!D25+BALANCE!D22+BALANCE!D31)</f>
        <v>0.31851097659428612</v>
      </c>
      <c r="E26" s="150">
        <f>(BALANCE!E25+BALANCE!E22)/(BALANCE!E25+BALANCE!E22+BALANCE!E31)</f>
        <v>0.18396561462779903</v>
      </c>
      <c r="F26" s="150">
        <f>(BALANCE!F25+BALANCE!F22)/(BALANCE!F25+BALANCE!F22+BALANCE!F31)</f>
        <v>9.7495655241921678E-2</v>
      </c>
      <c r="G26" s="150">
        <f>(BALANCE!G25+BALANCE!G22)/(BALANCE!G25+BALANCE!G22+BALANCE!G31)</f>
        <v>3.8616789231625134E-2</v>
      </c>
    </row>
    <row r="27" spans="1:7">
      <c r="A27" s="36"/>
      <c r="B27" s="111"/>
      <c r="C27" s="36"/>
      <c r="D27" s="36"/>
      <c r="E27" s="36"/>
      <c r="F27" s="36"/>
      <c r="G27" s="36"/>
    </row>
    <row r="28" spans="1:7">
      <c r="A28" s="113" t="s">
        <v>157</v>
      </c>
      <c r="B28" s="111"/>
      <c r="C28" s="36"/>
      <c r="D28" s="36"/>
      <c r="E28" s="36"/>
      <c r="F28" s="36"/>
      <c r="G28" s="36"/>
    </row>
    <row r="29" spans="1:7">
      <c r="A29" s="112" t="s">
        <v>50</v>
      </c>
      <c r="B29" s="436"/>
      <c r="C29" s="151">
        <f>INCOME!C13</f>
        <v>-0.11746428571428569</v>
      </c>
      <c r="D29" s="151">
        <f>INCOME!D13</f>
        <v>0.32720680272108837</v>
      </c>
      <c r="E29" s="151">
        <f>INCOME!E13</f>
        <v>0.41544322344322338</v>
      </c>
      <c r="F29" s="151">
        <f>INCOME!F13</f>
        <v>0.42527472527472526</v>
      </c>
      <c r="G29" s="151">
        <f>INCOME!G13</f>
        <v>0.46026373626373629</v>
      </c>
    </row>
    <row r="30" spans="1:7">
      <c r="A30" s="112" t="s">
        <v>82</v>
      </c>
      <c r="B30" s="436"/>
      <c r="C30" s="152">
        <f>INCOME!C20</f>
        <v>0.54966681666666661</v>
      </c>
      <c r="D30" s="152">
        <f>INCOME!D20</f>
        <v>0.3573142857142857</v>
      </c>
      <c r="E30" s="152">
        <f>INCOME!E20</f>
        <v>0.33826222222222224</v>
      </c>
      <c r="F30" s="152">
        <f>INCOME!F20</f>
        <v>0.32891897435897433</v>
      </c>
      <c r="G30" s="152">
        <f>INCOME!G20</f>
        <v>0.31536410256410258</v>
      </c>
    </row>
    <row r="31" spans="1:7">
      <c r="A31" s="112" t="s">
        <v>89</v>
      </c>
      <c r="B31" s="436"/>
      <c r="C31" s="94">
        <f>C11/C7</f>
        <v>-0.71213110238095234</v>
      </c>
      <c r="D31" s="94">
        <f>D11/D7</f>
        <v>-4.1536054421768748E-2</v>
      </c>
      <c r="E31" s="94">
        <f>E11/E7</f>
        <v>7.2257924297924228E-2</v>
      </c>
      <c r="F31" s="94">
        <f>F11/F7</f>
        <v>6.1707127501831521E-2</v>
      </c>
      <c r="G31" s="94">
        <f>G11/G7</f>
        <v>8.6616703296703304E-2</v>
      </c>
    </row>
    <row r="32" spans="1:7">
      <c r="A32" s="36"/>
      <c r="B32" s="111"/>
      <c r="C32" s="36"/>
      <c r="D32" s="36"/>
      <c r="E32" s="36"/>
      <c r="F32" s="36"/>
      <c r="G32" s="36"/>
    </row>
    <row r="33" spans="1:8">
      <c r="A33" s="113" t="s">
        <v>158</v>
      </c>
      <c r="B33" s="111"/>
      <c r="C33" s="36"/>
      <c r="D33" s="36"/>
      <c r="E33" s="36"/>
      <c r="F33" s="36"/>
      <c r="G33" s="36"/>
    </row>
    <row r="34" spans="1:8">
      <c r="A34" s="112" t="s">
        <v>87</v>
      </c>
      <c r="B34" s="436"/>
      <c r="C34" s="152">
        <f>INCOME!C34/BALANCE!C15</f>
        <v>-0.74057750057663108</v>
      </c>
      <c r="D34" s="152">
        <f>INCOME!D34/BALANCE!D15</f>
        <v>-9.4681931054498777E-2</v>
      </c>
      <c r="E34" s="152">
        <f>INCOME!E34/BALANCE!E15</f>
        <v>0.21735431799697816</v>
      </c>
      <c r="F34" s="152">
        <f>INCOME!F34/BALANCE!F15</f>
        <v>0.19974677251097903</v>
      </c>
      <c r="G34" s="152">
        <f>INCOME!G34/BALANCE!G15</f>
        <v>0.27188320630213092</v>
      </c>
    </row>
    <row r="35" spans="1:8">
      <c r="A35" s="112" t="s">
        <v>5</v>
      </c>
      <c r="B35" s="436"/>
      <c r="C35" s="153">
        <f>INCOME!C34/BALANCE!C31</f>
        <v>-0.90387005316877445</v>
      </c>
      <c r="D35" s="153">
        <f>INCOME!D34/BALANCE!D31</f>
        <v>-0.20383561940906911</v>
      </c>
      <c r="E35" s="153">
        <f>INCOME!E34/BALANCE!E31</f>
        <v>0.39706197897853329</v>
      </c>
      <c r="F35" s="153">
        <f>INCOME!F34/BALANCE!F31</f>
        <v>0.36107997351020621</v>
      </c>
      <c r="G35" s="153">
        <f>INCOME!G34/BALANCE!G31</f>
        <v>0.45229796183103282</v>
      </c>
    </row>
    <row r="36" spans="1:8">
      <c r="A36" s="112" t="s">
        <v>114</v>
      </c>
      <c r="B36" s="436"/>
      <c r="C36" s="152">
        <f>INCOME!C34/(BALANCE!C22+BALANCE!C25+BALANCE!C31)</f>
        <v>-0.90387005316877445</v>
      </c>
      <c r="D36" s="152">
        <f>INCOME!D34/(BALANCE!D22+BALANCE!D25+BALANCE!D31)</f>
        <v>-0.13891173720638528</v>
      </c>
      <c r="E36" s="152">
        <f>INCOME!E34/(BALANCE!E22+BALANCE!E25+BALANCE!E31)</f>
        <v>0.32401622797041724</v>
      </c>
      <c r="F36" s="152">
        <f>INCOME!F34/(BALANCE!F22+BALANCE!F25+BALANCE!F31)</f>
        <v>0.32587624489809297</v>
      </c>
      <c r="G36" s="152">
        <f>INCOME!G34/(BALANCE!G22+BALANCE!G25+BALANCE!G31)</f>
        <v>0.43483166676911017</v>
      </c>
    </row>
    <row r="37" spans="1:8">
      <c r="A37" s="33"/>
    </row>
    <row r="46" spans="1:8">
      <c r="H46" s="36"/>
    </row>
  </sheetData>
  <phoneticPr fontId="0" type="noConversion"/>
  <pageMargins left="0.75" right="0.75" top="0.5" bottom="0.5" header="0.5" footer="0.5"/>
  <pageSetup orientation="landscape" horizontalDpi="300" verticalDpi="300" r:id="rId1"/>
  <headerFooter alignWithMargins="0">
    <oddHeader>&amp;R&amp;D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6"/>
  <sheetViews>
    <sheetView zoomScale="75" workbookViewId="0">
      <selection activeCell="M5" sqref="M5"/>
    </sheetView>
  </sheetViews>
  <sheetFormatPr defaultRowHeight="12.75"/>
  <cols>
    <col min="1" max="1" width="10.140625" customWidth="1"/>
    <col min="2" max="2" width="10.28515625" customWidth="1"/>
  </cols>
  <sheetData>
    <row r="1" spans="1:16" ht="18">
      <c r="A1" s="543"/>
      <c r="B1" s="544"/>
      <c r="C1" s="544"/>
      <c r="D1" s="291"/>
      <c r="E1" s="545"/>
      <c r="F1" s="291"/>
      <c r="G1" s="546"/>
      <c r="H1" s="546"/>
      <c r="I1" s="546"/>
      <c r="J1" s="546"/>
    </row>
    <row r="2" spans="1:16" ht="14.25" customHeight="1">
      <c r="A2" s="543"/>
      <c r="B2" s="544"/>
      <c r="C2" s="544"/>
      <c r="D2" s="291"/>
      <c r="E2" s="547"/>
      <c r="F2" s="291"/>
      <c r="G2" s="546"/>
      <c r="H2" s="546"/>
      <c r="I2" s="546"/>
      <c r="J2" s="546"/>
    </row>
    <row r="3" spans="1:16">
      <c r="A3" s="50"/>
      <c r="B3" s="50"/>
      <c r="C3" s="50"/>
      <c r="D3" s="50"/>
      <c r="E3" s="50"/>
      <c r="F3" s="50"/>
      <c r="G3" s="50"/>
      <c r="H3" s="50"/>
      <c r="I3" s="50"/>
      <c r="J3" s="50"/>
    </row>
    <row r="4" spans="1:16">
      <c r="A4" s="111"/>
      <c r="B4" s="111"/>
      <c r="C4" s="111"/>
      <c r="D4" s="111"/>
      <c r="E4" s="484"/>
      <c r="F4" s="111"/>
      <c r="G4" s="111"/>
      <c r="H4" s="111"/>
      <c r="I4" s="50"/>
      <c r="J4" s="50"/>
      <c r="K4" s="50"/>
      <c r="L4" s="50"/>
      <c r="M4" s="50"/>
      <c r="N4" s="50"/>
      <c r="O4" s="50"/>
      <c r="P4" s="50"/>
    </row>
    <row r="5" spans="1:16">
      <c r="A5" s="111"/>
      <c r="B5" s="111"/>
      <c r="C5" s="111"/>
      <c r="D5" s="111"/>
      <c r="E5" s="548"/>
      <c r="F5" s="111"/>
      <c r="G5" s="111"/>
      <c r="H5" s="111"/>
      <c r="I5" s="50"/>
      <c r="J5" s="50"/>
    </row>
    <row r="6" spans="1:16">
      <c r="A6" s="111"/>
      <c r="B6" s="111"/>
      <c r="C6" s="111"/>
      <c r="D6" s="111"/>
      <c r="E6" s="549"/>
      <c r="F6" s="111"/>
      <c r="G6" s="111"/>
      <c r="H6" s="111"/>
      <c r="I6" s="50"/>
      <c r="J6" s="50"/>
    </row>
    <row r="7" spans="1:16">
      <c r="A7" s="111"/>
      <c r="B7" s="111"/>
      <c r="C7" s="111"/>
      <c r="D7" s="111"/>
      <c r="E7" s="484"/>
      <c r="F7" s="111"/>
      <c r="G7" s="111"/>
      <c r="H7" s="111"/>
      <c r="I7" s="50"/>
      <c r="J7" s="50"/>
    </row>
    <row r="8" spans="1:16">
      <c r="A8" s="111"/>
      <c r="B8" s="111"/>
      <c r="C8" s="111"/>
      <c r="D8" s="111"/>
      <c r="E8" s="111"/>
      <c r="F8" s="111"/>
      <c r="G8" s="111"/>
      <c r="H8" s="111"/>
      <c r="I8" s="50"/>
      <c r="J8" s="50"/>
    </row>
    <row r="9" spans="1:16">
      <c r="A9" s="111"/>
      <c r="B9" s="111"/>
      <c r="C9" s="111"/>
      <c r="D9" s="111"/>
      <c r="E9" s="111"/>
      <c r="F9" s="111"/>
      <c r="G9" s="111"/>
      <c r="H9" s="111"/>
      <c r="I9" s="50"/>
      <c r="J9" s="50"/>
    </row>
    <row r="10" spans="1:16">
      <c r="A10" s="111"/>
      <c r="B10" s="111"/>
      <c r="C10" s="111"/>
      <c r="D10" s="111"/>
      <c r="E10" s="111"/>
      <c r="F10" s="111"/>
      <c r="G10" s="111"/>
      <c r="H10" s="111"/>
      <c r="I10" s="50"/>
      <c r="J10" s="50"/>
    </row>
    <row r="11" spans="1:16">
      <c r="A11" s="111"/>
      <c r="B11" s="111"/>
      <c r="C11" s="111"/>
      <c r="D11" s="111"/>
      <c r="E11" s="111"/>
      <c r="F11" s="111"/>
      <c r="G11" s="111"/>
      <c r="H11" s="111"/>
      <c r="I11" s="50"/>
      <c r="J11" s="50"/>
    </row>
    <row r="12" spans="1:16">
      <c r="A12" s="111"/>
      <c r="B12" s="111"/>
      <c r="C12" s="111"/>
      <c r="D12" s="111"/>
      <c r="E12" s="111"/>
      <c r="F12" s="111"/>
      <c r="G12" s="111"/>
      <c r="H12" s="111"/>
      <c r="I12" s="50"/>
      <c r="J12" s="50"/>
    </row>
    <row r="13" spans="1:16">
      <c r="A13" s="111"/>
      <c r="B13" s="111"/>
      <c r="C13" s="111"/>
      <c r="D13" s="111"/>
      <c r="E13" s="111"/>
      <c r="F13" s="111"/>
      <c r="G13" s="111"/>
      <c r="H13" s="111"/>
      <c r="I13" s="50"/>
      <c r="J13" s="50"/>
    </row>
    <row r="14" spans="1:16">
      <c r="A14" s="111"/>
      <c r="B14" s="343"/>
      <c r="C14" s="111"/>
      <c r="D14" s="111"/>
      <c r="E14" s="111"/>
      <c r="F14" s="111"/>
      <c r="G14" s="111"/>
      <c r="H14" s="111"/>
      <c r="I14" s="50"/>
      <c r="J14" s="50"/>
    </row>
    <row r="15" spans="1:16">
      <c r="A15" s="111"/>
      <c r="B15" s="111"/>
      <c r="C15" s="111"/>
      <c r="D15" s="111"/>
      <c r="E15" s="111"/>
      <c r="F15" s="111"/>
      <c r="G15" s="111"/>
      <c r="H15" s="111"/>
      <c r="I15" s="50"/>
      <c r="J15" s="50"/>
    </row>
    <row r="16" spans="1:16">
      <c r="A16" s="111"/>
      <c r="B16" s="111"/>
      <c r="C16" s="111"/>
      <c r="D16" s="111"/>
      <c r="E16" s="111"/>
      <c r="F16" s="111"/>
      <c r="G16" s="111"/>
      <c r="H16" s="111"/>
      <c r="I16" s="50"/>
      <c r="J16" s="50"/>
    </row>
    <row r="17" spans="1:11">
      <c r="A17" s="50"/>
      <c r="B17" s="50"/>
      <c r="C17" s="50"/>
      <c r="D17" s="50"/>
      <c r="E17" s="50"/>
      <c r="F17" s="50"/>
      <c r="G17" s="50"/>
      <c r="H17" s="50"/>
      <c r="I17" s="50"/>
      <c r="J17" s="50"/>
    </row>
    <row r="18" spans="1:11" ht="15.75">
      <c r="E18" s="75"/>
    </row>
    <row r="26" spans="1:11">
      <c r="K26" s="542"/>
    </row>
    <row r="46" spans="2:6">
      <c r="B46" s="50"/>
      <c r="C46" s="50"/>
      <c r="D46" s="50"/>
      <c r="E46" s="50"/>
      <c r="F46" s="50"/>
    </row>
    <row r="52" spans="1:2">
      <c r="A52" s="72"/>
      <c r="B52" s="81"/>
    </row>
    <row r="56" spans="1:2">
      <c r="B56" s="81"/>
    </row>
  </sheetData>
  <phoneticPr fontId="0" type="noConversion"/>
  <pageMargins left="1.1100000000000001" right="0.56000000000000005" top="1" bottom="1" header="0.5" footer="0.5"/>
  <pageSetup scale="4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0"/>
  <sheetViews>
    <sheetView zoomScale="75" zoomScaleNormal="75" workbookViewId="0">
      <selection activeCell="H1" sqref="H1"/>
    </sheetView>
  </sheetViews>
  <sheetFormatPr defaultRowHeight="12.75"/>
  <cols>
    <col min="1" max="1" width="30" customWidth="1"/>
    <col min="2" max="2" width="12" customWidth="1"/>
    <col min="3" max="3" width="11.5703125" customWidth="1"/>
    <col min="4" max="4" width="15.85546875" customWidth="1"/>
    <col min="5" max="5" width="16.5703125" customWidth="1"/>
    <col min="6" max="6" width="12.5703125" customWidth="1"/>
    <col min="7" max="7" width="13.28515625" customWidth="1"/>
    <col min="8" max="9" width="11.7109375" customWidth="1"/>
    <col min="10" max="10" width="12.42578125" customWidth="1"/>
    <col min="11" max="11" width="10.85546875" customWidth="1"/>
    <col min="12" max="12" width="12.7109375" customWidth="1"/>
    <col min="13" max="13" width="12" customWidth="1"/>
    <col min="14" max="14" width="13.140625" customWidth="1"/>
    <col min="15" max="15" width="14.28515625" customWidth="1"/>
  </cols>
  <sheetData>
    <row r="1" spans="1:15" ht="20.25">
      <c r="A1" s="575" t="str">
        <f>COMPS!A1</f>
        <v>XYZ Company</v>
      </c>
      <c r="B1" s="515"/>
      <c r="C1" s="111"/>
      <c r="D1" s="36"/>
      <c r="E1" s="450"/>
      <c r="F1" s="36"/>
      <c r="H1" s="609" t="s">
        <v>453</v>
      </c>
    </row>
    <row r="2" spans="1:15" ht="15.75">
      <c r="A2" s="247" t="s">
        <v>346</v>
      </c>
      <c r="B2" s="451"/>
      <c r="C2" s="144"/>
      <c r="D2" s="144"/>
      <c r="E2" s="451"/>
      <c r="F2" s="144"/>
    </row>
    <row r="3" spans="1:15" ht="15.75">
      <c r="A3" s="475" t="s">
        <v>347</v>
      </c>
      <c r="B3" s="452"/>
      <c r="E3" s="452"/>
    </row>
    <row r="4" spans="1:15" ht="15.75">
      <c r="A4" s="247" t="s">
        <v>71</v>
      </c>
      <c r="B4" s="451"/>
      <c r="C4" s="144"/>
      <c r="D4" s="144"/>
      <c r="E4" s="74"/>
      <c r="F4" s="74"/>
      <c r="G4" s="74"/>
      <c r="H4" s="74"/>
      <c r="I4" s="451"/>
      <c r="J4" s="74"/>
      <c r="K4" s="74"/>
      <c r="L4" s="74"/>
      <c r="M4" s="74"/>
      <c r="N4" s="74"/>
      <c r="O4" s="74"/>
    </row>
    <row r="5" spans="1:15">
      <c r="A5" s="36"/>
      <c r="B5" s="450"/>
      <c r="C5" s="36"/>
      <c r="D5" s="36"/>
      <c r="E5" s="453"/>
      <c r="F5" s="453"/>
      <c r="G5" s="453"/>
      <c r="H5" s="453"/>
      <c r="I5" s="450"/>
      <c r="J5" s="453"/>
      <c r="K5" s="453"/>
      <c r="L5" s="453"/>
      <c r="M5" s="453"/>
      <c r="N5" s="453"/>
      <c r="O5" s="453"/>
    </row>
    <row r="6" spans="1:15">
      <c r="A6" s="500" t="s">
        <v>349</v>
      </c>
      <c r="B6" s="450"/>
      <c r="C6" s="450" t="s">
        <v>381</v>
      </c>
      <c r="D6" s="36"/>
      <c r="E6" s="450"/>
      <c r="F6" s="36"/>
      <c r="G6" s="36"/>
      <c r="H6" s="36"/>
      <c r="I6" s="450"/>
      <c r="J6" s="36"/>
      <c r="K6" s="36"/>
      <c r="L6" s="36"/>
      <c r="M6" s="36"/>
      <c r="N6" s="36"/>
      <c r="O6" s="36"/>
    </row>
    <row r="7" spans="1:15">
      <c r="A7" s="112" t="s">
        <v>315</v>
      </c>
      <c r="B7" s="462">
        <v>0.6</v>
      </c>
      <c r="C7" s="450" t="s">
        <v>305</v>
      </c>
      <c r="D7" s="36"/>
      <c r="E7" s="450"/>
      <c r="F7" s="36"/>
      <c r="G7" s="36"/>
      <c r="H7" s="36"/>
      <c r="I7" s="450"/>
      <c r="J7" s="36"/>
      <c r="K7" s="36"/>
      <c r="L7" s="36"/>
      <c r="M7" s="36"/>
      <c r="N7" s="36"/>
      <c r="O7" s="36"/>
    </row>
    <row r="8" spans="1:15">
      <c r="A8" s="112" t="s">
        <v>350</v>
      </c>
      <c r="B8" s="455">
        <v>15</v>
      </c>
      <c r="C8" s="450" t="s">
        <v>307</v>
      </c>
      <c r="D8" s="36"/>
      <c r="E8" s="450"/>
      <c r="F8" s="36"/>
      <c r="G8" s="36"/>
      <c r="H8" s="36"/>
      <c r="I8" s="450"/>
      <c r="J8" s="36"/>
      <c r="K8" s="36"/>
      <c r="L8" s="36"/>
      <c r="M8" s="36"/>
      <c r="N8" s="36"/>
      <c r="O8" s="36"/>
    </row>
    <row r="9" spans="1:15">
      <c r="A9" s="112" t="s">
        <v>351</v>
      </c>
      <c r="B9" s="463">
        <v>1500000</v>
      </c>
      <c r="C9" s="450" t="s">
        <v>309</v>
      </c>
      <c r="D9" s="36"/>
      <c r="E9" s="478" t="s">
        <v>367</v>
      </c>
      <c r="F9" s="479" t="s">
        <v>368</v>
      </c>
      <c r="G9" s="479"/>
      <c r="H9" s="479"/>
      <c r="I9" s="450" t="s">
        <v>369</v>
      </c>
      <c r="J9" s="36"/>
      <c r="K9" s="36"/>
      <c r="L9" s="36"/>
      <c r="M9" s="36"/>
      <c r="N9" s="36"/>
      <c r="O9" s="36"/>
    </row>
    <row r="10" spans="1:15">
      <c r="A10" s="480"/>
      <c r="B10" s="481"/>
      <c r="C10" s="111"/>
      <c r="D10" s="111"/>
      <c r="E10" s="482"/>
      <c r="F10" s="483"/>
      <c r="G10" s="483"/>
      <c r="H10" s="483"/>
      <c r="I10" s="484"/>
      <c r="J10" s="111"/>
      <c r="K10" s="111"/>
      <c r="L10" s="111"/>
      <c r="M10" s="111"/>
      <c r="N10" s="111"/>
      <c r="O10" s="111"/>
    </row>
    <row r="11" spans="1:15">
      <c r="A11" s="477" t="s">
        <v>381</v>
      </c>
      <c r="B11" s="450" t="s">
        <v>316</v>
      </c>
      <c r="C11" s="450" t="s">
        <v>318</v>
      </c>
      <c r="D11" s="485" t="s">
        <v>320</v>
      </c>
      <c r="E11" s="450" t="s">
        <v>323</v>
      </c>
      <c r="F11" s="450" t="s">
        <v>327</v>
      </c>
      <c r="G11" s="450" t="s">
        <v>352</v>
      </c>
      <c r="H11" s="450" t="s">
        <v>333</v>
      </c>
      <c r="I11" s="450" t="s">
        <v>336</v>
      </c>
      <c r="J11" s="36"/>
      <c r="K11" s="36"/>
      <c r="L11" s="36"/>
      <c r="M11" s="36"/>
      <c r="N11" s="36"/>
      <c r="O11" s="36"/>
    </row>
    <row r="12" spans="1:15" ht="25.5">
      <c r="A12" s="505" t="s">
        <v>378</v>
      </c>
      <c r="B12" s="458" t="s">
        <v>353</v>
      </c>
      <c r="C12" s="458" t="s">
        <v>81</v>
      </c>
      <c r="D12" s="486" t="s">
        <v>354</v>
      </c>
      <c r="E12" s="486" t="s">
        <v>355</v>
      </c>
      <c r="F12" s="486" t="s">
        <v>356</v>
      </c>
      <c r="G12" s="486" t="s">
        <v>357</v>
      </c>
      <c r="H12" s="486" t="s">
        <v>358</v>
      </c>
      <c r="I12" s="486" t="s">
        <v>359</v>
      </c>
      <c r="J12" s="500" t="s">
        <v>379</v>
      </c>
      <c r="K12" s="450"/>
      <c r="L12" s="450"/>
      <c r="M12" s="450"/>
      <c r="N12" s="450"/>
      <c r="O12" s="450"/>
    </row>
    <row r="13" spans="1:15">
      <c r="A13" s="518" t="s">
        <v>303</v>
      </c>
      <c r="B13" s="487"/>
      <c r="C13" s="487" t="s">
        <v>380</v>
      </c>
      <c r="D13" s="487" t="s">
        <v>360</v>
      </c>
      <c r="E13" s="487" t="s">
        <v>361</v>
      </c>
      <c r="F13" s="487" t="s">
        <v>362</v>
      </c>
      <c r="G13" s="487" t="s">
        <v>363</v>
      </c>
      <c r="H13" s="487" t="s">
        <v>364</v>
      </c>
      <c r="I13" s="488" t="s">
        <v>365</v>
      </c>
      <c r="J13" s="489" t="s">
        <v>366</v>
      </c>
      <c r="K13" s="489" t="s">
        <v>72</v>
      </c>
      <c r="L13" s="489" t="s">
        <v>73</v>
      </c>
      <c r="M13" s="489" t="s">
        <v>74</v>
      </c>
      <c r="N13" s="489" t="s">
        <v>75</v>
      </c>
      <c r="O13" s="489" t="s">
        <v>76</v>
      </c>
    </row>
    <row r="14" spans="1:15">
      <c r="A14" s="112" t="s">
        <v>373</v>
      </c>
      <c r="B14" s="490">
        <v>1</v>
      </c>
      <c r="C14" s="476">
        <f>INCOME!C34</f>
        <v>-712131.10238095233</v>
      </c>
      <c r="D14" s="506">
        <f>C14*B$8</f>
        <v>-10681966.535714285</v>
      </c>
      <c r="E14" s="507">
        <f>B$9*(1+B$7)^B14</f>
        <v>2400000</v>
      </c>
      <c r="F14" s="508">
        <f>IF(C14&lt;=0,1,E14/D14)</f>
        <v>1</v>
      </c>
      <c r="G14" s="509">
        <f>IF(D14&lt;0,0,IF(E14&gt;D14,D14,E14))</f>
        <v>0</v>
      </c>
      <c r="H14" s="510">
        <f>G14/B$9</f>
        <v>0</v>
      </c>
      <c r="I14" s="511" t="e">
        <f>IF(D14&lt;=0,NA(),IRR(J14:O14))</f>
        <v>#N/A</v>
      </c>
      <c r="J14" s="496">
        <f>-B$9</f>
        <v>-1500000</v>
      </c>
      <c r="K14" s="497">
        <f>G14</f>
        <v>0</v>
      </c>
      <c r="L14" s="497"/>
      <c r="M14" s="497"/>
      <c r="N14" s="497"/>
      <c r="O14" s="497"/>
    </row>
    <row r="15" spans="1:15">
      <c r="A15" s="112" t="s">
        <v>374</v>
      </c>
      <c r="B15" s="490">
        <v>2</v>
      </c>
      <c r="C15" s="476">
        <f>INCOME!D34</f>
        <v>-218064.28571428591</v>
      </c>
      <c r="D15" s="507">
        <f>C15*B$8</f>
        <v>-3270964.2857142887</v>
      </c>
      <c r="E15" s="507">
        <f>B$9*(1+B$7)^B15</f>
        <v>3840000.0000000009</v>
      </c>
      <c r="F15" s="508">
        <f>IF(C15&lt;=0,1,E15/D15)</f>
        <v>1</v>
      </c>
      <c r="G15" s="509">
        <f>IF(D15&lt;0,0,IF(E15&gt;D15,D15,E15))</f>
        <v>0</v>
      </c>
      <c r="H15" s="510">
        <f>G15/B$9</f>
        <v>0</v>
      </c>
      <c r="I15" s="511" t="e">
        <f>IF(D15&lt;=0,NA(),IRR(J15:O15))</f>
        <v>#N/A</v>
      </c>
      <c r="J15" s="496">
        <f>-B$9</f>
        <v>-1500000</v>
      </c>
      <c r="K15" s="497">
        <v>0</v>
      </c>
      <c r="L15" s="497">
        <f>G15</f>
        <v>0</v>
      </c>
      <c r="M15" s="497"/>
      <c r="N15" s="497"/>
      <c r="O15" s="497"/>
    </row>
    <row r="16" spans="1:15">
      <c r="A16" s="112" t="s">
        <v>375</v>
      </c>
      <c r="B16" s="490">
        <v>3</v>
      </c>
      <c r="C16" s="476">
        <f>INCOME!E34</f>
        <v>704514.7619047612</v>
      </c>
      <c r="D16" s="507">
        <f>C16*B$8</f>
        <v>10567721.428571418</v>
      </c>
      <c r="E16" s="507">
        <f>B$9*(1+B$7)^B16</f>
        <v>6144000.0000000019</v>
      </c>
      <c r="F16" s="508">
        <f>IF(C16&lt;=0,1,E16/D16)</f>
        <v>0.58139306959670389</v>
      </c>
      <c r="G16" s="509">
        <f>IF(D16&lt;0,0,IF(E16&gt;D16,D16,E16))</f>
        <v>6144000.0000000019</v>
      </c>
      <c r="H16" s="510">
        <f>G16/B$9</f>
        <v>4.096000000000001</v>
      </c>
      <c r="I16" s="511">
        <f>IF(D16&lt;=0,NA(),IRR(J16:O16))</f>
        <v>0.60000000000000009</v>
      </c>
      <c r="J16" s="496">
        <f>-B$9</f>
        <v>-1500000</v>
      </c>
      <c r="K16" s="497">
        <v>0</v>
      </c>
      <c r="L16" s="497">
        <v>0</v>
      </c>
      <c r="M16" s="497">
        <f>G16</f>
        <v>6144000.0000000019</v>
      </c>
      <c r="N16" s="497"/>
      <c r="O16" s="497"/>
    </row>
    <row r="17" spans="1:15">
      <c r="A17" s="112" t="s">
        <v>376</v>
      </c>
      <c r="B17" s="490">
        <v>4</v>
      </c>
      <c r="C17" s="476">
        <f>INCOME!F34</f>
        <v>1002740.8219047622</v>
      </c>
      <c r="D17" s="507">
        <f>C17*B$8</f>
        <v>15041112.328571433</v>
      </c>
      <c r="E17" s="507">
        <f>B$9*(1+B$7)^B17</f>
        <v>9830400.0000000037</v>
      </c>
      <c r="F17" s="508">
        <f>IF(C17&lt;=0,1,E17/D17)</f>
        <v>0.65356868463289175</v>
      </c>
      <c r="G17" s="509">
        <f>IF(D17&lt;0,0,IF(E17&gt;D17,D17,E17))</f>
        <v>9830400.0000000037</v>
      </c>
      <c r="H17" s="510">
        <f>G17/B$9</f>
        <v>6.5536000000000021</v>
      </c>
      <c r="I17" s="511">
        <f>IF(D17&lt;=0,NA(),IRR(J17:O17))</f>
        <v>0.60000000000000009</v>
      </c>
      <c r="J17" s="496">
        <f>-B$9</f>
        <v>-1500000</v>
      </c>
      <c r="K17" s="497">
        <v>0</v>
      </c>
      <c r="L17" s="497">
        <v>0</v>
      </c>
      <c r="M17" s="497">
        <v>0</v>
      </c>
      <c r="N17" s="497">
        <f>G17</f>
        <v>9830400.0000000037</v>
      </c>
      <c r="O17" s="497"/>
    </row>
    <row r="18" spans="1:15">
      <c r="A18" s="112" t="s">
        <v>377</v>
      </c>
      <c r="B18" s="490">
        <v>5</v>
      </c>
      <c r="C18" s="476">
        <f>INCOME!G34</f>
        <v>2252034.2857142859</v>
      </c>
      <c r="D18" s="507">
        <f>C18*B$8</f>
        <v>33780514.285714291</v>
      </c>
      <c r="E18" s="507">
        <f>B$9*(1+B$7)^B18</f>
        <v>15728640.000000009</v>
      </c>
      <c r="F18" s="508">
        <f>IF(C18&lt;=0,1,E18/D18)</f>
        <v>0.46561280467691452</v>
      </c>
      <c r="G18" s="509">
        <f>IF(D18&lt;0,0,IF(E18&gt;D18,D18,E18))</f>
        <v>15728640.000000009</v>
      </c>
      <c r="H18" s="510">
        <f>G18/B$9</f>
        <v>10.485760000000006</v>
      </c>
      <c r="I18" s="511">
        <f>IF(D18&lt;=0,NA(),IRR(J18:O18))</f>
        <v>0.60000000000000009</v>
      </c>
      <c r="J18" s="496">
        <f>-B$9</f>
        <v>-1500000</v>
      </c>
      <c r="K18" s="497">
        <v>0</v>
      </c>
      <c r="L18" s="497">
        <v>0</v>
      </c>
      <c r="M18" s="497">
        <v>0</v>
      </c>
      <c r="N18" s="497">
        <v>0</v>
      </c>
      <c r="O18" s="497">
        <f>G18</f>
        <v>15728640.000000009</v>
      </c>
    </row>
    <row r="19" spans="1:15">
      <c r="A19" s="498"/>
      <c r="B19" s="490"/>
      <c r="C19" s="483"/>
      <c r="D19" s="491"/>
      <c r="E19" s="491"/>
      <c r="F19" s="492"/>
      <c r="G19" s="493"/>
      <c r="H19" s="494"/>
      <c r="I19" s="495"/>
      <c r="J19" s="496"/>
      <c r="K19" s="497"/>
      <c r="L19" s="497"/>
      <c r="M19" s="497"/>
      <c r="N19" s="497"/>
      <c r="O19" s="497"/>
    </row>
    <row r="20" spans="1:15">
      <c r="A20" s="36"/>
      <c r="B20" s="450"/>
      <c r="C20" s="36"/>
      <c r="D20" s="36"/>
      <c r="E20" s="450"/>
      <c r="F20" s="36"/>
      <c r="G20" s="36"/>
      <c r="H20" s="36"/>
      <c r="I20" s="450"/>
      <c r="J20" s="36"/>
      <c r="K20" s="36"/>
      <c r="L20" s="36"/>
      <c r="M20" s="36"/>
      <c r="N20" s="36"/>
      <c r="O20" s="36"/>
    </row>
    <row r="21" spans="1:15" ht="13.5" thickBot="1">
      <c r="A21" s="36"/>
      <c r="B21" s="450"/>
      <c r="C21" s="36"/>
      <c r="D21" s="36"/>
      <c r="E21" s="512"/>
      <c r="F21" s="514" t="s">
        <v>382</v>
      </c>
      <c r="G21" s="513"/>
      <c r="H21" s="513"/>
      <c r="I21" s="512"/>
      <c r="J21" s="36"/>
      <c r="K21" s="36"/>
      <c r="L21" s="36"/>
      <c r="M21" s="36"/>
      <c r="N21" s="36"/>
      <c r="O21" s="36"/>
    </row>
    <row r="22" spans="1:15" ht="25.5">
      <c r="A22" s="36"/>
      <c r="B22" s="450"/>
      <c r="C22" s="36"/>
      <c r="D22" s="36"/>
      <c r="E22" s="499" t="s">
        <v>353</v>
      </c>
      <c r="F22" s="486" t="s">
        <v>356</v>
      </c>
      <c r="G22" s="486" t="s">
        <v>357</v>
      </c>
      <c r="H22" s="486" t="s">
        <v>358</v>
      </c>
      <c r="I22" s="486" t="s">
        <v>359</v>
      </c>
      <c r="J22" s="36"/>
      <c r="K22" s="36"/>
      <c r="L22" s="36"/>
      <c r="M22" s="36"/>
      <c r="N22" s="36"/>
      <c r="O22" s="36"/>
    </row>
    <row r="23" spans="1:15">
      <c r="A23" s="36"/>
      <c r="B23" s="450"/>
      <c r="C23" s="450"/>
      <c r="D23" s="149"/>
      <c r="E23" s="490">
        <v>1</v>
      </c>
      <c r="F23" s="468">
        <v>0.25</v>
      </c>
      <c r="G23" s="509">
        <f>IF(D14&lt;0,0,F23*D14)</f>
        <v>0</v>
      </c>
      <c r="H23" s="510">
        <f>G23/B$9</f>
        <v>0</v>
      </c>
      <c r="I23" s="511" t="e">
        <f>IF(G23=0,NA(),IRR(J23:O23))</f>
        <v>#N/A</v>
      </c>
      <c r="J23" s="496">
        <f>-B$9</f>
        <v>-1500000</v>
      </c>
      <c r="K23" s="497">
        <f>G23</f>
        <v>0</v>
      </c>
      <c r="L23" s="497"/>
      <c r="M23" s="497"/>
      <c r="N23" s="497"/>
      <c r="O23" s="497"/>
    </row>
    <row r="24" spans="1:15">
      <c r="A24" s="36"/>
      <c r="B24" s="450"/>
      <c r="C24" s="450"/>
      <c r="D24" s="149"/>
      <c r="E24" s="490">
        <v>2</v>
      </c>
      <c r="F24" s="468">
        <v>0.25</v>
      </c>
      <c r="G24" s="509">
        <f>IF(D15&lt;0,0,F24*D15)</f>
        <v>0</v>
      </c>
      <c r="H24" s="510">
        <f>G24/B$9</f>
        <v>0</v>
      </c>
      <c r="I24" s="511" t="e">
        <f>IF(G24=0,NA(),IRR(J24:O24))</f>
        <v>#N/A</v>
      </c>
      <c r="J24" s="496">
        <f>-B$9</f>
        <v>-1500000</v>
      </c>
      <c r="K24" s="497">
        <v>0</v>
      </c>
      <c r="L24" s="497">
        <f>G24</f>
        <v>0</v>
      </c>
      <c r="M24" s="497"/>
      <c r="N24" s="497"/>
      <c r="O24" s="497"/>
    </row>
    <row r="25" spans="1:15">
      <c r="A25" s="36"/>
      <c r="B25" s="450"/>
      <c r="C25" s="450"/>
      <c r="D25" s="149"/>
      <c r="E25" s="490">
        <v>3</v>
      </c>
      <c r="F25" s="468">
        <v>0.25</v>
      </c>
      <c r="G25" s="509">
        <f>IF(D16&lt;0,0,F25*D16)</f>
        <v>2641930.3571428545</v>
      </c>
      <c r="H25" s="510">
        <f>G25/B$9</f>
        <v>1.7612869047619031</v>
      </c>
      <c r="I25" s="511">
        <f>IF(G25=0,NA(),IRR(J25:O25))</f>
        <v>0.20765634841058667</v>
      </c>
      <c r="J25" s="496">
        <f>-B$9</f>
        <v>-1500000</v>
      </c>
      <c r="K25" s="497">
        <v>0</v>
      </c>
      <c r="L25" s="497">
        <v>0</v>
      </c>
      <c r="M25" s="497">
        <f>G25</f>
        <v>2641930.3571428545</v>
      </c>
      <c r="N25" s="497"/>
      <c r="O25" s="497"/>
    </row>
    <row r="26" spans="1:15">
      <c r="A26" s="36"/>
      <c r="B26" s="450"/>
      <c r="C26" s="450"/>
      <c r="D26" s="149"/>
      <c r="E26" s="490">
        <v>4</v>
      </c>
      <c r="F26" s="468">
        <v>0.25</v>
      </c>
      <c r="G26" s="509">
        <f>IF(D17&lt;0,0,F26*D17)</f>
        <v>3760278.0821428583</v>
      </c>
      <c r="H26" s="510">
        <f>G26/B$9</f>
        <v>2.5068520547619055</v>
      </c>
      <c r="I26" s="511">
        <f>IF(G26=0,NA(),IRR(J26:O26))</f>
        <v>0.2582941458082435</v>
      </c>
      <c r="J26" s="496">
        <f>-B$9</f>
        <v>-1500000</v>
      </c>
      <c r="K26" s="497">
        <v>0</v>
      </c>
      <c r="L26" s="497">
        <v>0</v>
      </c>
      <c r="M26" s="497">
        <v>0</v>
      </c>
      <c r="N26" s="497">
        <f>G26</f>
        <v>3760278.0821428583</v>
      </c>
      <c r="O26" s="497"/>
    </row>
    <row r="27" spans="1:15">
      <c r="A27" s="36"/>
      <c r="B27" s="450"/>
      <c r="C27" s="36"/>
      <c r="D27" s="36"/>
      <c r="E27" s="490">
        <v>5</v>
      </c>
      <c r="F27" s="468">
        <v>0.4</v>
      </c>
      <c r="G27" s="509">
        <f>IF(D18&lt;0,0,F27*D18)</f>
        <v>13512205.714285716</v>
      </c>
      <c r="H27" s="510">
        <f>G27/B$9</f>
        <v>9.0081371428571444</v>
      </c>
      <c r="I27" s="511">
        <f>IF(G27=0,NA(),IRR(J27:O27))</f>
        <v>0.5521260855781418</v>
      </c>
      <c r="J27" s="496">
        <f>-B$9</f>
        <v>-1500000</v>
      </c>
      <c r="K27" s="497">
        <v>0</v>
      </c>
      <c r="L27" s="497">
        <v>0</v>
      </c>
      <c r="M27" s="497">
        <v>0</v>
      </c>
      <c r="N27" s="497">
        <v>0</v>
      </c>
      <c r="O27" s="497">
        <f>G27</f>
        <v>13512205.714285716</v>
      </c>
    </row>
    <row r="28" spans="1:15" ht="15.75">
      <c r="A28" s="475"/>
      <c r="B28" s="452"/>
      <c r="E28" s="452"/>
    </row>
    <row r="29" spans="1:15" ht="15.75">
      <c r="A29" s="475"/>
      <c r="B29" s="452"/>
      <c r="E29" s="452"/>
    </row>
    <row r="30" spans="1:15" ht="15.75">
      <c r="A30" s="475"/>
      <c r="B30" s="452"/>
      <c r="E30" s="452"/>
    </row>
  </sheetData>
  <phoneticPr fontId="0" type="noConversion"/>
  <pageMargins left="0.75" right="0.75" top="1" bottom="1" header="0.5" footer="0.5"/>
  <pageSetup scale="58" orientation="landscape" r:id="rId1"/>
  <headerFooter alignWithMargins="0">
    <oddHeader>&amp;R&amp;D
&amp;T</oddHeader>
  </headerFooter>
  <rowBreaks count="1" manualBreakCount="1">
    <brk id="30" max="16383" man="1"/>
  </rowBreaks>
  <colBreaks count="2" manualBreakCount="2">
    <brk id="9" max="1048575" man="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7"/>
  <sheetViews>
    <sheetView zoomScale="75" zoomScaleNormal="75" workbookViewId="0">
      <selection activeCell="B1" sqref="B1"/>
    </sheetView>
  </sheetViews>
  <sheetFormatPr defaultRowHeight="12.75"/>
  <cols>
    <col min="1" max="1" width="34.140625" customWidth="1"/>
    <col min="2" max="2" width="18.140625" customWidth="1"/>
    <col min="3" max="3" width="14.7109375" customWidth="1"/>
    <col min="4" max="4" width="12.42578125" customWidth="1"/>
    <col min="6" max="6" width="11.7109375" customWidth="1"/>
  </cols>
  <sheetData>
    <row r="1" spans="1:7" ht="20.25">
      <c r="A1" s="576" t="str">
        <f>COMPS!A1</f>
        <v>XYZ Company</v>
      </c>
      <c r="G1" s="609" t="s">
        <v>453</v>
      </c>
    </row>
    <row r="2" spans="1:7" ht="15.75">
      <c r="A2" s="247" t="s">
        <v>346</v>
      </c>
    </row>
    <row r="3" spans="1:7" ht="15.75">
      <c r="A3" s="475" t="s">
        <v>347</v>
      </c>
    </row>
    <row r="4" spans="1:7" ht="15.75">
      <c r="A4" s="247" t="s">
        <v>71</v>
      </c>
    </row>
    <row r="5" spans="1:7" ht="15.75">
      <c r="A5" s="247" t="s">
        <v>348</v>
      </c>
    </row>
    <row r="6" spans="1:7">
      <c r="B6" s="450"/>
      <c r="C6" s="36"/>
      <c r="D6" s="36"/>
      <c r="E6" s="453"/>
      <c r="F6" s="453"/>
    </row>
    <row r="7" spans="1:7">
      <c r="B7" s="452"/>
    </row>
    <row r="8" spans="1:7">
      <c r="A8" s="501" t="s">
        <v>301</v>
      </c>
      <c r="B8" s="452"/>
      <c r="E8" s="454" t="s">
        <v>302</v>
      </c>
      <c r="F8" s="454" t="s">
        <v>303</v>
      </c>
    </row>
    <row r="9" spans="1:7">
      <c r="A9" s="472" t="s">
        <v>304</v>
      </c>
      <c r="B9" s="455">
        <v>60</v>
      </c>
      <c r="E9" s="456" t="s">
        <v>305</v>
      </c>
      <c r="F9" s="452"/>
    </row>
    <row r="10" spans="1:7">
      <c r="A10" s="472" t="s">
        <v>306</v>
      </c>
      <c r="B10" s="504">
        <f>INCOME!G34</f>
        <v>2252034.2857142859</v>
      </c>
      <c r="E10" s="456" t="s">
        <v>307</v>
      </c>
      <c r="F10" s="452"/>
    </row>
    <row r="11" spans="1:7">
      <c r="A11" s="472" t="s">
        <v>308</v>
      </c>
      <c r="B11" s="455">
        <v>15</v>
      </c>
      <c r="E11" s="456" t="s">
        <v>309</v>
      </c>
      <c r="F11" s="452"/>
    </row>
    <row r="12" spans="1:7">
      <c r="A12" s="469"/>
      <c r="B12" s="457"/>
      <c r="C12" s="456"/>
      <c r="E12" s="452"/>
      <c r="F12" s="452"/>
    </row>
    <row r="13" spans="1:7">
      <c r="A13" s="502" t="s">
        <v>310</v>
      </c>
      <c r="B13" s="458" t="s">
        <v>311</v>
      </c>
      <c r="C13" s="459" t="s">
        <v>312</v>
      </c>
      <c r="D13" s="460" t="s">
        <v>313</v>
      </c>
      <c r="E13" s="452"/>
      <c r="F13" s="452"/>
    </row>
    <row r="14" spans="1:7">
      <c r="A14" s="471" t="s">
        <v>314</v>
      </c>
      <c r="B14" s="455">
        <v>0</v>
      </c>
      <c r="C14" s="455">
        <v>24</v>
      </c>
      <c r="D14" s="455"/>
      <c r="E14" s="461" t="s">
        <v>309</v>
      </c>
      <c r="F14" s="461"/>
    </row>
    <row r="15" spans="1:7">
      <c r="A15" s="472" t="s">
        <v>315</v>
      </c>
      <c r="B15" s="462">
        <v>0.6</v>
      </c>
      <c r="C15" s="462">
        <v>0.5</v>
      </c>
      <c r="D15" s="462"/>
      <c r="E15" s="456" t="s">
        <v>316</v>
      </c>
      <c r="F15" s="452"/>
    </row>
    <row r="16" spans="1:7">
      <c r="A16" s="473" t="s">
        <v>317</v>
      </c>
      <c r="B16" s="463">
        <v>1500000</v>
      </c>
      <c r="C16" s="463">
        <v>500000</v>
      </c>
      <c r="D16" s="463"/>
      <c r="E16" s="456" t="s">
        <v>318</v>
      </c>
      <c r="F16" s="464"/>
    </row>
    <row r="17" spans="1:6">
      <c r="A17" s="471" t="s">
        <v>319</v>
      </c>
      <c r="B17" s="519">
        <f>B15/12</f>
        <v>4.9999999999999996E-2</v>
      </c>
      <c r="C17" s="519">
        <f>C15/12</f>
        <v>4.1666666666666664E-2</v>
      </c>
      <c r="D17" s="519">
        <f>D15/12</f>
        <v>0</v>
      </c>
      <c r="E17" s="461" t="s">
        <v>320</v>
      </c>
      <c r="F17" s="461" t="s">
        <v>321</v>
      </c>
    </row>
    <row r="18" spans="1:6">
      <c r="A18" s="471" t="s">
        <v>322</v>
      </c>
      <c r="B18" s="520">
        <f>$B$9-B14</f>
        <v>60</v>
      </c>
      <c r="C18" s="520">
        <f>$B$9-C14</f>
        <v>36</v>
      </c>
      <c r="D18" s="520">
        <f>$B$9-D14</f>
        <v>60</v>
      </c>
      <c r="E18" s="461" t="s">
        <v>323</v>
      </c>
      <c r="F18" s="461" t="s">
        <v>324</v>
      </c>
    </row>
    <row r="19" spans="1:6">
      <c r="A19" s="465"/>
      <c r="B19" s="466"/>
      <c r="C19" s="50"/>
      <c r="D19" s="50"/>
      <c r="E19" s="461"/>
      <c r="F19" s="461"/>
    </row>
    <row r="20" spans="1:6" ht="13.5" thickBot="1">
      <c r="A20" s="501" t="s">
        <v>325</v>
      </c>
      <c r="B20" s="466"/>
      <c r="C20" s="50"/>
      <c r="D20" s="50"/>
      <c r="E20" s="461"/>
      <c r="F20" s="461"/>
    </row>
    <row r="21" spans="1:6" ht="13.5" thickBot="1">
      <c r="A21" s="503" t="s">
        <v>326</v>
      </c>
      <c r="B21" s="525">
        <f>B11*B10</f>
        <v>33780514.285714291</v>
      </c>
      <c r="C21" s="50"/>
      <c r="D21" s="50"/>
      <c r="E21" s="461" t="s">
        <v>327</v>
      </c>
      <c r="F21" s="461" t="s">
        <v>328</v>
      </c>
    </row>
    <row r="22" spans="1:6">
      <c r="A22" s="503"/>
      <c r="B22" s="466"/>
      <c r="C22" s="50"/>
      <c r="D22" s="50"/>
      <c r="E22" s="461"/>
      <c r="F22" s="461"/>
    </row>
    <row r="23" spans="1:6">
      <c r="A23" s="503"/>
      <c r="B23" s="458" t="s">
        <v>311</v>
      </c>
      <c r="C23" s="459" t="s">
        <v>312</v>
      </c>
      <c r="D23" s="460" t="s">
        <v>313</v>
      </c>
      <c r="E23" s="461"/>
      <c r="F23" s="461"/>
    </row>
    <row r="24" spans="1:6">
      <c r="A24" s="503" t="s">
        <v>329</v>
      </c>
      <c r="B24" s="521">
        <f>B16*(1+B15)^(B18/12)</f>
        <v>15728640.000000009</v>
      </c>
      <c r="C24" s="521">
        <f>C16*(1+C15)^(C18/12)</f>
        <v>1687500</v>
      </c>
      <c r="D24" s="521">
        <f>D16*(1+D15)^(D18/12)</f>
        <v>0</v>
      </c>
      <c r="E24" s="461" t="s">
        <v>330</v>
      </c>
      <c r="F24" s="461" t="s">
        <v>331</v>
      </c>
    </row>
    <row r="25" spans="1:6">
      <c r="A25" s="503" t="s">
        <v>332</v>
      </c>
      <c r="B25" s="522">
        <f>B24/$B$21</f>
        <v>0.46561280467691452</v>
      </c>
      <c r="C25" s="522">
        <f>C24/$B$21</f>
        <v>4.9954834486153461E-2</v>
      </c>
      <c r="D25" s="522">
        <f>D24/$B$21</f>
        <v>0</v>
      </c>
      <c r="E25" s="461" t="s">
        <v>333</v>
      </c>
      <c r="F25" s="461" t="s">
        <v>334</v>
      </c>
    </row>
    <row r="26" spans="1:6">
      <c r="A26" s="503" t="s">
        <v>335</v>
      </c>
      <c r="B26" s="523">
        <f>B24/B16</f>
        <v>10.485760000000006</v>
      </c>
      <c r="C26" s="523">
        <f>C24/C16</f>
        <v>3.375</v>
      </c>
      <c r="D26" s="523" t="e">
        <f>D24/D16</f>
        <v>#DIV/0!</v>
      </c>
      <c r="E26" s="461" t="s">
        <v>336</v>
      </c>
      <c r="F26" s="461" t="s">
        <v>337</v>
      </c>
    </row>
    <row r="27" spans="1:6">
      <c r="A27" s="503" t="s">
        <v>338</v>
      </c>
      <c r="B27" s="523">
        <f>(B24/B16)^(12/B18)-1</f>
        <v>0.60000000000000031</v>
      </c>
      <c r="C27" s="523">
        <f>(C24/C16)^(12/C18)-1</f>
        <v>0.5</v>
      </c>
      <c r="D27" s="523" t="e">
        <f>(D24/D16)^(12/D18)-1</f>
        <v>#DIV/0!</v>
      </c>
      <c r="E27" s="461" t="s">
        <v>339</v>
      </c>
      <c r="F27" s="461" t="s">
        <v>340</v>
      </c>
    </row>
    <row r="28" spans="1:6">
      <c r="A28" s="470"/>
      <c r="B28" s="466"/>
      <c r="C28" s="50"/>
      <c r="D28" s="50"/>
      <c r="E28" s="461"/>
      <c r="F28" s="461"/>
    </row>
    <row r="29" spans="1:6">
      <c r="A29" s="474" t="s">
        <v>371</v>
      </c>
      <c r="B29" s="524">
        <f>B25</f>
        <v>0.46561280467691452</v>
      </c>
      <c r="C29" s="524">
        <f>SUM(B25:C25)</f>
        <v>0.51556763916306803</v>
      </c>
      <c r="D29" s="524">
        <f>SUM(B25:D25)</f>
        <v>0.51556763916306803</v>
      </c>
      <c r="E29" s="461" t="s">
        <v>341</v>
      </c>
      <c r="F29" s="461" t="s">
        <v>342</v>
      </c>
    </row>
    <row r="30" spans="1:6">
      <c r="A30" s="474" t="s">
        <v>372</v>
      </c>
      <c r="B30" s="524">
        <f>1-B29</f>
        <v>0.53438719532308543</v>
      </c>
      <c r="C30" s="524">
        <f>1-C29</f>
        <v>0.48443236083693197</v>
      </c>
      <c r="D30" s="524">
        <f>1-D29</f>
        <v>0.48443236083693197</v>
      </c>
      <c r="E30" s="461" t="s">
        <v>343</v>
      </c>
      <c r="F30" s="461" t="s">
        <v>344</v>
      </c>
    </row>
    <row r="31" spans="1:6">
      <c r="A31" s="465"/>
      <c r="B31" s="466"/>
      <c r="C31" s="50"/>
      <c r="D31" s="50"/>
      <c r="E31" s="461"/>
      <c r="F31" s="467"/>
    </row>
    <row r="32" spans="1:6">
      <c r="B32" s="466"/>
      <c r="C32" s="50"/>
      <c r="D32" s="50"/>
      <c r="E32" s="461"/>
      <c r="F32" s="461"/>
    </row>
    <row r="33" spans="1:6">
      <c r="A33" s="501" t="s">
        <v>370</v>
      </c>
      <c r="B33" s="458" t="s">
        <v>311</v>
      </c>
      <c r="C33" s="459" t="s">
        <v>312</v>
      </c>
      <c r="D33" s="460" t="s">
        <v>313</v>
      </c>
      <c r="E33" s="461"/>
      <c r="F33" s="461"/>
    </row>
    <row r="34" spans="1:6">
      <c r="A34" s="503" t="s">
        <v>332</v>
      </c>
      <c r="B34" s="468">
        <v>0.15</v>
      </c>
      <c r="C34" s="468">
        <v>0.05</v>
      </c>
      <c r="D34" s="468">
        <v>0.03</v>
      </c>
      <c r="E34" s="461"/>
      <c r="F34" s="461"/>
    </row>
    <row r="35" spans="1:6">
      <c r="A35" s="503" t="s">
        <v>345</v>
      </c>
      <c r="B35" s="521">
        <f>B34*$B$21</f>
        <v>5067077.1428571437</v>
      </c>
      <c r="C35" s="521">
        <f>C34*$B$21</f>
        <v>1689025.7142857146</v>
      </c>
      <c r="D35" s="521">
        <f>D34*$B$21</f>
        <v>1013415.4285714286</v>
      </c>
      <c r="E35" s="461"/>
      <c r="F35" s="461"/>
    </row>
    <row r="36" spans="1:6">
      <c r="A36" s="503" t="s">
        <v>335</v>
      </c>
      <c r="B36" s="523">
        <f>B35/B16</f>
        <v>3.3780514285714291</v>
      </c>
      <c r="C36" s="523">
        <f>C35/C16</f>
        <v>3.3780514285714291</v>
      </c>
      <c r="D36" s="523" t="e">
        <f>D35/D16</f>
        <v>#DIV/0!</v>
      </c>
      <c r="E36" s="461"/>
      <c r="F36" s="461"/>
    </row>
    <row r="37" spans="1:6">
      <c r="A37" s="503" t="s">
        <v>338</v>
      </c>
      <c r="B37" s="523">
        <f>(B35/B16)^(12/B18)-1</f>
        <v>0.27565504640524319</v>
      </c>
      <c r="C37" s="523">
        <f>(C35/C16)^(12/C18)-1</f>
        <v>0.50045192731952115</v>
      </c>
      <c r="D37" s="523" t="e">
        <f>(D35/D16)^(12/D18)-1</f>
        <v>#DIV/0!</v>
      </c>
      <c r="E37" s="461"/>
      <c r="F37" s="461"/>
    </row>
  </sheetData>
  <phoneticPr fontId="0" type="noConversion"/>
  <pageMargins left="0.75" right="0.75" top="1" bottom="1" header="0.5" footer="0.5"/>
  <pageSetup scale="90" orientation="portrait" r:id="rId1"/>
  <headerFooter alignWithMargins="0">
    <oddHeader>&amp;R&amp;D
&amp;T</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7"/>
  <sheetViews>
    <sheetView zoomScale="75" zoomScaleNormal="100" workbookViewId="0">
      <selection activeCell="B1" sqref="B1"/>
    </sheetView>
  </sheetViews>
  <sheetFormatPr defaultRowHeight="12.75"/>
  <cols>
    <col min="1" max="1" width="31.85546875" customWidth="1"/>
    <col min="2" max="3" width="12" customWidth="1"/>
    <col min="4" max="4" width="12.5703125" customWidth="1"/>
    <col min="5" max="5" width="12.85546875" customWidth="1"/>
    <col min="6" max="6" width="13.7109375" customWidth="1"/>
  </cols>
  <sheetData>
    <row r="1" spans="1:10" ht="20.25">
      <c r="A1" s="517" t="s">
        <v>383</v>
      </c>
      <c r="G1" s="609" t="s">
        <v>453</v>
      </c>
    </row>
    <row r="2" spans="1:10" ht="15.75">
      <c r="A2" s="247" t="s">
        <v>241</v>
      </c>
    </row>
    <row r="5" spans="1:10">
      <c r="E5" s="72" t="s">
        <v>243</v>
      </c>
      <c r="F5" s="339"/>
    </row>
    <row r="6" spans="1:10">
      <c r="B6" s="339" t="s">
        <v>239</v>
      </c>
      <c r="C6" s="339" t="s">
        <v>240</v>
      </c>
      <c r="D6" s="339" t="s">
        <v>242</v>
      </c>
      <c r="E6" s="339" t="s">
        <v>169</v>
      </c>
      <c r="F6" s="615" t="s">
        <v>244</v>
      </c>
      <c r="G6" s="615"/>
      <c r="H6" s="615"/>
      <c r="I6" s="615"/>
      <c r="J6" s="615"/>
    </row>
    <row r="7" spans="1:10" ht="15.75">
      <c r="A7" s="113" t="s">
        <v>156</v>
      </c>
      <c r="F7" s="556" t="s">
        <v>72</v>
      </c>
      <c r="G7" s="556" t="s">
        <v>73</v>
      </c>
      <c r="H7" s="556" t="s">
        <v>74</v>
      </c>
      <c r="I7" s="556" t="s">
        <v>75</v>
      </c>
      <c r="J7" s="556" t="s">
        <v>76</v>
      </c>
    </row>
    <row r="8" spans="1:10">
      <c r="A8" s="112" t="s">
        <v>215</v>
      </c>
      <c r="B8" s="582">
        <v>0.1</v>
      </c>
      <c r="C8" s="582"/>
      <c r="D8" s="582"/>
      <c r="E8" s="582">
        <v>0.1</v>
      </c>
      <c r="F8" s="553">
        <f>WORKCAP!C10</f>
        <v>8.3000000000000004E-2</v>
      </c>
      <c r="G8" s="553">
        <f>WORKCAP!D10</f>
        <v>8.3000000000000004E-2</v>
      </c>
      <c r="H8" s="553">
        <f>WORKCAP!E10</f>
        <v>8.3000000000000004E-2</v>
      </c>
      <c r="I8" s="553">
        <f>WORKCAP!F10</f>
        <v>8.3000000000000004E-2</v>
      </c>
      <c r="J8" s="553">
        <f>WORKCAP!G10</f>
        <v>8.3000000000000004E-2</v>
      </c>
    </row>
    <row r="9" spans="1:10">
      <c r="A9" s="112" t="s">
        <v>222</v>
      </c>
      <c r="B9" s="582">
        <v>0.15</v>
      </c>
      <c r="C9" s="582"/>
      <c r="D9" s="582"/>
      <c r="E9" s="582">
        <v>0.15</v>
      </c>
      <c r="F9" s="553">
        <f>WORKCAP!C16</f>
        <v>8.3000000000000004E-2</v>
      </c>
      <c r="G9" s="553">
        <f>WORKCAP!D16</f>
        <v>8.3000000000000004E-2</v>
      </c>
      <c r="H9" s="553">
        <f>WORKCAP!E16</f>
        <v>6.7000000000000004E-2</v>
      </c>
      <c r="I9" s="553">
        <f>WORKCAP!F16</f>
        <v>6.7000000000000004E-2</v>
      </c>
      <c r="J9" s="553">
        <f>WORKCAP!G16</f>
        <v>6.7000000000000004E-2</v>
      </c>
    </row>
    <row r="10" spans="1:10">
      <c r="A10" s="112" t="s">
        <v>223</v>
      </c>
      <c r="B10" s="582">
        <v>0.08</v>
      </c>
      <c r="C10" s="582"/>
      <c r="D10" s="582"/>
      <c r="E10" s="582">
        <v>0.08</v>
      </c>
      <c r="F10" s="553">
        <f>WORKCAP!C29</f>
        <v>8.6999999999999994E-2</v>
      </c>
      <c r="G10" s="553">
        <f>WORKCAP!D29</f>
        <v>8.6999999999999994E-2</v>
      </c>
      <c r="H10" s="553">
        <f>WORKCAP!E29</f>
        <v>8.6999999999999994E-2</v>
      </c>
      <c r="I10" s="553">
        <f>WORKCAP!F29</f>
        <v>8.6999999999999994E-2</v>
      </c>
      <c r="J10" s="553">
        <f>WORKCAP!G29</f>
        <v>8.6999999999999994E-2</v>
      </c>
    </row>
    <row r="11" spans="1:10">
      <c r="A11" s="112" t="s">
        <v>224</v>
      </c>
      <c r="B11" s="582">
        <v>0.16</v>
      </c>
      <c r="C11" s="582"/>
      <c r="D11" s="582"/>
      <c r="E11" s="582">
        <v>0.16</v>
      </c>
      <c r="F11" s="553">
        <f>WORKCAP!C10+WORKCAP!C16+WORKCAP!C23-WORKCAP!C29-WORKCAP!C35</f>
        <v>7.9000000000000029E-2</v>
      </c>
      <c r="G11" s="553">
        <f>WORKCAP!D10+WORKCAP!D16+WORKCAP!D23-WORKCAP!D29-WORKCAP!D35</f>
        <v>7.9000000000000029E-2</v>
      </c>
      <c r="H11" s="553">
        <f>WORKCAP!E10+WORKCAP!E16+WORKCAP!E23-WORKCAP!E29-WORKCAP!E35</f>
        <v>6.3000000000000042E-2</v>
      </c>
      <c r="I11" s="553">
        <f>WORKCAP!F10+WORKCAP!F16+WORKCAP!F23-WORKCAP!F29-WORKCAP!F35</f>
        <v>6.3000000000000042E-2</v>
      </c>
      <c r="J11" s="553">
        <f>WORKCAP!G10+WORKCAP!G16+WORKCAP!G23-WORKCAP!G29-WORKCAP!G35</f>
        <v>6.3000000000000042E-2</v>
      </c>
    </row>
    <row r="12" spans="1:10">
      <c r="A12" s="112" t="s">
        <v>225</v>
      </c>
      <c r="B12" s="582">
        <v>0.09</v>
      </c>
      <c r="C12" s="582"/>
      <c r="D12" s="582"/>
      <c r="E12" s="582">
        <v>0.09</v>
      </c>
      <c r="F12" s="553">
        <f>'PROP &amp; EQUIP'!C54</f>
        <v>0.23661904761904765</v>
      </c>
      <c r="G12" s="553">
        <f>'PROP &amp; EQUIP'!D54</f>
        <v>0.11521995464852608</v>
      </c>
      <c r="H12" s="553">
        <f>'PROP &amp; EQUIP'!E54</f>
        <v>9.3416361416361421E-2</v>
      </c>
      <c r="I12" s="553">
        <f>'PROP &amp; EQUIP'!F54</f>
        <v>7.3057875457875454E-2</v>
      </c>
      <c r="J12" s="553">
        <f>'PROP &amp; EQUIP'!G54</f>
        <v>5.4899267399267399E-2</v>
      </c>
    </row>
    <row r="13" spans="1:10">
      <c r="A13" s="112" t="s">
        <v>404</v>
      </c>
      <c r="B13" s="340">
        <v>2.2999999999999998</v>
      </c>
      <c r="C13" s="340"/>
      <c r="D13" s="340"/>
      <c r="E13" s="340">
        <v>2.2999999999999998</v>
      </c>
      <c r="F13" s="554">
        <f>BALANCE!C13/BALANCE!C23</f>
        <v>4.1732088993783103</v>
      </c>
      <c r="G13" s="554">
        <f>BALANCE!D13/BALANCE!D23</f>
        <v>2.0378964263428214</v>
      </c>
      <c r="H13" s="554">
        <f>BALANCE!E13/BALANCE!E23</f>
        <v>1.9970092973436153</v>
      </c>
      <c r="I13" s="554">
        <f>BALANCE!F13/BALANCE!F23</f>
        <v>1.8760987369181641</v>
      </c>
      <c r="J13" s="554">
        <f>BALANCE!G13/BALANCE!G23</f>
        <v>2.1397358080672966</v>
      </c>
    </row>
    <row r="14" spans="1:10">
      <c r="A14" s="112" t="s">
        <v>405</v>
      </c>
      <c r="B14" s="340">
        <v>1.2</v>
      </c>
      <c r="C14" s="340"/>
      <c r="D14" s="340"/>
      <c r="E14" s="340">
        <v>1.2</v>
      </c>
      <c r="F14" s="555">
        <f>(BALANCE!C22+BALANCE!C25)/(BALANCE!C22+BALANCE!C25+BALANCE!C31)</f>
        <v>0</v>
      </c>
      <c r="G14" s="555">
        <f>(BALANCE!D22+BALANCE!D25)/(BALANCE!D22+BALANCE!D25+BALANCE!D31)</f>
        <v>0.31851097659428612</v>
      </c>
      <c r="H14" s="555">
        <f>(BALANCE!E22+BALANCE!E25)/(BALANCE!E22+BALANCE!E25+BALANCE!E31)</f>
        <v>0.18396561462779903</v>
      </c>
      <c r="I14" s="555">
        <f>(BALANCE!F22+BALANCE!F25)/(BALANCE!F22+BALANCE!F25+BALANCE!F31)</f>
        <v>9.7495655241921678E-2</v>
      </c>
      <c r="J14" s="555">
        <f>(BALANCE!G22+BALANCE!G25)/(BALANCE!G22+BALANCE!G25+BALANCE!G31)</f>
        <v>3.8616789231625134E-2</v>
      </c>
    </row>
    <row r="15" spans="1:10">
      <c r="A15" s="36"/>
      <c r="G15" s="50"/>
      <c r="H15" s="50"/>
      <c r="I15" s="50"/>
      <c r="J15" s="50"/>
    </row>
    <row r="16" spans="1:10">
      <c r="A16" s="113" t="s">
        <v>157</v>
      </c>
      <c r="G16" s="50"/>
      <c r="H16" s="50"/>
      <c r="I16" s="50"/>
      <c r="J16" s="50"/>
    </row>
    <row r="17" spans="1:10">
      <c r="A17" s="112" t="s">
        <v>216</v>
      </c>
      <c r="B17" s="582">
        <v>0.3</v>
      </c>
      <c r="C17" s="582"/>
      <c r="D17" s="582"/>
      <c r="E17" s="582">
        <v>0.3</v>
      </c>
      <c r="F17" s="553">
        <f>INCOME!C13</f>
        <v>-0.11746428571428569</v>
      </c>
      <c r="G17" s="553">
        <f>INCOME!D13</f>
        <v>0.32720680272108837</v>
      </c>
      <c r="H17" s="553">
        <f>INCOME!E13</f>
        <v>0.41544322344322338</v>
      </c>
      <c r="I17" s="553">
        <f>INCOME!F13</f>
        <v>0.42527472527472526</v>
      </c>
      <c r="J17" s="553">
        <f>INCOME!G13</f>
        <v>0.46026373626373629</v>
      </c>
    </row>
    <row r="18" spans="1:10">
      <c r="A18" s="112" t="s">
        <v>426</v>
      </c>
      <c r="B18" s="582">
        <v>0.3</v>
      </c>
      <c r="C18" s="582"/>
      <c r="D18" s="582"/>
      <c r="E18" s="582"/>
      <c r="F18" s="553">
        <f>'OPER EXP'!C17</f>
        <v>0.22900000000000001</v>
      </c>
      <c r="G18" s="553">
        <f>'OPER EXP'!D17</f>
        <v>0.19004761904761905</v>
      </c>
      <c r="H18" s="553">
        <f>'OPER EXP'!E17</f>
        <v>0.18516923076923078</v>
      </c>
      <c r="I18" s="553">
        <f>'OPER EXP'!F17</f>
        <v>0.17916923076923078</v>
      </c>
      <c r="J18" s="553">
        <f>'OPER EXP'!G17</f>
        <v>0.17984615384615385</v>
      </c>
    </row>
    <row r="19" spans="1:10">
      <c r="A19" s="112" t="s">
        <v>425</v>
      </c>
      <c r="B19" s="582">
        <v>0.3</v>
      </c>
      <c r="C19" s="582"/>
      <c r="D19" s="582"/>
      <c r="E19" s="582"/>
      <c r="F19" s="553">
        <f>'OPER EXP'!C26</f>
        <v>0.14899999999999999</v>
      </c>
      <c r="G19" s="553">
        <f>'OPER EXP'!D26</f>
        <v>7.8666666666666663E-2</v>
      </c>
      <c r="H19" s="553">
        <f>'OPER EXP'!E26</f>
        <v>7.2056410256410255E-2</v>
      </c>
      <c r="I19" s="553">
        <f>'OPER EXP'!F26</f>
        <v>7.6399999999999996E-2</v>
      </c>
      <c r="J19" s="553">
        <f>'OPER EXP'!G26</f>
        <v>6.738461538461539E-2</v>
      </c>
    </row>
    <row r="20" spans="1:10">
      <c r="A20" s="112" t="s">
        <v>427</v>
      </c>
      <c r="B20" s="582">
        <v>0.3</v>
      </c>
      <c r="C20" s="582"/>
      <c r="D20" s="582"/>
      <c r="E20" s="582"/>
      <c r="F20" s="553">
        <f>'OPER EXP'!C39</f>
        <v>0.17166681666666664</v>
      </c>
      <c r="G20" s="553">
        <f>'OPER EXP'!D39</f>
        <v>8.8599999999999998E-2</v>
      </c>
      <c r="H20" s="553">
        <f>'OPER EXP'!E39</f>
        <v>8.1036581196581206E-2</v>
      </c>
      <c r="I20" s="553">
        <f>'OPER EXP'!F39</f>
        <v>7.3349743589743582E-2</v>
      </c>
      <c r="J20" s="553">
        <f>'OPER EXP'!G39</f>
        <v>6.8133333333333337E-2</v>
      </c>
    </row>
    <row r="21" spans="1:10">
      <c r="A21" s="112" t="s">
        <v>217</v>
      </c>
      <c r="B21" s="582">
        <v>0.4</v>
      </c>
      <c r="C21" s="582"/>
      <c r="D21" s="582"/>
      <c r="E21" s="582">
        <v>0.17</v>
      </c>
      <c r="F21" s="553">
        <f>'OPER EXP'!C42</f>
        <v>0.54966681666666661</v>
      </c>
      <c r="G21" s="553">
        <f>'OPER EXP'!D42</f>
        <v>0.3573142857142857</v>
      </c>
      <c r="H21" s="553">
        <f>'OPER EXP'!E42</f>
        <v>0.33826222222222224</v>
      </c>
      <c r="I21" s="553">
        <f>'OPER EXP'!F42</f>
        <v>0.32891897435897433</v>
      </c>
      <c r="J21" s="553">
        <f>'OPER EXP'!G42</f>
        <v>0.31536410256410258</v>
      </c>
    </row>
    <row r="22" spans="1:10">
      <c r="A22" s="112" t="s">
        <v>218</v>
      </c>
      <c r="B22" s="582">
        <v>0.12</v>
      </c>
      <c r="C22" s="582"/>
      <c r="D22" s="582"/>
      <c r="E22" s="582">
        <v>0.12</v>
      </c>
      <c r="F22" s="553">
        <f>INCOME!C22/INCOME!C7</f>
        <v>-0.6671311023809523</v>
      </c>
      <c r="G22" s="553">
        <f>INCOME!D22/INCOME!D7</f>
        <v>-3.0107482993197317E-2</v>
      </c>
      <c r="H22" s="553">
        <f>INCOME!E22/INCOME!E7</f>
        <v>7.7181001221001147E-2</v>
      </c>
      <c r="I22" s="553">
        <f>INCOME!F22/INCOME!F7</f>
        <v>9.6355750915750923E-2</v>
      </c>
      <c r="J22" s="553">
        <f>INCOME!G22/INCOME!G7</f>
        <v>0.14489963369963371</v>
      </c>
    </row>
    <row r="23" spans="1:10">
      <c r="A23" s="112" t="s">
        <v>219</v>
      </c>
      <c r="B23" s="582">
        <v>0.12</v>
      </c>
      <c r="C23" s="582"/>
      <c r="D23" s="582"/>
      <c r="E23" s="582">
        <v>0.12</v>
      </c>
      <c r="F23" s="553">
        <f>INCOME!C26/INCOME!C7</f>
        <v>-0.71213110238095234</v>
      </c>
      <c r="G23" s="553">
        <f>INCOME!D26/INCOME!D7</f>
        <v>-3.0107482993197317E-2</v>
      </c>
      <c r="H23" s="553">
        <f>INCOME!E26/INCOME!E7</f>
        <v>7.7181001221001147E-2</v>
      </c>
      <c r="I23" s="553">
        <f>INCOME!F26/INCOME!F7</f>
        <v>9.6355750915750923E-2</v>
      </c>
      <c r="J23" s="553">
        <f>INCOME!G26/INCOME!G7</f>
        <v>0.14489963369963371</v>
      </c>
    </row>
    <row r="24" spans="1:10">
      <c r="A24" s="112" t="s">
        <v>290</v>
      </c>
      <c r="B24" s="582">
        <v>0.03</v>
      </c>
      <c r="C24" s="582"/>
      <c r="D24" s="582"/>
      <c r="E24" s="582">
        <v>0.03</v>
      </c>
      <c r="F24" s="553">
        <f>'PROP &amp; EQUIP'!C48</f>
        <v>4.3380952380952381E-2</v>
      </c>
      <c r="G24" s="553">
        <f>'PROP &amp; EQUIP'!D48</f>
        <v>2.5088435374149658E-2</v>
      </c>
      <c r="H24" s="553">
        <f>'PROP &amp; EQUIP'!E48</f>
        <v>2.5035409035409035E-2</v>
      </c>
      <c r="I24" s="553">
        <f>'PROP &amp; EQUIP'!F48</f>
        <v>2.2991941391941391E-2</v>
      </c>
      <c r="J24" s="553">
        <f>'PROP &amp; EQUIP'!G48</f>
        <v>1.9608058608058608E-2</v>
      </c>
    </row>
    <row r="25" spans="1:10">
      <c r="A25" s="112" t="s">
        <v>220</v>
      </c>
      <c r="B25" s="582">
        <v>0.14000000000000001</v>
      </c>
      <c r="C25" s="582"/>
      <c r="D25" s="582"/>
      <c r="E25" s="582">
        <v>0.14000000000000001</v>
      </c>
      <c r="F25" s="553">
        <f>(INCOME!C26+'PROP &amp; EQUIP'!C47)/INCOME!C7</f>
        <v>-0.66875014999999993</v>
      </c>
      <c r="G25" s="553">
        <f>(INCOME!D26+'PROP &amp; EQUIP'!D47)/INCOME!D7</f>
        <v>-5.0190476190476582E-3</v>
      </c>
      <c r="H25" s="553">
        <f>(INCOME!E26+'PROP &amp; EQUIP'!E47)/INCOME!E7</f>
        <v>0.10221641025641018</v>
      </c>
      <c r="I25" s="553">
        <f>(INCOME!F26+'PROP &amp; EQUIP'!F47)/INCOME!F7</f>
        <v>0.11934769230769231</v>
      </c>
      <c r="J25" s="553">
        <f>(INCOME!G26+'PROP &amp; EQUIP'!G47)/INCOME!G7</f>
        <v>0.1645076923076923</v>
      </c>
    </row>
    <row r="26" spans="1:10">
      <c r="A26" s="112" t="s">
        <v>221</v>
      </c>
      <c r="B26" s="582">
        <v>0.05</v>
      </c>
      <c r="C26" s="582"/>
      <c r="D26" s="582"/>
      <c r="E26" s="582">
        <v>0.05</v>
      </c>
      <c r="F26" s="553">
        <f>INCOME!C35</f>
        <v>-0.71213110238095234</v>
      </c>
      <c r="G26" s="553">
        <f>INCOME!D35</f>
        <v>-4.1536054421768748E-2</v>
      </c>
      <c r="H26" s="553">
        <f>INCOME!E35</f>
        <v>7.2257924297924228E-2</v>
      </c>
      <c r="I26" s="553">
        <f>INCOME!F35</f>
        <v>6.1707127501831521E-2</v>
      </c>
      <c r="J26" s="553">
        <f>INCOME!G35</f>
        <v>8.6616703296703304E-2</v>
      </c>
    </row>
    <row r="27" spans="1:10">
      <c r="A27" s="36"/>
      <c r="F27" s="50"/>
      <c r="G27" s="50"/>
      <c r="H27" s="50"/>
      <c r="I27" s="50"/>
      <c r="J27" s="50"/>
    </row>
    <row r="28" spans="1:10">
      <c r="A28" s="113" t="s">
        <v>158</v>
      </c>
      <c r="F28" s="50"/>
      <c r="G28" s="50"/>
      <c r="H28" s="50"/>
      <c r="I28" s="50"/>
      <c r="J28" s="50"/>
    </row>
    <row r="29" spans="1:10">
      <c r="A29" s="112" t="s">
        <v>87</v>
      </c>
      <c r="B29" s="582">
        <v>0.12</v>
      </c>
      <c r="C29" s="582"/>
      <c r="D29" s="582"/>
      <c r="E29" s="582">
        <v>0.12</v>
      </c>
      <c r="F29" s="553">
        <f>INCOME!C34/BALANCE!C15</f>
        <v>-0.74057750057663108</v>
      </c>
      <c r="G29" s="553">
        <f>INCOME!D34/BALANCE!D15</f>
        <v>-9.4681931054498777E-2</v>
      </c>
      <c r="H29" s="553">
        <f>INCOME!E34/BALANCE!E15</f>
        <v>0.21735431799697816</v>
      </c>
      <c r="I29" s="553">
        <f>INCOME!F34/BALANCE!F15</f>
        <v>0.19974677251097903</v>
      </c>
      <c r="J29" s="553">
        <f>INCOME!G34/BALANCE!G15</f>
        <v>0.27188320630213092</v>
      </c>
    </row>
    <row r="30" spans="1:10">
      <c r="A30" s="112" t="s">
        <v>5</v>
      </c>
      <c r="B30" s="582">
        <v>0.15</v>
      </c>
      <c r="C30" s="582"/>
      <c r="D30" s="582"/>
      <c r="E30" s="582">
        <v>0.15</v>
      </c>
      <c r="F30" s="553">
        <f>INCOME!C34/BALANCE!C31</f>
        <v>-0.90387005316877445</v>
      </c>
      <c r="G30" s="553">
        <f>INCOME!D34/BALANCE!D31</f>
        <v>-0.20383561940906911</v>
      </c>
      <c r="H30" s="553">
        <f>INCOME!E34/BALANCE!E31</f>
        <v>0.39706197897853329</v>
      </c>
      <c r="I30" s="553">
        <f>INCOME!F34/BALANCE!F31</f>
        <v>0.36107997351020621</v>
      </c>
      <c r="J30" s="553">
        <f>INCOME!G34/BALANCE!G31</f>
        <v>0.45229796183103282</v>
      </c>
    </row>
    <row r="31" spans="1:10">
      <c r="A31" s="112" t="s">
        <v>114</v>
      </c>
      <c r="B31" s="582">
        <v>0.15</v>
      </c>
      <c r="C31" s="582"/>
      <c r="D31" s="582"/>
      <c r="E31" s="582">
        <v>0.15</v>
      </c>
      <c r="F31" s="553">
        <f>INCOME!C34/(BALANCE!C22+BALANCE!C25+BALANCE!C31)</f>
        <v>-0.90387005316877445</v>
      </c>
      <c r="G31" s="553">
        <f>INCOME!D34/(BALANCE!D22+BALANCE!D25+BALANCE!D31)</f>
        <v>-0.13891173720638528</v>
      </c>
      <c r="H31" s="553">
        <f>INCOME!E34/(BALANCE!E22+BALANCE!E25+BALANCE!E31)</f>
        <v>0.32401622797041724</v>
      </c>
      <c r="I31" s="553">
        <f>INCOME!F34/(BALANCE!F22+BALANCE!F25+BALANCE!F31)</f>
        <v>0.32587624489809297</v>
      </c>
      <c r="J31" s="553">
        <f>INCOME!G34/(BALANCE!G22+BALANCE!G25+BALANCE!G31)</f>
        <v>0.43483166676911017</v>
      </c>
    </row>
    <row r="32" spans="1:10">
      <c r="F32" s="50"/>
      <c r="G32" s="50"/>
      <c r="H32" s="50"/>
      <c r="I32" s="50"/>
      <c r="J32" s="50"/>
    </row>
    <row r="33" spans="1:10">
      <c r="A33" s="113" t="s">
        <v>155</v>
      </c>
      <c r="F33" s="50"/>
      <c r="G33" s="50"/>
      <c r="H33" s="50"/>
      <c r="I33" s="50"/>
      <c r="J33" s="50"/>
    </row>
    <row r="34" spans="1:10">
      <c r="A34" s="36" t="s">
        <v>70</v>
      </c>
      <c r="B34" s="582">
        <v>0.15</v>
      </c>
      <c r="C34" s="582"/>
      <c r="D34" s="582"/>
      <c r="E34" s="582">
        <v>0.15</v>
      </c>
      <c r="F34" s="553"/>
      <c r="G34" s="553">
        <f>INCOME!D7/INCOME!C7-1</f>
        <v>4.25</v>
      </c>
      <c r="H34" s="553">
        <f>INCOME!E7/INCOME!D7-1</f>
        <v>0.85714285714285721</v>
      </c>
      <c r="I34" s="553">
        <f>INCOME!F7/INCOME!E7-1</f>
        <v>0.66666666666666674</v>
      </c>
      <c r="J34" s="553">
        <f>(INCOME!G7/INCOME!F7-1)</f>
        <v>0.60000000000000009</v>
      </c>
    </row>
    <row r="35" spans="1:10">
      <c r="A35" s="36" t="s">
        <v>88</v>
      </c>
      <c r="B35" s="582">
        <v>0.12</v>
      </c>
      <c r="C35" s="582"/>
      <c r="D35" s="582"/>
      <c r="E35" s="582">
        <v>0.12</v>
      </c>
      <c r="F35" s="553"/>
      <c r="G35" s="557" t="str">
        <f>IF((INCOME!D34/INCOME!C34-1)&gt;0,(INCOME!D34/INCOME!C34-1),"Negative")</f>
        <v>Negative</v>
      </c>
      <c r="H35" s="557" t="str">
        <f>IF((INCOME!E34/INCOME!D34-1)&gt;0,(INCOME!E34/INCOME!D34-1),"Negative")</f>
        <v>Negative</v>
      </c>
      <c r="I35" s="557">
        <f>IF((INCOME!F34/INCOME!E34-1)&gt;0,(INCOME!F34/INCOME!E34-1),"Negative")</f>
        <v>0.42330704213166825</v>
      </c>
      <c r="J35" s="557">
        <f>IF((INCOME!G34/INCOME!F34-1)&gt;0,(INCOME!G34/INCOME!F34-1),"Negative")</f>
        <v>1.2458787320899343</v>
      </c>
    </row>
    <row r="37" spans="1:10">
      <c r="G37" s="558"/>
    </row>
  </sheetData>
  <mergeCells count="1">
    <mergeCell ref="F6:J6"/>
  </mergeCells>
  <phoneticPr fontId="0" type="noConversion"/>
  <printOptions gridLines="1"/>
  <pageMargins left="0.75" right="0.75" top="1" bottom="1" header="0.5" footer="0.5"/>
  <pageSetup scale="94" orientation="landscape" horizontalDpi="300" r:id="rId1"/>
  <headerFooter alignWithMargins="0">
    <oddHeader>&amp;R&amp;D
&amp;T</oddHeader>
  </headerFooter>
  <colBreaks count="1" manualBreakCount="1">
    <brk id="6"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N58"/>
  <sheetViews>
    <sheetView tabSelected="1" zoomScale="75" zoomScaleNormal="75" workbookViewId="0">
      <selection activeCell="H51" sqref="H51"/>
    </sheetView>
  </sheetViews>
  <sheetFormatPr defaultColWidth="8.7109375" defaultRowHeight="12.75"/>
  <cols>
    <col min="1" max="1" width="26.28515625" style="26" customWidth="1"/>
    <col min="2" max="2" width="2.140625" style="26" customWidth="1"/>
    <col min="3" max="3" width="10.7109375" style="26" customWidth="1"/>
    <col min="4" max="4" width="13.28515625" style="26" customWidth="1"/>
    <col min="5" max="5" width="12.42578125" style="26" customWidth="1"/>
    <col min="6" max="6" width="12.5703125" style="26" bestFit="1" customWidth="1"/>
    <col min="7" max="7" width="12.28515625" style="26" customWidth="1"/>
    <col min="8" max="16384" width="8.7109375" style="26"/>
  </cols>
  <sheetData>
    <row r="1" spans="1:9" ht="23.25">
      <c r="A1" s="574" t="str">
        <f>COMPS!A1</f>
        <v>XYZ Company</v>
      </c>
      <c r="B1" s="46"/>
      <c r="C1" s="108"/>
      <c r="D1" s="108"/>
      <c r="E1" s="108"/>
      <c r="F1" s="108"/>
      <c r="G1" s="108"/>
      <c r="H1" s="609" t="s">
        <v>453</v>
      </c>
      <c r="I1" s="25"/>
    </row>
    <row r="2" spans="1:9" ht="15.75">
      <c r="A2" s="341" t="s">
        <v>64</v>
      </c>
      <c r="B2" s="46"/>
      <c r="C2" s="46"/>
      <c r="E2" s="46"/>
      <c r="F2" s="46"/>
      <c r="G2" s="46"/>
      <c r="I2" s="25"/>
    </row>
    <row r="3" spans="1:9" ht="15.75">
      <c r="A3" s="341" t="s">
        <v>71</v>
      </c>
      <c r="B3" s="46"/>
      <c r="C3" s="108"/>
      <c r="E3" s="46"/>
      <c r="F3" s="46"/>
      <c r="G3" s="46"/>
      <c r="H3" s="25"/>
      <c r="I3" s="25"/>
    </row>
    <row r="4" spans="1:9" ht="15.75">
      <c r="A4" s="274" t="s">
        <v>94</v>
      </c>
      <c r="B4" s="46"/>
      <c r="C4" s="46"/>
      <c r="D4" s="307"/>
      <c r="E4" s="46"/>
      <c r="F4" s="46"/>
      <c r="G4" s="46"/>
      <c r="H4" s="25"/>
      <c r="I4" s="25"/>
    </row>
    <row r="5" spans="1:9" ht="15.75">
      <c r="A5" s="46"/>
      <c r="B5" s="106"/>
      <c r="C5" s="59" t="s">
        <v>72</v>
      </c>
      <c r="D5" s="59" t="s">
        <v>73</v>
      </c>
      <c r="E5" s="59" t="s">
        <v>74</v>
      </c>
      <c r="F5" s="59" t="s">
        <v>75</v>
      </c>
      <c r="G5" s="59" t="s">
        <v>76</v>
      </c>
    </row>
    <row r="6" spans="1:9">
      <c r="A6" s="46" t="s">
        <v>428</v>
      </c>
      <c r="B6" s="46"/>
      <c r="C6" s="46"/>
      <c r="D6" s="46"/>
      <c r="E6" s="46"/>
      <c r="F6" s="46"/>
      <c r="G6" s="46"/>
    </row>
    <row r="7" spans="1:9">
      <c r="A7" s="303" t="s">
        <v>429</v>
      </c>
      <c r="B7" s="108"/>
      <c r="C7" s="109">
        <v>20000</v>
      </c>
      <c r="D7" s="109">
        <v>75000</v>
      </c>
      <c r="E7" s="109">
        <v>150000</v>
      </c>
      <c r="F7" s="109">
        <v>250000</v>
      </c>
      <c r="G7" s="109">
        <v>400000</v>
      </c>
    </row>
    <row r="8" spans="1:9">
      <c r="A8" s="303" t="s">
        <v>430</v>
      </c>
      <c r="B8" s="108"/>
      <c r="C8" s="305">
        <v>50</v>
      </c>
      <c r="D8" s="305">
        <v>50</v>
      </c>
      <c r="E8" s="305">
        <v>45</v>
      </c>
      <c r="F8" s="305">
        <v>45</v>
      </c>
      <c r="G8" s="305">
        <v>40</v>
      </c>
    </row>
    <row r="9" spans="1:9">
      <c r="A9" s="304" t="s">
        <v>185</v>
      </c>
      <c r="B9" s="108"/>
      <c r="C9" s="306">
        <f>C7*C8</f>
        <v>1000000</v>
      </c>
      <c r="D9" s="306">
        <f>D7*D8</f>
        <v>3750000</v>
      </c>
      <c r="E9" s="306">
        <f>E7*E8</f>
        <v>6750000</v>
      </c>
      <c r="F9" s="306">
        <f>F7*F8</f>
        <v>11250000</v>
      </c>
      <c r="G9" s="306">
        <f>G7*G8</f>
        <v>16000000</v>
      </c>
      <c r="H9" s="51"/>
    </row>
    <row r="10" spans="1:9">
      <c r="A10" s="46" t="s">
        <v>406</v>
      </c>
      <c r="B10" s="46"/>
      <c r="C10" s="110"/>
      <c r="D10" s="110"/>
      <c r="E10" s="110"/>
      <c r="F10" s="110"/>
      <c r="G10" s="110"/>
    </row>
    <row r="11" spans="1:9">
      <c r="A11" s="303" t="s">
        <v>184</v>
      </c>
      <c r="B11" s="108"/>
      <c r="C11" s="110"/>
      <c r="D11" s="305">
        <v>50000</v>
      </c>
      <c r="E11" s="305">
        <v>100000</v>
      </c>
      <c r="F11" s="305">
        <v>200000</v>
      </c>
      <c r="G11" s="305">
        <v>500000</v>
      </c>
    </row>
    <row r="12" spans="1:9">
      <c r="A12" s="303" t="s">
        <v>194</v>
      </c>
      <c r="B12" s="108"/>
      <c r="C12" s="449"/>
      <c r="D12" s="306">
        <v>30</v>
      </c>
      <c r="E12" s="306">
        <v>30</v>
      </c>
      <c r="F12" s="306">
        <v>25</v>
      </c>
      <c r="G12" s="306">
        <v>20</v>
      </c>
    </row>
    <row r="13" spans="1:9">
      <c r="A13" s="304" t="s">
        <v>185</v>
      </c>
      <c r="B13" s="108"/>
      <c r="C13" s="306">
        <f>C11*C12</f>
        <v>0</v>
      </c>
      <c r="D13" s="306">
        <f>D11*D12</f>
        <v>1500000</v>
      </c>
      <c r="E13" s="306">
        <f>E11*E12</f>
        <v>3000000</v>
      </c>
      <c r="F13" s="306">
        <f>F11*F12</f>
        <v>5000000</v>
      </c>
      <c r="G13" s="306">
        <f>G11*G12</f>
        <v>10000000</v>
      </c>
    </row>
    <row r="14" spans="1:9">
      <c r="A14" s="528"/>
      <c r="B14" s="108"/>
      <c r="C14" s="306"/>
      <c r="D14" s="306"/>
      <c r="E14" s="306"/>
      <c r="F14" s="306"/>
      <c r="G14" s="306"/>
    </row>
    <row r="15" spans="1:9">
      <c r="A15" s="304"/>
      <c r="B15" s="108"/>
      <c r="C15" s="308"/>
      <c r="D15" s="308"/>
      <c r="E15" s="308"/>
      <c r="F15" s="308"/>
      <c r="G15" s="308"/>
    </row>
    <row r="16" spans="1:9" ht="13.5" thickBot="1">
      <c r="A16" s="107" t="s">
        <v>104</v>
      </c>
      <c r="B16" s="46"/>
      <c r="C16" s="448">
        <f>C9+C13</f>
        <v>1000000</v>
      </c>
      <c r="D16" s="448">
        <f>D9+D13</f>
        <v>5250000</v>
      </c>
      <c r="E16" s="448">
        <f>E9+E13</f>
        <v>9750000</v>
      </c>
      <c r="F16" s="448">
        <f>F9+F13</f>
        <v>16250000</v>
      </c>
      <c r="G16" s="448">
        <f>G9+G13</f>
        <v>26000000</v>
      </c>
    </row>
    <row r="17" spans="1:8" ht="13.5" thickTop="1">
      <c r="A17" s="107"/>
      <c r="B17" s="46"/>
      <c r="C17" s="447"/>
      <c r="D17" s="447"/>
      <c r="E17" s="447"/>
      <c r="F17" s="447"/>
      <c r="G17" s="447"/>
    </row>
    <row r="18" spans="1:8">
      <c r="A18" s="46"/>
      <c r="B18" s="46"/>
      <c r="C18" s="46"/>
      <c r="D18" s="46"/>
      <c r="E18" s="46"/>
      <c r="F18" s="46"/>
      <c r="G18" s="46"/>
    </row>
    <row r="19" spans="1:8" ht="15.75">
      <c r="A19" s="46"/>
      <c r="B19" s="46"/>
      <c r="C19" s="46"/>
      <c r="D19" s="307" t="s">
        <v>191</v>
      </c>
      <c r="E19" s="309"/>
      <c r="F19" s="309"/>
      <c r="G19" s="46"/>
    </row>
    <row r="20" spans="1:8" ht="15.75">
      <c r="A20" s="46"/>
      <c r="B20" s="46"/>
      <c r="C20" s="46"/>
      <c r="D20" s="307" t="s">
        <v>94</v>
      </c>
      <c r="E20" s="309"/>
      <c r="F20" s="309"/>
      <c r="G20" s="46"/>
    </row>
    <row r="21" spans="1:8" ht="15.75">
      <c r="A21" s="107" t="s">
        <v>256</v>
      </c>
      <c r="B21" s="46"/>
      <c r="C21" s="59" t="s">
        <v>72</v>
      </c>
      <c r="D21" s="59" t="s">
        <v>73</v>
      </c>
      <c r="E21" s="59" t="s">
        <v>74</v>
      </c>
      <c r="F21" s="59" t="s">
        <v>75</v>
      </c>
      <c r="G21" s="59" t="s">
        <v>76</v>
      </c>
    </row>
    <row r="22" spans="1:8">
      <c r="A22" s="46" t="s">
        <v>172</v>
      </c>
      <c r="B22" s="46"/>
      <c r="C22" s="306">
        <v>0</v>
      </c>
      <c r="D22" s="306">
        <f>D$16*0.05</f>
        <v>262500</v>
      </c>
      <c r="E22" s="306"/>
      <c r="F22" s="306"/>
      <c r="G22" s="306"/>
    </row>
    <row r="23" spans="1:8">
      <c r="A23" s="46" t="s">
        <v>173</v>
      </c>
      <c r="B23" s="46"/>
      <c r="C23" s="306">
        <v>0</v>
      </c>
      <c r="D23" s="306">
        <f>D$16*0.05</f>
        <v>262500</v>
      </c>
      <c r="E23" s="306"/>
      <c r="F23" s="306"/>
      <c r="G23" s="306"/>
    </row>
    <row r="24" spans="1:8">
      <c r="A24" s="46" t="s">
        <v>174</v>
      </c>
      <c r="B24" s="46"/>
      <c r="C24" s="399">
        <v>0</v>
      </c>
      <c r="D24" s="399">
        <f>D$16*0.07</f>
        <v>367500.00000000006</v>
      </c>
      <c r="E24" s="399"/>
      <c r="F24" s="399"/>
      <c r="G24" s="399"/>
    </row>
    <row r="25" spans="1:8">
      <c r="A25" s="303" t="s">
        <v>186</v>
      </c>
      <c r="B25" s="46"/>
      <c r="C25" s="532">
        <f>SUM(C22:C24)</f>
        <v>0</v>
      </c>
      <c r="D25" s="532">
        <f>SUM(D22:D24)</f>
        <v>892500</v>
      </c>
      <c r="E25" s="306">
        <v>2000000</v>
      </c>
      <c r="F25" s="306">
        <v>3000000</v>
      </c>
      <c r="G25" s="306">
        <v>5000000</v>
      </c>
    </row>
    <row r="26" spans="1:8">
      <c r="A26" s="46" t="s">
        <v>175</v>
      </c>
      <c r="B26" s="46"/>
      <c r="C26" s="306">
        <f>C$16*0.05</f>
        <v>50000</v>
      </c>
      <c r="D26" s="306">
        <f>D$16*0.06</f>
        <v>315000</v>
      </c>
      <c r="E26" s="306"/>
      <c r="F26" s="306"/>
      <c r="G26" s="306"/>
    </row>
    <row r="27" spans="1:8">
      <c r="A27" s="46" t="s">
        <v>176</v>
      </c>
      <c r="B27" s="46"/>
      <c r="C27" s="306">
        <f>C$16*0.08</f>
        <v>80000</v>
      </c>
      <c r="D27" s="306">
        <f>D$16*0.07</f>
        <v>367500.00000000006</v>
      </c>
      <c r="E27" s="306"/>
      <c r="F27" s="306"/>
      <c r="G27" s="306"/>
      <c r="H27" s="46"/>
    </row>
    <row r="28" spans="1:8">
      <c r="A28" s="46" t="s">
        <v>177</v>
      </c>
      <c r="B28" s="46"/>
      <c r="C28" s="399">
        <f>C$16*0.1</f>
        <v>100000</v>
      </c>
      <c r="D28" s="399">
        <f>D$16*0.07</f>
        <v>367500.00000000006</v>
      </c>
      <c r="E28" s="399"/>
      <c r="F28" s="399"/>
      <c r="G28" s="399"/>
    </row>
    <row r="29" spans="1:8">
      <c r="A29" s="303" t="s">
        <v>187</v>
      </c>
      <c r="B29" s="46"/>
      <c r="C29" s="532">
        <f>SUM(C26:C28)</f>
        <v>230000</v>
      </c>
      <c r="D29" s="532">
        <f>SUM(D26:D28)</f>
        <v>1050000</v>
      </c>
      <c r="E29" s="306">
        <v>2500000</v>
      </c>
      <c r="F29" s="306">
        <v>4000000</v>
      </c>
      <c r="G29" s="306">
        <v>6000000</v>
      </c>
    </row>
    <row r="30" spans="1:8">
      <c r="A30" s="46" t="s">
        <v>178</v>
      </c>
      <c r="B30" s="46"/>
      <c r="C30" s="306">
        <f>C$16*0.1</f>
        <v>100000</v>
      </c>
      <c r="D30" s="306">
        <f>D$16*0.08</f>
        <v>420000</v>
      </c>
      <c r="E30" s="306"/>
      <c r="F30" s="306"/>
      <c r="G30" s="306"/>
    </row>
    <row r="31" spans="1:8">
      <c r="A31" s="46" t="s">
        <v>179</v>
      </c>
      <c r="B31" s="46"/>
      <c r="C31" s="306">
        <f>C$16*0.12</f>
        <v>120000</v>
      </c>
      <c r="D31" s="306">
        <f>D$16*0.1</f>
        <v>525000</v>
      </c>
      <c r="E31" s="306"/>
      <c r="F31" s="306"/>
      <c r="G31" s="306"/>
    </row>
    <row r="32" spans="1:8">
      <c r="A32" s="46" t="s">
        <v>180</v>
      </c>
      <c r="B32" s="46"/>
      <c r="C32" s="399">
        <f>C$16*0.15</f>
        <v>150000</v>
      </c>
      <c r="D32" s="399">
        <f>D$16*0.1</f>
        <v>525000</v>
      </c>
      <c r="E32" s="399"/>
      <c r="F32" s="399"/>
      <c r="G32" s="399"/>
    </row>
    <row r="33" spans="1:14">
      <c r="A33" s="303" t="s">
        <v>188</v>
      </c>
      <c r="B33" s="46"/>
      <c r="C33" s="532">
        <f>SUM(C30:C32)</f>
        <v>370000</v>
      </c>
      <c r="D33" s="532">
        <f>SUM(D30:D32)</f>
        <v>1470000</v>
      </c>
      <c r="E33" s="306">
        <v>2500000</v>
      </c>
      <c r="F33" s="306">
        <v>4500000</v>
      </c>
      <c r="G33" s="306">
        <v>7000000</v>
      </c>
    </row>
    <row r="34" spans="1:14">
      <c r="A34" s="46" t="s">
        <v>181</v>
      </c>
      <c r="B34" s="46"/>
      <c r="C34" s="306">
        <f>C$16*0.12</f>
        <v>120000</v>
      </c>
      <c r="D34" s="306">
        <f>D$16*0.11</f>
        <v>577500</v>
      </c>
      <c r="E34" s="306"/>
      <c r="F34" s="306"/>
      <c r="G34" s="306"/>
    </row>
    <row r="35" spans="1:14">
      <c r="A35" s="46" t="s">
        <v>182</v>
      </c>
      <c r="B35" s="46"/>
      <c r="C35" s="306">
        <f>C$16*0.13</f>
        <v>130000</v>
      </c>
      <c r="D35" s="306">
        <f>D$16*0.12</f>
        <v>630000</v>
      </c>
      <c r="E35" s="306"/>
      <c r="F35" s="306"/>
      <c r="G35" s="306"/>
    </row>
    <row r="36" spans="1:14">
      <c r="A36" s="46" t="s">
        <v>183</v>
      </c>
      <c r="B36" s="46"/>
      <c r="C36" s="399">
        <f>C$16*0.15</f>
        <v>150000</v>
      </c>
      <c r="D36" s="399">
        <f>D$16*0.12</f>
        <v>630000</v>
      </c>
      <c r="E36" s="399"/>
      <c r="F36" s="399"/>
      <c r="G36" s="399"/>
    </row>
    <row r="37" spans="1:14">
      <c r="A37" s="303" t="s">
        <v>189</v>
      </c>
      <c r="B37" s="46"/>
      <c r="C37" s="532">
        <f>SUM(C34:C36)</f>
        <v>400000</v>
      </c>
      <c r="D37" s="532">
        <f>SUM(D34:D36)</f>
        <v>1837500</v>
      </c>
      <c r="E37" s="306">
        <v>2750000</v>
      </c>
      <c r="F37" s="306">
        <v>4750000</v>
      </c>
      <c r="G37" s="306">
        <v>8000000</v>
      </c>
    </row>
    <row r="38" spans="1:14" ht="13.5" thickBot="1">
      <c r="A38" s="304" t="s">
        <v>190</v>
      </c>
      <c r="B38" s="46"/>
      <c r="C38" s="604">
        <f>C25+C29+C33+C37</f>
        <v>1000000</v>
      </c>
      <c r="D38" s="604">
        <f>D25+D29+D33+D37</f>
        <v>5250000</v>
      </c>
      <c r="E38" s="604">
        <f>SUM(E25+E29+E33+E37)</f>
        <v>9750000</v>
      </c>
      <c r="F38" s="604">
        <f>F25+F29+F33+F37</f>
        <v>16250000</v>
      </c>
      <c r="G38" s="604">
        <f>G25+G29+G33+G37</f>
        <v>26000000</v>
      </c>
    </row>
    <row r="39" spans="1:14">
      <c r="A39" s="46"/>
      <c r="B39" s="46"/>
      <c r="C39" s="46"/>
      <c r="D39" s="46"/>
      <c r="E39" s="46"/>
      <c r="F39" s="46"/>
      <c r="G39" s="46"/>
    </row>
    <row r="40" spans="1:14">
      <c r="A40" s="46" t="s">
        <v>385</v>
      </c>
      <c r="B40" s="46"/>
    </row>
    <row r="41" spans="1:14">
      <c r="A41" s="303" t="s">
        <v>386</v>
      </c>
      <c r="B41" s="527"/>
      <c r="C41" s="532">
        <f>C16/12</f>
        <v>83333.333333333328</v>
      </c>
      <c r="D41" s="532">
        <f>D16/12</f>
        <v>437500</v>
      </c>
      <c r="E41" s="532">
        <f>E16/12</f>
        <v>812500</v>
      </c>
      <c r="F41" s="532">
        <f>F16/12</f>
        <v>1354166.6666666667</v>
      </c>
      <c r="G41" s="532">
        <f>G16/12</f>
        <v>2166666.6666666665</v>
      </c>
    </row>
    <row r="42" spans="1:14">
      <c r="A42" s="303" t="s">
        <v>387</v>
      </c>
      <c r="B42" s="527"/>
      <c r="C42" s="532">
        <f>C16/4</f>
        <v>250000</v>
      </c>
      <c r="D42" s="532">
        <f>D16/4</f>
        <v>1312500</v>
      </c>
      <c r="E42" s="532">
        <f>E16/4</f>
        <v>2437500</v>
      </c>
      <c r="F42" s="532">
        <f>F16/4</f>
        <v>4062500</v>
      </c>
      <c r="G42" s="532">
        <f>G16/4</f>
        <v>6500000</v>
      </c>
      <c r="H42" s="46"/>
      <c r="I42" s="46"/>
      <c r="J42" s="46"/>
      <c r="K42" s="46"/>
      <c r="L42" s="46"/>
      <c r="M42" s="46"/>
      <c r="N42" s="46"/>
    </row>
    <row r="43" spans="1:14">
      <c r="A43" s="46"/>
      <c r="B43" s="46"/>
      <c r="C43" s="46"/>
      <c r="D43" s="46"/>
      <c r="E43" s="46"/>
      <c r="F43" s="46"/>
      <c r="G43" s="46"/>
    </row>
    <row r="44" spans="1:14">
      <c r="A44" s="46"/>
      <c r="B44" s="46"/>
      <c r="C44" s="46"/>
      <c r="D44" s="46"/>
      <c r="E44" s="46"/>
      <c r="F44" s="46"/>
      <c r="G44" s="46"/>
    </row>
    <row r="45" spans="1:14">
      <c r="A45" s="46"/>
      <c r="B45" s="46"/>
      <c r="C45" s="46"/>
      <c r="D45" s="46"/>
      <c r="E45" s="46"/>
      <c r="F45" s="46"/>
      <c r="G45" s="46"/>
    </row>
    <row r="46" spans="1:14">
      <c r="A46" s="46"/>
      <c r="B46" s="46"/>
      <c r="C46" s="46"/>
      <c r="D46" s="46"/>
      <c r="E46" s="46"/>
      <c r="F46" s="46"/>
      <c r="G46" s="46"/>
    </row>
    <row r="47" spans="1:14">
      <c r="A47" s="46"/>
      <c r="B47" s="46"/>
      <c r="C47" s="46"/>
      <c r="D47" s="46"/>
      <c r="E47" s="46"/>
      <c r="F47" s="46"/>
      <c r="G47" s="46"/>
    </row>
    <row r="48" spans="1:14">
      <c r="A48" s="46"/>
      <c r="B48" s="46"/>
      <c r="C48" s="46"/>
      <c r="D48" s="46"/>
      <c r="E48" s="46"/>
      <c r="F48" s="46"/>
      <c r="G48" s="46"/>
    </row>
    <row r="49" spans="1:7">
      <c r="A49" s="46"/>
      <c r="B49" s="46"/>
      <c r="C49" s="46"/>
      <c r="D49" s="46"/>
      <c r="E49" s="46"/>
      <c r="F49" s="46"/>
      <c r="G49" s="46"/>
    </row>
    <row r="50" spans="1:7">
      <c r="A50" s="46"/>
      <c r="B50" s="46"/>
      <c r="C50" s="46"/>
      <c r="D50" s="46"/>
      <c r="E50" s="46"/>
      <c r="F50" s="46"/>
      <c r="G50" s="46"/>
    </row>
    <row r="51" spans="1:7">
      <c r="A51" s="46"/>
      <c r="B51" s="46"/>
      <c r="C51" s="46"/>
      <c r="D51" s="46"/>
      <c r="E51" s="46"/>
      <c r="F51" s="46"/>
      <c r="G51" s="46"/>
    </row>
    <row r="52" spans="1:7">
      <c r="A52" s="46"/>
      <c r="B52" s="46"/>
      <c r="C52" s="46"/>
      <c r="D52" s="46"/>
      <c r="E52" s="46"/>
      <c r="F52" s="46"/>
      <c r="G52" s="46"/>
    </row>
    <row r="53" spans="1:7">
      <c r="A53" s="46"/>
      <c r="B53" s="46"/>
      <c r="C53" s="46"/>
      <c r="D53" s="46"/>
      <c r="E53" s="46"/>
      <c r="F53" s="46"/>
      <c r="G53" s="46"/>
    </row>
    <row r="54" spans="1:7">
      <c r="A54" s="46"/>
      <c r="B54" s="46"/>
      <c r="C54" s="46"/>
      <c r="D54" s="46"/>
      <c r="E54" s="46"/>
      <c r="F54" s="46"/>
      <c r="G54" s="46"/>
    </row>
    <row r="55" spans="1:7">
      <c r="A55" s="46"/>
      <c r="B55" s="46"/>
      <c r="C55" s="46"/>
      <c r="D55" s="46"/>
      <c r="E55" s="46"/>
      <c r="F55" s="46"/>
      <c r="G55" s="46"/>
    </row>
    <row r="56" spans="1:7">
      <c r="A56" s="46"/>
      <c r="B56" s="46"/>
      <c r="C56" s="46"/>
      <c r="D56" s="46"/>
      <c r="E56" s="46"/>
      <c r="F56" s="46"/>
      <c r="G56" s="46"/>
    </row>
    <row r="57" spans="1:7">
      <c r="A57" s="46"/>
      <c r="B57" s="46"/>
      <c r="C57" s="46"/>
      <c r="D57" s="46"/>
      <c r="E57" s="46"/>
      <c r="F57" s="46"/>
      <c r="G57" s="46"/>
    </row>
    <row r="58" spans="1:7">
      <c r="A58" s="46"/>
      <c r="B58" s="46"/>
      <c r="C58" s="46"/>
      <c r="D58" s="46"/>
      <c r="E58" s="46"/>
      <c r="F58" s="46"/>
      <c r="G58" s="46"/>
    </row>
  </sheetData>
  <dataConsolidate/>
  <phoneticPr fontId="0" type="noConversion"/>
  <pageMargins left="0.75" right="0.75" top="0.5" bottom="0.5" header="0.5" footer="0.5"/>
  <pageSetup orientation="portrait" horizontalDpi="300" verticalDpi="300" r:id="rId1"/>
  <headerFooter alignWithMargins="0">
    <oddHeader>&amp;R&amp;D
&amp;T</oddHeader>
  </headerFooter>
  <colBreaks count="1" manualBreakCount="1">
    <brk id="8" max="44"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I65"/>
  <sheetViews>
    <sheetView zoomScale="75" zoomScaleNormal="75" workbookViewId="0">
      <selection activeCell="F37" sqref="F37"/>
    </sheetView>
  </sheetViews>
  <sheetFormatPr defaultColWidth="8.7109375" defaultRowHeight="12.75"/>
  <cols>
    <col min="1" max="1" width="30.7109375" style="10" customWidth="1"/>
    <col min="2" max="2" width="7" style="10" customWidth="1"/>
    <col min="3" max="4" width="10.7109375" style="10" customWidth="1"/>
    <col min="5" max="5" width="12.5703125" style="10" customWidth="1"/>
    <col min="6" max="6" width="12.140625" style="10" customWidth="1"/>
    <col min="7" max="7" width="13.28515625" style="10" customWidth="1"/>
    <col min="8" max="16384" width="8.7109375" style="10"/>
  </cols>
  <sheetData>
    <row r="1" spans="1:9" ht="20.25">
      <c r="A1" s="272" t="str">
        <f>COMPS!A1</f>
        <v>XYZ Company</v>
      </c>
      <c r="B1" s="102"/>
      <c r="C1" s="102"/>
      <c r="D1" s="102"/>
      <c r="E1" s="102"/>
      <c r="F1" s="102"/>
      <c r="G1" s="102"/>
      <c r="H1" s="610" t="s">
        <v>453</v>
      </c>
      <c r="I1" s="9"/>
    </row>
    <row r="2" spans="1:9" ht="15.75">
      <c r="A2" s="273" t="s">
        <v>192</v>
      </c>
      <c r="B2" s="45"/>
      <c r="C2" s="45"/>
      <c r="D2" s="45"/>
      <c r="E2" s="45"/>
      <c r="F2" s="45"/>
      <c r="G2" s="45"/>
      <c r="H2" s="9"/>
      <c r="I2" s="9"/>
    </row>
    <row r="3" spans="1:9" ht="15.75">
      <c r="A3" s="273" t="s">
        <v>71</v>
      </c>
      <c r="B3" s="45"/>
      <c r="C3" s="45"/>
      <c r="D3" s="45"/>
      <c r="E3" s="45"/>
      <c r="F3" s="45"/>
      <c r="G3" s="45"/>
      <c r="H3" s="9"/>
      <c r="I3" s="9"/>
    </row>
    <row r="4" spans="1:9" ht="15.75">
      <c r="A4" s="274" t="s">
        <v>94</v>
      </c>
      <c r="B4" s="45"/>
      <c r="C4" s="45"/>
      <c r="D4" s="45"/>
      <c r="E4" s="45"/>
      <c r="F4" s="45"/>
      <c r="G4" s="45"/>
      <c r="I4" s="9"/>
    </row>
    <row r="5" spans="1:9" ht="15.75">
      <c r="A5" s="45"/>
      <c r="C5" s="57" t="s">
        <v>72</v>
      </c>
      <c r="D5" s="57" t="s">
        <v>73</v>
      </c>
      <c r="E5" s="57" t="s">
        <v>74</v>
      </c>
      <c r="F5" s="57" t="s">
        <v>75</v>
      </c>
      <c r="G5" s="57" t="s">
        <v>76</v>
      </c>
      <c r="H5" s="192"/>
    </row>
    <row r="6" spans="1:9" s="30" customFormat="1">
      <c r="A6" s="45"/>
      <c r="B6" s="58"/>
      <c r="C6" s="58"/>
      <c r="D6" s="58"/>
      <c r="E6" s="58"/>
      <c r="F6" s="58"/>
      <c r="G6" s="58"/>
    </row>
    <row r="7" spans="1:9">
      <c r="A7" s="99" t="s">
        <v>3</v>
      </c>
      <c r="B7" s="101"/>
      <c r="C7" s="100">
        <f>REVENUE!C16</f>
        <v>1000000</v>
      </c>
      <c r="D7" s="100">
        <f>REVENUE!D16</f>
        <v>5250000</v>
      </c>
      <c r="E7" s="100">
        <f>REVENUE!E16</f>
        <v>9750000</v>
      </c>
      <c r="F7" s="100">
        <f>REVENUE!F16</f>
        <v>16250000</v>
      </c>
      <c r="G7" s="100">
        <f>REVENUE!G16</f>
        <v>26000000</v>
      </c>
      <c r="H7" s="9"/>
      <c r="I7" s="9"/>
    </row>
    <row r="8" spans="1:9">
      <c r="A8" s="45"/>
      <c r="B8" s="45"/>
      <c r="C8" s="45"/>
      <c r="D8" s="45"/>
      <c r="E8" s="45"/>
      <c r="F8" s="45"/>
      <c r="G8" s="45"/>
      <c r="H8" s="9"/>
      <c r="I8" s="9"/>
    </row>
    <row r="9" spans="1:9">
      <c r="A9" s="99" t="s">
        <v>193</v>
      </c>
      <c r="B9" s="101"/>
      <c r="C9" s="102"/>
      <c r="D9" s="103"/>
      <c r="E9" s="103"/>
      <c r="F9" s="103"/>
      <c r="G9" s="103"/>
    </row>
    <row r="10" spans="1:9">
      <c r="A10" s="530"/>
      <c r="B10" s="101"/>
      <c r="C10" s="102"/>
      <c r="D10" s="103"/>
      <c r="E10" s="103"/>
      <c r="F10" s="103"/>
      <c r="G10" s="103"/>
    </row>
    <row r="11" spans="1:9">
      <c r="A11" s="530" t="s">
        <v>428</v>
      </c>
      <c r="B11" s="101"/>
      <c r="C11" s="583"/>
      <c r="D11" s="584"/>
      <c r="E11" s="584"/>
      <c r="F11" s="584"/>
      <c r="G11" s="584"/>
    </row>
    <row r="12" spans="1:9">
      <c r="A12" s="529" t="s">
        <v>431</v>
      </c>
      <c r="B12" s="101"/>
      <c r="C12" s="594">
        <v>15</v>
      </c>
      <c r="D12" s="594">
        <v>14</v>
      </c>
      <c r="E12" s="594">
        <v>11</v>
      </c>
      <c r="F12" s="594">
        <v>10</v>
      </c>
      <c r="G12" s="594">
        <v>9</v>
      </c>
    </row>
    <row r="13" spans="1:9">
      <c r="A13" s="529" t="s">
        <v>433</v>
      </c>
      <c r="B13" s="101"/>
      <c r="C13" s="594">
        <v>10</v>
      </c>
      <c r="D13" s="594">
        <v>10</v>
      </c>
      <c r="E13" s="594">
        <v>7</v>
      </c>
      <c r="F13" s="594">
        <v>6.5</v>
      </c>
      <c r="G13" s="594">
        <v>6</v>
      </c>
    </row>
    <row r="14" spans="1:9">
      <c r="A14" s="585" t="s">
        <v>432</v>
      </c>
      <c r="B14" s="101"/>
      <c r="C14" s="594">
        <f>SUM(C12:C13)</f>
        <v>25</v>
      </c>
      <c r="D14" s="594">
        <f>SUM(D12:D13)</f>
        <v>24</v>
      </c>
      <c r="E14" s="594">
        <f>SUM(E12:E13)</f>
        <v>18</v>
      </c>
      <c r="F14" s="594">
        <f>SUM(F12:F13)</f>
        <v>16.5</v>
      </c>
      <c r="G14" s="594">
        <f>SUM(G12:G13)</f>
        <v>15</v>
      </c>
    </row>
    <row r="15" spans="1:9">
      <c r="A15" s="585" t="s">
        <v>434</v>
      </c>
      <c r="B15" s="101"/>
      <c r="C15" s="586">
        <f>REVENUE!C7</f>
        <v>20000</v>
      </c>
      <c r="D15" s="586">
        <f>REVENUE!D7</f>
        <v>75000</v>
      </c>
      <c r="E15" s="586">
        <f>REVENUE!E7</f>
        <v>150000</v>
      </c>
      <c r="F15" s="586">
        <f>REVENUE!F7</f>
        <v>250000</v>
      </c>
      <c r="G15" s="586">
        <f>REVENUE!G7</f>
        <v>400000</v>
      </c>
    </row>
    <row r="16" spans="1:9">
      <c r="A16" s="585" t="s">
        <v>443</v>
      </c>
      <c r="B16" s="101"/>
      <c r="C16" s="586">
        <f>C14*C15</f>
        <v>500000</v>
      </c>
      <c r="D16" s="586">
        <f>D14*D15</f>
        <v>1800000</v>
      </c>
      <c r="E16" s="586">
        <f>E14*E15</f>
        <v>2700000</v>
      </c>
      <c r="F16" s="586">
        <f>F14*F15</f>
        <v>4125000</v>
      </c>
      <c r="G16" s="586">
        <f>G14*G15</f>
        <v>6000000</v>
      </c>
      <c r="H16" s="612"/>
    </row>
    <row r="17" spans="1:8">
      <c r="A17" s="529" t="s">
        <v>444</v>
      </c>
      <c r="B17" s="101"/>
      <c r="C17" s="143">
        <f>PERSONNEL!C73</f>
        <v>69000</v>
      </c>
      <c r="D17" s="143">
        <f>PERSONNEL!D73</f>
        <v>227700</v>
      </c>
      <c r="E17" s="143">
        <f>PERSONNEL!E73</f>
        <v>552000</v>
      </c>
      <c r="F17" s="143">
        <f>PERSONNEL!F73</f>
        <v>864000</v>
      </c>
      <c r="G17" s="143">
        <f>PERSONNEL!G73</f>
        <v>1200000</v>
      </c>
    </row>
    <row r="18" spans="1:8">
      <c r="A18" s="529" t="s">
        <v>435</v>
      </c>
      <c r="B18" s="101"/>
      <c r="C18" s="586">
        <f>C16+C17</f>
        <v>569000</v>
      </c>
      <c r="D18" s="586">
        <f>D16+D17</f>
        <v>2027700</v>
      </c>
      <c r="E18" s="586">
        <f>E16+E17</f>
        <v>3252000</v>
      </c>
      <c r="F18" s="586">
        <f>F16+F17</f>
        <v>4989000</v>
      </c>
      <c r="G18" s="586">
        <f>G16+G17</f>
        <v>7200000</v>
      </c>
    </row>
    <row r="19" spans="1:8">
      <c r="A19" s="596"/>
      <c r="B19" s="103"/>
      <c r="C19" s="597"/>
      <c r="D19" s="597"/>
      <c r="E19" s="597"/>
      <c r="F19" s="597"/>
      <c r="G19" s="597"/>
      <c r="H19" s="277"/>
    </row>
    <row r="20" spans="1:8">
      <c r="A20" s="530" t="s">
        <v>406</v>
      </c>
      <c r="B20" s="101"/>
      <c r="C20" s="102"/>
      <c r="D20" s="103"/>
      <c r="E20" s="103"/>
      <c r="F20" s="103"/>
      <c r="G20" s="103"/>
    </row>
    <row r="21" spans="1:8">
      <c r="A21" s="595" t="s">
        <v>445</v>
      </c>
      <c r="B21" s="101"/>
      <c r="C21" s="100">
        <f>PERSONNEL!C81</f>
        <v>120750</v>
      </c>
      <c r="D21" s="100">
        <f>PERSONNEL!D81</f>
        <v>212750</v>
      </c>
      <c r="E21" s="100">
        <f>PERSONNEL!E81</f>
        <v>480000</v>
      </c>
      <c r="F21" s="100">
        <f>PERSONNEL!F81</f>
        <v>1500000</v>
      </c>
      <c r="G21" s="100">
        <f>PERSONNEL!G81</f>
        <v>2750000</v>
      </c>
    </row>
    <row r="22" spans="1:8">
      <c r="B22" s="101"/>
      <c r="C22" s="401"/>
      <c r="D22" s="401"/>
      <c r="E22" s="401"/>
      <c r="F22" s="401"/>
      <c r="G22" s="401"/>
    </row>
    <row r="23" spans="1:8">
      <c r="A23" s="30" t="s">
        <v>446</v>
      </c>
    </row>
    <row r="24" spans="1:8">
      <c r="A24" s="529" t="s">
        <v>436</v>
      </c>
      <c r="B24" s="101"/>
      <c r="C24" s="143">
        <f>PERSONNEL!C65</f>
        <v>276000</v>
      </c>
      <c r="D24" s="143">
        <f>PERSONNEL!D65</f>
        <v>690000</v>
      </c>
      <c r="E24" s="143">
        <f>PERSONNEL!E65</f>
        <v>990000</v>
      </c>
      <c r="F24" s="143">
        <f>PERSONNEL!F65</f>
        <v>1410000</v>
      </c>
      <c r="G24" s="143">
        <f>PERSONNEL!G65</f>
        <v>2000000</v>
      </c>
    </row>
    <row r="25" spans="1:8">
      <c r="A25" s="529" t="s">
        <v>53</v>
      </c>
      <c r="B25" s="101"/>
      <c r="C25" s="143">
        <f>'PROP &amp; EQUIP'!C34+'PROP &amp; EQUIP'!C44</f>
        <v>36714.285714285717</v>
      </c>
      <c r="D25" s="143">
        <f>'PROP &amp; EQUIP'!D34+'PROP &amp; EQUIP'!D44</f>
        <v>91714.28571428571</v>
      </c>
      <c r="E25" s="143">
        <f>'PROP &amp; EQUIP'!E34+'PROP &amp; EQUIP'!E44</f>
        <v>137428.57142857142</v>
      </c>
      <c r="F25" s="143">
        <f>'PROP &amp; EQUIP'!F34+'PROP &amp; EQUIP'!F44</f>
        <v>190285.71428571426</v>
      </c>
      <c r="G25" s="143">
        <f>'PROP &amp; EQUIP'!G34+'PROP &amp; EQUIP'!G44</f>
        <v>243142.8571428571</v>
      </c>
    </row>
    <row r="26" spans="1:8">
      <c r="A26" s="529" t="s">
        <v>207</v>
      </c>
      <c r="B26" s="101"/>
      <c r="C26" s="310">
        <v>50000</v>
      </c>
      <c r="D26" s="310">
        <v>200000</v>
      </c>
      <c r="E26" s="310">
        <v>300000</v>
      </c>
      <c r="F26" s="310">
        <v>300000</v>
      </c>
      <c r="G26" s="310">
        <v>450000</v>
      </c>
    </row>
    <row r="27" spans="1:8">
      <c r="A27" s="529" t="s">
        <v>407</v>
      </c>
      <c r="B27" s="101"/>
      <c r="C27" s="310">
        <v>25000</v>
      </c>
      <c r="D27" s="310">
        <v>100000</v>
      </c>
      <c r="E27" s="310">
        <v>150000</v>
      </c>
      <c r="F27" s="310">
        <v>300000</v>
      </c>
      <c r="G27" s="310">
        <v>350000</v>
      </c>
    </row>
    <row r="28" spans="1:8">
      <c r="C28" s="423"/>
      <c r="D28" s="423"/>
      <c r="E28" s="423"/>
      <c r="F28" s="423"/>
      <c r="G28" s="423"/>
    </row>
    <row r="29" spans="1:8">
      <c r="A29" s="530"/>
      <c r="B29" s="101"/>
      <c r="C29" s="310"/>
      <c r="D29" s="310"/>
      <c r="E29" s="310"/>
      <c r="F29" s="310"/>
      <c r="G29" s="310"/>
    </row>
    <row r="30" spans="1:8">
      <c r="C30" s="423"/>
      <c r="D30" s="423"/>
      <c r="E30" s="423"/>
      <c r="F30" s="423"/>
      <c r="G30" s="423"/>
    </row>
    <row r="31" spans="1:8">
      <c r="A31" s="529" t="s">
        <v>289</v>
      </c>
      <c r="B31" s="402">
        <v>0.04</v>
      </c>
      <c r="C31" s="311">
        <f>$B31*C7</f>
        <v>40000</v>
      </c>
      <c r="D31" s="311">
        <f>$B31*D7</f>
        <v>210000</v>
      </c>
      <c r="E31" s="311">
        <f>$B31*E7</f>
        <v>390000</v>
      </c>
      <c r="F31" s="311">
        <f>$B31*F7</f>
        <v>650000</v>
      </c>
      <c r="G31" s="311">
        <f>$B31*G7</f>
        <v>1040000</v>
      </c>
    </row>
    <row r="32" spans="1:8" ht="13.5" thickBot="1">
      <c r="A32" s="322" t="s">
        <v>209</v>
      </c>
      <c r="B32" s="104"/>
      <c r="C32" s="405">
        <f>C18+C21+C24+C25+C26+C27+C31</f>
        <v>1117464.2857142857</v>
      </c>
      <c r="D32" s="405">
        <f>D18+D21+D24+D25+D26+D27+D31</f>
        <v>3532164.2857142859</v>
      </c>
      <c r="E32" s="405">
        <f>E18+E21+E24+E25+E26+E27+E31</f>
        <v>5699428.5714285718</v>
      </c>
      <c r="F32" s="405">
        <f>F18+F21+F24+F25+F26+F27+F31</f>
        <v>9339285.7142857146</v>
      </c>
      <c r="G32" s="405">
        <f>G18+G21+G24+G25+G26+G27+G31</f>
        <v>14033142.857142856</v>
      </c>
    </row>
    <row r="33" spans="1:8" ht="13.5" thickTop="1">
      <c r="A33" s="44" t="s">
        <v>55</v>
      </c>
      <c r="C33" s="94">
        <f>C32/C7</f>
        <v>1.1174642857142856</v>
      </c>
      <c r="D33" s="94">
        <f>D32/D7</f>
        <v>0.67279319727891163</v>
      </c>
      <c r="E33" s="94">
        <f>E32/E7</f>
        <v>0.58455677655677662</v>
      </c>
      <c r="F33" s="94">
        <f>F32/F7</f>
        <v>0.57472527472527479</v>
      </c>
      <c r="G33" s="94">
        <f>G32/G7</f>
        <v>0.53973626373626371</v>
      </c>
    </row>
    <row r="34" spans="1:8">
      <c r="A34" s="45"/>
      <c r="B34" s="45"/>
      <c r="C34" s="105"/>
      <c r="D34" s="105"/>
      <c r="E34" s="105"/>
      <c r="F34" s="105"/>
      <c r="G34" s="105"/>
    </row>
    <row r="35" spans="1:8">
      <c r="A35" s="56" t="s">
        <v>388</v>
      </c>
      <c r="B35" s="45"/>
      <c r="C35" s="321"/>
      <c r="D35" s="321"/>
      <c r="E35" s="321"/>
      <c r="F35" s="321"/>
      <c r="G35" s="321"/>
    </row>
    <row r="36" spans="1:8">
      <c r="A36" s="531" t="s">
        <v>149</v>
      </c>
      <c r="B36" s="45"/>
      <c r="C36" s="533">
        <f>C18+C21+C31</f>
        <v>729750</v>
      </c>
      <c r="D36" s="533">
        <f>D18+D21+D31</f>
        <v>2450450</v>
      </c>
      <c r="E36" s="533">
        <f>E18+E21+E31</f>
        <v>4122000</v>
      </c>
      <c r="F36" s="533">
        <f>F18+F21+F31</f>
        <v>7139000</v>
      </c>
      <c r="G36" s="533">
        <f>G18+G21+G31</f>
        <v>10990000</v>
      </c>
      <c r="H36" s="39"/>
    </row>
    <row r="37" spans="1:8">
      <c r="A37" s="531" t="s">
        <v>148</v>
      </c>
      <c r="B37" s="45"/>
      <c r="C37" s="534">
        <f>C24+C25+C26+C27</f>
        <v>387714.28571428574</v>
      </c>
      <c r="D37" s="534">
        <f>D24+D25+D26+D27</f>
        <v>1081714.2857142857</v>
      </c>
      <c r="E37" s="534">
        <f>E24+E25+E26+E27</f>
        <v>1577428.5714285714</v>
      </c>
      <c r="F37" s="534">
        <f>F24+F25+F26+F27</f>
        <v>2200285.7142857146</v>
      </c>
      <c r="G37" s="534">
        <f>G24+G25+G26+G27</f>
        <v>3043142.8571428573</v>
      </c>
      <c r="H37" s="39"/>
    </row>
    <row r="38" spans="1:8">
      <c r="A38" s="84" t="s">
        <v>150</v>
      </c>
      <c r="B38" s="45"/>
      <c r="C38" s="537">
        <f>SUM(C36:C37)</f>
        <v>1117464.2857142857</v>
      </c>
      <c r="D38" s="537">
        <f>SUM(D36:D37)</f>
        <v>3532164.2857142854</v>
      </c>
      <c r="E38" s="537">
        <f>SUM(E36:E37)</f>
        <v>5699428.5714285709</v>
      </c>
      <c r="F38" s="537">
        <f>SUM(F36:F37)</f>
        <v>9339285.7142857146</v>
      </c>
      <c r="G38" s="537">
        <f>SUM(G36:G37)</f>
        <v>14033142.857142858</v>
      </c>
    </row>
    <row r="39" spans="1:8">
      <c r="A39" s="84"/>
      <c r="B39" s="45"/>
      <c r="C39" s="45"/>
      <c r="D39" s="45"/>
      <c r="E39" s="45"/>
      <c r="F39" s="45"/>
      <c r="G39" s="45"/>
      <c r="H39" s="45"/>
    </row>
    <row r="40" spans="1:8" ht="15.75">
      <c r="A40" s="46"/>
      <c r="B40" s="46"/>
      <c r="C40" s="46"/>
      <c r="D40" s="307" t="s">
        <v>195</v>
      </c>
      <c r="E40" s="309"/>
      <c r="F40" s="309"/>
      <c r="G40" s="46"/>
    </row>
    <row r="41" spans="1:8" ht="15.75">
      <c r="A41" s="46"/>
      <c r="B41" s="46"/>
      <c r="C41" s="46"/>
      <c r="D41" s="307" t="s">
        <v>94</v>
      </c>
      <c r="E41" s="309"/>
      <c r="F41" s="309"/>
      <c r="G41" s="46"/>
    </row>
    <row r="42" spans="1:8" ht="15.75">
      <c r="A42" s="46"/>
      <c r="B42" s="46"/>
      <c r="C42" s="59" t="s">
        <v>72</v>
      </c>
      <c r="D42" s="59" t="s">
        <v>73</v>
      </c>
      <c r="E42" s="59" t="s">
        <v>74</v>
      </c>
      <c r="F42" s="59" t="s">
        <v>75</v>
      </c>
      <c r="G42" s="59" t="s">
        <v>76</v>
      </c>
    </row>
    <row r="43" spans="1:8">
      <c r="A43" s="46" t="s">
        <v>172</v>
      </c>
      <c r="C43" s="312">
        <f>REVENUE!C22*'COST OF REV'!C$33</f>
        <v>0</v>
      </c>
      <c r="D43" s="312">
        <f>REVENUE!D22*'COST OF REV'!D$33</f>
        <v>176608.21428571429</v>
      </c>
      <c r="E43" s="312">
        <f>REVENUE!E22*'COST OF REV'!E$33</f>
        <v>0</v>
      </c>
      <c r="F43" s="312">
        <f>REVENUE!F22*'COST OF REV'!F$33</f>
        <v>0</v>
      </c>
      <c r="G43" s="312">
        <f>REVENUE!G22*'COST OF REV'!G$33</f>
        <v>0</v>
      </c>
    </row>
    <row r="44" spans="1:8">
      <c r="A44" s="46" t="s">
        <v>173</v>
      </c>
      <c r="C44" s="312">
        <f>REVENUE!C23*'COST OF REV'!C$33</f>
        <v>0</v>
      </c>
      <c r="D44" s="312">
        <f>REVENUE!D23*'COST OF REV'!D$33</f>
        <v>176608.21428571429</v>
      </c>
      <c r="E44" s="312">
        <f>REVENUE!E23*'COST OF REV'!E$33</f>
        <v>0</v>
      </c>
      <c r="F44" s="312">
        <f>REVENUE!F23*'COST OF REV'!F$33</f>
        <v>0</v>
      </c>
      <c r="G44" s="312">
        <f>REVENUE!G23*'COST OF REV'!G$33</f>
        <v>0</v>
      </c>
    </row>
    <row r="45" spans="1:8">
      <c r="A45" s="46" t="s">
        <v>174</v>
      </c>
      <c r="C45" s="330">
        <f>REVENUE!C24*'COST OF REV'!C$33</f>
        <v>0</v>
      </c>
      <c r="D45" s="330">
        <f>REVENUE!D24*'COST OF REV'!D$33</f>
        <v>247251.50000000006</v>
      </c>
      <c r="E45" s="330">
        <f>REVENUE!E24*'COST OF REV'!E$33</f>
        <v>0</v>
      </c>
      <c r="F45" s="330">
        <f>REVENUE!F24*'COST OF REV'!F$33</f>
        <v>0</v>
      </c>
      <c r="G45" s="330">
        <f>REVENUE!G24*'COST OF REV'!G$33</f>
        <v>0</v>
      </c>
    </row>
    <row r="46" spans="1:8">
      <c r="A46" s="303" t="s">
        <v>186</v>
      </c>
      <c r="C46" s="312">
        <f>REVENUE!C25*'COST OF REV'!C$33</f>
        <v>0</v>
      </c>
      <c r="D46" s="312">
        <f>REVENUE!D25*'COST OF REV'!D$33</f>
        <v>600467.92857142864</v>
      </c>
      <c r="E46" s="312">
        <f>REVENUE!E25*'COST OF REV'!E$33</f>
        <v>1169113.5531135532</v>
      </c>
      <c r="F46" s="312">
        <f>REVENUE!F25*'COST OF REV'!F$33</f>
        <v>1724175.8241758244</v>
      </c>
      <c r="G46" s="312">
        <f>REVENUE!G25*'COST OF REV'!G$33</f>
        <v>2698681.3186813188</v>
      </c>
    </row>
    <row r="47" spans="1:8">
      <c r="A47" s="46" t="s">
        <v>175</v>
      </c>
      <c r="C47" s="312">
        <f>REVENUE!C26*'COST OF REV'!C$33</f>
        <v>55873.214285714275</v>
      </c>
      <c r="D47" s="312">
        <f>REVENUE!D26*'COST OF REV'!D$33</f>
        <v>211929.85714285716</v>
      </c>
      <c r="E47" s="312">
        <f>REVENUE!E26*'COST OF REV'!E$33</f>
        <v>0</v>
      </c>
      <c r="F47" s="312">
        <f>REVENUE!F26*'COST OF REV'!F$33</f>
        <v>0</v>
      </c>
      <c r="G47" s="312">
        <f>REVENUE!G26*'COST OF REV'!G$33</f>
        <v>0</v>
      </c>
    </row>
    <row r="48" spans="1:8">
      <c r="A48" s="46" t="s">
        <v>176</v>
      </c>
      <c r="C48" s="312">
        <f>REVENUE!C27*'COST OF REV'!C$33</f>
        <v>89397.142857142841</v>
      </c>
      <c r="D48" s="312">
        <f>REVENUE!D27*'COST OF REV'!D$33</f>
        <v>247251.50000000006</v>
      </c>
      <c r="E48" s="312">
        <f>REVENUE!E27*'COST OF REV'!E$33</f>
        <v>0</v>
      </c>
      <c r="F48" s="312">
        <f>REVENUE!F27*'COST OF REV'!F$33</f>
        <v>0</v>
      </c>
      <c r="G48" s="312">
        <f>REVENUE!G27*'COST OF REV'!G$33</f>
        <v>0</v>
      </c>
    </row>
    <row r="49" spans="1:7">
      <c r="A49" s="46" t="s">
        <v>177</v>
      </c>
      <c r="C49" s="330">
        <f>REVENUE!C28*'COST OF REV'!C$33</f>
        <v>111746.42857142855</v>
      </c>
      <c r="D49" s="330">
        <f>REVENUE!D28*'COST OF REV'!D$33</f>
        <v>247251.50000000006</v>
      </c>
      <c r="E49" s="330">
        <f>REVENUE!E28*'COST OF REV'!E$33</f>
        <v>0</v>
      </c>
      <c r="F49" s="330">
        <f>REVENUE!F28*'COST OF REV'!F$33</f>
        <v>0</v>
      </c>
      <c r="G49" s="330">
        <f>REVENUE!G28*'COST OF REV'!G$33</f>
        <v>0</v>
      </c>
    </row>
    <row r="50" spans="1:7">
      <c r="A50" s="303" t="s">
        <v>187</v>
      </c>
      <c r="C50" s="312">
        <f>REVENUE!C29*'COST OF REV'!C$33</f>
        <v>257016.78571428568</v>
      </c>
      <c r="D50" s="312">
        <f>REVENUE!D29*'COST OF REV'!D$33</f>
        <v>706432.85714285716</v>
      </c>
      <c r="E50" s="312">
        <f>REVENUE!E29*'COST OF REV'!E$33</f>
        <v>1461391.9413919416</v>
      </c>
      <c r="F50" s="312">
        <f>REVENUE!F29*'COST OF REV'!F$33</f>
        <v>2298901.0989010991</v>
      </c>
      <c r="G50" s="312">
        <f>REVENUE!G29*'COST OF REV'!G$33</f>
        <v>3238417.5824175822</v>
      </c>
    </row>
    <row r="51" spans="1:7">
      <c r="A51" s="46" t="s">
        <v>178</v>
      </c>
      <c r="C51" s="312">
        <f>REVENUE!C30*'COST OF REV'!C$33</f>
        <v>111746.42857142855</v>
      </c>
      <c r="D51" s="312">
        <f>REVENUE!D30*'COST OF REV'!D$33</f>
        <v>282573.1428571429</v>
      </c>
      <c r="E51" s="312">
        <f>REVENUE!E30*'COST OF REV'!E$33</f>
        <v>0</v>
      </c>
      <c r="F51" s="312">
        <f>REVENUE!F30*'COST OF REV'!F$33</f>
        <v>0</v>
      </c>
      <c r="G51" s="312">
        <f>REVENUE!G30*'COST OF REV'!G$33</f>
        <v>0</v>
      </c>
    </row>
    <row r="52" spans="1:7">
      <c r="A52" s="46" t="s">
        <v>179</v>
      </c>
      <c r="C52" s="312">
        <f>REVENUE!C31*'COST OF REV'!C$33</f>
        <v>134095.71428571426</v>
      </c>
      <c r="D52" s="312">
        <f>REVENUE!D31*'COST OF REV'!D$33</f>
        <v>353216.42857142858</v>
      </c>
      <c r="E52" s="312">
        <f>REVENUE!E31*'COST OF REV'!E$33</f>
        <v>0</v>
      </c>
      <c r="F52" s="312">
        <f>REVENUE!F31*'COST OF REV'!F$33</f>
        <v>0</v>
      </c>
      <c r="G52" s="312">
        <f>REVENUE!G31*'COST OF REV'!G$33</f>
        <v>0</v>
      </c>
    </row>
    <row r="53" spans="1:7">
      <c r="A53" s="46" t="s">
        <v>180</v>
      </c>
      <c r="C53" s="330">
        <f>REVENUE!C32*'COST OF REV'!C$33</f>
        <v>167619.64285714284</v>
      </c>
      <c r="D53" s="330">
        <f>REVENUE!D32*'COST OF REV'!D$33</f>
        <v>353216.42857142858</v>
      </c>
      <c r="E53" s="330">
        <f>REVENUE!E32*'COST OF REV'!E$33</f>
        <v>0</v>
      </c>
      <c r="F53" s="330">
        <f>REVENUE!F32*'COST OF REV'!F$33</f>
        <v>0</v>
      </c>
      <c r="G53" s="330">
        <f>REVENUE!G32*'COST OF REV'!G$33</f>
        <v>0</v>
      </c>
    </row>
    <row r="54" spans="1:7">
      <c r="A54" s="303" t="s">
        <v>188</v>
      </c>
      <c r="C54" s="312">
        <f>REVENUE!C33*'COST OF REV'!C$33</f>
        <v>413461.78571428568</v>
      </c>
      <c r="D54" s="312">
        <f>REVENUE!D33*'COST OF REV'!D$33</f>
        <v>989006.00000000012</v>
      </c>
      <c r="E54" s="312">
        <f>REVENUE!E33*'COST OF REV'!E$33</f>
        <v>1461391.9413919416</v>
      </c>
      <c r="F54" s="312">
        <f>REVENUE!F33*'COST OF REV'!F$33</f>
        <v>2586263.7362637366</v>
      </c>
      <c r="G54" s="312">
        <f>REVENUE!G33*'COST OF REV'!G$33</f>
        <v>3778153.846153846</v>
      </c>
    </row>
    <row r="55" spans="1:7">
      <c r="A55" s="46" t="s">
        <v>181</v>
      </c>
      <c r="C55" s="312">
        <f>REVENUE!C34*'COST OF REV'!C$33</f>
        <v>134095.71428571426</v>
      </c>
      <c r="D55" s="312">
        <f>REVENUE!D34*'COST OF REV'!D$33</f>
        <v>388538.07142857148</v>
      </c>
      <c r="E55" s="312">
        <f>REVENUE!E34*'COST OF REV'!E$33</f>
        <v>0</v>
      </c>
      <c r="F55" s="312">
        <f>REVENUE!F34*'COST OF REV'!F$33</f>
        <v>0</v>
      </c>
      <c r="G55" s="312">
        <f>REVENUE!G34*'COST OF REV'!G$33</f>
        <v>0</v>
      </c>
    </row>
    <row r="56" spans="1:7">
      <c r="A56" s="46" t="s">
        <v>182</v>
      </c>
      <c r="C56" s="312">
        <f>REVENUE!C35*'COST OF REV'!C$33</f>
        <v>145270.35714285713</v>
      </c>
      <c r="D56" s="312">
        <f>REVENUE!D35*'COST OF REV'!D$33</f>
        <v>423859.71428571432</v>
      </c>
      <c r="E56" s="312">
        <f>REVENUE!E35*'COST OF REV'!E$33</f>
        <v>0</v>
      </c>
      <c r="F56" s="312">
        <f>REVENUE!F35*'COST OF REV'!F$33</f>
        <v>0</v>
      </c>
      <c r="G56" s="312">
        <f>REVENUE!G35*'COST OF REV'!G$33</f>
        <v>0</v>
      </c>
    </row>
    <row r="57" spans="1:7">
      <c r="A57" s="46" t="s">
        <v>183</v>
      </c>
      <c r="C57" s="330">
        <f>REVENUE!C36*'COST OF REV'!C$33</f>
        <v>167619.64285714284</v>
      </c>
      <c r="D57" s="330">
        <f>REVENUE!D36*'COST OF REV'!D$33</f>
        <v>423859.71428571432</v>
      </c>
      <c r="E57" s="330">
        <f>REVENUE!E36*'COST OF REV'!E$33</f>
        <v>0</v>
      </c>
      <c r="F57" s="330">
        <f>REVENUE!F36*'COST OF REV'!F$33</f>
        <v>0</v>
      </c>
      <c r="G57" s="330">
        <f>REVENUE!G36*'COST OF REV'!G$33</f>
        <v>0</v>
      </c>
    </row>
    <row r="58" spans="1:7">
      <c r="A58" s="303" t="s">
        <v>189</v>
      </c>
      <c r="C58" s="312">
        <f>REVENUE!C37*'COST OF REV'!C$33</f>
        <v>446985.7142857142</v>
      </c>
      <c r="D58" s="312">
        <f>REVENUE!D37*'COST OF REV'!D$33</f>
        <v>1236257.5</v>
      </c>
      <c r="E58" s="312">
        <f>REVENUE!E37*'COST OF REV'!E$33</f>
        <v>1607531.1355311358</v>
      </c>
      <c r="F58" s="312">
        <f>REVENUE!F37*'COST OF REV'!F$33</f>
        <v>2729945.0549450554</v>
      </c>
      <c r="G58" s="312">
        <f>REVENUE!G37*'COST OF REV'!G$33</f>
        <v>4317890.1098901099</v>
      </c>
    </row>
    <row r="59" spans="1:7" ht="13.5" thickBot="1">
      <c r="A59" s="304" t="s">
        <v>190</v>
      </c>
      <c r="C59" s="331">
        <f>REVENUE!C38*'COST OF REV'!C$33</f>
        <v>1117464.2857142857</v>
      </c>
      <c r="D59" s="331">
        <f>REVENUE!D38*'COST OF REV'!D$33</f>
        <v>3532164.2857142859</v>
      </c>
      <c r="E59" s="331">
        <f>REVENUE!E38*'COST OF REV'!E$33</f>
        <v>5699428.5714285718</v>
      </c>
      <c r="F59" s="331">
        <f>REVENUE!F38*'COST OF REV'!F$33</f>
        <v>9339285.7142857146</v>
      </c>
      <c r="G59" s="331">
        <f>REVENUE!G38*'COST OF REV'!G$33</f>
        <v>14033142.857142856</v>
      </c>
    </row>
    <row r="65" spans="1:1">
      <c r="A65" s="168"/>
    </row>
  </sheetData>
  <phoneticPr fontId="0" type="noConversion"/>
  <pageMargins left="0.75" right="0.75" top="0.5" bottom="0.5" header="0.5" footer="0.5"/>
  <pageSetup scale="93" orientation="portrait" horizontalDpi="300" verticalDpi="300" r:id="rId1"/>
  <headerFooter alignWithMargins="0">
    <oddHeader>&amp;R&amp;D
&amp;T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O115"/>
  <sheetViews>
    <sheetView zoomScale="75" zoomScaleNormal="75" workbookViewId="0">
      <selection activeCell="H46" sqref="H46"/>
    </sheetView>
  </sheetViews>
  <sheetFormatPr defaultColWidth="8.7109375" defaultRowHeight="12.75"/>
  <cols>
    <col min="1" max="1" width="35.28515625" style="19" customWidth="1"/>
    <col min="2" max="2" width="6.140625" style="19" customWidth="1"/>
    <col min="3" max="3" width="10.7109375" style="19" customWidth="1"/>
    <col min="4" max="4" width="11.28515625" style="19" customWidth="1"/>
    <col min="5" max="5" width="10.7109375" style="19" customWidth="1"/>
    <col min="6" max="6" width="12.140625" style="19" customWidth="1"/>
    <col min="7" max="7" width="12.7109375" style="19" customWidth="1"/>
    <col min="8" max="8" width="10.5703125" style="19" customWidth="1"/>
    <col min="9" max="16384" width="8.7109375" style="19"/>
  </cols>
  <sheetData>
    <row r="1" spans="1:15" ht="23.25">
      <c r="A1" s="203" t="str">
        <f>COMPS!A1</f>
        <v>XYZ Company</v>
      </c>
      <c r="B1" s="293"/>
      <c r="C1" s="293"/>
      <c r="D1" s="611"/>
      <c r="E1" s="611"/>
      <c r="F1" s="611"/>
      <c r="G1" s="611"/>
      <c r="H1" s="610" t="s">
        <v>453</v>
      </c>
      <c r="I1" s="18"/>
    </row>
    <row r="2" spans="1:15" ht="15.75">
      <c r="A2" s="214" t="s">
        <v>54</v>
      </c>
      <c r="B2" s="44"/>
      <c r="C2" s="44"/>
      <c r="D2" s="44"/>
      <c r="E2" s="44"/>
      <c r="F2" s="44"/>
      <c r="G2" s="44"/>
      <c r="H2" s="18"/>
      <c r="I2" s="18"/>
    </row>
    <row r="3" spans="1:15" ht="15.75">
      <c r="A3" s="214" t="s">
        <v>71</v>
      </c>
      <c r="B3" s="44"/>
      <c r="C3" s="44"/>
      <c r="D3" s="44"/>
      <c r="E3" s="44"/>
      <c r="F3" s="44"/>
      <c r="G3" s="44"/>
      <c r="H3" s="18"/>
      <c r="I3" s="18"/>
    </row>
    <row r="4" spans="1:15" ht="15.75">
      <c r="A4" s="214" t="s">
        <v>94</v>
      </c>
      <c r="B4" s="121"/>
      <c r="C4" s="44"/>
      <c r="D4" s="44"/>
      <c r="E4" s="44"/>
      <c r="F4" s="44"/>
      <c r="G4" s="44"/>
      <c r="I4" s="18"/>
      <c r="O4" s="605"/>
    </row>
    <row r="5" spans="1:15" s="54" customFormat="1" ht="15.75">
      <c r="A5" s="44"/>
      <c r="C5" s="55" t="s">
        <v>72</v>
      </c>
      <c r="D5" s="55" t="s">
        <v>73</v>
      </c>
      <c r="E5" s="55" t="s">
        <v>74</v>
      </c>
      <c r="F5" s="55" t="s">
        <v>75</v>
      </c>
      <c r="G5" s="55" t="s">
        <v>76</v>
      </c>
      <c r="H5" s="337"/>
    </row>
    <row r="6" spans="1:15">
      <c r="A6" s="44"/>
      <c r="B6" s="121"/>
      <c r="C6" s="44"/>
      <c r="D6" s="44"/>
      <c r="E6" s="44"/>
      <c r="F6" s="44"/>
      <c r="G6" s="44"/>
    </row>
    <row r="7" spans="1:15">
      <c r="A7" s="56" t="s">
        <v>56</v>
      </c>
      <c r="B7" s="86"/>
      <c r="C7" s="87">
        <f>REVENUE!C16</f>
        <v>1000000</v>
      </c>
      <c r="D7" s="87">
        <f>REVENUE!D16</f>
        <v>5250000</v>
      </c>
      <c r="E7" s="87">
        <f>REVENUE!E16</f>
        <v>9750000</v>
      </c>
      <c r="F7" s="87">
        <f>REVENUE!F16</f>
        <v>16250000</v>
      </c>
      <c r="G7" s="87">
        <f>REVENUE!G16</f>
        <v>26000000</v>
      </c>
    </row>
    <row r="8" spans="1:15">
      <c r="A8" s="44"/>
      <c r="B8" s="44"/>
      <c r="C8" s="122"/>
      <c r="D8" s="122"/>
      <c r="E8" s="122"/>
      <c r="F8" s="122"/>
      <c r="G8" s="122"/>
    </row>
    <row r="9" spans="1:15">
      <c r="A9" s="56" t="s">
        <v>65</v>
      </c>
      <c r="B9" s="44"/>
      <c r="C9" s="122"/>
      <c r="D9" s="122"/>
      <c r="E9" s="122"/>
      <c r="F9" s="122"/>
      <c r="G9" s="122"/>
    </row>
    <row r="10" spans="1:15">
      <c r="A10" s="314" t="s">
        <v>208</v>
      </c>
      <c r="B10" s="44"/>
      <c r="C10" s="122"/>
      <c r="D10" s="122"/>
      <c r="E10" s="122"/>
      <c r="F10" s="122"/>
      <c r="G10" s="122"/>
    </row>
    <row r="11" spans="1:15">
      <c r="A11" s="168" t="s">
        <v>210</v>
      </c>
      <c r="B11" s="44"/>
      <c r="C11" s="87">
        <f>PERSONNEL!C21</f>
        <v>69000</v>
      </c>
      <c r="D11" s="87">
        <f>PERSONNEL!D21</f>
        <v>270250</v>
      </c>
      <c r="E11" s="87">
        <f>PERSONNEL!E21</f>
        <v>432900</v>
      </c>
      <c r="F11" s="87">
        <f>PERSONNEL!F21</f>
        <v>624000</v>
      </c>
      <c r="G11" s="87">
        <f>PERSONNEL!G21</f>
        <v>816000</v>
      </c>
    </row>
    <row r="12" spans="1:15">
      <c r="A12" s="168" t="s">
        <v>291</v>
      </c>
      <c r="B12" s="403">
        <v>0.05</v>
      </c>
      <c r="C12" s="187">
        <f>$B12*C7</f>
        <v>50000</v>
      </c>
      <c r="D12" s="187">
        <f>$B12*D7</f>
        <v>262500</v>
      </c>
      <c r="E12" s="187">
        <f>$B12*E7</f>
        <v>487500</v>
      </c>
      <c r="F12" s="187">
        <f>$B12*F7</f>
        <v>812500</v>
      </c>
      <c r="G12" s="187">
        <f>$B12*G7</f>
        <v>1300000</v>
      </c>
    </row>
    <row r="13" spans="1:15">
      <c r="A13" s="578" t="s">
        <v>408</v>
      </c>
      <c r="B13" s="44"/>
      <c r="C13" s="187">
        <v>50000</v>
      </c>
      <c r="D13" s="187">
        <v>150000</v>
      </c>
      <c r="E13" s="187">
        <v>300000</v>
      </c>
      <c r="F13" s="187">
        <v>500000</v>
      </c>
      <c r="G13" s="187">
        <v>1000000</v>
      </c>
    </row>
    <row r="14" spans="1:15">
      <c r="A14" s="578"/>
      <c r="B14" s="44"/>
      <c r="C14" s="187"/>
      <c r="D14" s="187"/>
      <c r="E14" s="187"/>
      <c r="F14" s="187"/>
      <c r="G14" s="187"/>
    </row>
    <row r="15" spans="1:15">
      <c r="A15" s="322" t="s">
        <v>389</v>
      </c>
      <c r="B15" s="402">
        <v>0.06</v>
      </c>
      <c r="C15" s="188">
        <f>$B15*C7</f>
        <v>60000</v>
      </c>
      <c r="D15" s="188">
        <f>$B15*D7</f>
        <v>315000</v>
      </c>
      <c r="E15" s="188">
        <f>$B15*E7</f>
        <v>585000</v>
      </c>
      <c r="F15" s="188">
        <f>$B15*F7</f>
        <v>975000</v>
      </c>
      <c r="G15" s="188">
        <f>$B15*G7</f>
        <v>1560000</v>
      </c>
    </row>
    <row r="16" spans="1:15">
      <c r="A16" s="314" t="s">
        <v>143</v>
      </c>
      <c r="B16" s="44"/>
      <c r="C16" s="189">
        <f>SUM(C11:C15)</f>
        <v>229000</v>
      </c>
      <c r="D16" s="189">
        <f>SUM(D11:D15)</f>
        <v>997750</v>
      </c>
      <c r="E16" s="189">
        <f>SUM(E11:E15)</f>
        <v>1805400</v>
      </c>
      <c r="F16" s="189">
        <f>SUM(F11:F15)</f>
        <v>2911500</v>
      </c>
      <c r="G16" s="189">
        <f>SUM(G11:G15)</f>
        <v>4676000</v>
      </c>
    </row>
    <row r="17" spans="1:7">
      <c r="A17" s="84" t="s">
        <v>55</v>
      </c>
      <c r="B17" s="200"/>
      <c r="C17" s="249">
        <f>C16/C7</f>
        <v>0.22900000000000001</v>
      </c>
      <c r="D17" s="249">
        <f>D16/D7</f>
        <v>0.19004761904761905</v>
      </c>
      <c r="E17" s="249">
        <f>E16/E7</f>
        <v>0.18516923076923078</v>
      </c>
      <c r="F17" s="249">
        <f>F16/F7</f>
        <v>0.17916923076923078</v>
      </c>
      <c r="G17" s="249">
        <f>G16/G7</f>
        <v>0.17984615384615385</v>
      </c>
    </row>
    <row r="18" spans="1:7">
      <c r="A18" s="44"/>
      <c r="B18" s="201"/>
      <c r="C18" s="44"/>
      <c r="D18" s="44"/>
      <c r="E18" s="44"/>
      <c r="F18" s="44"/>
      <c r="G18" s="44"/>
    </row>
    <row r="19" spans="1:7">
      <c r="A19" s="56" t="s">
        <v>137</v>
      </c>
      <c r="B19" s="201"/>
      <c r="C19" s="44"/>
      <c r="D19" s="44"/>
      <c r="E19" s="44"/>
      <c r="F19" s="44"/>
      <c r="G19" s="44"/>
    </row>
    <row r="20" spans="1:7">
      <c r="A20" s="323" t="s">
        <v>208</v>
      </c>
    </row>
    <row r="21" spans="1:7">
      <c r="A21" s="168" t="s">
        <v>210</v>
      </c>
      <c r="B21" s="201"/>
      <c r="C21" s="87">
        <f>PERSONNEL!C35</f>
        <v>69000</v>
      </c>
      <c r="D21" s="87">
        <f>PERSONNEL!D35</f>
        <v>195500</v>
      </c>
      <c r="E21" s="87">
        <f>PERSONNEL!E35</f>
        <v>310050</v>
      </c>
      <c r="F21" s="87">
        <f>PERSONNEL!F35</f>
        <v>504000</v>
      </c>
      <c r="G21" s="87">
        <f>PERSONNEL!G35</f>
        <v>672000</v>
      </c>
    </row>
    <row r="22" spans="1:7">
      <c r="A22" s="168" t="s">
        <v>416</v>
      </c>
      <c r="B22" s="201"/>
      <c r="C22" s="187">
        <v>50000</v>
      </c>
      <c r="D22" s="187">
        <v>60000</v>
      </c>
      <c r="E22" s="187">
        <v>100000</v>
      </c>
      <c r="F22" s="187">
        <v>250000</v>
      </c>
      <c r="G22" s="187">
        <v>300000</v>
      </c>
    </row>
    <row r="23" spans="1:7">
      <c r="A23" s="44"/>
      <c r="B23" s="201"/>
      <c r="C23" s="187"/>
      <c r="D23" s="190"/>
      <c r="E23" s="190"/>
      <c r="F23" s="190"/>
      <c r="G23" s="190"/>
    </row>
    <row r="24" spans="1:7">
      <c r="A24" s="322" t="s">
        <v>389</v>
      </c>
      <c r="B24" s="402">
        <v>0.03</v>
      </c>
      <c r="C24" s="188">
        <f>$B24*C7</f>
        <v>30000</v>
      </c>
      <c r="D24" s="188">
        <f>$B24*D7</f>
        <v>157500</v>
      </c>
      <c r="E24" s="188">
        <f>$B24*E7</f>
        <v>292500</v>
      </c>
      <c r="F24" s="188">
        <f>$B24*F7</f>
        <v>487500</v>
      </c>
      <c r="G24" s="188">
        <f>$B24*G7</f>
        <v>780000</v>
      </c>
    </row>
    <row r="25" spans="1:7">
      <c r="A25" s="84" t="s">
        <v>136</v>
      </c>
      <c r="B25" s="201"/>
      <c r="C25" s="189">
        <f>SUM(C21:C24)</f>
        <v>149000</v>
      </c>
      <c r="D25" s="189">
        <f>SUM(D21:D24)</f>
        <v>413000</v>
      </c>
      <c r="E25" s="189">
        <f>SUM(E21:E24)</f>
        <v>702550</v>
      </c>
      <c r="F25" s="189">
        <f>SUM(F21:F24)</f>
        <v>1241500</v>
      </c>
      <c r="G25" s="189">
        <f>SUM(G21:G24)</f>
        <v>1752000</v>
      </c>
    </row>
    <row r="26" spans="1:7">
      <c r="A26" s="84" t="s">
        <v>55</v>
      </c>
      <c r="B26" s="200"/>
      <c r="C26" s="249">
        <f>C25/C7</f>
        <v>0.14899999999999999</v>
      </c>
      <c r="D26" s="249">
        <f>D25/D7</f>
        <v>7.8666666666666663E-2</v>
      </c>
      <c r="E26" s="249">
        <f>E25/E7</f>
        <v>7.2056410256410255E-2</v>
      </c>
      <c r="F26" s="249">
        <f>F25/F7</f>
        <v>7.6399999999999996E-2</v>
      </c>
      <c r="G26" s="249">
        <f>G25/G7</f>
        <v>6.738461538461539E-2</v>
      </c>
    </row>
    <row r="27" spans="1:7">
      <c r="A27" s="44"/>
      <c r="B27" s="201"/>
      <c r="C27" s="44"/>
      <c r="D27" s="44"/>
      <c r="E27" s="44"/>
      <c r="F27" s="44"/>
      <c r="G27" s="44"/>
    </row>
    <row r="28" spans="1:7">
      <c r="A28" s="56" t="s">
        <v>95</v>
      </c>
      <c r="B28" s="201"/>
      <c r="C28" s="44"/>
      <c r="D28" s="44"/>
      <c r="E28" s="44"/>
      <c r="F28" s="44"/>
      <c r="G28" s="44"/>
    </row>
    <row r="29" spans="1:7">
      <c r="A29" s="323" t="s">
        <v>208</v>
      </c>
    </row>
    <row r="30" spans="1:7">
      <c r="A30" s="168" t="s">
        <v>210</v>
      </c>
      <c r="B30" s="201"/>
      <c r="C30" s="87">
        <f>PERSONNEL!C50</f>
        <v>125000.15</v>
      </c>
      <c r="D30" s="87">
        <f>PERSONNEL!D50</f>
        <v>300150</v>
      </c>
      <c r="E30" s="87">
        <f>PERSONNEL!E50</f>
        <v>388440</v>
      </c>
      <c r="F30" s="87">
        <f>PERSONNEL!F50</f>
        <v>573600</v>
      </c>
      <c r="G30" s="87">
        <f>PERSONNEL!G50</f>
        <v>784800</v>
      </c>
    </row>
    <row r="31" spans="1:7">
      <c r="A31" s="168" t="s">
        <v>53</v>
      </c>
      <c r="B31" s="201"/>
      <c r="C31" s="415">
        <f>'PROP &amp; EQUIP'!C24</f>
        <v>6666.666666666667</v>
      </c>
      <c r="D31" s="415">
        <f>'PROP &amp; EQUIP'!D24</f>
        <v>40000</v>
      </c>
      <c r="E31" s="415">
        <f>'PROP &amp; EQUIP'!E24</f>
        <v>106666.66666666667</v>
      </c>
      <c r="F31" s="415">
        <f>'PROP &amp; EQUIP'!F24</f>
        <v>183333.33333333331</v>
      </c>
      <c r="G31" s="415">
        <f>'PROP &amp; EQUIP'!G24</f>
        <v>266666.66666666669</v>
      </c>
    </row>
    <row r="32" spans="1:7">
      <c r="A32" s="168" t="s">
        <v>146</v>
      </c>
      <c r="B32" s="201"/>
      <c r="C32" s="187">
        <v>20000</v>
      </c>
      <c r="D32" s="187">
        <v>20000</v>
      </c>
      <c r="E32" s="187">
        <v>100000</v>
      </c>
      <c r="F32" s="187">
        <v>110000</v>
      </c>
      <c r="G32" s="187">
        <v>200000</v>
      </c>
    </row>
    <row r="33" spans="1:8">
      <c r="A33" s="168"/>
      <c r="B33" s="201"/>
      <c r="C33" s="187"/>
      <c r="D33" s="187"/>
      <c r="E33" s="187"/>
      <c r="F33" s="187"/>
      <c r="G33" s="187"/>
    </row>
    <row r="34" spans="1:8">
      <c r="A34" s="168"/>
      <c r="B34" s="201"/>
      <c r="C34" s="187"/>
      <c r="D34" s="187"/>
      <c r="E34" s="187"/>
      <c r="F34" s="187"/>
      <c r="G34" s="187"/>
    </row>
    <row r="35" spans="1:8">
      <c r="A35" s="168"/>
      <c r="B35" s="201"/>
      <c r="C35" s="187"/>
      <c r="D35" s="187"/>
      <c r="E35" s="187"/>
      <c r="F35" s="187"/>
      <c r="G35" s="187"/>
    </row>
    <row r="36" spans="1:8">
      <c r="A36" s="322" t="s">
        <v>389</v>
      </c>
      <c r="B36" s="402">
        <v>0.02</v>
      </c>
      <c r="C36" s="190">
        <f>$B36*C7</f>
        <v>20000</v>
      </c>
      <c r="D36" s="190">
        <f>$B36*D7</f>
        <v>105000</v>
      </c>
      <c r="E36" s="190">
        <f>$B36*E7</f>
        <v>195000</v>
      </c>
      <c r="F36" s="190">
        <f>$B36*F7</f>
        <v>325000</v>
      </c>
      <c r="G36" s="190">
        <f>$B36*G7</f>
        <v>520000</v>
      </c>
    </row>
    <row r="38" spans="1:8">
      <c r="A38" s="314" t="s">
        <v>138</v>
      </c>
      <c r="B38" s="201"/>
      <c r="C38" s="189">
        <f>SUM(C30:C36)</f>
        <v>171666.81666666665</v>
      </c>
      <c r="D38" s="189">
        <f>SUM(D30:D36)</f>
        <v>465150</v>
      </c>
      <c r="E38" s="189">
        <f>SUM(E30:E36)</f>
        <v>790106.66666666674</v>
      </c>
      <c r="F38" s="189">
        <f>SUM(F30:F36)</f>
        <v>1191933.3333333333</v>
      </c>
      <c r="G38" s="189">
        <f>SUM(G30:G36)</f>
        <v>1771466.6666666667</v>
      </c>
    </row>
    <row r="39" spans="1:8">
      <c r="A39" s="84" t="s">
        <v>55</v>
      </c>
      <c r="B39" s="200"/>
      <c r="C39" s="249">
        <f>C38/C7</f>
        <v>0.17166681666666664</v>
      </c>
      <c r="D39" s="249">
        <f>D38/D7</f>
        <v>8.8599999999999998E-2</v>
      </c>
      <c r="E39" s="249">
        <f>E38/E7</f>
        <v>8.1036581196581206E-2</v>
      </c>
      <c r="F39" s="249">
        <f>F38/F7</f>
        <v>7.3349743589743582E-2</v>
      </c>
      <c r="G39" s="249">
        <f>G38/G7</f>
        <v>6.8133333333333337E-2</v>
      </c>
    </row>
    <row r="40" spans="1:8">
      <c r="A40" s="44"/>
      <c r="B40" s="44"/>
      <c r="C40" s="44"/>
      <c r="D40" s="44"/>
      <c r="E40" s="44"/>
      <c r="F40" s="606"/>
      <c r="G40" s="44"/>
    </row>
    <row r="41" spans="1:8" ht="13.5" thickBot="1">
      <c r="A41" s="56" t="s">
        <v>132</v>
      </c>
      <c r="B41" s="44"/>
      <c r="C41" s="406">
        <f>C16+C25+C38</f>
        <v>549666.81666666665</v>
      </c>
      <c r="D41" s="406">
        <f>D16+D25+D38</f>
        <v>1875900</v>
      </c>
      <c r="E41" s="406">
        <f>E16+E25+E38</f>
        <v>3298056.666666667</v>
      </c>
      <c r="F41" s="406">
        <f>F16+F25+F38</f>
        <v>5344933.333333333</v>
      </c>
      <c r="G41" s="406">
        <f>G16+G25+G38</f>
        <v>8199466.666666667</v>
      </c>
      <c r="H41" s="404"/>
    </row>
    <row r="42" spans="1:8" ht="13.5" thickTop="1">
      <c r="A42" s="168" t="s">
        <v>145</v>
      </c>
      <c r="C42" s="249">
        <f>C41/C7</f>
        <v>0.54966681666666661</v>
      </c>
      <c r="D42" s="249">
        <f>D41/D7</f>
        <v>0.3573142857142857</v>
      </c>
      <c r="E42" s="249">
        <f>E41/E7</f>
        <v>0.33826222222222224</v>
      </c>
      <c r="F42" s="249">
        <f>F41/F7</f>
        <v>0.32891897435897433</v>
      </c>
      <c r="G42" s="249">
        <f>G41/G7</f>
        <v>0.31536410256410258</v>
      </c>
    </row>
    <row r="43" spans="1:8">
      <c r="A43" s="168"/>
      <c r="C43" s="404"/>
      <c r="D43" s="404"/>
      <c r="E43" s="404"/>
      <c r="F43" s="404"/>
      <c r="G43" s="404"/>
    </row>
    <row r="44" spans="1:8">
      <c r="A44" s="56" t="s">
        <v>393</v>
      </c>
      <c r="B44" s="45"/>
      <c r="C44" s="404"/>
      <c r="D44" s="404"/>
      <c r="E44" s="404"/>
      <c r="F44" s="404"/>
      <c r="G44" s="404"/>
    </row>
    <row r="45" spans="1:8">
      <c r="A45" s="531" t="s">
        <v>147</v>
      </c>
      <c r="B45" s="45"/>
      <c r="C45" s="190">
        <f>C12+C15+C24+C36</f>
        <v>160000</v>
      </c>
      <c r="D45" s="190">
        <f>D12+D15+D24+D36</f>
        <v>840000</v>
      </c>
      <c r="E45" s="190">
        <f>E12+E15+E24+E36</f>
        <v>1560000</v>
      </c>
      <c r="F45" s="190">
        <f>F12+F15+F24+F36</f>
        <v>2600000</v>
      </c>
      <c r="G45" s="190">
        <f>G12+G15+G24+G36</f>
        <v>4160000</v>
      </c>
      <c r="H45" s="39"/>
    </row>
    <row r="46" spans="1:8">
      <c r="A46" s="531" t="s">
        <v>148</v>
      </c>
      <c r="B46" s="45"/>
      <c r="C46" s="188">
        <f>C11+C13+C21+C22+C30+C31+C32</f>
        <v>389666.81666666671</v>
      </c>
      <c r="D46" s="188">
        <f>D11+D13+D21+D22+D30+D31+D32</f>
        <v>1035900</v>
      </c>
      <c r="E46" s="188">
        <f>E11+E13+E21+E22+E30+E31+E32</f>
        <v>1738056.6666666667</v>
      </c>
      <c r="F46" s="188">
        <f>F11+F13+F21+F22+F30+F31+F32</f>
        <v>2744933.3333333335</v>
      </c>
      <c r="G46" s="188">
        <f>G11+G13+G21+G22+G30+G31+G32</f>
        <v>4039466.6666666665</v>
      </c>
      <c r="H46" s="39"/>
    </row>
    <row r="47" spans="1:8">
      <c r="A47" s="84" t="s">
        <v>150</v>
      </c>
      <c r="B47" s="45"/>
      <c r="C47" s="324">
        <f>C45+C46</f>
        <v>549666.81666666665</v>
      </c>
      <c r="D47" s="324">
        <f>D45+D46</f>
        <v>1875900</v>
      </c>
      <c r="E47" s="324">
        <f>E45+E46</f>
        <v>3298056.666666667</v>
      </c>
      <c r="F47" s="324">
        <f>F45+F46</f>
        <v>5344933.333333334</v>
      </c>
      <c r="G47" s="324">
        <f>G45+G46</f>
        <v>8199466.666666666</v>
      </c>
      <c r="H47" s="605"/>
    </row>
    <row r="48" spans="1:8">
      <c r="A48" s="84"/>
      <c r="B48" s="45"/>
      <c r="H48" s="605"/>
    </row>
    <row r="49" spans="1:7">
      <c r="A49" s="84"/>
      <c r="B49" s="45"/>
    </row>
    <row r="50" spans="1:7" ht="15.75">
      <c r="A50" s="46"/>
      <c r="B50" s="46"/>
      <c r="C50" s="46"/>
      <c r="D50" s="307" t="s">
        <v>396</v>
      </c>
      <c r="E50" s="309"/>
      <c r="F50" s="309"/>
      <c r="G50" s="46"/>
    </row>
    <row r="51" spans="1:7" ht="15.75">
      <c r="A51" s="46"/>
      <c r="B51" s="46"/>
      <c r="C51" s="46"/>
      <c r="D51" s="307" t="s">
        <v>94</v>
      </c>
      <c r="E51" s="309"/>
      <c r="F51" s="309"/>
      <c r="G51" s="46"/>
    </row>
    <row r="52" spans="1:7" ht="15.75">
      <c r="A52" s="46"/>
      <c r="B52" s="46"/>
      <c r="C52" s="59" t="s">
        <v>72</v>
      </c>
      <c r="D52" s="59" t="s">
        <v>73</v>
      </c>
      <c r="E52" s="59" t="s">
        <v>74</v>
      </c>
      <c r="F52" s="59" t="s">
        <v>75</v>
      </c>
      <c r="G52" s="59" t="s">
        <v>76</v>
      </c>
    </row>
    <row r="53" spans="1:7">
      <c r="A53" s="46" t="s">
        <v>172</v>
      </c>
      <c r="C53" s="324">
        <f>REVENUE!C22*'OPER EXP'!C$17</f>
        <v>0</v>
      </c>
      <c r="D53" s="324">
        <f>REVENUE!D22*'OPER EXP'!D$17</f>
        <v>49887.5</v>
      </c>
      <c r="E53" s="324">
        <f>REVENUE!E22*'OPER EXP'!E$42</f>
        <v>0</v>
      </c>
      <c r="F53" s="324">
        <f>REVENUE!F22*'OPER EXP'!F$42</f>
        <v>0</v>
      </c>
      <c r="G53" s="324">
        <f>REVENUE!G22*'OPER EXP'!G$42</f>
        <v>0</v>
      </c>
    </row>
    <row r="54" spans="1:7">
      <c r="A54" s="46" t="s">
        <v>173</v>
      </c>
      <c r="C54" s="324">
        <f>REVENUE!C23*'OPER EXP'!C$17</f>
        <v>0</v>
      </c>
      <c r="D54" s="324">
        <f>REVENUE!D23*'OPER EXP'!D$17</f>
        <v>49887.5</v>
      </c>
      <c r="E54" s="324">
        <f>REVENUE!E23*'OPER EXP'!E$42</f>
        <v>0</v>
      </c>
      <c r="F54" s="324">
        <f>REVENUE!F23*'OPER EXP'!F$42</f>
        <v>0</v>
      </c>
      <c r="G54" s="324">
        <f>REVENUE!G23*'OPER EXP'!G$42</f>
        <v>0</v>
      </c>
    </row>
    <row r="55" spans="1:7">
      <c r="A55" s="46" t="s">
        <v>174</v>
      </c>
      <c r="C55" s="384">
        <f>REVENUE!C24*'OPER EXP'!C$17</f>
        <v>0</v>
      </c>
      <c r="D55" s="384">
        <f>REVENUE!D24*'OPER EXP'!D$17</f>
        <v>69842.500000000015</v>
      </c>
      <c r="E55" s="384">
        <f>REVENUE!E24*'OPER EXP'!E$42</f>
        <v>0</v>
      </c>
      <c r="F55" s="384">
        <f>REVENUE!F24*'OPER EXP'!F$42</f>
        <v>0</v>
      </c>
      <c r="G55" s="384">
        <f>REVENUE!G24*'OPER EXP'!G$42</f>
        <v>0</v>
      </c>
    </row>
    <row r="56" spans="1:7">
      <c r="A56" s="303" t="s">
        <v>186</v>
      </c>
      <c r="C56" s="324">
        <f>REVENUE!C25*'OPER EXP'!C$17</f>
        <v>0</v>
      </c>
      <c r="D56" s="324">
        <f>REVENUE!D25*'OPER EXP'!D$17</f>
        <v>169617.5</v>
      </c>
      <c r="E56" s="324">
        <f>REVENUE!E25*'OPER EXP'!E$17</f>
        <v>370338.46153846156</v>
      </c>
      <c r="F56" s="324">
        <f>REVENUE!F25*'OPER EXP'!F$17</f>
        <v>537507.69230769237</v>
      </c>
      <c r="G56" s="324">
        <f>REVENUE!G25*'OPER EXP'!G$17</f>
        <v>899230.76923076925</v>
      </c>
    </row>
    <row r="57" spans="1:7">
      <c r="A57" s="46" t="s">
        <v>175</v>
      </c>
      <c r="B57" s="44"/>
      <c r="C57" s="324">
        <f>REVENUE!C26*'OPER EXP'!C$17</f>
        <v>11450</v>
      </c>
      <c r="D57" s="324">
        <f>REVENUE!D26*'OPER EXP'!D$17</f>
        <v>59865</v>
      </c>
      <c r="E57" s="324">
        <f>REVENUE!E26*'OPER EXP'!E$42</f>
        <v>0</v>
      </c>
      <c r="F57" s="324">
        <f>REVENUE!F26*'OPER EXP'!F$42</f>
        <v>0</v>
      </c>
      <c r="G57" s="324">
        <f>REVENUE!G26*'OPER EXP'!G$42</f>
        <v>0</v>
      </c>
    </row>
    <row r="58" spans="1:7">
      <c r="A58" s="46" t="s">
        <v>176</v>
      </c>
      <c r="B58" s="44"/>
      <c r="C58" s="324">
        <f>REVENUE!C27*'OPER EXP'!C$17</f>
        <v>18320</v>
      </c>
      <c r="D58" s="324">
        <f>REVENUE!D27*'OPER EXP'!D$17</f>
        <v>69842.500000000015</v>
      </c>
      <c r="E58" s="324">
        <f>REVENUE!E27*'OPER EXP'!E$42</f>
        <v>0</v>
      </c>
      <c r="F58" s="324">
        <f>REVENUE!F27*'OPER EXP'!F$42</f>
        <v>0</v>
      </c>
      <c r="G58" s="324">
        <f>REVENUE!G27*'OPER EXP'!G$42</f>
        <v>0</v>
      </c>
    </row>
    <row r="59" spans="1:7">
      <c r="A59" s="46" t="s">
        <v>177</v>
      </c>
      <c r="B59" s="44"/>
      <c r="C59" s="384">
        <f>REVENUE!C28*'OPER EXP'!C$17</f>
        <v>22900</v>
      </c>
      <c r="D59" s="384">
        <f>REVENUE!D28*'OPER EXP'!D$17</f>
        <v>69842.500000000015</v>
      </c>
      <c r="E59" s="384">
        <f>REVENUE!E28*'OPER EXP'!E$42</f>
        <v>0</v>
      </c>
      <c r="F59" s="384">
        <f>REVENUE!F28*'OPER EXP'!F$42</f>
        <v>0</v>
      </c>
      <c r="G59" s="384">
        <f>REVENUE!G28*'OPER EXP'!G$42</f>
        <v>0</v>
      </c>
    </row>
    <row r="60" spans="1:7">
      <c r="A60" s="303" t="s">
        <v>187</v>
      </c>
      <c r="B60" s="44"/>
      <c r="C60" s="324">
        <f>REVENUE!C29*'OPER EXP'!C$17</f>
        <v>52670</v>
      </c>
      <c r="D60" s="324">
        <f>REVENUE!D29*'OPER EXP'!D$17</f>
        <v>199550</v>
      </c>
      <c r="E60" s="324">
        <f>REVENUE!E29*'OPER EXP'!E$17</f>
        <v>462923.07692307694</v>
      </c>
      <c r="F60" s="324">
        <f>REVENUE!F29*'OPER EXP'!F$17</f>
        <v>716676.92307692312</v>
      </c>
      <c r="G60" s="324">
        <f>REVENUE!G29*'OPER EXP'!G$17</f>
        <v>1079076.923076923</v>
      </c>
    </row>
    <row r="61" spans="1:7">
      <c r="A61" s="46" t="s">
        <v>178</v>
      </c>
      <c r="B61" s="44"/>
      <c r="C61" s="324">
        <f>REVENUE!C30*'OPER EXP'!C$17</f>
        <v>22900</v>
      </c>
      <c r="D61" s="324">
        <f>REVENUE!D30*'OPER EXP'!D$17</f>
        <v>79820</v>
      </c>
      <c r="E61" s="324">
        <f>REVENUE!E30*'OPER EXP'!E$42</f>
        <v>0</v>
      </c>
      <c r="F61" s="324">
        <f>REVENUE!F30*'OPER EXP'!F$42</f>
        <v>0</v>
      </c>
      <c r="G61" s="324">
        <f>REVENUE!G30*'OPER EXP'!G$42</f>
        <v>0</v>
      </c>
    </row>
    <row r="62" spans="1:7">
      <c r="A62" s="46" t="s">
        <v>179</v>
      </c>
      <c r="B62" s="44"/>
      <c r="C62" s="324">
        <f>REVENUE!C31*'OPER EXP'!C$17</f>
        <v>27480</v>
      </c>
      <c r="D62" s="324">
        <f>REVENUE!D31*'OPER EXP'!D$17</f>
        <v>99775</v>
      </c>
      <c r="E62" s="324">
        <f>REVENUE!E31*'OPER EXP'!E$42</f>
        <v>0</v>
      </c>
      <c r="F62" s="324">
        <f>REVENUE!F31*'OPER EXP'!F$42</f>
        <v>0</v>
      </c>
      <c r="G62" s="324">
        <f>REVENUE!G31*'OPER EXP'!G$42</f>
        <v>0</v>
      </c>
    </row>
    <row r="63" spans="1:7">
      <c r="A63" s="46" t="s">
        <v>180</v>
      </c>
      <c r="B63" s="44"/>
      <c r="C63" s="384">
        <f>REVENUE!C32*'OPER EXP'!C$17</f>
        <v>34350</v>
      </c>
      <c r="D63" s="384">
        <f>REVENUE!D32*'OPER EXP'!D$17</f>
        <v>99775</v>
      </c>
      <c r="E63" s="384">
        <f>REVENUE!E32*'OPER EXP'!E$42</f>
        <v>0</v>
      </c>
      <c r="F63" s="384">
        <f>REVENUE!F32*'OPER EXP'!F$42</f>
        <v>0</v>
      </c>
      <c r="G63" s="384">
        <f>REVENUE!G32*'OPER EXP'!G$42</f>
        <v>0</v>
      </c>
    </row>
    <row r="64" spans="1:7">
      <c r="A64" s="303" t="s">
        <v>188</v>
      </c>
      <c r="B64" s="44"/>
      <c r="C64" s="324">
        <f>REVENUE!C33*'OPER EXP'!C$17</f>
        <v>84730</v>
      </c>
      <c r="D64" s="324">
        <f>REVENUE!D33*'OPER EXP'!D$17</f>
        <v>279370</v>
      </c>
      <c r="E64" s="324">
        <f>REVENUE!E33*'OPER EXP'!E$17</f>
        <v>462923.07692307694</v>
      </c>
      <c r="F64" s="324">
        <f>REVENUE!F33*'OPER EXP'!F$17</f>
        <v>806261.5384615385</v>
      </c>
      <c r="G64" s="324">
        <f>REVENUE!G33*'OPER EXP'!G$17</f>
        <v>1258923.076923077</v>
      </c>
    </row>
    <row r="65" spans="1:7">
      <c r="A65" s="46" t="s">
        <v>181</v>
      </c>
      <c r="B65" s="44"/>
      <c r="C65" s="324">
        <f>REVENUE!C34*'OPER EXP'!C$17</f>
        <v>27480</v>
      </c>
      <c r="D65" s="324">
        <f>REVENUE!D34*'OPER EXP'!D$17</f>
        <v>109752.5</v>
      </c>
      <c r="E65" s="324">
        <f>REVENUE!E34*'OPER EXP'!E$42</f>
        <v>0</v>
      </c>
      <c r="F65" s="324">
        <f>REVENUE!F34*'OPER EXP'!F$42</f>
        <v>0</v>
      </c>
      <c r="G65" s="324">
        <f>REVENUE!G34*'OPER EXP'!G$42</f>
        <v>0</v>
      </c>
    </row>
    <row r="66" spans="1:7">
      <c r="A66" s="46" t="s">
        <v>182</v>
      </c>
      <c r="B66" s="44"/>
      <c r="C66" s="324">
        <f>REVENUE!C35*'OPER EXP'!C$17</f>
        <v>29770</v>
      </c>
      <c r="D66" s="324">
        <f>REVENUE!D35*'OPER EXP'!D$17</f>
        <v>119730</v>
      </c>
      <c r="E66" s="324">
        <f>REVENUE!E35*'OPER EXP'!E$42</f>
        <v>0</v>
      </c>
      <c r="F66" s="324">
        <f>REVENUE!F35*'OPER EXP'!F$42</f>
        <v>0</v>
      </c>
      <c r="G66" s="324">
        <f>REVENUE!G35*'OPER EXP'!G$42</f>
        <v>0</v>
      </c>
    </row>
    <row r="67" spans="1:7">
      <c r="A67" s="46" t="s">
        <v>183</v>
      </c>
      <c r="B67" s="44"/>
      <c r="C67" s="384">
        <f>REVENUE!C36*'OPER EXP'!C$17</f>
        <v>34350</v>
      </c>
      <c r="D67" s="384">
        <f>REVENUE!D36*'OPER EXP'!D$17</f>
        <v>119730</v>
      </c>
      <c r="E67" s="384">
        <f>REVENUE!E36*'OPER EXP'!E$42</f>
        <v>0</v>
      </c>
      <c r="F67" s="384">
        <f>REVENUE!F36*'OPER EXP'!F$42</f>
        <v>0</v>
      </c>
      <c r="G67" s="384">
        <f>REVENUE!G36*'OPER EXP'!G$42</f>
        <v>0</v>
      </c>
    </row>
    <row r="68" spans="1:7">
      <c r="A68" s="303" t="s">
        <v>189</v>
      </c>
      <c r="B68" s="44"/>
      <c r="C68" s="385">
        <f>REVENUE!C37*'OPER EXP'!C$17</f>
        <v>91600</v>
      </c>
      <c r="D68" s="550">
        <f>REVENUE!D37*'OPER EXP'!D$17</f>
        <v>349212.5</v>
      </c>
      <c r="E68" s="385">
        <f>REVENUE!E37*'OPER EXP'!E$17</f>
        <v>509215.38461538462</v>
      </c>
      <c r="F68" s="385">
        <f>REVENUE!F37*'OPER EXP'!F$17</f>
        <v>851053.84615384613</v>
      </c>
      <c r="G68" s="385">
        <f>REVENUE!G37*'OPER EXP'!G$17</f>
        <v>1438769.2307692308</v>
      </c>
    </row>
    <row r="69" spans="1:7" ht="13.5" thickBot="1">
      <c r="A69" s="304" t="s">
        <v>190</v>
      </c>
      <c r="B69" s="44"/>
      <c r="C69" s="386">
        <f>REVENUE!C38*'OPER EXP'!C$17</f>
        <v>229000</v>
      </c>
      <c r="D69" s="386">
        <f>REVENUE!D38*'OPER EXP'!D$17</f>
        <v>997750</v>
      </c>
      <c r="E69" s="386">
        <f>REVENUE!E38*'OPER EXP'!E$17</f>
        <v>1805400</v>
      </c>
      <c r="F69" s="386">
        <f>REVENUE!F38*'OPER EXP'!F$17</f>
        <v>2911500</v>
      </c>
      <c r="G69" s="386">
        <f>REVENUE!G38*'OPER EXP'!G$17</f>
        <v>4676000</v>
      </c>
    </row>
    <row r="72" spans="1:7" ht="15.75">
      <c r="A72" s="46"/>
      <c r="B72" s="46"/>
      <c r="C72" s="46"/>
      <c r="D72" s="307" t="s">
        <v>397</v>
      </c>
      <c r="E72" s="309"/>
      <c r="F72" s="309"/>
      <c r="G72" s="46"/>
    </row>
    <row r="73" spans="1:7" ht="15.75">
      <c r="A73" s="46"/>
      <c r="B73" s="46"/>
      <c r="C73" s="46"/>
      <c r="D73" s="307" t="s">
        <v>94</v>
      </c>
      <c r="E73" s="309"/>
      <c r="F73" s="309"/>
      <c r="G73" s="46"/>
    </row>
    <row r="74" spans="1:7" ht="15.75">
      <c r="A74" s="46"/>
      <c r="B74" s="46"/>
      <c r="C74" s="59" t="s">
        <v>72</v>
      </c>
      <c r="D74" s="59" t="s">
        <v>73</v>
      </c>
      <c r="E74" s="59" t="s">
        <v>74</v>
      </c>
      <c r="F74" s="59" t="s">
        <v>75</v>
      </c>
      <c r="G74" s="59" t="s">
        <v>76</v>
      </c>
    </row>
    <row r="75" spans="1:7">
      <c r="A75" s="46" t="s">
        <v>172</v>
      </c>
      <c r="B75" s="44"/>
      <c r="C75" s="324">
        <f>REVENUE!C22*'OPER EXP'!C$26</f>
        <v>0</v>
      </c>
      <c r="D75" s="324">
        <f>REVENUE!D22*'OPER EXP'!D$26</f>
        <v>20650</v>
      </c>
      <c r="E75" s="324">
        <f>REVENUE!E44*'OPER EXP'!E$42</f>
        <v>0</v>
      </c>
      <c r="F75" s="324">
        <f>REVENUE!F44*'OPER EXP'!F$42</f>
        <v>0</v>
      </c>
      <c r="G75" s="324">
        <f>REVENUE!G44*'OPER EXP'!G$42</f>
        <v>0</v>
      </c>
    </row>
    <row r="76" spans="1:7">
      <c r="A76" s="46" t="s">
        <v>173</v>
      </c>
      <c r="B76" s="44"/>
      <c r="C76" s="324">
        <f>REVENUE!C23*'OPER EXP'!C$26</f>
        <v>0</v>
      </c>
      <c r="D76" s="324">
        <f>REVENUE!D23*'OPER EXP'!D$26</f>
        <v>20650</v>
      </c>
      <c r="E76" s="324">
        <f>REVENUE!E45*'OPER EXP'!E$42</f>
        <v>0</v>
      </c>
      <c r="F76" s="324">
        <f>REVENUE!F45*'OPER EXP'!F$42</f>
        <v>0</v>
      </c>
      <c r="G76" s="324">
        <f>REVENUE!G45*'OPER EXP'!G$42</f>
        <v>0</v>
      </c>
    </row>
    <row r="77" spans="1:7">
      <c r="A77" s="46" t="s">
        <v>174</v>
      </c>
      <c r="C77" s="384">
        <f>REVENUE!C24*'OPER EXP'!C$26</f>
        <v>0</v>
      </c>
      <c r="D77" s="384">
        <f>REVENUE!D24*'OPER EXP'!D$26</f>
        <v>28910.000000000004</v>
      </c>
      <c r="E77" s="384">
        <f>REVENUE!E46*'OPER EXP'!E$42</f>
        <v>0</v>
      </c>
      <c r="F77" s="384">
        <f>REVENUE!F46*'OPER EXP'!F$42</f>
        <v>0</v>
      </c>
      <c r="G77" s="384">
        <f>REVENUE!G46*'OPER EXP'!G$42</f>
        <v>0</v>
      </c>
    </row>
    <row r="78" spans="1:7">
      <c r="A78" s="303" t="s">
        <v>186</v>
      </c>
      <c r="C78" s="324">
        <f>REVENUE!C25*'OPER EXP'!C$26</f>
        <v>0</v>
      </c>
      <c r="D78" s="324">
        <f>REVENUE!D25*'OPER EXP'!D$26</f>
        <v>70210</v>
      </c>
      <c r="E78" s="324">
        <f>REVENUE!E25*'OPER EXP'!E$26</f>
        <v>144112.8205128205</v>
      </c>
      <c r="F78" s="324">
        <f>REVENUE!F25*'OPER EXP'!F$26</f>
        <v>229200</v>
      </c>
      <c r="G78" s="324">
        <f>REVENUE!G25*'OPER EXP'!G$26</f>
        <v>336923.07692307694</v>
      </c>
    </row>
    <row r="79" spans="1:7">
      <c r="A79" s="46" t="s">
        <v>175</v>
      </c>
      <c r="C79" s="324">
        <f>REVENUE!C26*'OPER EXP'!C$26</f>
        <v>7450</v>
      </c>
      <c r="D79" s="324">
        <f>REVENUE!D26*'OPER EXP'!D$26</f>
        <v>24780</v>
      </c>
      <c r="E79" s="324">
        <f>REVENUE!E48*'OPER EXP'!E$42</f>
        <v>0</v>
      </c>
      <c r="F79" s="324">
        <f>REVENUE!F48*'OPER EXP'!F$42</f>
        <v>0</v>
      </c>
      <c r="G79" s="324">
        <f>REVENUE!G48*'OPER EXP'!G$42</f>
        <v>0</v>
      </c>
    </row>
    <row r="80" spans="1:7">
      <c r="A80" s="46" t="s">
        <v>176</v>
      </c>
      <c r="C80" s="324">
        <f>REVENUE!C27*'OPER EXP'!C$26</f>
        <v>11920</v>
      </c>
      <c r="D80" s="324">
        <f>REVENUE!D27*'OPER EXP'!D$26</f>
        <v>28910.000000000004</v>
      </c>
      <c r="E80" s="324">
        <f>REVENUE!E49*'OPER EXP'!E$42</f>
        <v>0</v>
      </c>
      <c r="F80" s="324">
        <f>REVENUE!F49*'OPER EXP'!F$42</f>
        <v>0</v>
      </c>
      <c r="G80" s="324">
        <f>REVENUE!G49*'OPER EXP'!G$42</f>
        <v>0</v>
      </c>
    </row>
    <row r="81" spans="1:7">
      <c r="A81" s="46" t="s">
        <v>177</v>
      </c>
      <c r="C81" s="384">
        <f>REVENUE!C28*'OPER EXP'!C$26</f>
        <v>14900</v>
      </c>
      <c r="D81" s="384">
        <f>REVENUE!D28*'OPER EXP'!D$26</f>
        <v>28910.000000000004</v>
      </c>
      <c r="E81" s="384">
        <f>REVENUE!E50*'OPER EXP'!E$42</f>
        <v>0</v>
      </c>
      <c r="F81" s="384">
        <f>REVENUE!F50*'OPER EXP'!F$42</f>
        <v>0</v>
      </c>
      <c r="G81" s="384">
        <f>REVENUE!G50*'OPER EXP'!G$42</f>
        <v>0</v>
      </c>
    </row>
    <row r="82" spans="1:7">
      <c r="A82" s="303" t="s">
        <v>187</v>
      </c>
      <c r="C82" s="324">
        <f>REVENUE!C29*'OPER EXP'!C$26</f>
        <v>34270</v>
      </c>
      <c r="D82" s="324">
        <f>REVENUE!D29*'OPER EXP'!D$26</f>
        <v>82600</v>
      </c>
      <c r="E82" s="324">
        <f>REVENUE!E29*'OPER EXP'!E$26</f>
        <v>180141.02564102563</v>
      </c>
      <c r="F82" s="324">
        <f>REVENUE!F29*'OPER EXP'!F$26</f>
        <v>305600</v>
      </c>
      <c r="G82" s="324">
        <f>REVENUE!G29*'OPER EXP'!G$26</f>
        <v>404307.69230769231</v>
      </c>
    </row>
    <row r="83" spans="1:7">
      <c r="A83" s="46" t="s">
        <v>178</v>
      </c>
      <c r="C83" s="324">
        <f>REVENUE!C30*'OPER EXP'!C$26</f>
        <v>14900</v>
      </c>
      <c r="D83" s="324">
        <f>REVENUE!D30*'OPER EXP'!D$26</f>
        <v>33040</v>
      </c>
      <c r="E83" s="324">
        <f>REVENUE!E52*'OPER EXP'!E$42</f>
        <v>0</v>
      </c>
      <c r="F83" s="324">
        <f>REVENUE!F52*'OPER EXP'!F$42</f>
        <v>0</v>
      </c>
      <c r="G83" s="324">
        <f>REVENUE!G52*'OPER EXP'!G$42</f>
        <v>0</v>
      </c>
    </row>
    <row r="84" spans="1:7">
      <c r="A84" s="46" t="s">
        <v>179</v>
      </c>
      <c r="C84" s="324">
        <f>REVENUE!C31*'OPER EXP'!C$26</f>
        <v>17880</v>
      </c>
      <c r="D84" s="324">
        <f>REVENUE!D31*'OPER EXP'!D$26</f>
        <v>41300</v>
      </c>
      <c r="E84" s="324">
        <f>REVENUE!E53*'OPER EXP'!E$42</f>
        <v>0</v>
      </c>
      <c r="F84" s="324">
        <f>REVENUE!F53*'OPER EXP'!F$42</f>
        <v>0</v>
      </c>
      <c r="G84" s="324">
        <f>REVENUE!G53*'OPER EXP'!G$42</f>
        <v>0</v>
      </c>
    </row>
    <row r="85" spans="1:7">
      <c r="A85" s="46" t="s">
        <v>180</v>
      </c>
      <c r="C85" s="384">
        <f>REVENUE!C32*'OPER EXP'!C$26</f>
        <v>22350</v>
      </c>
      <c r="D85" s="384">
        <f>REVENUE!D32*'OPER EXP'!D$26</f>
        <v>41300</v>
      </c>
      <c r="E85" s="384">
        <f>REVENUE!E54*'OPER EXP'!E$42</f>
        <v>0</v>
      </c>
      <c r="F85" s="384">
        <f>REVENUE!F54*'OPER EXP'!F$42</f>
        <v>0</v>
      </c>
      <c r="G85" s="384">
        <f>REVENUE!G54*'OPER EXP'!G$42</f>
        <v>0</v>
      </c>
    </row>
    <row r="86" spans="1:7">
      <c r="A86" s="303" t="s">
        <v>188</v>
      </c>
      <c r="C86" s="324">
        <f>REVENUE!C33*'OPER EXP'!C$26</f>
        <v>55130</v>
      </c>
      <c r="D86" s="324">
        <f>REVENUE!D33*'OPER EXP'!D$26</f>
        <v>115640</v>
      </c>
      <c r="E86" s="324">
        <f>REVENUE!E33*'OPER EXP'!E$26</f>
        <v>180141.02564102563</v>
      </c>
      <c r="F86" s="324">
        <f>REVENUE!F33*'OPER EXP'!F$26</f>
        <v>343800</v>
      </c>
      <c r="G86" s="324">
        <f>REVENUE!G33*'OPER EXP'!G$26</f>
        <v>471692.30769230775</v>
      </c>
    </row>
    <row r="87" spans="1:7">
      <c r="A87" s="46" t="s">
        <v>181</v>
      </c>
      <c r="C87" s="324">
        <f>REVENUE!C34*'OPER EXP'!C$26</f>
        <v>17880</v>
      </c>
      <c r="D87" s="324">
        <f>REVENUE!D34*'OPER EXP'!D$26</f>
        <v>45430</v>
      </c>
      <c r="E87" s="324">
        <f>REVENUE!E56*'OPER EXP'!E$42</f>
        <v>0</v>
      </c>
      <c r="F87" s="324">
        <f>REVENUE!F56*'OPER EXP'!F$42</f>
        <v>0</v>
      </c>
      <c r="G87" s="324">
        <f>REVENUE!G56*'OPER EXP'!G$42</f>
        <v>0</v>
      </c>
    </row>
    <row r="88" spans="1:7">
      <c r="A88" s="46" t="s">
        <v>182</v>
      </c>
      <c r="C88" s="324">
        <f>REVENUE!C35*'OPER EXP'!C$26</f>
        <v>19370</v>
      </c>
      <c r="D88" s="324">
        <f>REVENUE!D35*'OPER EXP'!D$26</f>
        <v>49560</v>
      </c>
      <c r="E88" s="324">
        <f>REVENUE!E57*'OPER EXP'!E$42</f>
        <v>0</v>
      </c>
      <c r="F88" s="324">
        <f>REVENUE!F57*'OPER EXP'!F$42</f>
        <v>0</v>
      </c>
      <c r="G88" s="324">
        <f>REVENUE!G57*'OPER EXP'!G$42</f>
        <v>0</v>
      </c>
    </row>
    <row r="89" spans="1:7">
      <c r="A89" s="46" t="s">
        <v>183</v>
      </c>
      <c r="C89" s="384">
        <f>REVENUE!C36*'OPER EXP'!C$26</f>
        <v>22350</v>
      </c>
      <c r="D89" s="384">
        <f>REVENUE!D36*'OPER EXP'!D$26</f>
        <v>49560</v>
      </c>
      <c r="E89" s="384">
        <f>REVENUE!E58*'OPER EXP'!E$42</f>
        <v>0</v>
      </c>
      <c r="F89" s="384">
        <f>REVENUE!F58*'OPER EXP'!F$42</f>
        <v>0</v>
      </c>
      <c r="G89" s="384">
        <f>REVENUE!G58*'OPER EXP'!G$42</f>
        <v>0</v>
      </c>
    </row>
    <row r="90" spans="1:7">
      <c r="A90" s="303" t="s">
        <v>189</v>
      </c>
      <c r="C90" s="324">
        <f>REVENUE!C37*'OPER EXP'!C$26</f>
        <v>59600</v>
      </c>
      <c r="D90" s="324">
        <f>REVENUE!D37*'OPER EXP'!D$26</f>
        <v>144550</v>
      </c>
      <c r="E90" s="324">
        <f>REVENUE!E37*'OPER EXP'!E$26</f>
        <v>198155.12820512819</v>
      </c>
      <c r="F90" s="324">
        <f>REVENUE!F37*'OPER EXP'!F$26</f>
        <v>362900</v>
      </c>
      <c r="G90" s="324">
        <f>REVENUE!G37*'OPER EXP'!G$26</f>
        <v>539076.92307692312</v>
      </c>
    </row>
    <row r="91" spans="1:7" ht="13.5" thickBot="1">
      <c r="A91" s="304" t="s">
        <v>190</v>
      </c>
      <c r="C91" s="386">
        <f>REVENUE!C38*'OPER EXP'!C$26</f>
        <v>149000</v>
      </c>
      <c r="D91" s="386">
        <f>REVENUE!D38*'OPER EXP'!D$26</f>
        <v>413000</v>
      </c>
      <c r="E91" s="386">
        <f>REVENUE!E38*'OPER EXP'!E$26</f>
        <v>702550</v>
      </c>
      <c r="F91" s="386">
        <f>REVENUE!F38*'OPER EXP'!F$26</f>
        <v>1241500</v>
      </c>
      <c r="G91" s="386">
        <f>REVENUE!G38*'OPER EXP'!G$26</f>
        <v>1752000.0000000002</v>
      </c>
    </row>
    <row r="94" spans="1:7" ht="15.75">
      <c r="A94" s="46"/>
      <c r="B94" s="46"/>
      <c r="C94" s="46"/>
      <c r="D94" s="307" t="s">
        <v>398</v>
      </c>
      <c r="E94" s="309"/>
      <c r="F94" s="309"/>
      <c r="G94" s="46"/>
    </row>
    <row r="95" spans="1:7" ht="15.75">
      <c r="A95" s="46"/>
      <c r="B95" s="46"/>
      <c r="C95" s="46"/>
      <c r="D95" s="307" t="s">
        <v>94</v>
      </c>
      <c r="E95" s="309"/>
      <c r="F95" s="309"/>
      <c r="G95" s="46"/>
    </row>
    <row r="96" spans="1:7" ht="15.75">
      <c r="A96" s="46"/>
      <c r="B96" s="46"/>
      <c r="C96" s="59" t="s">
        <v>72</v>
      </c>
      <c r="D96" s="59" t="s">
        <v>73</v>
      </c>
      <c r="E96" s="59" t="s">
        <v>74</v>
      </c>
      <c r="F96" s="59" t="s">
        <v>75</v>
      </c>
      <c r="G96" s="59" t="s">
        <v>76</v>
      </c>
    </row>
    <row r="97" spans="1:7">
      <c r="A97" s="46" t="s">
        <v>172</v>
      </c>
      <c r="B97" s="44"/>
      <c r="C97" s="324">
        <f>REVENUE!C22*'OPER EXP'!C$39</f>
        <v>0</v>
      </c>
      <c r="D97" s="324">
        <f>REVENUE!D22*'OPER EXP'!D$39</f>
        <v>23257.5</v>
      </c>
      <c r="E97" s="324">
        <f>REVENUE!E66*'OPER EXP'!E$42</f>
        <v>0</v>
      </c>
      <c r="F97" s="324">
        <f>REVENUE!F66*'OPER EXP'!F$42</f>
        <v>0</v>
      </c>
      <c r="G97" s="324">
        <f>REVENUE!G66*'OPER EXP'!G$42</f>
        <v>0</v>
      </c>
    </row>
    <row r="98" spans="1:7">
      <c r="A98" s="46" t="s">
        <v>173</v>
      </c>
      <c r="B98" s="44"/>
      <c r="C98" s="324">
        <f>REVENUE!C23*'OPER EXP'!C$39</f>
        <v>0</v>
      </c>
      <c r="D98" s="324">
        <f>REVENUE!D23*'OPER EXP'!D$39</f>
        <v>23257.5</v>
      </c>
      <c r="E98" s="324">
        <f>REVENUE!E67*'OPER EXP'!E$42</f>
        <v>0</v>
      </c>
      <c r="F98" s="324">
        <f>REVENUE!F67*'OPER EXP'!F$42</f>
        <v>0</v>
      </c>
      <c r="G98" s="324">
        <f>REVENUE!G67*'OPER EXP'!G$42</f>
        <v>0</v>
      </c>
    </row>
    <row r="99" spans="1:7">
      <c r="A99" s="46" t="s">
        <v>174</v>
      </c>
      <c r="C99" s="384">
        <f>REVENUE!C24*'OPER EXP'!C$39</f>
        <v>0</v>
      </c>
      <c r="D99" s="384">
        <f>REVENUE!D24*'OPER EXP'!D$39</f>
        <v>32560.500000000004</v>
      </c>
      <c r="E99" s="384">
        <f>REVENUE!E68*'OPER EXP'!E$42</f>
        <v>0</v>
      </c>
      <c r="F99" s="384">
        <f>REVENUE!F68*'OPER EXP'!F$42</f>
        <v>0</v>
      </c>
      <c r="G99" s="384">
        <f>REVENUE!G68*'OPER EXP'!G$42</f>
        <v>0</v>
      </c>
    </row>
    <row r="100" spans="1:7">
      <c r="A100" s="303" t="s">
        <v>186</v>
      </c>
      <c r="C100" s="324">
        <f>REVENUE!C25*'OPER EXP'!C$39</f>
        <v>0</v>
      </c>
      <c r="D100" s="324">
        <f>REVENUE!D25*'OPER EXP'!D$39</f>
        <v>79075.5</v>
      </c>
      <c r="E100" s="324">
        <f>REVENUE!E25*'OPER EXP'!E$39</f>
        <v>162073.16239316241</v>
      </c>
      <c r="F100" s="324">
        <f>REVENUE!F25*'OPER EXP'!F$39</f>
        <v>220049.23076923075</v>
      </c>
      <c r="G100" s="324">
        <f>REVENUE!G25*'OPER EXP'!G$39</f>
        <v>340666.66666666669</v>
      </c>
    </row>
    <row r="101" spans="1:7">
      <c r="A101" s="46" t="s">
        <v>175</v>
      </c>
      <c r="C101" s="324">
        <f>REVENUE!C26*'OPER EXP'!C$39</f>
        <v>8583.3408333333318</v>
      </c>
      <c r="D101" s="324">
        <f>REVENUE!D26*'OPER EXP'!D$39</f>
        <v>27909</v>
      </c>
      <c r="E101" s="324">
        <f>REVENUE!E70*'OPER EXP'!E$42</f>
        <v>0</v>
      </c>
      <c r="F101" s="324">
        <f>REVENUE!F70*'OPER EXP'!F$42</f>
        <v>0</v>
      </c>
      <c r="G101" s="324">
        <f>REVENUE!G70*'OPER EXP'!G$42</f>
        <v>0</v>
      </c>
    </row>
    <row r="102" spans="1:7">
      <c r="A102" s="46" t="s">
        <v>176</v>
      </c>
      <c r="C102" s="324">
        <f>REVENUE!C27*'OPER EXP'!C$39</f>
        <v>13733.345333333331</v>
      </c>
      <c r="D102" s="324">
        <f>REVENUE!D27*'OPER EXP'!D$39</f>
        <v>32560.500000000004</v>
      </c>
      <c r="E102" s="324">
        <f>REVENUE!E71*'OPER EXP'!E$42</f>
        <v>0</v>
      </c>
      <c r="F102" s="324">
        <f>REVENUE!F71*'OPER EXP'!F$42</f>
        <v>0</v>
      </c>
      <c r="G102" s="324">
        <f>REVENUE!G71*'OPER EXP'!G$42</f>
        <v>0</v>
      </c>
    </row>
    <row r="103" spans="1:7">
      <c r="A103" s="46" t="s">
        <v>177</v>
      </c>
      <c r="C103" s="384">
        <f>REVENUE!C28*'OPER EXP'!C$39</f>
        <v>17166.681666666664</v>
      </c>
      <c r="D103" s="384">
        <f>REVENUE!D28*'OPER EXP'!D$39</f>
        <v>32560.500000000004</v>
      </c>
      <c r="E103" s="384">
        <f>REVENUE!E72*'OPER EXP'!E$42</f>
        <v>0</v>
      </c>
      <c r="F103" s="384">
        <f>REVENUE!F72*'OPER EXP'!F$42</f>
        <v>0</v>
      </c>
      <c r="G103" s="384">
        <f>REVENUE!G72*'OPER EXP'!G$42</f>
        <v>0</v>
      </c>
    </row>
    <row r="104" spans="1:7">
      <c r="A104" s="303" t="s">
        <v>187</v>
      </c>
      <c r="C104" s="324">
        <f>REVENUE!C29*'OPER EXP'!C$39</f>
        <v>39483.36783333333</v>
      </c>
      <c r="D104" s="324">
        <f>REVENUE!D29*'OPER EXP'!D$39</f>
        <v>93030</v>
      </c>
      <c r="E104" s="324">
        <f>REVENUE!E29*'OPER EXP'!E$39</f>
        <v>202591.45299145303</v>
      </c>
      <c r="F104" s="324">
        <f>REVENUE!F29*'OPER EXP'!F$39</f>
        <v>293398.97435897432</v>
      </c>
      <c r="G104" s="324">
        <f>REVENUE!G29*'OPER EXP'!G$39</f>
        <v>408800</v>
      </c>
    </row>
    <row r="105" spans="1:7">
      <c r="A105" s="46" t="s">
        <v>178</v>
      </c>
      <c r="C105" s="324">
        <f>REVENUE!C30*'OPER EXP'!C$39</f>
        <v>17166.681666666664</v>
      </c>
      <c r="D105" s="324">
        <f>REVENUE!D30*'OPER EXP'!D$39</f>
        <v>37212</v>
      </c>
      <c r="E105" s="324">
        <f>REVENUE!E74*'OPER EXP'!E$42</f>
        <v>0</v>
      </c>
      <c r="F105" s="324">
        <f>REVENUE!F74*'OPER EXP'!F$42</f>
        <v>0</v>
      </c>
      <c r="G105" s="324">
        <f>REVENUE!G74*'OPER EXP'!G$42</f>
        <v>0</v>
      </c>
    </row>
    <row r="106" spans="1:7">
      <c r="A106" s="46" t="s">
        <v>179</v>
      </c>
      <c r="C106" s="324">
        <f>REVENUE!C31*'OPER EXP'!C$39</f>
        <v>20600.017999999996</v>
      </c>
      <c r="D106" s="324">
        <f>REVENUE!D31*'OPER EXP'!D$39</f>
        <v>46515</v>
      </c>
      <c r="E106" s="324">
        <f>REVENUE!E75*'OPER EXP'!E$42</f>
        <v>0</v>
      </c>
      <c r="F106" s="324">
        <f>REVENUE!F75*'OPER EXP'!F$42</f>
        <v>0</v>
      </c>
      <c r="G106" s="324">
        <f>REVENUE!G75*'OPER EXP'!G$42</f>
        <v>0</v>
      </c>
    </row>
    <row r="107" spans="1:7">
      <c r="A107" s="46" t="s">
        <v>180</v>
      </c>
      <c r="C107" s="384">
        <f>REVENUE!C32*'OPER EXP'!C$39</f>
        <v>25750.022499999995</v>
      </c>
      <c r="D107" s="384">
        <f>REVENUE!D32*'OPER EXP'!D$39</f>
        <v>46515</v>
      </c>
      <c r="E107" s="384">
        <f>REVENUE!E76*'OPER EXP'!E$42</f>
        <v>0</v>
      </c>
      <c r="F107" s="384">
        <f>REVENUE!F76*'OPER EXP'!F$42</f>
        <v>0</v>
      </c>
      <c r="G107" s="384">
        <f>REVENUE!G76*'OPER EXP'!G$42</f>
        <v>0</v>
      </c>
    </row>
    <row r="108" spans="1:7">
      <c r="A108" s="303" t="s">
        <v>188</v>
      </c>
      <c r="C108" s="324">
        <f>REVENUE!C33*'OPER EXP'!C$39</f>
        <v>63516.722166666659</v>
      </c>
      <c r="D108" s="324">
        <f>REVENUE!D33*'OPER EXP'!D$39</f>
        <v>130242</v>
      </c>
      <c r="E108" s="324">
        <f>REVENUE!E33*'OPER EXP'!E$39</f>
        <v>202591.45299145303</v>
      </c>
      <c r="F108" s="324">
        <f>REVENUE!F33*'OPER EXP'!F$39</f>
        <v>330073.84615384613</v>
      </c>
      <c r="G108" s="324">
        <f>REVENUE!G33*'OPER EXP'!G$39</f>
        <v>476933.33333333337</v>
      </c>
    </row>
    <row r="109" spans="1:7">
      <c r="A109" s="46" t="s">
        <v>181</v>
      </c>
      <c r="C109" s="324">
        <f>REVENUE!C34*'OPER EXP'!C$39</f>
        <v>20600.017999999996</v>
      </c>
      <c r="D109" s="324">
        <f>REVENUE!D34*'OPER EXP'!D$39</f>
        <v>51166.5</v>
      </c>
      <c r="E109" s="324">
        <f>REVENUE!E78*'OPER EXP'!E$42</f>
        <v>0</v>
      </c>
      <c r="F109" s="324">
        <f>REVENUE!F78*'OPER EXP'!F$42</f>
        <v>0</v>
      </c>
      <c r="G109" s="324">
        <f>REVENUE!G78*'OPER EXP'!G$42</f>
        <v>0</v>
      </c>
    </row>
    <row r="110" spans="1:7">
      <c r="A110" s="46" t="s">
        <v>182</v>
      </c>
      <c r="C110" s="324">
        <f>REVENUE!C35*'OPER EXP'!C$39</f>
        <v>22316.686166666663</v>
      </c>
      <c r="D110" s="324">
        <f>REVENUE!D35*'OPER EXP'!D$39</f>
        <v>55818</v>
      </c>
      <c r="E110" s="324">
        <f>REVENUE!E79*'OPER EXP'!E$42</f>
        <v>0</v>
      </c>
      <c r="F110" s="324">
        <f>REVENUE!F79*'OPER EXP'!F$42</f>
        <v>0</v>
      </c>
      <c r="G110" s="324">
        <f>REVENUE!G79*'OPER EXP'!G$42</f>
        <v>0</v>
      </c>
    </row>
    <row r="111" spans="1:7">
      <c r="A111" s="46" t="s">
        <v>183</v>
      </c>
      <c r="C111" s="384">
        <f>REVENUE!C36*'OPER EXP'!C$39</f>
        <v>25750.022499999995</v>
      </c>
      <c r="D111" s="384">
        <f>REVENUE!D36*'OPER EXP'!D$39</f>
        <v>55818</v>
      </c>
      <c r="E111" s="384">
        <f>REVENUE!E80*'OPER EXP'!E$42</f>
        <v>0</v>
      </c>
      <c r="F111" s="384">
        <f>REVENUE!F80*'OPER EXP'!F$42</f>
        <v>0</v>
      </c>
      <c r="G111" s="384">
        <f>REVENUE!G80*'OPER EXP'!G$42</f>
        <v>0</v>
      </c>
    </row>
    <row r="112" spans="1:7">
      <c r="A112" s="303" t="s">
        <v>189</v>
      </c>
      <c r="C112" s="324">
        <f>REVENUE!C37*'OPER EXP'!C$39</f>
        <v>68666.726666666655</v>
      </c>
      <c r="D112" s="324">
        <f>REVENUE!D37*'OPER EXP'!D$39</f>
        <v>162802.5</v>
      </c>
      <c r="E112" s="324">
        <f>REVENUE!E37*'OPER EXP'!E$39</f>
        <v>222850.59829059831</v>
      </c>
      <c r="F112" s="324">
        <f>REVENUE!F37*'OPER EXP'!F$39</f>
        <v>348411.282051282</v>
      </c>
      <c r="G112" s="324">
        <f>REVENUE!G37*'OPER EXP'!G$39</f>
        <v>545066.66666666674</v>
      </c>
    </row>
    <row r="113" spans="1:7" ht="13.5" thickBot="1">
      <c r="A113" s="304" t="s">
        <v>190</v>
      </c>
      <c r="C113" s="386">
        <f>REVENUE!C38*'OPER EXP'!C$39</f>
        <v>171666.81666666665</v>
      </c>
      <c r="D113" s="386">
        <f>REVENUE!D38*'OPER EXP'!D$39</f>
        <v>465150</v>
      </c>
      <c r="E113" s="386">
        <f>REVENUE!E38*'OPER EXP'!E$39</f>
        <v>790106.66666666674</v>
      </c>
      <c r="F113" s="386">
        <f>REVENUE!F38*'OPER EXP'!F$39</f>
        <v>1191933.3333333333</v>
      </c>
      <c r="G113" s="386">
        <f>REVENUE!G38*'OPER EXP'!G$39</f>
        <v>1771466.6666666667</v>
      </c>
    </row>
    <row r="114" spans="1:7">
      <c r="C114" s="551"/>
    </row>
    <row r="115" spans="1:7">
      <c r="C115" s="551"/>
    </row>
  </sheetData>
  <phoneticPr fontId="0" type="noConversion"/>
  <pageMargins left="0.75" right="0.75" top="0.5" bottom="0.5" header="0.5" footer="0.5"/>
  <pageSetup scale="92" fitToHeight="0" orientation="portrait" horizontalDpi="300" verticalDpi="300" r:id="rId1"/>
  <headerFooter alignWithMargins="0">
    <oddHeader>&amp;R&amp;D
&amp;T</oddHeader>
  </headerFooter>
  <rowBreaks count="1" manualBreakCount="1">
    <brk id="49" max="6"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I105"/>
  <sheetViews>
    <sheetView zoomScale="75" zoomScaleNormal="75" workbookViewId="0">
      <selection activeCell="C1" sqref="C1"/>
    </sheetView>
  </sheetViews>
  <sheetFormatPr defaultColWidth="8.7109375" defaultRowHeight="12.75"/>
  <cols>
    <col min="1" max="1" width="31.140625" style="28" customWidth="1"/>
    <col min="2" max="2" width="4.7109375" style="28" customWidth="1"/>
    <col min="3" max="4" width="10.7109375" style="28" customWidth="1"/>
    <col min="5" max="5" width="12.140625" style="28" customWidth="1"/>
    <col min="6" max="6" width="13.140625" style="28" customWidth="1"/>
    <col min="7" max="7" width="12.42578125" style="28" customWidth="1"/>
    <col min="8" max="8" width="10.140625" style="28" customWidth="1"/>
    <col min="9" max="16384" width="8.7109375" style="28"/>
  </cols>
  <sheetData>
    <row r="1" spans="1:9" ht="23.25">
      <c r="A1" s="204" t="str">
        <f>COMPS!A1</f>
        <v>XYZ Company</v>
      </c>
      <c r="B1" s="294"/>
      <c r="C1" s="294"/>
      <c r="D1" s="294"/>
      <c r="E1" s="294"/>
      <c r="F1" s="294"/>
      <c r="G1" s="35"/>
      <c r="H1" s="610" t="s">
        <v>453</v>
      </c>
      <c r="I1" s="27"/>
    </row>
    <row r="2" spans="1:9" ht="15.75">
      <c r="A2" s="274" t="s">
        <v>294</v>
      </c>
      <c r="B2" s="35"/>
      <c r="C2" s="35"/>
      <c r="D2" s="35"/>
      <c r="E2" s="35"/>
      <c r="F2" s="35"/>
      <c r="G2" s="35"/>
      <c r="H2" s="27"/>
      <c r="I2" s="27"/>
    </row>
    <row r="3" spans="1:9" ht="15.75">
      <c r="A3" s="274" t="s">
        <v>71</v>
      </c>
      <c r="B3" s="35"/>
      <c r="C3" s="35"/>
      <c r="D3" s="35"/>
      <c r="E3" s="35"/>
      <c r="F3" s="35"/>
      <c r="G3" s="35"/>
      <c r="H3" s="27"/>
      <c r="I3" s="27"/>
    </row>
    <row r="4" spans="1:9" ht="15.75">
      <c r="A4" s="274" t="s">
        <v>94</v>
      </c>
      <c r="B4" s="35"/>
      <c r="C4" s="35"/>
      <c r="D4" s="35"/>
      <c r="E4" s="35"/>
      <c r="F4" s="35"/>
      <c r="G4" s="35"/>
      <c r="H4" s="27"/>
      <c r="I4" s="27"/>
    </row>
    <row r="5" spans="1:9" ht="15.75">
      <c r="A5" s="35"/>
      <c r="C5" s="68" t="s">
        <v>72</v>
      </c>
      <c r="D5" s="68" t="s">
        <v>73</v>
      </c>
      <c r="E5" s="68" t="s">
        <v>74</v>
      </c>
      <c r="F5" s="68" t="s">
        <v>75</v>
      </c>
      <c r="G5" s="68" t="s">
        <v>76</v>
      </c>
      <c r="H5" s="336"/>
    </row>
    <row r="6" spans="1:9" s="78" customFormat="1">
      <c r="A6" s="35"/>
      <c r="B6" s="85"/>
      <c r="C6" s="77"/>
      <c r="D6" s="77"/>
      <c r="E6" s="77"/>
      <c r="F6" s="77"/>
      <c r="G6" s="77"/>
    </row>
    <row r="7" spans="1:9" s="78" customFormat="1">
      <c r="A7" s="56" t="s">
        <v>56</v>
      </c>
      <c r="B7" s="86"/>
      <c r="C7" s="87">
        <f>REVENUE!C16</f>
        <v>1000000</v>
      </c>
      <c r="D7" s="87">
        <f>REVENUE!D16</f>
        <v>5250000</v>
      </c>
      <c r="E7" s="87">
        <f>REVENUE!E16</f>
        <v>9750000</v>
      </c>
      <c r="F7" s="87">
        <f>REVENUE!F16</f>
        <v>16250000</v>
      </c>
      <c r="G7" s="87">
        <f>REVENUE!G16</f>
        <v>26000000</v>
      </c>
    </row>
    <row r="8" spans="1:9" s="78" customFormat="1">
      <c r="A8" s="35"/>
      <c r="B8" s="85"/>
      <c r="C8" s="77"/>
      <c r="D8" s="77"/>
      <c r="E8" s="77"/>
      <c r="F8" s="77"/>
      <c r="G8" s="77"/>
    </row>
    <row r="9" spans="1:9">
      <c r="A9" s="69" t="s">
        <v>65</v>
      </c>
      <c r="B9" s="35"/>
      <c r="C9" s="35"/>
      <c r="D9" s="35"/>
      <c r="E9" s="35"/>
      <c r="F9" s="35"/>
      <c r="G9" s="35"/>
    </row>
    <row r="10" spans="1:9">
      <c r="A10" s="83" t="s">
        <v>409</v>
      </c>
      <c r="B10" s="88"/>
      <c r="C10" s="89">
        <v>60000</v>
      </c>
      <c r="D10" s="89">
        <v>80000</v>
      </c>
      <c r="E10" s="89">
        <v>100000</v>
      </c>
      <c r="F10" s="89">
        <v>125000</v>
      </c>
      <c r="G10" s="89">
        <v>150000</v>
      </c>
    </row>
    <row r="11" spans="1:9">
      <c r="A11" s="83" t="s">
        <v>410</v>
      </c>
      <c r="B11" s="88"/>
      <c r="C11" s="89"/>
      <c r="D11" s="89">
        <v>80000</v>
      </c>
      <c r="E11" s="89">
        <v>100000</v>
      </c>
      <c r="F11" s="89">
        <v>125000</v>
      </c>
      <c r="G11" s="89">
        <v>150000</v>
      </c>
    </row>
    <row r="12" spans="1:9">
      <c r="A12" s="83" t="s">
        <v>411</v>
      </c>
      <c r="B12" s="88"/>
      <c r="C12" s="89"/>
      <c r="D12" s="89">
        <v>40000</v>
      </c>
      <c r="E12" s="89">
        <v>120000</v>
      </c>
      <c r="F12" s="89">
        <v>200000</v>
      </c>
      <c r="G12" s="89">
        <v>250000</v>
      </c>
    </row>
    <row r="13" spans="1:9">
      <c r="A13" s="83" t="s">
        <v>196</v>
      </c>
      <c r="B13" s="88"/>
      <c r="C13" s="89"/>
      <c r="D13" s="89">
        <v>35000</v>
      </c>
      <c r="E13" s="89">
        <v>50000</v>
      </c>
      <c r="F13" s="89">
        <v>70000</v>
      </c>
      <c r="G13" s="89">
        <v>130000</v>
      </c>
    </row>
    <row r="14" spans="1:9">
      <c r="A14" s="83" t="s">
        <v>412</v>
      </c>
      <c r="B14" s="88"/>
      <c r="C14" s="89"/>
      <c r="D14" s="89"/>
      <c r="E14" s="89"/>
      <c r="F14" s="89"/>
      <c r="G14" s="89"/>
    </row>
    <row r="15" spans="1:9">
      <c r="A15" s="83" t="s">
        <v>412</v>
      </c>
      <c r="B15" s="88"/>
      <c r="C15" s="89"/>
      <c r="D15" s="89"/>
      <c r="E15" s="89"/>
      <c r="F15" s="89"/>
      <c r="G15" s="89"/>
    </row>
    <row r="16" spans="1:9">
      <c r="A16" s="83" t="s">
        <v>412</v>
      </c>
      <c r="B16" s="90"/>
      <c r="C16" s="91"/>
      <c r="D16" s="91"/>
      <c r="E16" s="91"/>
      <c r="F16" s="91"/>
      <c r="G16" s="91"/>
    </row>
    <row r="17" spans="1:8">
      <c r="A17" s="313" t="s">
        <v>413</v>
      </c>
      <c r="B17" s="90"/>
      <c r="C17" s="98">
        <f>SUM(C10:C16)</f>
        <v>60000</v>
      </c>
      <c r="D17" s="98">
        <f>SUM(D10:D16)</f>
        <v>235000</v>
      </c>
      <c r="E17" s="98">
        <f>SUM(E10:E16)</f>
        <v>370000</v>
      </c>
      <c r="F17" s="98">
        <f>SUM(F10:F16)</f>
        <v>520000</v>
      </c>
      <c r="G17" s="98">
        <f>SUM(G10:G16)</f>
        <v>680000</v>
      </c>
    </row>
    <row r="18" spans="1:8">
      <c r="A18" s="83" t="s">
        <v>414</v>
      </c>
      <c r="B18" s="90"/>
      <c r="C18" s="92"/>
      <c r="D18" s="92"/>
      <c r="E18" s="92"/>
      <c r="F18" s="92"/>
      <c r="G18" s="92"/>
    </row>
    <row r="19" spans="1:8">
      <c r="A19" s="83" t="s">
        <v>415</v>
      </c>
      <c r="C19" s="120">
        <v>0.15</v>
      </c>
      <c r="D19" s="120">
        <v>0.15</v>
      </c>
      <c r="E19" s="120">
        <v>0.17</v>
      </c>
      <c r="F19" s="120">
        <v>0.2</v>
      </c>
      <c r="G19" s="120">
        <v>0.2</v>
      </c>
      <c r="H19" s="276"/>
    </row>
    <row r="20" spans="1:8">
      <c r="A20" s="313" t="s">
        <v>198</v>
      </c>
      <c r="B20" s="90"/>
      <c r="C20" s="97">
        <f>C19*C17</f>
        <v>9000</v>
      </c>
      <c r="D20" s="97">
        <f>D19*D17</f>
        <v>35250</v>
      </c>
      <c r="E20" s="97">
        <f>E19*E17</f>
        <v>62900.000000000007</v>
      </c>
      <c r="F20" s="97">
        <f>F19*F17</f>
        <v>104000</v>
      </c>
      <c r="G20" s="97">
        <f>G19*G17</f>
        <v>136000</v>
      </c>
    </row>
    <row r="21" spans="1:8" ht="13.5" thickBot="1">
      <c r="A21" s="70" t="s">
        <v>66</v>
      </c>
      <c r="B21" s="90"/>
      <c r="C21" s="93">
        <f>C17+C20</f>
        <v>69000</v>
      </c>
      <c r="D21" s="93">
        <f>D17+D20</f>
        <v>270250</v>
      </c>
      <c r="E21" s="93">
        <f>E17+E20</f>
        <v>432900</v>
      </c>
      <c r="F21" s="93">
        <f>F17+F20</f>
        <v>624000</v>
      </c>
      <c r="G21" s="93">
        <f>G17+G20</f>
        <v>816000</v>
      </c>
    </row>
    <row r="22" spans="1:8">
      <c r="A22" s="44" t="s">
        <v>55</v>
      </c>
      <c r="B22" s="95"/>
      <c r="C22" s="94">
        <f>C21/C$7</f>
        <v>6.9000000000000006E-2</v>
      </c>
      <c r="D22" s="94">
        <f>D21/D$7</f>
        <v>5.1476190476190474E-2</v>
      </c>
      <c r="E22" s="94">
        <f>E21/E$7</f>
        <v>4.4400000000000002E-2</v>
      </c>
      <c r="F22" s="94">
        <f>F21/F$7</f>
        <v>3.8399999999999997E-2</v>
      </c>
      <c r="G22" s="94">
        <f>G21/G$7</f>
        <v>3.1384615384615386E-2</v>
      </c>
    </row>
    <row r="23" spans="1:8">
      <c r="A23" s="35"/>
      <c r="B23" s="92"/>
      <c r="C23" s="92"/>
      <c r="D23" s="92"/>
      <c r="E23" s="92"/>
      <c r="F23" s="92"/>
      <c r="G23" s="92"/>
    </row>
    <row r="24" spans="1:8">
      <c r="A24" s="69" t="s">
        <v>67</v>
      </c>
      <c r="B24" s="250"/>
      <c r="C24" s="92"/>
      <c r="D24" s="92"/>
      <c r="E24" s="92"/>
      <c r="F24" s="92"/>
      <c r="G24" s="92"/>
    </row>
    <row r="25" spans="1:8">
      <c r="A25" s="83" t="s">
        <v>135</v>
      </c>
      <c r="B25" s="250"/>
      <c r="C25" s="89"/>
      <c r="D25" s="89">
        <v>80000</v>
      </c>
      <c r="E25" s="89">
        <v>100000</v>
      </c>
      <c r="F25" s="89">
        <v>125000</v>
      </c>
      <c r="G25" s="89">
        <v>150000</v>
      </c>
    </row>
    <row r="26" spans="1:8">
      <c r="A26" s="83" t="s">
        <v>213</v>
      </c>
      <c r="B26" s="250"/>
      <c r="C26" s="89">
        <v>60000</v>
      </c>
      <c r="D26" s="89">
        <v>60000</v>
      </c>
      <c r="E26" s="89">
        <v>130000</v>
      </c>
      <c r="F26" s="89">
        <v>230000</v>
      </c>
      <c r="G26" s="89">
        <v>300000</v>
      </c>
    </row>
    <row r="27" spans="1:8">
      <c r="A27" s="83" t="s">
        <v>214</v>
      </c>
      <c r="B27" s="250"/>
      <c r="C27" s="89"/>
      <c r="D27" s="89">
        <v>30000</v>
      </c>
      <c r="E27" s="89">
        <v>35000</v>
      </c>
      <c r="F27" s="89">
        <v>65000</v>
      </c>
      <c r="G27" s="89">
        <v>110000</v>
      </c>
    </row>
    <row r="28" spans="1:8">
      <c r="A28" s="83" t="s">
        <v>197</v>
      </c>
      <c r="B28" s="250"/>
      <c r="C28" s="89"/>
      <c r="D28" s="89"/>
      <c r="E28" s="89"/>
      <c r="F28" s="89"/>
      <c r="G28" s="89"/>
    </row>
    <row r="29" spans="1:8">
      <c r="A29" s="83" t="s">
        <v>412</v>
      </c>
      <c r="B29" s="250"/>
      <c r="C29" s="89"/>
      <c r="D29" s="89"/>
      <c r="E29" s="89"/>
      <c r="F29" s="89"/>
      <c r="G29" s="89"/>
    </row>
    <row r="30" spans="1:8">
      <c r="A30" s="83" t="s">
        <v>412</v>
      </c>
      <c r="B30" s="250"/>
      <c r="C30" s="91"/>
      <c r="D30" s="91"/>
      <c r="E30" s="91"/>
      <c r="F30" s="91"/>
      <c r="G30" s="91"/>
    </row>
    <row r="31" spans="1:8">
      <c r="A31" s="313" t="s">
        <v>413</v>
      </c>
      <c r="B31" s="250"/>
      <c r="C31" s="98">
        <f>SUM(C25:C30)</f>
        <v>60000</v>
      </c>
      <c r="D31" s="98">
        <f>SUM(D25:D30)</f>
        <v>170000</v>
      </c>
      <c r="E31" s="98">
        <f>SUM(E25:E30)</f>
        <v>265000</v>
      </c>
      <c r="F31" s="98">
        <f>SUM(F25:F30)</f>
        <v>420000</v>
      </c>
      <c r="G31" s="98">
        <f>SUM(G25:G30)</f>
        <v>560000</v>
      </c>
    </row>
    <row r="32" spans="1:8">
      <c r="A32" s="83" t="s">
        <v>414</v>
      </c>
      <c r="B32" s="250"/>
      <c r="C32" s="92"/>
      <c r="D32" s="92"/>
      <c r="E32" s="92"/>
      <c r="F32" s="92"/>
      <c r="G32" s="92"/>
    </row>
    <row r="33" spans="1:7">
      <c r="A33" s="83" t="s">
        <v>415</v>
      </c>
      <c r="B33" s="276"/>
      <c r="C33" s="120">
        <v>0.15</v>
      </c>
      <c r="D33" s="120">
        <v>0.15</v>
      </c>
      <c r="E33" s="120">
        <v>0.17</v>
      </c>
      <c r="F33" s="120">
        <v>0.2</v>
      </c>
      <c r="G33" s="120">
        <v>0.2</v>
      </c>
    </row>
    <row r="34" spans="1:7">
      <c r="A34" s="313" t="s">
        <v>198</v>
      </c>
      <c r="B34" s="250"/>
      <c r="C34" s="97">
        <f>C33*C31</f>
        <v>9000</v>
      </c>
      <c r="D34" s="97">
        <f>D33*D31</f>
        <v>25500</v>
      </c>
      <c r="E34" s="97">
        <f>E33*E31</f>
        <v>45050</v>
      </c>
      <c r="F34" s="97">
        <f>F33*F31</f>
        <v>84000</v>
      </c>
      <c r="G34" s="97">
        <f>G33*G31</f>
        <v>112000</v>
      </c>
    </row>
    <row r="35" spans="1:7" ht="13.5" thickBot="1">
      <c r="A35" s="70" t="s">
        <v>421</v>
      </c>
      <c r="B35" s="250"/>
      <c r="C35" s="93">
        <f>C31+C34</f>
        <v>69000</v>
      </c>
      <c r="D35" s="93">
        <f>D31+D34</f>
        <v>195500</v>
      </c>
      <c r="E35" s="93">
        <f>E31+E34</f>
        <v>310050</v>
      </c>
      <c r="F35" s="93">
        <f>F31+F34</f>
        <v>504000</v>
      </c>
      <c r="G35" s="93">
        <f>G31+G34</f>
        <v>672000</v>
      </c>
    </row>
    <row r="36" spans="1:7">
      <c r="A36" s="44" t="s">
        <v>55</v>
      </c>
      <c r="B36" s="95"/>
      <c r="C36" s="94">
        <f>C35/C$7</f>
        <v>6.9000000000000006E-2</v>
      </c>
      <c r="D36" s="94">
        <f>D35/D$7</f>
        <v>3.7238095238095237E-2</v>
      </c>
      <c r="E36" s="94">
        <f>E35/E$7</f>
        <v>3.1800000000000002E-2</v>
      </c>
      <c r="F36" s="94">
        <f>F35/F$7</f>
        <v>3.1015384615384615E-2</v>
      </c>
      <c r="G36" s="94">
        <f>G35/G$7</f>
        <v>2.5846153846153845E-2</v>
      </c>
    </row>
    <row r="37" spans="1:7">
      <c r="A37" s="35"/>
      <c r="B37" s="250"/>
      <c r="C37" s="92"/>
      <c r="D37" s="92"/>
      <c r="E37" s="92"/>
      <c r="F37" s="92"/>
      <c r="G37" s="92"/>
    </row>
    <row r="38" spans="1:7">
      <c r="A38" s="69" t="s">
        <v>95</v>
      </c>
      <c r="B38" s="250"/>
      <c r="C38" s="92"/>
      <c r="D38" s="92"/>
      <c r="E38" s="92"/>
      <c r="F38" s="92"/>
      <c r="G38" s="92"/>
    </row>
    <row r="39" spans="1:7">
      <c r="A39" s="83" t="s">
        <v>417</v>
      </c>
      <c r="B39" s="250"/>
      <c r="C39" s="89">
        <v>60000</v>
      </c>
      <c r="D39" s="89">
        <v>80000</v>
      </c>
      <c r="E39" s="89">
        <v>100000</v>
      </c>
      <c r="F39" s="89">
        <v>125000</v>
      </c>
      <c r="G39" s="89">
        <v>150000</v>
      </c>
    </row>
    <row r="40" spans="1:7">
      <c r="A40" s="83" t="s">
        <v>451</v>
      </c>
      <c r="B40" s="250"/>
      <c r="C40" s="89"/>
      <c r="D40" s="89">
        <v>50000</v>
      </c>
      <c r="E40" s="89">
        <v>60000</v>
      </c>
      <c r="F40" s="89">
        <v>75000</v>
      </c>
      <c r="G40" s="89">
        <v>100000</v>
      </c>
    </row>
    <row r="41" spans="1:7">
      <c r="A41" s="83" t="s">
        <v>418</v>
      </c>
      <c r="B41" s="250"/>
      <c r="C41" s="89">
        <v>40000</v>
      </c>
      <c r="D41" s="89">
        <v>45000</v>
      </c>
      <c r="E41" s="89">
        <v>25000</v>
      </c>
      <c r="F41" s="89">
        <v>50000</v>
      </c>
      <c r="G41" s="89">
        <v>75000</v>
      </c>
    </row>
    <row r="42" spans="1:7">
      <c r="A42" s="83" t="s">
        <v>419</v>
      </c>
      <c r="B42" s="250"/>
      <c r="C42" s="89">
        <v>25000</v>
      </c>
      <c r="D42" s="89">
        <v>26000</v>
      </c>
      <c r="E42" s="89">
        <v>27000</v>
      </c>
      <c r="F42" s="89">
        <v>28000</v>
      </c>
      <c r="G42" s="89">
        <v>29000</v>
      </c>
    </row>
    <row r="43" spans="1:7">
      <c r="A43" s="83" t="s">
        <v>447</v>
      </c>
      <c r="B43" s="250"/>
      <c r="C43" s="89"/>
      <c r="D43" s="89">
        <v>60000</v>
      </c>
      <c r="E43" s="89">
        <v>120000</v>
      </c>
      <c r="F43" s="89">
        <v>200000</v>
      </c>
      <c r="G43" s="89">
        <v>300000</v>
      </c>
    </row>
    <row r="44" spans="1:7">
      <c r="A44" s="83" t="s">
        <v>412</v>
      </c>
      <c r="B44" s="250"/>
      <c r="C44" s="89"/>
      <c r="D44" s="89"/>
      <c r="E44" s="89"/>
      <c r="F44" s="89"/>
      <c r="G44" s="89"/>
    </row>
    <row r="45" spans="1:7">
      <c r="A45" s="83" t="s">
        <v>412</v>
      </c>
      <c r="B45" s="250"/>
      <c r="C45" s="91"/>
      <c r="D45" s="91"/>
      <c r="E45" s="91"/>
      <c r="F45" s="91"/>
      <c r="G45" s="91"/>
    </row>
    <row r="46" spans="1:7">
      <c r="A46" s="313" t="s">
        <v>413</v>
      </c>
      <c r="B46" s="250"/>
      <c r="C46" s="98">
        <f>SUM(C39:C45)</f>
        <v>125000</v>
      </c>
      <c r="D46" s="98">
        <f>SUM(D39:D45)</f>
        <v>261000</v>
      </c>
      <c r="E46" s="98">
        <f>SUM(E39:E45)</f>
        <v>332000</v>
      </c>
      <c r="F46" s="98">
        <f>SUM(F39:F45)</f>
        <v>478000</v>
      </c>
      <c r="G46" s="98">
        <f>SUM(G39:G45)</f>
        <v>654000</v>
      </c>
    </row>
    <row r="47" spans="1:7">
      <c r="A47" s="83" t="s">
        <v>414</v>
      </c>
      <c r="B47" s="250"/>
      <c r="C47" s="92"/>
      <c r="D47" s="92"/>
      <c r="E47" s="92"/>
      <c r="F47" s="92"/>
      <c r="G47" s="92"/>
    </row>
    <row r="48" spans="1:7">
      <c r="A48" s="83" t="s">
        <v>415</v>
      </c>
      <c r="B48" s="96"/>
      <c r="C48" s="120">
        <v>0.15</v>
      </c>
      <c r="D48" s="120">
        <v>0.15</v>
      </c>
      <c r="E48" s="120">
        <v>0.17</v>
      </c>
      <c r="F48" s="120">
        <v>0.2</v>
      </c>
      <c r="G48" s="120">
        <v>0.2</v>
      </c>
    </row>
    <row r="49" spans="1:8">
      <c r="A49" s="313" t="s">
        <v>198</v>
      </c>
      <c r="B49" s="250"/>
      <c r="C49" s="97">
        <v>0.15</v>
      </c>
      <c r="D49" s="97">
        <f>D48*D46</f>
        <v>39150</v>
      </c>
      <c r="E49" s="97">
        <f>E48*E46</f>
        <v>56440.000000000007</v>
      </c>
      <c r="F49" s="97">
        <f>F48*F46</f>
        <v>95600</v>
      </c>
      <c r="G49" s="97">
        <f>G48*G46</f>
        <v>130800</v>
      </c>
      <c r="H49" s="35"/>
    </row>
    <row r="50" spans="1:8" ht="13.5" thickBot="1">
      <c r="A50" s="70" t="s">
        <v>420</v>
      </c>
      <c r="B50" s="250"/>
      <c r="C50" s="93">
        <f>C46+C49</f>
        <v>125000.15</v>
      </c>
      <c r="D50" s="93">
        <f>D46+D49</f>
        <v>300150</v>
      </c>
      <c r="E50" s="93">
        <f>E46+E49</f>
        <v>388440</v>
      </c>
      <c r="F50" s="93">
        <f>F46+F49</f>
        <v>573600</v>
      </c>
      <c r="G50" s="93">
        <f>G46+G49</f>
        <v>784800</v>
      </c>
      <c r="H50" s="35"/>
    </row>
    <row r="51" spans="1:8">
      <c r="A51" s="44" t="s">
        <v>55</v>
      </c>
      <c r="B51" s="95"/>
      <c r="C51" s="94">
        <f>C50/C$7</f>
        <v>0.12500015</v>
      </c>
      <c r="D51" s="94">
        <f>D50/D$7</f>
        <v>5.7171428571428574E-2</v>
      </c>
      <c r="E51" s="94">
        <f>E50/E$7</f>
        <v>3.984E-2</v>
      </c>
      <c r="F51" s="94">
        <f>F50/F$7</f>
        <v>3.5298461538461536E-2</v>
      </c>
      <c r="G51" s="94">
        <f>G50/G$7</f>
        <v>3.0184615384615386E-2</v>
      </c>
    </row>
    <row r="52" spans="1:8">
      <c r="A52" s="44"/>
      <c r="B52" s="95"/>
      <c r="C52" s="96"/>
      <c r="D52" s="96"/>
      <c r="E52" s="96"/>
      <c r="F52" s="96"/>
      <c r="G52" s="96"/>
    </row>
    <row r="53" spans="1:8">
      <c r="A53" s="56" t="s">
        <v>193</v>
      </c>
      <c r="B53" s="95"/>
      <c r="C53" s="96"/>
      <c r="D53" s="96"/>
      <c r="E53" s="96"/>
      <c r="F53" s="96"/>
      <c r="G53" s="96"/>
    </row>
    <row r="54" spans="1:8">
      <c r="A54" s="314" t="s">
        <v>448</v>
      </c>
      <c r="B54" s="95"/>
      <c r="C54" s="96"/>
      <c r="D54" s="96"/>
      <c r="E54" s="96"/>
      <c r="F54" s="96"/>
      <c r="G54" s="96"/>
    </row>
    <row r="55" spans="1:8">
      <c r="A55" s="168" t="s">
        <v>422</v>
      </c>
      <c r="B55" s="95"/>
      <c r="C55" s="577">
        <v>100000</v>
      </c>
      <c r="D55" s="577">
        <v>125000</v>
      </c>
      <c r="E55" s="577">
        <v>150000</v>
      </c>
      <c r="F55" s="577">
        <v>175000</v>
      </c>
      <c r="G55" s="577">
        <v>200000</v>
      </c>
    </row>
    <row r="56" spans="1:8">
      <c r="A56" s="168" t="s">
        <v>439</v>
      </c>
      <c r="B56" s="95"/>
      <c r="C56" s="577">
        <v>50000</v>
      </c>
      <c r="D56" s="577">
        <v>100000</v>
      </c>
      <c r="E56" s="577">
        <v>150000</v>
      </c>
      <c r="F56" s="577">
        <v>300000</v>
      </c>
      <c r="G56" s="577">
        <v>350000</v>
      </c>
    </row>
    <row r="57" spans="1:8">
      <c r="A57" s="168" t="s">
        <v>440</v>
      </c>
      <c r="B57" s="95"/>
      <c r="C57" s="577">
        <v>40000</v>
      </c>
      <c r="D57" s="577">
        <v>150000</v>
      </c>
      <c r="E57" s="577">
        <v>200000</v>
      </c>
      <c r="F57" s="577">
        <v>300000</v>
      </c>
      <c r="G57" s="577">
        <v>450000</v>
      </c>
    </row>
    <row r="58" spans="1:8">
      <c r="A58" s="168" t="s">
        <v>441</v>
      </c>
      <c r="B58" s="95"/>
      <c r="C58" s="577"/>
      <c r="D58" s="577">
        <v>75000</v>
      </c>
      <c r="E58" s="577">
        <v>125000</v>
      </c>
      <c r="F58" s="577">
        <v>150000</v>
      </c>
      <c r="G58" s="577">
        <v>300000</v>
      </c>
    </row>
    <row r="59" spans="1:8">
      <c r="A59" s="168" t="s">
        <v>442</v>
      </c>
      <c r="B59" s="95"/>
      <c r="C59" s="579">
        <v>50000</v>
      </c>
      <c r="D59" s="579">
        <v>150000</v>
      </c>
      <c r="E59" s="579">
        <v>200000</v>
      </c>
      <c r="F59" s="579">
        <v>250000</v>
      </c>
      <c r="G59" s="579">
        <v>300000</v>
      </c>
    </row>
    <row r="60" spans="1:8">
      <c r="A60" s="168" t="s">
        <v>423</v>
      </c>
      <c r="B60" s="95"/>
      <c r="C60" s="311"/>
      <c r="D60" s="311"/>
      <c r="E60" s="311"/>
      <c r="F60" s="311"/>
      <c r="G60" s="311"/>
    </row>
    <row r="61" spans="1:8">
      <c r="A61" s="580" t="s">
        <v>413</v>
      </c>
      <c r="B61" s="95"/>
      <c r="C61" s="141">
        <f>SUM(C55:C60)</f>
        <v>240000</v>
      </c>
      <c r="D61" s="141">
        <f>SUM(D55:D60)</f>
        <v>600000</v>
      </c>
      <c r="E61" s="141">
        <f>SUM(E55:E60)</f>
        <v>825000</v>
      </c>
      <c r="F61" s="141">
        <f>SUM(F55:F60)</f>
        <v>1175000</v>
      </c>
      <c r="G61" s="141">
        <f>SUM(G55:G60)</f>
        <v>1600000</v>
      </c>
    </row>
    <row r="62" spans="1:8">
      <c r="A62" s="313" t="s">
        <v>414</v>
      </c>
      <c r="B62" s="95"/>
      <c r="C62" s="92"/>
      <c r="D62" s="92"/>
      <c r="E62" s="92"/>
      <c r="F62" s="92"/>
      <c r="G62" s="92"/>
    </row>
    <row r="63" spans="1:8">
      <c r="A63" s="313" t="s">
        <v>415</v>
      </c>
      <c r="B63" s="277"/>
      <c r="C63" s="325">
        <v>0.15</v>
      </c>
      <c r="D63" s="325">
        <v>0.15</v>
      </c>
      <c r="E63" s="325">
        <v>0.2</v>
      </c>
      <c r="F63" s="325">
        <v>0.2</v>
      </c>
      <c r="G63" s="325">
        <v>0.25</v>
      </c>
    </row>
    <row r="64" spans="1:8">
      <c r="A64" s="317" t="s">
        <v>198</v>
      </c>
      <c r="B64" s="95"/>
      <c r="C64" s="97">
        <f>C63*C61</f>
        <v>36000</v>
      </c>
      <c r="D64" s="97">
        <f>D63*D61</f>
        <v>90000</v>
      </c>
      <c r="E64" s="97">
        <f>E63*E61</f>
        <v>165000</v>
      </c>
      <c r="F64" s="97">
        <f>F63*F61</f>
        <v>235000</v>
      </c>
      <c r="G64" s="97">
        <f>G63*G61</f>
        <v>400000</v>
      </c>
    </row>
    <row r="65" spans="1:8">
      <c r="A65" s="313" t="s">
        <v>206</v>
      </c>
      <c r="B65" s="95"/>
      <c r="C65" s="315">
        <f>C61+C64</f>
        <v>276000</v>
      </c>
      <c r="D65" s="315">
        <f>D61+D64</f>
        <v>690000</v>
      </c>
      <c r="E65" s="315">
        <f>E61+E64</f>
        <v>990000</v>
      </c>
      <c r="F65" s="315">
        <f>F61+F64</f>
        <v>1410000</v>
      </c>
      <c r="G65" s="315">
        <f>G61+G64</f>
        <v>2000000</v>
      </c>
    </row>
    <row r="66" spans="1:8">
      <c r="A66" s="316" t="s">
        <v>204</v>
      </c>
      <c r="B66" s="95"/>
      <c r="C66" s="318"/>
      <c r="D66" s="318"/>
      <c r="E66" s="318"/>
      <c r="F66" s="318"/>
      <c r="G66" s="318"/>
    </row>
    <row r="67" spans="1:8">
      <c r="A67" s="313" t="s">
        <v>199</v>
      </c>
      <c r="B67" s="95"/>
      <c r="C67" s="319">
        <v>3</v>
      </c>
      <c r="D67" s="319">
        <v>9</v>
      </c>
      <c r="E67" s="319">
        <v>20</v>
      </c>
      <c r="F67" s="319">
        <v>30</v>
      </c>
      <c r="G67" s="319">
        <v>40</v>
      </c>
    </row>
    <row r="68" spans="1:8">
      <c r="A68" s="313" t="s">
        <v>203</v>
      </c>
      <c r="B68" s="95"/>
      <c r="C68" s="319">
        <v>20000</v>
      </c>
      <c r="D68" s="319">
        <v>22000</v>
      </c>
      <c r="E68" s="319">
        <v>23000</v>
      </c>
      <c r="F68" s="319">
        <v>24000</v>
      </c>
      <c r="G68" s="319">
        <v>24000</v>
      </c>
    </row>
    <row r="69" spans="1:8">
      <c r="A69" s="317" t="s">
        <v>200</v>
      </c>
      <c r="B69" s="95"/>
      <c r="C69" s="315">
        <f>C67*C68</f>
        <v>60000</v>
      </c>
      <c r="D69" s="315">
        <f>D67*D68</f>
        <v>198000</v>
      </c>
      <c r="E69" s="315">
        <f>E67*E68</f>
        <v>460000</v>
      </c>
      <c r="F69" s="315">
        <f>F67*F68</f>
        <v>720000</v>
      </c>
      <c r="G69" s="315">
        <f>G67*G68</f>
        <v>960000</v>
      </c>
    </row>
    <row r="70" spans="1:8">
      <c r="A70" s="313" t="s">
        <v>414</v>
      </c>
      <c r="B70" s="95"/>
      <c r="C70" s="318"/>
      <c r="D70" s="318"/>
      <c r="E70" s="318"/>
      <c r="F70" s="318"/>
      <c r="G70" s="318"/>
    </row>
    <row r="71" spans="1:8">
      <c r="A71" s="313" t="s">
        <v>415</v>
      </c>
      <c r="B71" s="95"/>
      <c r="C71" s="325">
        <v>0.15</v>
      </c>
      <c r="D71" s="325">
        <v>0.15</v>
      </c>
      <c r="E71" s="325">
        <v>0.2</v>
      </c>
      <c r="F71" s="325">
        <v>0.2</v>
      </c>
      <c r="G71" s="325">
        <v>0.25</v>
      </c>
    </row>
    <row r="72" spans="1:8">
      <c r="A72" s="317" t="s">
        <v>198</v>
      </c>
      <c r="B72" s="95"/>
      <c r="C72" s="315">
        <f>C69*C71</f>
        <v>9000</v>
      </c>
      <c r="D72" s="315">
        <f>D69*D71</f>
        <v>29700</v>
      </c>
      <c r="E72" s="315">
        <f>E69*E71</f>
        <v>92000</v>
      </c>
      <c r="F72" s="315">
        <f>F69*F71</f>
        <v>144000</v>
      </c>
      <c r="G72" s="315">
        <f>G69*G71</f>
        <v>240000</v>
      </c>
    </row>
    <row r="73" spans="1:8">
      <c r="A73" s="581" t="s">
        <v>205</v>
      </c>
      <c r="C73" s="592">
        <f>C69+C72</f>
        <v>69000</v>
      </c>
      <c r="D73" s="592">
        <f>D69+D72</f>
        <v>227700</v>
      </c>
      <c r="E73" s="592">
        <f>E69+E72</f>
        <v>552000</v>
      </c>
      <c r="F73" s="592">
        <f>F69+F72</f>
        <v>864000</v>
      </c>
      <c r="G73" s="592">
        <f>G69+G72</f>
        <v>1200000</v>
      </c>
    </row>
    <row r="74" spans="1:8">
      <c r="A74" s="587" t="s">
        <v>449</v>
      </c>
      <c r="C74" s="593"/>
      <c r="D74" s="593"/>
      <c r="E74" s="593"/>
      <c r="F74" s="593"/>
      <c r="G74" s="593"/>
    </row>
    <row r="75" spans="1:8">
      <c r="A75" s="588" t="s">
        <v>199</v>
      </c>
      <c r="C75" s="579">
        <v>3</v>
      </c>
      <c r="D75" s="579">
        <v>5</v>
      </c>
      <c r="E75" s="579">
        <v>10</v>
      </c>
      <c r="F75" s="579">
        <v>25</v>
      </c>
      <c r="G75" s="579">
        <v>40</v>
      </c>
    </row>
    <row r="76" spans="1:8">
      <c r="A76" s="588" t="s">
        <v>437</v>
      </c>
      <c r="C76" s="579">
        <v>35000</v>
      </c>
      <c r="D76" s="579">
        <v>37000</v>
      </c>
      <c r="E76" s="579">
        <v>40000</v>
      </c>
      <c r="F76" s="579">
        <v>50000</v>
      </c>
      <c r="G76" s="579">
        <v>55000</v>
      </c>
    </row>
    <row r="77" spans="1:8">
      <c r="A77" s="589" t="s">
        <v>438</v>
      </c>
      <c r="C77" s="591">
        <f>C75*C76</f>
        <v>105000</v>
      </c>
      <c r="D77" s="591">
        <f>D75*D76</f>
        <v>185000</v>
      </c>
      <c r="E77" s="591">
        <f>E75*E76</f>
        <v>400000</v>
      </c>
      <c r="F77" s="591">
        <f>F75*F76</f>
        <v>1250000</v>
      </c>
      <c r="G77" s="591">
        <f>G75*G76</f>
        <v>2200000</v>
      </c>
    </row>
    <row r="78" spans="1:8">
      <c r="A78" s="581" t="s">
        <v>414</v>
      </c>
      <c r="C78" s="320"/>
      <c r="D78" s="320"/>
      <c r="E78" s="320"/>
      <c r="F78" s="320"/>
      <c r="G78" s="320"/>
    </row>
    <row r="79" spans="1:8">
      <c r="A79" s="581" t="s">
        <v>415</v>
      </c>
      <c r="C79" s="325">
        <v>0.15</v>
      </c>
      <c r="D79" s="325">
        <v>0.15</v>
      </c>
      <c r="E79" s="325">
        <v>0.2</v>
      </c>
      <c r="F79" s="325">
        <v>0.2</v>
      </c>
      <c r="G79" s="325">
        <v>0.25</v>
      </c>
    </row>
    <row r="80" spans="1:8">
      <c r="A80" s="590" t="s">
        <v>198</v>
      </c>
      <c r="C80" s="592">
        <f>C77*C79</f>
        <v>15750</v>
      </c>
      <c r="D80" s="592">
        <f>D77*D79</f>
        <v>27750</v>
      </c>
      <c r="E80" s="592">
        <f>E77*E79</f>
        <v>80000</v>
      </c>
      <c r="F80" s="592">
        <f>F77*F79</f>
        <v>250000</v>
      </c>
      <c r="G80" s="592">
        <f>G77*G79</f>
        <v>550000</v>
      </c>
      <c r="H80" s="277"/>
    </row>
    <row r="81" spans="1:7">
      <c r="A81" s="581" t="s">
        <v>206</v>
      </c>
      <c r="C81" s="592">
        <f>C77+C80</f>
        <v>120750</v>
      </c>
      <c r="D81" s="592">
        <f>D77+D80</f>
        <v>212750</v>
      </c>
      <c r="E81" s="592">
        <f>E77+E80</f>
        <v>480000</v>
      </c>
      <c r="F81" s="592">
        <f>F77+F80</f>
        <v>1500000</v>
      </c>
      <c r="G81" s="592">
        <f>G77+G80</f>
        <v>2750000</v>
      </c>
    </row>
    <row r="82" spans="1:7">
      <c r="A82" s="581"/>
      <c r="C82" s="320"/>
      <c r="D82" s="320"/>
      <c r="E82" s="320"/>
      <c r="F82" s="320"/>
      <c r="G82" s="320"/>
    </row>
    <row r="83" spans="1:7" ht="13.5" thickBot="1">
      <c r="A83" s="70" t="s">
        <v>424</v>
      </c>
      <c r="B83" s="95"/>
      <c r="C83" s="93">
        <f>C65+C73+C81</f>
        <v>465750</v>
      </c>
      <c r="D83" s="93">
        <f>D65+D73+D81</f>
        <v>1130450</v>
      </c>
      <c r="E83" s="93">
        <f>E65+E73+E81</f>
        <v>2022000</v>
      </c>
      <c r="F83" s="93">
        <f>F65+F73+F81</f>
        <v>3774000</v>
      </c>
      <c r="G83" s="93">
        <f>G65+G73+G81</f>
        <v>5950000</v>
      </c>
    </row>
    <row r="84" spans="1:7">
      <c r="A84" s="44" t="s">
        <v>55</v>
      </c>
      <c r="B84" s="95"/>
      <c r="C84" s="94">
        <f>C83/C$7</f>
        <v>0.46575</v>
      </c>
      <c r="D84" s="94">
        <f>D83/D$7</f>
        <v>0.21532380952380953</v>
      </c>
      <c r="E84" s="94">
        <f>E83/E$7</f>
        <v>0.20738461538461539</v>
      </c>
      <c r="F84" s="94">
        <f>F83/F$7</f>
        <v>0.23224615384615385</v>
      </c>
      <c r="G84" s="94">
        <f>G83/G$7</f>
        <v>0.22884615384615384</v>
      </c>
    </row>
    <row r="85" spans="1:7">
      <c r="A85" s="35"/>
      <c r="B85" s="95"/>
      <c r="C85" s="35"/>
      <c r="D85" s="35"/>
      <c r="E85" s="35"/>
      <c r="F85" s="35"/>
      <c r="G85" s="35"/>
    </row>
    <row r="86" spans="1:7">
      <c r="A86" s="69" t="s">
        <v>201</v>
      </c>
      <c r="B86" s="95"/>
      <c r="C86" s="98">
        <f>C17+C31+C46+C61+C69</f>
        <v>545000</v>
      </c>
      <c r="D86" s="98">
        <f>D17+D31+D46+D61+D69</f>
        <v>1464000</v>
      </c>
      <c r="E86" s="98">
        <f>E17+E31+E46+E61+E69</f>
        <v>2252000</v>
      </c>
      <c r="F86" s="98">
        <f>F17+F31+F46+F61+F69</f>
        <v>3313000</v>
      </c>
      <c r="G86" s="98">
        <f>G17+G31+G46+G61+G69</f>
        <v>4454000</v>
      </c>
    </row>
    <row r="87" spans="1:7">
      <c r="A87" s="69" t="s">
        <v>168</v>
      </c>
      <c r="B87" s="95"/>
      <c r="C87" s="98">
        <f>C20+C34+C49+C64+C72</f>
        <v>63000.15</v>
      </c>
      <c r="D87" s="98">
        <f>D20+D34+D49+D64+D72</f>
        <v>219600</v>
      </c>
      <c r="E87" s="98">
        <f>E20+E34+E49+E64+E72</f>
        <v>421390</v>
      </c>
      <c r="F87" s="98">
        <f>F20+F34+F49+F64+F72</f>
        <v>662600</v>
      </c>
      <c r="G87" s="98">
        <f>G20+G34+G49+G64+G72</f>
        <v>1018800</v>
      </c>
    </row>
    <row r="88" spans="1:7" ht="13.5" thickBot="1">
      <c r="A88" s="69" t="s">
        <v>202</v>
      </c>
      <c r="B88" s="95"/>
      <c r="C88" s="407">
        <f>C21+C35+C50+C83</f>
        <v>728750.15</v>
      </c>
      <c r="D88" s="407">
        <f>D21+D35+D50+D83</f>
        <v>1896350</v>
      </c>
      <c r="E88" s="407">
        <f>E21+E35+E50+E83</f>
        <v>3153390</v>
      </c>
      <c r="F88" s="407">
        <f>F21+F35+F50+F83</f>
        <v>5475600</v>
      </c>
      <c r="G88" s="407">
        <f>G21+G35+G50+G83</f>
        <v>8222800</v>
      </c>
    </row>
    <row r="89" spans="1:7" ht="13.5" thickTop="1">
      <c r="A89" s="44" t="s">
        <v>55</v>
      </c>
      <c r="C89" s="94">
        <f>C88/C$7</f>
        <v>0.72875014999999999</v>
      </c>
      <c r="D89" s="94">
        <f>D88/D$7</f>
        <v>0.36120952380952381</v>
      </c>
      <c r="E89" s="94">
        <f>E88/E$7</f>
        <v>0.32342461538461537</v>
      </c>
      <c r="F89" s="94">
        <f>F88/F$7</f>
        <v>0.33695999999999998</v>
      </c>
      <c r="G89" s="94">
        <f>G88/G$7</f>
        <v>0.31626153846153848</v>
      </c>
    </row>
    <row r="90" spans="1:7">
      <c r="B90" s="251"/>
    </row>
    <row r="91" spans="1:7">
      <c r="B91" s="251"/>
    </row>
    <row r="92" spans="1:7">
      <c r="B92" s="251"/>
    </row>
    <row r="93" spans="1:7">
      <c r="B93" s="251"/>
    </row>
    <row r="94" spans="1:7">
      <c r="B94" s="251"/>
    </row>
    <row r="95" spans="1:7">
      <c r="B95" s="251"/>
    </row>
    <row r="96" spans="1:7">
      <c r="B96" s="251"/>
    </row>
    <row r="97" spans="2:2">
      <c r="B97" s="251"/>
    </row>
    <row r="98" spans="2:2">
      <c r="B98" s="251"/>
    </row>
    <row r="99" spans="2:2">
      <c r="B99" s="251"/>
    </row>
    <row r="100" spans="2:2">
      <c r="B100" s="251"/>
    </row>
    <row r="101" spans="2:2">
      <c r="B101" s="251"/>
    </row>
    <row r="102" spans="2:2">
      <c r="B102" s="251"/>
    </row>
    <row r="103" spans="2:2">
      <c r="B103" s="251"/>
    </row>
    <row r="104" spans="2:2">
      <c r="B104" s="251"/>
    </row>
    <row r="105" spans="2:2">
      <c r="B105" s="251"/>
    </row>
  </sheetData>
  <phoneticPr fontId="0" type="noConversion"/>
  <pageMargins left="0.75" right="0.75" top="0.5" bottom="0.5" header="0.5" footer="0.5"/>
  <pageSetup scale="73" fitToHeight="2" orientation="portrait" horizontalDpi="300" verticalDpi="300" r:id="rId1"/>
  <headerFooter alignWithMargins="0">
    <oddHeader>&amp;R&amp;D
&amp;T</oddHeader>
  </headerFooter>
  <rowBreaks count="1" manualBreakCount="1">
    <brk id="52"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H51"/>
  <sheetViews>
    <sheetView zoomScale="75" zoomScaleNormal="75" workbookViewId="0">
      <selection activeCell="C1" sqref="C1"/>
    </sheetView>
  </sheetViews>
  <sheetFormatPr defaultColWidth="8.7109375" defaultRowHeight="12.75"/>
  <cols>
    <col min="1" max="1" width="37.140625" style="11" customWidth="1"/>
    <col min="2" max="2" width="3.7109375" style="11" customWidth="1"/>
    <col min="3" max="3" width="10.7109375" style="11" customWidth="1"/>
    <col min="4" max="4" width="9.42578125" style="11" customWidth="1"/>
    <col min="5" max="7" width="9.5703125" style="11" customWidth="1"/>
    <col min="8" max="16384" width="8.7109375" style="11"/>
  </cols>
  <sheetData>
    <row r="1" spans="1:8" ht="20.25">
      <c r="A1" s="218" t="str">
        <f>COMPS!A1</f>
        <v>XYZ Company</v>
      </c>
      <c r="B1" s="290"/>
      <c r="C1" s="290"/>
      <c r="D1" s="290"/>
      <c r="E1" s="290"/>
      <c r="F1" s="290"/>
      <c r="G1" s="290"/>
      <c r="H1" s="610" t="s">
        <v>453</v>
      </c>
    </row>
    <row r="2" spans="1:8" s="217" customFormat="1" ht="15.75">
      <c r="A2" s="215" t="s">
        <v>51</v>
      </c>
      <c r="B2" s="216"/>
      <c r="C2" s="216"/>
      <c r="D2" s="216"/>
      <c r="E2" s="216"/>
      <c r="F2" s="216"/>
      <c r="G2" s="216"/>
    </row>
    <row r="3" spans="1:8" s="217" customFormat="1" ht="15.75">
      <c r="A3" s="215" t="s">
        <v>71</v>
      </c>
      <c r="B3" s="216"/>
      <c r="C3" s="216"/>
      <c r="D3" s="216"/>
      <c r="E3" s="216"/>
      <c r="F3" s="216"/>
      <c r="G3" s="216"/>
    </row>
    <row r="4" spans="1:8" s="217" customFormat="1" ht="15.75">
      <c r="A4" s="215" t="s">
        <v>94</v>
      </c>
      <c r="B4" s="216"/>
      <c r="C4" s="216"/>
      <c r="D4" s="216"/>
      <c r="E4" s="216"/>
      <c r="F4" s="216"/>
      <c r="G4" s="216"/>
    </row>
    <row r="5" spans="1:8" ht="15.75">
      <c r="A5" s="43"/>
      <c r="B5" s="154"/>
      <c r="C5" s="60" t="s">
        <v>72</v>
      </c>
      <c r="D5" s="60" t="s">
        <v>73</v>
      </c>
      <c r="E5" s="60" t="s">
        <v>74</v>
      </c>
      <c r="F5" s="60" t="s">
        <v>75</v>
      </c>
      <c r="G5" s="60" t="s">
        <v>76</v>
      </c>
    </row>
    <row r="6" spans="1:8" ht="15">
      <c r="A6" s="43"/>
      <c r="B6" s="154"/>
      <c r="C6" s="155"/>
      <c r="D6" s="155"/>
      <c r="E6" s="155"/>
      <c r="F6" s="155"/>
      <c r="G6" s="155"/>
    </row>
    <row r="7" spans="1:8">
      <c r="A7" s="156" t="s">
        <v>93</v>
      </c>
      <c r="B7" s="43"/>
      <c r="C7" s="43"/>
      <c r="D7" s="157"/>
      <c r="E7" s="157"/>
      <c r="F7" s="157"/>
      <c r="G7" s="157"/>
    </row>
    <row r="8" spans="1:8">
      <c r="A8" s="43" t="s">
        <v>125</v>
      </c>
      <c r="B8" s="43"/>
      <c r="C8" s="158">
        <v>0</v>
      </c>
      <c r="D8" s="158"/>
      <c r="E8" s="158"/>
      <c r="F8" s="158"/>
      <c r="G8" s="158"/>
    </row>
    <row r="9" spans="1:8">
      <c r="A9" s="43" t="s">
        <v>125</v>
      </c>
      <c r="B9" s="43"/>
      <c r="C9" s="158"/>
      <c r="D9" s="158"/>
      <c r="E9" s="158"/>
      <c r="F9" s="158"/>
      <c r="G9" s="158"/>
    </row>
    <row r="10" spans="1:8">
      <c r="A10" s="43" t="s">
        <v>125</v>
      </c>
      <c r="B10" s="43"/>
      <c r="C10" s="158"/>
      <c r="D10" s="158"/>
      <c r="E10" s="158"/>
      <c r="F10" s="158"/>
      <c r="G10" s="158"/>
    </row>
    <row r="11" spans="1:8">
      <c r="A11" s="182" t="s">
        <v>150</v>
      </c>
      <c r="B11" s="43"/>
      <c r="C11" s="184">
        <f>SUM(C8:C10)</f>
        <v>0</v>
      </c>
      <c r="D11" s="184">
        <f>SUM(D8:D10)</f>
        <v>0</v>
      </c>
      <c r="E11" s="184">
        <f>SUM(E8:E10)</f>
        <v>0</v>
      </c>
      <c r="F11" s="184">
        <f>SUM(F8:F10)</f>
        <v>0</v>
      </c>
      <c r="G11" s="184">
        <f>SUM(G8:G10)</f>
        <v>0</v>
      </c>
    </row>
    <row r="12" spans="1:8">
      <c r="A12" s="156" t="s">
        <v>77</v>
      </c>
      <c r="B12" s="43"/>
      <c r="C12" s="159"/>
      <c r="D12" s="157"/>
      <c r="E12" s="157"/>
      <c r="F12" s="157"/>
      <c r="G12" s="157"/>
    </row>
    <row r="13" spans="1:8">
      <c r="A13" s="181" t="s">
        <v>162</v>
      </c>
      <c r="B13" s="43"/>
      <c r="C13" s="158">
        <v>25000</v>
      </c>
      <c r="D13" s="158"/>
      <c r="E13" s="158"/>
      <c r="F13" s="158"/>
      <c r="G13" s="158"/>
    </row>
    <row r="14" spans="1:8">
      <c r="A14" s="181" t="s">
        <v>163</v>
      </c>
      <c r="B14" s="43"/>
      <c r="C14" s="158">
        <v>20000</v>
      </c>
      <c r="D14" s="158"/>
      <c r="E14" s="158"/>
      <c r="F14" s="158"/>
      <c r="G14" s="158"/>
    </row>
    <row r="15" spans="1:8">
      <c r="A15" s="43" t="s">
        <v>125</v>
      </c>
      <c r="B15" s="43"/>
      <c r="C15" s="158"/>
      <c r="D15" s="158"/>
      <c r="E15" s="158"/>
      <c r="F15" s="158"/>
      <c r="G15" s="158"/>
    </row>
    <row r="16" spans="1:8">
      <c r="A16" s="183" t="s">
        <v>150</v>
      </c>
      <c r="B16" s="159"/>
      <c r="C16" s="185">
        <f>SUM(C13:C15)</f>
        <v>45000</v>
      </c>
      <c r="D16" s="185">
        <f>SUM(D13:D15)</f>
        <v>0</v>
      </c>
      <c r="E16" s="185">
        <f>SUM(E13:E15)</f>
        <v>0</v>
      </c>
      <c r="F16" s="185">
        <f>SUM(F13:F15)</f>
        <v>0</v>
      </c>
      <c r="G16" s="185">
        <f>SUM(G13:G15)</f>
        <v>0</v>
      </c>
    </row>
    <row r="17" spans="1:7" ht="13.5" thickBot="1">
      <c r="A17" s="156" t="s">
        <v>233</v>
      </c>
      <c r="B17" s="159"/>
      <c r="C17" s="160">
        <f>C11-C16</f>
        <v>-45000</v>
      </c>
      <c r="D17" s="160">
        <f>D11-D16</f>
        <v>0</v>
      </c>
      <c r="E17" s="160">
        <f>E11-E16</f>
        <v>0</v>
      </c>
      <c r="F17" s="160">
        <f>F11-F16</f>
        <v>0</v>
      </c>
      <c r="G17" s="160">
        <f>G11-G16</f>
        <v>0</v>
      </c>
    </row>
    <row r="21" spans="1:7" ht="15.75">
      <c r="A21" s="46"/>
      <c r="B21" s="46"/>
      <c r="C21" s="46"/>
      <c r="D21" s="307" t="s">
        <v>288</v>
      </c>
      <c r="E21" s="309"/>
      <c r="F21" s="309"/>
      <c r="G21" s="46"/>
    </row>
    <row r="22" spans="1:7" ht="15.75">
      <c r="A22" s="46"/>
      <c r="B22" s="46"/>
      <c r="C22" s="46"/>
      <c r="D22" s="307" t="s">
        <v>94</v>
      </c>
      <c r="E22" s="309"/>
      <c r="F22" s="309"/>
      <c r="G22" s="46"/>
    </row>
    <row r="23" spans="1:7" ht="15.75">
      <c r="A23" s="46"/>
      <c r="B23" s="46"/>
      <c r="C23" s="59" t="s">
        <v>72</v>
      </c>
      <c r="D23" s="59" t="s">
        <v>73</v>
      </c>
      <c r="E23" s="59" t="s">
        <v>74</v>
      </c>
      <c r="F23" s="59" t="s">
        <v>75</v>
      </c>
      <c r="G23" s="59" t="s">
        <v>76</v>
      </c>
    </row>
    <row r="24" spans="1:7">
      <c r="A24" s="46" t="s">
        <v>172</v>
      </c>
      <c r="C24" s="387">
        <v>-25000</v>
      </c>
      <c r="D24" s="387"/>
      <c r="E24" s="387"/>
      <c r="F24" s="387"/>
      <c r="G24" s="387"/>
    </row>
    <row r="25" spans="1:7">
      <c r="A25" s="46" t="s">
        <v>173</v>
      </c>
      <c r="C25" s="387">
        <v>-20000</v>
      </c>
      <c r="D25" s="387"/>
      <c r="E25" s="387"/>
      <c r="F25" s="387"/>
      <c r="G25" s="387"/>
    </row>
    <row r="26" spans="1:7">
      <c r="A26" s="46" t="s">
        <v>174</v>
      </c>
      <c r="C26" s="389"/>
      <c r="D26" s="389"/>
      <c r="E26" s="389"/>
      <c r="F26" s="389"/>
      <c r="G26" s="389"/>
    </row>
    <row r="27" spans="1:7">
      <c r="A27" s="303" t="s">
        <v>186</v>
      </c>
      <c r="C27" s="387">
        <f>SUM(C24:C26)</f>
        <v>-45000</v>
      </c>
      <c r="D27" s="387">
        <f>SUM(D24:D26)</f>
        <v>0</v>
      </c>
      <c r="E27" s="387">
        <f>SUM(E24:E26)</f>
        <v>0</v>
      </c>
      <c r="F27" s="387">
        <f>SUM(F24:F26)</f>
        <v>0</v>
      </c>
      <c r="G27" s="387">
        <f>SUM(G24:G26)</f>
        <v>0</v>
      </c>
    </row>
    <row r="28" spans="1:7">
      <c r="A28" s="46" t="s">
        <v>175</v>
      </c>
      <c r="C28" s="387"/>
      <c r="D28" s="387"/>
      <c r="E28" s="387"/>
      <c r="F28" s="387"/>
      <c r="G28" s="387"/>
    </row>
    <row r="29" spans="1:7">
      <c r="A29" s="46" t="s">
        <v>176</v>
      </c>
      <c r="C29" s="387"/>
      <c r="D29" s="387"/>
      <c r="E29" s="387"/>
      <c r="F29" s="387"/>
      <c r="G29" s="387"/>
    </row>
    <row r="30" spans="1:7">
      <c r="A30" s="46" t="s">
        <v>177</v>
      </c>
      <c r="C30" s="389"/>
      <c r="D30" s="389"/>
      <c r="E30" s="389"/>
      <c r="F30" s="389"/>
      <c r="G30" s="389"/>
    </row>
    <row r="31" spans="1:7">
      <c r="A31" s="303" t="s">
        <v>187</v>
      </c>
      <c r="C31" s="387">
        <f>SUM(C28:C30)</f>
        <v>0</v>
      </c>
      <c r="D31" s="387">
        <f>SUM(D28:D30)</f>
        <v>0</v>
      </c>
      <c r="E31" s="387">
        <f>SUM(E28:E30)</f>
        <v>0</v>
      </c>
      <c r="F31" s="387">
        <f>SUM(F28:F30)</f>
        <v>0</v>
      </c>
      <c r="G31" s="387">
        <f>SUM(G28:G30)</f>
        <v>0</v>
      </c>
    </row>
    <row r="32" spans="1:7">
      <c r="A32" s="46" t="s">
        <v>178</v>
      </c>
      <c r="C32" s="387"/>
      <c r="D32" s="387"/>
      <c r="E32" s="387"/>
      <c r="F32" s="387"/>
      <c r="G32" s="387"/>
    </row>
    <row r="33" spans="1:7">
      <c r="A33" s="46" t="s">
        <v>179</v>
      </c>
      <c r="C33" s="387"/>
      <c r="D33" s="387"/>
      <c r="E33" s="387"/>
      <c r="F33" s="387"/>
      <c r="G33" s="387"/>
    </row>
    <row r="34" spans="1:7">
      <c r="A34" s="46" t="s">
        <v>180</v>
      </c>
      <c r="C34" s="389"/>
      <c r="D34" s="389"/>
      <c r="E34" s="389"/>
      <c r="F34" s="389"/>
      <c r="G34" s="389"/>
    </row>
    <row r="35" spans="1:7">
      <c r="A35" s="303" t="s">
        <v>188</v>
      </c>
      <c r="C35" s="387">
        <f>SUM(C32:C34)</f>
        <v>0</v>
      </c>
      <c r="D35" s="387">
        <f>SUM(D32:D34)</f>
        <v>0</v>
      </c>
      <c r="E35" s="387">
        <f>SUM(E32:E34)</f>
        <v>0</v>
      </c>
      <c r="F35" s="387">
        <f>SUM(F32:F34)</f>
        <v>0</v>
      </c>
      <c r="G35" s="387">
        <f>SUM(G32:G34)</f>
        <v>0</v>
      </c>
    </row>
    <row r="36" spans="1:7">
      <c r="A36" s="46" t="s">
        <v>181</v>
      </c>
      <c r="C36" s="387"/>
      <c r="D36" s="387"/>
      <c r="E36" s="387"/>
      <c r="F36" s="387"/>
      <c r="G36" s="387"/>
    </row>
    <row r="37" spans="1:7">
      <c r="A37" s="46" t="s">
        <v>182</v>
      </c>
      <c r="C37" s="387"/>
      <c r="D37" s="387"/>
      <c r="E37" s="387"/>
      <c r="F37" s="387"/>
      <c r="G37" s="387"/>
    </row>
    <row r="38" spans="1:7">
      <c r="A38" s="46" t="s">
        <v>183</v>
      </c>
      <c r="C38" s="389"/>
      <c r="D38" s="389"/>
      <c r="E38" s="389"/>
      <c r="F38" s="389"/>
      <c r="G38" s="389"/>
    </row>
    <row r="39" spans="1:7">
      <c r="A39" s="303" t="s">
        <v>189</v>
      </c>
      <c r="C39" s="387">
        <f>SUM(C36:C38)</f>
        <v>0</v>
      </c>
      <c r="D39" s="387">
        <f>SUM(D36:D38)</f>
        <v>0</v>
      </c>
      <c r="E39" s="387">
        <f>SUM(E36:E38)</f>
        <v>0</v>
      </c>
      <c r="F39" s="387">
        <f>SUM(F36:F38)</f>
        <v>0</v>
      </c>
      <c r="G39" s="387">
        <f>SUM(G36:G38)</f>
        <v>0</v>
      </c>
    </row>
    <row r="40" spans="1:7" ht="13.5" thickBot="1">
      <c r="A40" s="304" t="s">
        <v>190</v>
      </c>
      <c r="C40" s="388">
        <f>SUM(C39,C35,C31,C27)</f>
        <v>-45000</v>
      </c>
      <c r="D40" s="388">
        <f>SUM(D39,D35,D31,D27)</f>
        <v>0</v>
      </c>
      <c r="E40" s="388">
        <f>SUM(E39,E35,E31,E27)</f>
        <v>0</v>
      </c>
      <c r="F40" s="388">
        <f>SUM(F39,F35,F31,F27)</f>
        <v>0</v>
      </c>
      <c r="G40" s="388">
        <f>SUM(G39,G35,G31,G27)</f>
        <v>0</v>
      </c>
    </row>
    <row r="51" spans="8:8">
      <c r="H51" s="43"/>
    </row>
  </sheetData>
  <phoneticPr fontId="0" type="noConversion"/>
  <pageMargins left="0.75" right="0.75" top="0.5" bottom="0.5" header="0.5" footer="0.5"/>
  <pageSetup orientation="portrait" horizontalDpi="300" verticalDpi="300" r:id="rId1"/>
  <headerFooter alignWithMargins="0">
    <oddHeader>&amp;R&amp;D
&amp;T</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J15"/>
  <sheetViews>
    <sheetView zoomScale="75" zoomScaleNormal="75" workbookViewId="0">
      <selection activeCell="C1" sqref="C1"/>
    </sheetView>
  </sheetViews>
  <sheetFormatPr defaultColWidth="8.7109375" defaultRowHeight="12.75"/>
  <cols>
    <col min="1" max="1" width="33" style="42" customWidth="1"/>
    <col min="2" max="2" width="3.7109375" style="42" customWidth="1"/>
    <col min="3" max="5" width="10.7109375" style="42" customWidth="1"/>
    <col min="6" max="7" width="13.28515625" style="42" customWidth="1"/>
    <col min="8" max="16384" width="8.7109375" style="42"/>
  </cols>
  <sheetData>
    <row r="1" spans="1:10" ht="20.25">
      <c r="A1" s="220" t="str">
        <f>COMPS!A1</f>
        <v>XYZ Company</v>
      </c>
      <c r="B1" s="289"/>
      <c r="C1" s="289"/>
      <c r="D1" s="289"/>
      <c r="E1" s="289"/>
      <c r="F1" s="289"/>
      <c r="G1" s="289"/>
      <c r="H1" s="610" t="s">
        <v>453</v>
      </c>
      <c r="I1" s="252"/>
      <c r="J1" s="252"/>
    </row>
    <row r="2" spans="1:10" s="252" customFormat="1" ht="15.75">
      <c r="A2" s="219" t="s">
        <v>68</v>
      </c>
    </row>
    <row r="3" spans="1:10" s="252" customFormat="1" ht="15.75">
      <c r="A3" s="219" t="s">
        <v>71</v>
      </c>
    </row>
    <row r="4" spans="1:10" s="252" customFormat="1" ht="15.75">
      <c r="A4" s="219" t="s">
        <v>94</v>
      </c>
    </row>
    <row r="5" spans="1:10" ht="15.75">
      <c r="A5" s="252"/>
      <c r="B5" s="66"/>
      <c r="C5" s="66" t="s">
        <v>72</v>
      </c>
      <c r="D5" s="66" t="s">
        <v>73</v>
      </c>
      <c r="E5" s="66" t="s">
        <v>74</v>
      </c>
      <c r="F5" s="66" t="s">
        <v>75</v>
      </c>
      <c r="G5" s="66" t="s">
        <v>76</v>
      </c>
    </row>
    <row r="6" spans="1:10" ht="15">
      <c r="A6" s="252"/>
      <c r="B6" s="253"/>
      <c r="C6" s="254"/>
      <c r="D6" s="254"/>
      <c r="E6" s="254"/>
      <c r="F6" s="254"/>
      <c r="G6" s="254"/>
    </row>
    <row r="7" spans="1:10" s="32" customFormat="1">
      <c r="A7" s="56" t="s">
        <v>56</v>
      </c>
      <c r="B7" s="86"/>
      <c r="C7" s="87">
        <f>REVENUE!C16</f>
        <v>1000000</v>
      </c>
      <c r="D7" s="87">
        <f>REVENUE!D16</f>
        <v>5250000</v>
      </c>
      <c r="E7" s="87">
        <f>REVENUE!E16</f>
        <v>9750000</v>
      </c>
      <c r="F7" s="87">
        <f>REVENUE!F16</f>
        <v>16250000</v>
      </c>
      <c r="G7" s="87">
        <f>REVENUE!G16</f>
        <v>26000000</v>
      </c>
    </row>
    <row r="8" spans="1:10" ht="15">
      <c r="A8" s="252"/>
      <c r="B8" s="253"/>
      <c r="C8" s="254"/>
      <c r="D8" s="254"/>
      <c r="E8" s="254"/>
      <c r="F8" s="254"/>
      <c r="G8" s="254"/>
    </row>
    <row r="9" spans="1:10">
      <c r="A9" s="67" t="s">
        <v>151</v>
      </c>
      <c r="B9" s="260"/>
      <c r="C9" s="255">
        <v>0.4</v>
      </c>
      <c r="D9" s="255">
        <v>0.4</v>
      </c>
      <c r="E9" s="255">
        <v>0.4</v>
      </c>
      <c r="F9" s="255">
        <v>0.4</v>
      </c>
      <c r="G9" s="255">
        <v>0.4</v>
      </c>
    </row>
    <row r="10" spans="1:10">
      <c r="F10" s="256"/>
      <c r="G10" s="256"/>
    </row>
    <row r="11" spans="1:10">
      <c r="A11" s="67" t="s">
        <v>140</v>
      </c>
      <c r="C11" s="257">
        <f>INCOME!C30</f>
        <v>-712131.10238095233</v>
      </c>
      <c r="D11" s="257">
        <f>INCOME!D30</f>
        <v>-218064.28571428591</v>
      </c>
      <c r="E11" s="257">
        <f>INCOME!E30</f>
        <v>704514.7619047612</v>
      </c>
      <c r="F11" s="257">
        <f>INCOME!F30</f>
        <v>1520780.9523809524</v>
      </c>
      <c r="G11" s="257">
        <f>INCOME!G30</f>
        <v>3753390.4761904767</v>
      </c>
      <c r="H11" s="256"/>
      <c r="I11" s="256"/>
      <c r="J11" s="256"/>
    </row>
    <row r="12" spans="1:10">
      <c r="A12" s="258" t="s">
        <v>141</v>
      </c>
      <c r="C12" s="259">
        <f>C11</f>
        <v>-712131.10238095233</v>
      </c>
      <c r="D12" s="259">
        <f>D11+C12</f>
        <v>-930195.38809523825</v>
      </c>
      <c r="E12" s="259">
        <f>E11+D12</f>
        <v>-225680.62619047705</v>
      </c>
      <c r="F12" s="259">
        <f>F11+E12</f>
        <v>1295100.3261904754</v>
      </c>
      <c r="G12" s="259">
        <f>G11+F12</f>
        <v>5048490.8023809521</v>
      </c>
    </row>
    <row r="14" spans="1:10">
      <c r="A14" s="67" t="s">
        <v>68</v>
      </c>
      <c r="C14" s="559">
        <f>-IF(C12&gt;=0,TAXES!$C$9*MIN(C11,C12),0)</f>
        <v>0</v>
      </c>
      <c r="D14" s="559">
        <f>-IF(D12&gt;=0,TAXES!$D$9*MIN(D11,D12),0)</f>
        <v>0</v>
      </c>
      <c r="E14" s="559">
        <f>-IF(E12&gt;=0,TAXES!$E$9*MIN(E11,E12),0)</f>
        <v>0</v>
      </c>
      <c r="F14" s="559">
        <f>-IF(F12&gt;=0,TAXES!$F$9*MIN(F11,F12),0)</f>
        <v>-518040.13047619018</v>
      </c>
      <c r="G14" s="559">
        <f>-IF(G12&gt;=0,TAXES!$G$9*MIN(G11,G12),0)</f>
        <v>-1501356.1904761908</v>
      </c>
    </row>
    <row r="15" spans="1:10">
      <c r="A15" s="42" t="s">
        <v>167</v>
      </c>
      <c r="B15" s="96"/>
      <c r="C15" s="94">
        <f>C14/C7</f>
        <v>0</v>
      </c>
      <c r="D15" s="94">
        <f>D14/D7</f>
        <v>0</v>
      </c>
      <c r="E15" s="94">
        <f>E14/E7</f>
        <v>0</v>
      </c>
      <c r="F15" s="94">
        <f>F14/F7</f>
        <v>-3.1879392644688628E-2</v>
      </c>
      <c r="G15" s="94">
        <f>G14/G7</f>
        <v>-5.7744468864468879E-2</v>
      </c>
    </row>
  </sheetData>
  <phoneticPr fontId="0" type="noConversion"/>
  <pageMargins left="0.75" right="0.75" top="0.5" bottom="0.5" header="0.5" footer="0.5"/>
  <pageSetup scale="95" orientation="portrait" horizontalDpi="300" verticalDpi="300" r:id="rId1"/>
  <headerFooter alignWithMargins="0">
    <oddHeader>&amp;R&amp;D
&amp;T</oddHeader>
  </headerFooter>
  <legacy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21</vt:i4>
      </vt:variant>
      <vt:variant>
        <vt:lpstr>Named Ranges</vt:lpstr>
      </vt:variant>
      <vt:variant>
        <vt:i4>45</vt:i4>
      </vt:variant>
    </vt:vector>
  </HeadingPairs>
  <TitlesOfParts>
    <vt:vector baseType="lpstr" size="66">
      <vt:lpstr>WELCOME</vt:lpstr>
      <vt:lpstr>INSTRUCTIONS</vt:lpstr>
      <vt:lpstr>COMPS</vt:lpstr>
      <vt:lpstr>REVENUE</vt:lpstr>
      <vt:lpstr>COST OF REV</vt:lpstr>
      <vt:lpstr>OPER EXP</vt:lpstr>
      <vt:lpstr>PERSONNEL</vt:lpstr>
      <vt:lpstr>EXTRA</vt:lpstr>
      <vt:lpstr>TAXES</vt:lpstr>
      <vt:lpstr>PROP &amp; EQUIP</vt:lpstr>
      <vt:lpstr>WORKCAP</vt:lpstr>
      <vt:lpstr>FUNDING</vt:lpstr>
      <vt:lpstr>INCOME</vt:lpstr>
      <vt:lpstr>BALANCE</vt:lpstr>
      <vt:lpstr>CASHFLOW</vt:lpstr>
      <vt:lpstr>BREAKEVEN</vt:lpstr>
      <vt:lpstr>INCOME-MOS</vt:lpstr>
      <vt:lpstr>CASHFLOW-MOS</vt:lpstr>
      <vt:lpstr>SUMMARY</vt:lpstr>
      <vt:lpstr>VAL-1</vt:lpstr>
      <vt:lpstr>VAL-2</vt:lpstr>
      <vt:lpstr>WORKCAP!AP</vt:lpstr>
      <vt:lpstr>WORKCAP!AP_CHANGE</vt:lpstr>
      <vt:lpstr>WORKCAP!AR</vt:lpstr>
      <vt:lpstr>WORKCAP!AR_CHANGE</vt:lpstr>
      <vt:lpstr>ARdata</vt:lpstr>
      <vt:lpstr>ARMonths</vt:lpstr>
      <vt:lpstr>'PROP &amp; EQUIP'!CAP_EXPEND</vt:lpstr>
      <vt:lpstr>'CASHFLOW-MOS'!Cash_Begin</vt:lpstr>
      <vt:lpstr>'PROP &amp; EQUIP'!DEPRECIATION</vt:lpstr>
      <vt:lpstr>'CASHFLOW-MOS'!EARNINGS_BEFORE_INTEREST___TAXES</vt:lpstr>
      <vt:lpstr>'INCOME-MOS'!EARNINGS_BEFORE_INTEREST___TAXES</vt:lpstr>
      <vt:lpstr>EXTRA!EXTR_INC_EXCL_INT_INCOME</vt:lpstr>
      <vt:lpstr>WORKCAP!INC_TAX_CHANGE</vt:lpstr>
      <vt:lpstr>WORKCAP!INC_TAX_LIAB</vt:lpstr>
      <vt:lpstr>TAXES!INC_TAX_RATE</vt:lpstr>
      <vt:lpstr>WORKCAP!INV</vt:lpstr>
      <vt:lpstr>WORKCAP!INV_CHANGE</vt:lpstr>
      <vt:lpstr>investment</vt:lpstr>
      <vt:lpstr>'CASHFLOW-MOS'!Name</vt:lpstr>
      <vt:lpstr>'INCOME-MOS'!Name</vt:lpstr>
      <vt:lpstr>'INCOME-MOS'!NET_EARNINGS</vt:lpstr>
      <vt:lpstr>'PROP &amp; EQUIP'!NET_PL_EQUIP</vt:lpstr>
      <vt:lpstr>WORKCAP!OTHER_CA</vt:lpstr>
      <vt:lpstr>WORKCAP!OTHER_CA_CHANGE</vt:lpstr>
      <vt:lpstr>PE</vt:lpstr>
      <vt:lpstr>BREAKEVEN!Print_Area</vt:lpstr>
      <vt:lpstr>'CASHFLOW-MOS'!Print_Area</vt:lpstr>
      <vt:lpstr>COMPS!Print_Area</vt:lpstr>
      <vt:lpstr>'COST OF REV'!Print_Area</vt:lpstr>
      <vt:lpstr>EXTRA!Print_Area</vt:lpstr>
      <vt:lpstr>FUNDING!Print_Area</vt:lpstr>
      <vt:lpstr>'INCOME-MOS'!Print_Area</vt:lpstr>
      <vt:lpstr>'OPER EXP'!Print_Area</vt:lpstr>
      <vt:lpstr>PERSONNEL!Print_Area</vt:lpstr>
      <vt:lpstr>'PROP &amp; EQUIP'!Print_Area</vt:lpstr>
      <vt:lpstr>REVENUE!Print_Area</vt:lpstr>
      <vt:lpstr>TAXES!Print_Area</vt:lpstr>
      <vt:lpstr>'VAL-1'!Print_Area</vt:lpstr>
      <vt:lpstr>'VAL-2'!Print_Area</vt:lpstr>
      <vt:lpstr>WORKCAP!Print_Area</vt:lpstr>
      <vt:lpstr>Rate</vt:lpstr>
      <vt:lpstr>'INCOME-MOS'!TAXES</vt:lpstr>
      <vt:lpstr>EXTRA!TOT_EXTR_INC_EXP</vt:lpstr>
      <vt:lpstr>WORKCAP!TOTAL_COG</vt:lpstr>
      <vt:lpstr>WORKCAP!WORK_CAP_CHANGE</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