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-15" yWindow="-15" windowWidth="14400" windowHeight="12840"/>
  </bookViews>
  <sheets>
    <sheet name="Projection" sheetId="1" r:id="rId1"/>
  </sheets>
  <definedNames>
    <definedName name="_xlnm.Print_Area" localSheetId="0">Projection!$A$1:$H$99</definedName>
  </definedNames>
  <calcPr calcId="152511"/>
</workbook>
</file>

<file path=xl/calcChain.xml><?xml version="1.0" encoding="utf-8"?>
<calcChain xmlns="http://schemas.openxmlformats.org/spreadsheetml/2006/main">
  <c r="B172" i="1" l="1"/>
  <c r="B206" i="1" l="1"/>
  <c r="B199" i="1"/>
  <c r="B192" i="1"/>
  <c r="B185" i="1"/>
  <c r="B178" i="1"/>
  <c r="B171" i="1"/>
  <c r="B207" i="1"/>
  <c r="B200" i="1"/>
  <c r="B193" i="1"/>
  <c r="B186" i="1"/>
  <c r="B179" i="1"/>
  <c r="H205" i="1"/>
  <c r="G198" i="1"/>
  <c r="F191" i="1"/>
  <c r="E184" i="1"/>
  <c r="D177" i="1"/>
  <c r="C173" i="1"/>
  <c r="D170" i="1" s="1"/>
  <c r="H172" i="1"/>
  <c r="G172" i="1"/>
  <c r="D172" i="1" l="1"/>
  <c r="G193" i="1"/>
  <c r="E185" i="1"/>
  <c r="G199" i="1"/>
  <c r="E172" i="1"/>
  <c r="H179" i="1"/>
  <c r="H200" i="1"/>
  <c r="H193" i="1"/>
  <c r="D171" i="1"/>
  <c r="H207" i="1"/>
  <c r="G200" i="1"/>
  <c r="F193" i="1"/>
  <c r="H186" i="1"/>
  <c r="G179" i="1"/>
  <c r="F179" i="1"/>
  <c r="E179" i="1"/>
  <c r="F172" i="1"/>
  <c r="H206" i="1"/>
  <c r="F192" i="1"/>
  <c r="E186" i="1"/>
  <c r="F186" i="1"/>
  <c r="G186" i="1"/>
  <c r="D178" i="1"/>
  <c r="D179" i="1"/>
  <c r="E6" i="1"/>
  <c r="F6" i="1"/>
  <c r="G6" i="1"/>
  <c r="H6" i="1"/>
  <c r="D6" i="1"/>
  <c r="D173" i="1" l="1"/>
  <c r="E187" i="1"/>
  <c r="F184" i="1" s="1"/>
  <c r="F185" i="1" s="1"/>
  <c r="D214" i="1"/>
  <c r="G201" i="1"/>
  <c r="H198" i="1" s="1"/>
  <c r="H199" i="1" s="1"/>
  <c r="F214" i="1"/>
  <c r="E214" i="1"/>
  <c r="H214" i="1"/>
  <c r="G214" i="1"/>
  <c r="D212" i="1"/>
  <c r="H208" i="1"/>
  <c r="F194" i="1"/>
  <c r="G191" i="1" s="1"/>
  <c r="G192" i="1" s="1"/>
  <c r="G194" i="1" s="1"/>
  <c r="H191" i="1" s="1"/>
  <c r="H192" i="1" s="1"/>
  <c r="H194" i="1" s="1"/>
  <c r="D180" i="1"/>
  <c r="E177" i="1" s="1"/>
  <c r="E178" i="1" s="1"/>
  <c r="E170" i="1"/>
  <c r="C153" i="1"/>
  <c r="E54" i="1"/>
  <c r="F54" i="1"/>
  <c r="G54" i="1"/>
  <c r="H54" i="1"/>
  <c r="D54" i="1"/>
  <c r="F187" i="1" l="1"/>
  <c r="G184" i="1" s="1"/>
  <c r="G185" i="1" s="1"/>
  <c r="G187" i="1" s="1"/>
  <c r="H184" i="1" s="1"/>
  <c r="H185" i="1" s="1"/>
  <c r="H187" i="1" s="1"/>
  <c r="H201" i="1"/>
  <c r="D213" i="1"/>
  <c r="D58" i="1" s="1"/>
  <c r="D13" i="1"/>
  <c r="E180" i="1"/>
  <c r="D211" i="1"/>
  <c r="E171" i="1"/>
  <c r="E212" i="1" s="1"/>
  <c r="E10" i="1"/>
  <c r="F10" i="1"/>
  <c r="G10" i="1"/>
  <c r="H10" i="1"/>
  <c r="D10" i="1"/>
  <c r="E13" i="1" l="1"/>
  <c r="E213" i="1"/>
  <c r="E58" i="1" s="1"/>
  <c r="F177" i="1"/>
  <c r="F178" i="1" s="1"/>
  <c r="E173" i="1"/>
  <c r="E211" i="1" s="1"/>
  <c r="D62" i="1"/>
  <c r="F180" i="1" l="1"/>
  <c r="F170" i="1"/>
  <c r="F171" i="1" s="1"/>
  <c r="F212" i="1" s="1"/>
  <c r="F13" i="1" l="1"/>
  <c r="F213" i="1"/>
  <c r="F58" i="1" s="1"/>
  <c r="G177" i="1"/>
  <c r="G178" i="1" s="1"/>
  <c r="F173" i="1"/>
  <c r="F211" i="1" s="1"/>
  <c r="G180" i="1" l="1"/>
  <c r="G170" i="1"/>
  <c r="D59" i="1"/>
  <c r="E59" i="1"/>
  <c r="H177" i="1" l="1"/>
  <c r="H178" i="1" s="1"/>
  <c r="G171" i="1"/>
  <c r="G212" i="1" s="1"/>
  <c r="G13" i="1" s="1"/>
  <c r="F59" i="1"/>
  <c r="G213" i="1" l="1"/>
  <c r="G58" i="1" s="1"/>
  <c r="H180" i="1"/>
  <c r="G173" i="1"/>
  <c r="G211" i="1" s="1"/>
  <c r="G59" i="1" l="1"/>
  <c r="H170" i="1"/>
  <c r="D11" i="1"/>
  <c r="D73" i="1" s="1"/>
  <c r="H171" i="1" l="1"/>
  <c r="H212" i="1" s="1"/>
  <c r="D26" i="1"/>
  <c r="E11" i="1" s="1"/>
  <c r="E73" i="1" s="1"/>
  <c r="D45" i="1"/>
  <c r="D33" i="1"/>
  <c r="H13" i="1" l="1"/>
  <c r="H213" i="1"/>
  <c r="H58" i="1" s="1"/>
  <c r="H59" i="1" s="1"/>
  <c r="H173" i="1"/>
  <c r="H211" i="1" s="1"/>
  <c r="E45" i="1"/>
  <c r="E33" i="1" l="1"/>
  <c r="F33" i="1" s="1"/>
  <c r="G33" i="1" s="1"/>
  <c r="H33" i="1" s="1"/>
  <c r="E148" i="1"/>
  <c r="F148" i="1"/>
  <c r="G148" i="1"/>
  <c r="H148" i="1"/>
  <c r="D148" i="1"/>
  <c r="D37" i="1" l="1"/>
  <c r="C32" i="1"/>
  <c r="C34" i="1" l="1"/>
  <c r="E23" i="1"/>
  <c r="F23" i="1"/>
  <c r="G23" i="1"/>
  <c r="H23" i="1"/>
  <c r="D23" i="1"/>
  <c r="D47" i="1" s="1"/>
  <c r="D12" i="1"/>
  <c r="H47" i="1" l="1"/>
  <c r="F47" i="1"/>
  <c r="G47" i="1"/>
  <c r="E47" i="1"/>
  <c r="E12" i="1"/>
  <c r="D5" i="1"/>
  <c r="D30" i="1" s="1"/>
  <c r="G5" i="1"/>
  <c r="G30" i="1" s="1"/>
  <c r="E5" i="1"/>
  <c r="E30" i="1" s="1"/>
  <c r="F5" i="1"/>
  <c r="F30" i="1" s="1"/>
  <c r="H5" i="1"/>
  <c r="H30" i="1" s="1"/>
  <c r="E26" i="1"/>
  <c r="F11" i="1" s="1"/>
  <c r="E37" i="1"/>
  <c r="F12" i="1" l="1"/>
  <c r="F73" i="1"/>
  <c r="D24" i="1"/>
  <c r="D48" i="1" s="1"/>
  <c r="H49" i="1"/>
  <c r="E49" i="1"/>
  <c r="F49" i="1"/>
  <c r="G49" i="1"/>
  <c r="D49" i="1"/>
  <c r="F45" i="1"/>
  <c r="H24" i="1"/>
  <c r="F24" i="1"/>
  <c r="E24" i="1"/>
  <c r="G24" i="1"/>
  <c r="F37" i="1"/>
  <c r="C25" i="1"/>
  <c r="C27" i="1" s="1"/>
  <c r="C38" i="1" s="1"/>
  <c r="E48" i="1" l="1"/>
  <c r="H48" i="1"/>
  <c r="G48" i="1"/>
  <c r="F48" i="1"/>
  <c r="F26" i="1"/>
  <c r="G11" i="1" s="1"/>
  <c r="G37" i="1"/>
  <c r="G12" i="1" l="1"/>
  <c r="G73" i="1"/>
  <c r="G45" i="1"/>
  <c r="C39" i="1"/>
  <c r="C40" i="1" s="1"/>
  <c r="C158" i="1"/>
  <c r="D158" i="1" s="1"/>
  <c r="H37" i="1"/>
  <c r="G26" i="1" l="1"/>
  <c r="H11" i="1" s="1"/>
  <c r="H12" i="1" l="1"/>
  <c r="H73" i="1"/>
  <c r="H45" i="1"/>
  <c r="H26" i="1"/>
  <c r="D14" i="1" l="1"/>
  <c r="D159" i="1" s="1"/>
  <c r="D160" i="1" s="1"/>
  <c r="D162" i="1" l="1"/>
  <c r="D163" i="1" s="1"/>
  <c r="D15" i="1" s="1"/>
  <c r="D31" i="1" s="1"/>
  <c r="E158" i="1"/>
  <c r="D16" i="1" l="1"/>
  <c r="D50" i="1"/>
  <c r="D32" i="1"/>
  <c r="D34" i="1" s="1"/>
  <c r="D149" i="1" l="1"/>
  <c r="D67" i="1"/>
  <c r="D71" i="1"/>
  <c r="D44" i="1"/>
  <c r="D51" i="1" s="1"/>
  <c r="D38" i="1"/>
  <c r="D39" i="1" s="1"/>
  <c r="D40" i="1" s="1"/>
  <c r="D152" i="1" l="1"/>
  <c r="D153" i="1" s="1"/>
  <c r="D61" i="1"/>
  <c r="D22" i="1" s="1"/>
  <c r="D63" i="1" l="1"/>
  <c r="E62" i="1" s="1"/>
  <c r="D150" i="1"/>
  <c r="D25" i="1"/>
  <c r="E14" i="1"/>
  <c r="E159" i="1" s="1"/>
  <c r="E160" i="1" s="1"/>
  <c r="D72" i="1" l="1"/>
  <c r="D27" i="1"/>
  <c r="F158" i="1"/>
  <c r="E162" i="1"/>
  <c r="E163" i="1" s="1"/>
  <c r="E15" i="1" s="1"/>
  <c r="E31" i="1" s="1"/>
  <c r="F14" i="1"/>
  <c r="D70" i="1" l="1"/>
  <c r="D69" i="1"/>
  <c r="D68" i="1"/>
  <c r="E50" i="1"/>
  <c r="E16" i="1"/>
  <c r="F159" i="1"/>
  <c r="F160" i="1" s="1"/>
  <c r="G14" i="1"/>
  <c r="E32" i="1"/>
  <c r="E67" i="1" l="1"/>
  <c r="E34" i="1"/>
  <c r="E149" i="1"/>
  <c r="E38" i="1"/>
  <c r="E39" i="1" s="1"/>
  <c r="E71" i="1" s="1"/>
  <c r="E44" i="1"/>
  <c r="E51" i="1" s="1"/>
  <c r="G159" i="1"/>
  <c r="G158" i="1"/>
  <c r="F162" i="1"/>
  <c r="F163" i="1" s="1"/>
  <c r="F15" i="1" s="1"/>
  <c r="F31" i="1" s="1"/>
  <c r="H14" i="1"/>
  <c r="E152" i="1" l="1"/>
  <c r="E153" i="1" s="1"/>
  <c r="F50" i="1"/>
  <c r="E61" i="1"/>
  <c r="E40" i="1"/>
  <c r="G160" i="1"/>
  <c r="G162" i="1" s="1"/>
  <c r="G163" i="1" s="1"/>
  <c r="G15" i="1" s="1"/>
  <c r="G31" i="1" s="1"/>
  <c r="H159" i="1"/>
  <c r="F16" i="1"/>
  <c r="F32" i="1"/>
  <c r="F67" i="1" l="1"/>
  <c r="G50" i="1"/>
  <c r="F34" i="1"/>
  <c r="E22" i="1"/>
  <c r="E63" i="1"/>
  <c r="F62" i="1" s="1"/>
  <c r="F44" i="1"/>
  <c r="F51" i="1" s="1"/>
  <c r="H158" i="1"/>
  <c r="H160" i="1" s="1"/>
  <c r="H162" i="1" s="1"/>
  <c r="H163" i="1" s="1"/>
  <c r="H15" i="1" s="1"/>
  <c r="H31" i="1" s="1"/>
  <c r="G16" i="1"/>
  <c r="F149" i="1"/>
  <c r="F38" i="1"/>
  <c r="G67" i="1" l="1"/>
  <c r="F152" i="1"/>
  <c r="F153" i="1" s="1"/>
  <c r="H50" i="1"/>
  <c r="F61" i="1"/>
  <c r="F22" i="1" s="1"/>
  <c r="E25" i="1"/>
  <c r="E72" i="1" s="1"/>
  <c r="E150" i="1"/>
  <c r="H16" i="1"/>
  <c r="G44" i="1"/>
  <c r="G51" i="1" s="1"/>
  <c r="F39" i="1"/>
  <c r="G38" i="1"/>
  <c r="G32" i="1"/>
  <c r="G34" i="1" s="1"/>
  <c r="H32" i="1"/>
  <c r="G149" i="1"/>
  <c r="F40" i="1" l="1"/>
  <c r="F71" i="1"/>
  <c r="H67" i="1"/>
  <c r="H149" i="1"/>
  <c r="E27" i="1"/>
  <c r="G152" i="1"/>
  <c r="G153" i="1" s="1"/>
  <c r="H34" i="1"/>
  <c r="F63" i="1"/>
  <c r="G62" i="1" s="1"/>
  <c r="H44" i="1"/>
  <c r="H51" i="1" s="1"/>
  <c r="F150" i="1"/>
  <c r="F25" i="1"/>
  <c r="F72" i="1" s="1"/>
  <c r="G39" i="1"/>
  <c r="H38" i="1"/>
  <c r="H39" i="1" s="1"/>
  <c r="H71" i="1" s="1"/>
  <c r="G40" i="1" l="1"/>
  <c r="G71" i="1"/>
  <c r="E70" i="1"/>
  <c r="E69" i="1"/>
  <c r="F27" i="1"/>
  <c r="E68" i="1"/>
  <c r="H152" i="1"/>
  <c r="H153" i="1" s="1"/>
  <c r="G61" i="1"/>
  <c r="G22" i="1" s="1"/>
  <c r="H40" i="1"/>
  <c r="F70" i="1" l="1"/>
  <c r="F69" i="1"/>
  <c r="F68" i="1"/>
  <c r="G63" i="1"/>
  <c r="H62" i="1" s="1"/>
  <c r="G25" i="1"/>
  <c r="G72" i="1" s="1"/>
  <c r="G150" i="1"/>
  <c r="G27" i="1" l="1"/>
  <c r="H61" i="1"/>
  <c r="H22" i="1" s="1"/>
  <c r="G70" i="1" l="1"/>
  <c r="G69" i="1"/>
  <c r="G68" i="1"/>
  <c r="J22" i="1"/>
  <c r="H150" i="1"/>
  <c r="H25" i="1"/>
  <c r="H72" i="1" s="1"/>
  <c r="H63" i="1"/>
  <c r="H27" i="1" l="1"/>
  <c r="H70" i="1" l="1"/>
  <c r="H69" i="1"/>
  <c r="H68" i="1"/>
</calcChain>
</file>

<file path=xl/sharedStrings.xml><?xml version="1.0" encoding="utf-8"?>
<sst xmlns="http://schemas.openxmlformats.org/spreadsheetml/2006/main" count="158" uniqueCount="93">
  <si>
    <t>Cost of sales</t>
  </si>
  <si>
    <t>Cash</t>
  </si>
  <si>
    <t>Accounts receivable</t>
  </si>
  <si>
    <t>Inventory</t>
  </si>
  <si>
    <t>Current assets</t>
  </si>
  <si>
    <t>Depreciation</t>
  </si>
  <si>
    <t>Accounts payable</t>
  </si>
  <si>
    <t>Current liabilities</t>
  </si>
  <si>
    <t>Capital</t>
  </si>
  <si>
    <t>Equity</t>
  </si>
  <si>
    <t>Revenue</t>
  </si>
  <si>
    <t>Gross margin</t>
  </si>
  <si>
    <t>Balance sheet</t>
  </si>
  <si>
    <t>Opening</t>
  </si>
  <si>
    <t>Cash flow</t>
  </si>
  <si>
    <t>Year 1</t>
  </si>
  <si>
    <t>Year 2</t>
  </si>
  <si>
    <t>Year 3</t>
  </si>
  <si>
    <t>Year 4</t>
  </si>
  <si>
    <t>Year 5</t>
  </si>
  <si>
    <t>Tax</t>
  </si>
  <si>
    <t>Other liabilities</t>
  </si>
  <si>
    <t>Graphs</t>
  </si>
  <si>
    <t>Ratios</t>
  </si>
  <si>
    <t>Breakeven revenue</t>
  </si>
  <si>
    <t>Debt</t>
  </si>
  <si>
    <t>Tax balance brought forward</t>
  </si>
  <si>
    <t>Tax balance carried forward</t>
  </si>
  <si>
    <t>Tax on cumulative</t>
  </si>
  <si>
    <t>Repayments</t>
  </si>
  <si>
    <t>Operating expenses</t>
  </si>
  <si>
    <t>Net income</t>
  </si>
  <si>
    <t>Income before tax</t>
  </si>
  <si>
    <t>Insert the term in years over which the opening debt is to be cleared, and the opening debt</t>
  </si>
  <si>
    <t>Insert the term in years over which each new debt is to be cleared, and the new debt</t>
  </si>
  <si>
    <t>Depreciation is on a reducing balance basis</t>
  </si>
  <si>
    <t>Enter capital expenditure as a negative figure</t>
  </si>
  <si>
    <t>Retained earnings</t>
  </si>
  <si>
    <t>Graph information</t>
  </si>
  <si>
    <t>Income Statement</t>
  </si>
  <si>
    <t>Cash Flow Statement</t>
  </si>
  <si>
    <t>Add back depreciation</t>
  </si>
  <si>
    <t>Operating income</t>
  </si>
  <si>
    <t>Total assets</t>
  </si>
  <si>
    <t>Total liabilities</t>
  </si>
  <si>
    <t>Long-term debt</t>
  </si>
  <si>
    <t>Total equity</t>
  </si>
  <si>
    <t>Total liabilities and equity</t>
  </si>
  <si>
    <t>Assets</t>
  </si>
  <si>
    <t>Liabilities</t>
  </si>
  <si>
    <t>Research and development</t>
  </si>
  <si>
    <t>Sales and marketing</t>
  </si>
  <si>
    <t>General and administrative</t>
  </si>
  <si>
    <t>Finance costs</t>
  </si>
  <si>
    <t>Income tax expense</t>
  </si>
  <si>
    <t>Cash flows from investing activities</t>
  </si>
  <si>
    <t>Cash flow from financing activities</t>
  </si>
  <si>
    <t>Cash flows from operating activities</t>
  </si>
  <si>
    <t>Proceeds from issue of share capital</t>
  </si>
  <si>
    <t>Proceeds from long-term debt</t>
  </si>
  <si>
    <t>Repayment of long-term debt</t>
  </si>
  <si>
    <t>Changes in working capital</t>
  </si>
  <si>
    <t>Free cash</t>
  </si>
  <si>
    <t>Cash balance</t>
  </si>
  <si>
    <t>Free cash flow year</t>
  </si>
  <si>
    <t>Free cash flow (cumulative)</t>
  </si>
  <si>
    <t>Additional templates and instructions are available at our website</t>
  </si>
  <si>
    <t>Long-term assets</t>
  </si>
  <si>
    <t>Amount paid for long-term assets</t>
  </si>
  <si>
    <t>Assumptions</t>
  </si>
  <si>
    <t>Efficiency (Revenue  / Assets)</t>
  </si>
  <si>
    <t>Liquidity (Current assets / Current liabilities)</t>
  </si>
  <si>
    <t>Return on equity (ROE)</t>
  </si>
  <si>
    <t>Gross margin %</t>
  </si>
  <si>
    <t>Input</t>
  </si>
  <si>
    <t>Gross margin % assumption</t>
  </si>
  <si>
    <t>Beginning cash balance</t>
  </si>
  <si>
    <t>Ending cash balance</t>
  </si>
  <si>
    <t>Year 0</t>
  </si>
  <si>
    <t>Loan year</t>
  </si>
  <si>
    <t>Beginning balance</t>
  </si>
  <si>
    <t>Interest</t>
  </si>
  <si>
    <t>Repayment</t>
  </si>
  <si>
    <t>Ending balance</t>
  </si>
  <si>
    <t>Summary</t>
  </si>
  <si>
    <t>Loan balance</t>
  </si>
  <si>
    <t>Principal repayment</t>
  </si>
  <si>
    <t>Financing activity</t>
  </si>
  <si>
    <t>Total cash payment</t>
  </si>
  <si>
    <t>Operating activity, net income includes this. (interest expense = interest payment)</t>
  </si>
  <si>
    <t>Profitability (Net income / Revenue)</t>
  </si>
  <si>
    <t>Operating return on assets (ROA)</t>
  </si>
  <si>
    <t>Leverage (Liabilities / Assets)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</si>
</sst>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3F3F7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9">
    <xf numFmtId="0" fontId="0" fillId="0" borderId="0"/>
    <xf numFmtId="0" fontId="3" fillId="2" borderId="2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6" borderId="0" applyNumberFormat="0" applyBorder="0" applyAlignment="0" applyProtection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3" applyAlignment="1" applyProtection="1">
      <alignment vertical="center"/>
      <protection hidden="1"/>
    </xf>
    <xf numFmtId="3" fontId="7" fillId="0" borderId="0" xfId="3" applyNumberForma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2" borderId="2" xfId="1" applyAlignment="1" applyProtection="1">
      <alignment horizontal="center" vertical="center"/>
      <protection hidden="1"/>
    </xf>
    <xf numFmtId="3" fontId="3" fillId="0" borderId="0" xfId="1" applyNumberFormat="1" applyFill="1" applyBorder="1" applyAlignment="1" applyProtection="1">
      <alignment vertical="center"/>
      <protection hidden="1"/>
    </xf>
    <xf numFmtId="3" fontId="0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9" fontId="2" fillId="0" borderId="0" xfId="2" applyFont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8" fillId="0" borderId="0" xfId="4" applyNumberForma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Fill="1" applyBorder="1" applyAlignment="1" applyProtection="1">
      <alignment vertical="center"/>
      <protection hidden="1"/>
    </xf>
    <xf numFmtId="3" fontId="7" fillId="0" borderId="0" xfId="3" applyNumberFormat="1" applyProtection="1">
      <protection hidden="1"/>
    </xf>
    <xf numFmtId="165" fontId="0" fillId="0" borderId="0" xfId="2" applyNumberFormat="1" applyFont="1" applyAlignment="1" applyProtection="1">
      <alignment vertical="center"/>
      <protection hidden="1"/>
    </xf>
    <xf numFmtId="166" fontId="0" fillId="0" borderId="0" xfId="5" applyNumberFormat="1" applyFont="1" applyAlignment="1" applyProtection="1">
      <alignment vertical="center"/>
      <protection hidden="1"/>
    </xf>
    <xf numFmtId="3" fontId="7" fillId="0" borderId="0" xfId="3" applyNumberFormat="1" applyFill="1" applyAlignment="1" applyProtection="1">
      <alignment vertical="center"/>
      <protection hidden="1"/>
    </xf>
    <xf numFmtId="0" fontId="7" fillId="0" borderId="0" xfId="3" applyFill="1" applyAlignment="1" applyProtection="1">
      <alignment vertical="center"/>
      <protection hidden="1"/>
    </xf>
    <xf numFmtId="0" fontId="9" fillId="0" borderId="0" xfId="3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indent="2"/>
      <protection hidden="1"/>
    </xf>
    <xf numFmtId="0" fontId="0" fillId="0" borderId="0" xfId="0" applyFill="1" applyBorder="1" applyAlignment="1" applyProtection="1">
      <alignment horizontal="left" indent="2"/>
      <protection hidden="1"/>
    </xf>
    <xf numFmtId="3" fontId="0" fillId="0" borderId="0" xfId="0" applyNumberFormat="1" applyFill="1" applyAlignment="1" applyProtection="1">
      <alignment vertical="center"/>
      <protection hidden="1"/>
    </xf>
    <xf numFmtId="3" fontId="4" fillId="0" borderId="0" xfId="6" applyNumberFormat="1" applyFill="1" applyAlignment="1" applyProtection="1">
      <alignment vertical="center"/>
      <protection hidden="1"/>
    </xf>
    <xf numFmtId="0" fontId="8" fillId="0" borderId="0" xfId="4" applyFill="1" applyAlignment="1" applyProtection="1">
      <alignment vertical="center"/>
      <protection hidden="1"/>
    </xf>
    <xf numFmtId="0" fontId="7" fillId="0" borderId="0" xfId="3" applyFill="1" applyBorder="1" applyAlignment="1" applyProtection="1">
      <alignment vertical="center"/>
      <protection hidden="1"/>
    </xf>
    <xf numFmtId="3" fontId="7" fillId="4" borderId="2" xfId="3" applyNumberFormat="1" applyFill="1" applyBorder="1" applyAlignment="1" applyProtection="1">
      <alignment vertical="center"/>
      <protection hidden="1"/>
    </xf>
    <xf numFmtId="3" fontId="7" fillId="5" borderId="0" xfId="3" applyNumberForma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1" fillId="0" borderId="0" xfId="3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3" fontId="11" fillId="0" borderId="0" xfId="3" applyNumberFormat="1" applyFont="1" applyFill="1" applyAlignment="1" applyProtection="1">
      <alignment vertical="center"/>
      <protection hidden="1"/>
    </xf>
    <xf numFmtId="3" fontId="4" fillId="0" borderId="0" xfId="4" applyNumberFormat="1" applyFont="1" applyFill="1" applyAlignment="1" applyProtection="1">
      <alignment vertical="center"/>
      <protection hidden="1"/>
    </xf>
    <xf numFmtId="0" fontId="11" fillId="0" borderId="0" xfId="3" applyFont="1" applyFill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3" fontId="4" fillId="0" borderId="0" xfId="6" applyNumberFormat="1" applyFont="1" applyFill="1" applyBorder="1" applyAlignment="1" applyProtection="1">
      <alignment horizontal="center" vertical="center"/>
      <protection hidden="1"/>
    </xf>
    <xf numFmtId="166" fontId="4" fillId="0" borderId="0" xfId="5" applyNumberFormat="1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66" fontId="7" fillId="0" borderId="0" xfId="5" applyNumberFormat="1" applyFont="1" applyFill="1" applyAlignment="1" applyProtection="1">
      <alignment vertical="center"/>
      <protection hidden="1"/>
    </xf>
    <xf numFmtId="3" fontId="4" fillId="0" borderId="0" xfId="6" applyNumberForma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3" applyBorder="1" applyAlignment="1" applyProtection="1">
      <alignment vertical="center"/>
      <protection hidden="1"/>
    </xf>
    <xf numFmtId="3" fontId="7" fillId="0" borderId="0" xfId="3" applyNumberForma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3" fontId="0" fillId="0" borderId="0" xfId="0" applyNumberForma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7" fillId="0" borderId="0" xfId="3" quotePrefix="1" applyBorder="1" applyAlignment="1" applyProtection="1">
      <alignment horizontal="right" vertical="center"/>
      <protection hidden="1"/>
    </xf>
    <xf numFmtId="3" fontId="7" fillId="0" borderId="0" xfId="3" applyNumberFormat="1" applyBorder="1" applyAlignment="1" applyProtection="1">
      <alignment horizontal="right" vertical="center"/>
      <protection hidden="1"/>
    </xf>
    <xf numFmtId="3" fontId="4" fillId="0" borderId="0" xfId="0" applyNumberFormat="1" applyFont="1" applyBorder="1" applyAlignment="1" applyProtection="1">
      <alignment vertical="center"/>
      <protection hidden="1"/>
    </xf>
    <xf numFmtId="166" fontId="7" fillId="0" borderId="0" xfId="5" applyNumberFormat="1" applyFont="1" applyBorder="1" applyAlignment="1" applyProtection="1">
      <alignment vertical="center"/>
      <protection hidden="1"/>
    </xf>
    <xf numFmtId="166" fontId="4" fillId="0" borderId="0" xfId="5" applyNumberFormat="1" applyFont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3" fontId="7" fillId="0" borderId="0" xfId="3" applyNumberFormat="1" applyFill="1" applyBorder="1" applyAlignment="1" applyProtection="1">
      <alignment vertical="center"/>
      <protection hidden="1"/>
    </xf>
    <xf numFmtId="0" fontId="8" fillId="0" borderId="0" xfId="4" applyFill="1" applyBorder="1" applyAlignment="1" applyProtection="1">
      <alignment vertical="center"/>
      <protection hidden="1"/>
    </xf>
    <xf numFmtId="3" fontId="8" fillId="0" borderId="0" xfId="4" applyNumberFormat="1" applyFill="1" applyBorder="1" applyAlignment="1" applyProtection="1">
      <alignment vertical="center"/>
      <protection hidden="1"/>
    </xf>
    <xf numFmtId="3" fontId="11" fillId="0" borderId="0" xfId="3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locked="0"/>
    </xf>
    <xf numFmtId="165" fontId="3" fillId="0" borderId="0" xfId="1" applyNumberForma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vertical="center"/>
      <protection hidden="1"/>
    </xf>
    <xf numFmtId="0" fontId="7" fillId="0" borderId="0" xfId="3"/>
    <xf numFmtId="0" fontId="7" fillId="0" borderId="0" xfId="3" applyAlignment="1" applyProtection="1">
      <alignment vertical="center" wrapText="1"/>
      <protection hidden="1"/>
    </xf>
    <xf numFmtId="165" fontId="0" fillId="0" borderId="0" xfId="2" applyNumberFormat="1" applyFont="1" applyBorder="1" applyAlignment="1" applyProtection="1">
      <alignment vertical="center"/>
      <protection hidden="1"/>
    </xf>
    <xf numFmtId="164" fontId="0" fillId="0" borderId="0" xfId="5" applyFont="1" applyBorder="1" applyAlignment="1" applyProtection="1">
      <alignment vertical="center"/>
      <protection hidden="1"/>
    </xf>
    <xf numFmtId="164" fontId="0" fillId="0" borderId="0" xfId="5" applyNumberFormat="1" applyFont="1" applyBorder="1" applyAlignment="1" applyProtection="1">
      <alignment vertical="center"/>
      <protection hidden="1"/>
    </xf>
    <xf numFmtId="165" fontId="1" fillId="0" borderId="0" xfId="2" applyNumberFormat="1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167" fontId="3" fillId="2" borderId="2" xfId="1" applyNumberFormat="1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hidden="1"/>
    </xf>
    <xf numFmtId="167" fontId="3" fillId="0" borderId="0" xfId="1" applyNumberFormat="1" applyFill="1" applyBorder="1" applyAlignment="1" applyProtection="1">
      <alignment vertical="center"/>
      <protection hidden="1"/>
    </xf>
    <xf numFmtId="167" fontId="0" fillId="0" borderId="0" xfId="0" applyNumberFormat="1" applyFont="1" applyAlignment="1" applyProtection="1">
      <alignment vertic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167" fontId="3" fillId="0" borderId="0" xfId="1" applyNumberFormat="1" applyFill="1" applyBorder="1" applyAlignment="1" applyProtection="1">
      <alignment vertical="center"/>
      <protection locked="0"/>
    </xf>
    <xf numFmtId="167" fontId="0" fillId="0" borderId="0" xfId="0" applyNumberFormat="1" applyFill="1" applyBorder="1" applyAlignment="1" applyProtection="1">
      <alignment vertical="center"/>
      <protection hidden="1"/>
    </xf>
    <xf numFmtId="167" fontId="3" fillId="2" borderId="4" xfId="1" applyNumberFormat="1" applyBorder="1" applyAlignment="1" applyProtection="1">
      <alignment vertical="center"/>
      <protection locked="0"/>
    </xf>
    <xf numFmtId="167" fontId="2" fillId="0" borderId="0" xfId="0" applyNumberFormat="1" applyFont="1" applyFill="1" applyBorder="1" applyAlignment="1" applyProtection="1">
      <alignment vertical="center"/>
      <protection hidden="1"/>
    </xf>
    <xf numFmtId="167" fontId="2" fillId="0" borderId="0" xfId="0" applyNumberFormat="1" applyFont="1" applyBorder="1" applyAlignment="1" applyProtection="1">
      <alignment vertical="center"/>
      <protection hidden="1"/>
    </xf>
    <xf numFmtId="167" fontId="0" fillId="0" borderId="0" xfId="0" applyNumberFormat="1" applyFont="1" applyBorder="1" applyAlignment="1" applyProtection="1">
      <alignment vertical="center"/>
      <protection hidden="1"/>
    </xf>
    <xf numFmtId="167" fontId="2" fillId="0" borderId="1" xfId="0" applyNumberFormat="1" applyFont="1" applyBorder="1" applyAlignment="1" applyProtection="1">
      <alignment vertical="center"/>
      <protection hidden="1"/>
    </xf>
    <xf numFmtId="167" fontId="2" fillId="0" borderId="1" xfId="0" applyNumberFormat="1" applyFont="1" applyFill="1" applyBorder="1" applyAlignment="1" applyProtection="1">
      <alignment vertical="center"/>
      <protection hidden="1"/>
    </xf>
    <xf numFmtId="167" fontId="2" fillId="0" borderId="0" xfId="0" applyNumberFormat="1" applyFont="1" applyFill="1" applyAlignment="1" applyProtection="1">
      <alignment vertical="center"/>
      <protection hidden="1"/>
    </xf>
    <xf numFmtId="167" fontId="2" fillId="0" borderId="3" xfId="0" applyNumberFormat="1" applyFont="1" applyBorder="1" applyAlignment="1" applyProtection="1">
      <alignment vertical="center"/>
      <protection hidden="1"/>
    </xf>
    <xf numFmtId="164" fontId="2" fillId="0" borderId="0" xfId="5" applyFont="1" applyAlignment="1" applyProtection="1">
      <alignment horizontal="right" vertical="center"/>
      <protection hidden="1"/>
    </xf>
    <xf numFmtId="0" fontId="0" fillId="0" borderId="0" xfId="8" applyFont="1" applyFill="1" applyBorder="1" applyAlignment="1" applyProtection="1">
      <alignment horizontal="center" vertical="center"/>
      <protection hidden="1"/>
    </xf>
    <xf numFmtId="0" fontId="2" fillId="0" borderId="0" xfId="5" applyNumberFormat="1" applyFont="1" applyFill="1" applyBorder="1" applyAlignment="1" applyProtection="1">
      <alignment horizontal="center" vertical="center"/>
      <protection hidden="1"/>
    </xf>
    <xf numFmtId="165" fontId="12" fillId="2" borderId="2" xfId="1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hidden="1"/>
    </xf>
    <xf numFmtId="167" fontId="12" fillId="2" borderId="2" xfId="1" applyNumberFormat="1" applyFont="1" applyAlignment="1" applyProtection="1">
      <alignment vertical="center"/>
      <protection locked="0"/>
    </xf>
    <xf numFmtId="0" fontId="7" fillId="0" borderId="0" xfId="3" applyFill="1" applyBorder="1" applyAlignment="1" applyProtection="1">
      <alignment horizontal="left" vertical="center"/>
      <protection hidden="1"/>
    </xf>
    <xf numFmtId="0" fontId="9" fillId="0" borderId="0" xfId="3" applyNumberFormat="1" applyFont="1" applyFill="1" applyBorder="1" applyAlignment="1" applyProtection="1">
      <alignment horizontal="center" vertical="center"/>
      <protection hidden="1"/>
    </xf>
    <xf numFmtId="164" fontId="9" fillId="0" borderId="0" xfId="3" applyNumberFormat="1" applyFont="1" applyAlignment="1" applyProtection="1">
      <alignment horizontal="right" vertical="center"/>
      <protection hidden="1"/>
    </xf>
    <xf numFmtId="3" fontId="9" fillId="0" borderId="0" xfId="3" applyNumberFormat="1" applyFont="1" applyAlignment="1" applyProtection="1">
      <alignment vertical="center"/>
      <protection hidden="1"/>
    </xf>
    <xf numFmtId="3" fontId="7" fillId="0" borderId="0" xfId="3" applyNumberFormat="1" applyFont="1" applyAlignment="1" applyProtection="1">
      <alignment vertical="center"/>
      <protection hidden="1"/>
    </xf>
    <xf numFmtId="3" fontId="7" fillId="0" borderId="0" xfId="3" applyNumberFormat="1" applyFont="1" applyAlignment="1" applyProtection="1">
      <alignment horizontal="center"/>
      <protection hidden="1"/>
    </xf>
    <xf numFmtId="9" fontId="7" fillId="0" borderId="0" xfId="2" applyFont="1" applyAlignment="1" applyProtection="1">
      <alignment vertical="center"/>
      <protection hidden="1"/>
    </xf>
    <xf numFmtId="3" fontId="7" fillId="5" borderId="0" xfId="3" applyNumberFormat="1" applyFill="1" applyBorder="1" applyAlignment="1" applyProtection="1">
      <alignment vertical="center"/>
      <protection hidden="1"/>
    </xf>
    <xf numFmtId="3" fontId="7" fillId="0" borderId="0" xfId="3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0" fillId="0" borderId="0" xfId="7" applyAlignment="1" applyProtection="1">
      <alignment horizontal="center" vertical="center" wrapText="1"/>
      <protection hidden="1"/>
    </xf>
    <xf numFmtId="0" fontId="7" fillId="0" borderId="0" xfId="3" applyAlignment="1" applyProtection="1">
      <alignment horizontal="right" vertical="center"/>
      <protection hidden="1"/>
    </xf>
  </cellXfs>
  <cellStyles count="9">
    <cellStyle name="20% - Accent5" xfId="8" builtinId="46"/>
    <cellStyle name="Comma" xfId="5" builtinId="3"/>
    <cellStyle name="Explanatory Text" xfId="3" builtinId="53"/>
    <cellStyle name="Good" xfId="4" builtinId="26"/>
    <cellStyle name="Hyperlink" xfId="7" builtinId="8"/>
    <cellStyle name="Input" xfId="1" builtinId="20"/>
    <cellStyle name="Normal" xfId="0" builtinId="0"/>
    <cellStyle name="Percent" xfId="2" builtinId="5"/>
    <cellStyle name="Warning Text" xfId="6" builtinId="11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Projection!$A$148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val>
            <c:numRef>
              <c:f>Projection!$D$148:$H$148</c:f>
              <c:numCache>
                <c:formatCode>#,##0</c:formatCode>
                <c:ptCount val="5"/>
                <c:pt idx="0">
                  <c:v>40000</c:v>
                </c:pt>
                <c:pt idx="1">
                  <c:v>75000</c:v>
                </c:pt>
                <c:pt idx="2">
                  <c:v>100000</c:v>
                </c:pt>
                <c:pt idx="3">
                  <c:v>200000</c:v>
                </c:pt>
                <c:pt idx="4">
                  <c:v>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"/>
        <c:axId val="-264847616"/>
        <c:axId val="-264845984"/>
      </c:barChart>
      <c:catAx>
        <c:axId val="-26484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64845984"/>
        <c:crosses val="autoZero"/>
        <c:auto val="1"/>
        <c:lblAlgn val="ctr"/>
        <c:lblOffset val="100"/>
        <c:noMultiLvlLbl val="0"/>
      </c:catAx>
      <c:valAx>
        <c:axId val="-264845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-26484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Projection!$A$149</c:f>
              <c:strCache>
                <c:ptCount val="1"/>
                <c:pt idx="0">
                  <c:v>Net income</c:v>
                </c:pt>
              </c:strCache>
            </c:strRef>
          </c:tx>
          <c:invertIfNegative val="0"/>
          <c:val>
            <c:numRef>
              <c:f>Projection!$D$149:$H$149</c:f>
              <c:numCache>
                <c:formatCode>#,##0</c:formatCode>
                <c:ptCount val="5"/>
                <c:pt idx="0">
                  <c:v>320</c:v>
                </c:pt>
                <c:pt idx="1">
                  <c:v>4801.767298821117</c:v>
                </c:pt>
                <c:pt idx="2">
                  <c:v>13428.326636372076</c:v>
                </c:pt>
                <c:pt idx="3">
                  <c:v>39491.148347425071</c:v>
                </c:pt>
                <c:pt idx="4">
                  <c:v>62214.875628099049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-264832928"/>
        <c:axId val="-264832384"/>
      </c:barChart>
      <c:catAx>
        <c:axId val="-26483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-264832384"/>
        <c:crosses val="autoZero"/>
        <c:auto val="1"/>
        <c:lblAlgn val="ctr"/>
        <c:lblOffset val="100"/>
        <c:noMultiLvlLbl val="0"/>
      </c:catAx>
      <c:valAx>
        <c:axId val="-264832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-2648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Free cash flow </a:t>
            </a:r>
            <a:r>
              <a:rPr lang="en-US" sz="1200" b="0" i="1"/>
              <a:t>(cumulative)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Projection!$A$153</c:f>
              <c:strCache>
                <c:ptCount val="1"/>
                <c:pt idx="0">
                  <c:v>Free cash flow (cumulative)</c:v>
                </c:pt>
              </c:strCache>
            </c:strRef>
          </c:tx>
          <c:marker>
            <c:symbol val="none"/>
          </c:marker>
          <c:cat>
            <c:numRef>
              <c:f>Projection!$C$154:$H$154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Projection!$C$153:$H$153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1650.9589041095878</c:v>
                </c:pt>
                <c:pt idx="2">
                  <c:v>-34208.660202354957</c:v>
                </c:pt>
                <c:pt idx="3">
                  <c:v>-13950.452909141939</c:v>
                </c:pt>
                <c:pt idx="4">
                  <c:v>22265.711047425102</c:v>
                </c:pt>
                <c:pt idx="5">
                  <c:v>65163.590410207878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64843808"/>
        <c:axId val="-264837280"/>
      </c:lineChart>
      <c:catAx>
        <c:axId val="-2648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64837280"/>
        <c:crosses val="autoZero"/>
        <c:auto val="1"/>
        <c:lblAlgn val="ctr"/>
        <c:lblOffset val="100"/>
        <c:noMultiLvlLbl val="0"/>
      </c:catAx>
      <c:valAx>
        <c:axId val="-26483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64843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Projection!$A$150</c:f>
              <c:strCache>
                <c:ptCount val="1"/>
                <c:pt idx="0">
                  <c:v>Cash balance</c:v>
                </c:pt>
              </c:strCache>
            </c:strRef>
          </c:tx>
          <c:invertIfNegative val="0"/>
          <c:val>
            <c:numRef>
              <c:f>Projection!$D$150:$H$150</c:f>
              <c:numCache>
                <c:formatCode>#,##0</c:formatCode>
                <c:ptCount val="5"/>
                <c:pt idx="0">
                  <c:v>1845.7308159496706</c:v>
                </c:pt>
                <c:pt idx="1">
                  <c:v>1156.1324110179003</c:v>
                </c:pt>
                <c:pt idx="2">
                  <c:v>4951.1612338250079</c:v>
                </c:pt>
                <c:pt idx="3">
                  <c:v>29450.847669329818</c:v>
                </c:pt>
                <c:pt idx="4">
                  <c:v>60163.590410207878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-264841088"/>
        <c:axId val="-264836736"/>
      </c:barChart>
      <c:catAx>
        <c:axId val="-26484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64836736"/>
        <c:crosses val="autoZero"/>
        <c:auto val="1"/>
        <c:lblAlgn val="ctr"/>
        <c:lblOffset val="100"/>
        <c:noMultiLvlLbl val="0"/>
      </c:catAx>
      <c:valAx>
        <c:axId val="-2648367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-26484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</xdr:colOff>
      <xdr:row>76</xdr:row>
      <xdr:rowOff>157161</xdr:rowOff>
    </xdr:from>
    <xdr:to>
      <xdr:col>7</xdr:col>
      <xdr:colOff>704850</xdr:colOff>
      <xdr:row>86</xdr:row>
      <xdr:rowOff>137161</xdr:rowOff>
    </xdr:to>
    <xdr:grpSp>
      <xdr:nvGrpSpPr>
        <xdr:cNvPr id="6" name="Group 5"/>
        <xdr:cNvGrpSpPr/>
      </xdr:nvGrpSpPr>
      <xdr:grpSpPr>
        <a:xfrm>
          <a:off x="204787" y="19645311"/>
          <a:ext cx="7700963" cy="2456500"/>
          <a:chOff x="123825" y="13396911"/>
          <a:chExt cx="4933463" cy="2160000"/>
        </a:xfrm>
      </xdr:grpSpPr>
      <xdr:graphicFrame macro="">
        <xdr:nvGraphicFramePr>
          <xdr:cNvPr id="3" name="Chart 2"/>
          <xdr:cNvGraphicFramePr/>
        </xdr:nvGraphicFramePr>
        <xdr:xfrm>
          <a:off x="123825" y="13396911"/>
          <a:ext cx="2376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2681288" y="13396911"/>
          <a:ext cx="2376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204787</xdr:colOff>
      <xdr:row>87</xdr:row>
      <xdr:rowOff>209550</xdr:rowOff>
    </xdr:from>
    <xdr:to>
      <xdr:col>7</xdr:col>
      <xdr:colOff>714375</xdr:colOff>
      <xdr:row>97</xdr:row>
      <xdr:rowOff>189550</xdr:rowOff>
    </xdr:to>
    <xdr:grpSp>
      <xdr:nvGrpSpPr>
        <xdr:cNvPr id="15" name="Group 14"/>
        <xdr:cNvGrpSpPr/>
      </xdr:nvGrpSpPr>
      <xdr:grpSpPr>
        <a:xfrm>
          <a:off x="204787" y="22421850"/>
          <a:ext cx="7710488" cy="2456500"/>
          <a:chOff x="2681288" y="13396911"/>
          <a:chExt cx="4933462" cy="2160000"/>
        </a:xfrm>
      </xdr:grpSpPr>
      <xdr:graphicFrame macro="">
        <xdr:nvGraphicFramePr>
          <xdr:cNvPr id="17" name="Chart 16"/>
          <xdr:cNvGraphicFramePr/>
        </xdr:nvGraphicFramePr>
        <xdr:xfrm>
          <a:off x="2681288" y="13396911"/>
          <a:ext cx="2376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8" name="Chart 17"/>
          <xdr:cNvGraphicFramePr/>
        </xdr:nvGraphicFramePr>
        <xdr:xfrm>
          <a:off x="5238750" y="13396911"/>
          <a:ext cx="2376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0"/>
  <sheetViews>
    <sheetView showZeros="0" tabSelected="1" zoomScaleNormal="100" workbookViewId="0">
      <selection activeCell="G5" sqref="G5"/>
    </sheetView>
  </sheetViews>
  <sheetFormatPr defaultRowHeight="15" x14ac:dyDescent="0.25"/>
  <cols>
    <col min="1" max="1" width="36" style="1" customWidth="1"/>
    <col min="2" max="2" width="12.7109375" style="1" customWidth="1"/>
    <col min="3" max="8" width="11.85546875" style="1" customWidth="1"/>
    <col min="9" max="9" width="5.42578125" style="1" customWidth="1"/>
    <col min="10" max="10" width="13.140625" style="1" customWidth="1"/>
    <col min="11" max="11" width="10.140625" style="1" bestFit="1" customWidth="1"/>
    <col min="12" max="12" width="12.28515625" style="1" customWidth="1"/>
    <col min="13" max="13" width="10.140625" style="1" bestFit="1" customWidth="1"/>
    <col min="14" max="15" width="11.140625" style="1" bestFit="1" customWidth="1"/>
    <col min="16" max="17" width="9.140625" style="1"/>
    <col min="18" max="18" width="9.28515625" style="1" bestFit="1" customWidth="1"/>
    <col min="19" max="19" width="10.140625" style="1" bestFit="1" customWidth="1"/>
    <col min="20" max="20" width="9.42578125" style="1" bestFit="1" customWidth="1"/>
    <col min="21" max="21" width="10.140625" style="1" bestFit="1" customWidth="1"/>
    <col min="22" max="23" width="11.140625" style="1" bestFit="1" customWidth="1"/>
    <col min="24" max="16384" width="9.140625" style="1"/>
  </cols>
  <sheetData>
    <row r="1" spans="1:23" ht="27.95" customHeight="1" x14ac:dyDescent="0.25">
      <c r="A1" s="8" t="s">
        <v>39</v>
      </c>
      <c r="B1" s="101" t="s">
        <v>69</v>
      </c>
      <c r="C1" s="9"/>
      <c r="D1" s="99" t="s">
        <v>15</v>
      </c>
      <c r="E1" s="99" t="s">
        <v>16</v>
      </c>
      <c r="F1" s="99" t="s">
        <v>17</v>
      </c>
      <c r="G1" s="99" t="s">
        <v>18</v>
      </c>
      <c r="H1" s="99" t="s">
        <v>19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10" t="s">
        <v>74</v>
      </c>
      <c r="K2" s="2"/>
      <c r="L2" s="2"/>
      <c r="M2" s="2"/>
      <c r="N2" s="2"/>
      <c r="O2" s="2"/>
      <c r="P2" s="2"/>
      <c r="Q2" s="2"/>
      <c r="R2" s="2"/>
      <c r="S2" s="42"/>
      <c r="T2" s="2"/>
      <c r="U2" s="2"/>
      <c r="V2" s="2"/>
      <c r="W2" s="2"/>
    </row>
    <row r="3" spans="1:23" ht="20.100000000000001" customHeight="1" x14ac:dyDescent="0.25">
      <c r="A3" s="2" t="s">
        <v>10</v>
      </c>
      <c r="B3" s="2"/>
      <c r="C3" s="11"/>
      <c r="D3" s="84">
        <v>40000</v>
      </c>
      <c r="E3" s="84">
        <v>75000</v>
      </c>
      <c r="F3" s="84">
        <v>100000</v>
      </c>
      <c r="G3" s="84">
        <v>200000</v>
      </c>
      <c r="H3" s="84">
        <v>300000</v>
      </c>
      <c r="I3" s="2"/>
      <c r="J3" s="100"/>
      <c r="K3" s="2"/>
      <c r="L3" s="2"/>
      <c r="M3" s="2"/>
      <c r="N3" s="2"/>
      <c r="O3" s="2"/>
      <c r="P3" s="2"/>
      <c r="Q3" s="2"/>
      <c r="R3" s="2"/>
      <c r="S3" s="42"/>
      <c r="T3" s="2"/>
      <c r="U3" s="2"/>
      <c r="V3" s="2"/>
      <c r="W3" s="2"/>
    </row>
    <row r="4" spans="1:23" ht="20.100000000000001" customHeight="1" x14ac:dyDescent="0.25">
      <c r="A4" s="103" t="s">
        <v>73</v>
      </c>
      <c r="C4" s="11"/>
      <c r="D4" s="102">
        <v>0.55000000000000004</v>
      </c>
      <c r="E4" s="102">
        <v>0.55000000000000004</v>
      </c>
      <c r="F4" s="102">
        <v>0.55000000000000004</v>
      </c>
      <c r="G4" s="102">
        <v>0.55000000000000004</v>
      </c>
      <c r="H4" s="102">
        <v>0.55000000000000004</v>
      </c>
      <c r="I4" s="2"/>
      <c r="J4" s="105" t="s">
        <v>75</v>
      </c>
      <c r="K4" s="2"/>
      <c r="L4" s="2"/>
      <c r="M4" s="2"/>
      <c r="N4" s="2"/>
      <c r="O4" s="2"/>
      <c r="P4" s="2"/>
      <c r="Q4" s="2"/>
      <c r="R4" s="2"/>
      <c r="S4" s="42"/>
      <c r="T4" s="2"/>
      <c r="U4" s="2"/>
      <c r="V4" s="2"/>
      <c r="W4" s="2"/>
    </row>
    <row r="5" spans="1:23" ht="20.100000000000001" customHeight="1" x14ac:dyDescent="0.25">
      <c r="A5" s="2" t="s">
        <v>0</v>
      </c>
      <c r="B5" s="2"/>
      <c r="C5" s="12"/>
      <c r="D5" s="87">
        <f>+D3-D6</f>
        <v>18000</v>
      </c>
      <c r="E5" s="87">
        <f>+E3-E6</f>
        <v>33750</v>
      </c>
      <c r="F5" s="87">
        <f>+F3-F6</f>
        <v>44999.999999999993</v>
      </c>
      <c r="G5" s="87">
        <f>+G3-G6</f>
        <v>89999.999999999985</v>
      </c>
      <c r="H5" s="87">
        <f>+H3-H6</f>
        <v>135000</v>
      </c>
      <c r="I5" s="2"/>
      <c r="J5" s="2"/>
      <c r="K5" s="2"/>
      <c r="L5" s="2"/>
      <c r="M5" s="2"/>
      <c r="N5" s="2"/>
      <c r="O5" s="2"/>
      <c r="P5" s="2"/>
      <c r="Q5" s="2"/>
      <c r="R5" s="2"/>
      <c r="S5" s="42"/>
      <c r="T5" s="2"/>
      <c r="U5" s="2"/>
      <c r="V5" s="2"/>
      <c r="W5" s="2"/>
    </row>
    <row r="6" spans="1:23" ht="20.100000000000001" customHeight="1" x14ac:dyDescent="0.25">
      <c r="A6" s="13" t="s">
        <v>11</v>
      </c>
      <c r="C6" s="2"/>
      <c r="D6" s="88">
        <f>+D4*D3</f>
        <v>22000</v>
      </c>
      <c r="E6" s="88">
        <f t="shared" ref="E6:H6" si="0">+E4*E3</f>
        <v>41250</v>
      </c>
      <c r="F6" s="88">
        <f t="shared" si="0"/>
        <v>55000.000000000007</v>
      </c>
      <c r="G6" s="88">
        <f t="shared" si="0"/>
        <v>110000.00000000001</v>
      </c>
      <c r="H6" s="88">
        <f t="shared" si="0"/>
        <v>165000</v>
      </c>
      <c r="I6" s="2"/>
      <c r="J6" s="2"/>
      <c r="K6" s="2"/>
      <c r="L6" s="2"/>
      <c r="M6" s="2"/>
      <c r="N6" s="2"/>
      <c r="O6" s="2"/>
      <c r="P6" s="2"/>
      <c r="Q6" s="2"/>
      <c r="R6" s="2"/>
      <c r="S6" s="43"/>
      <c r="T6" s="2"/>
      <c r="U6" s="2"/>
      <c r="V6" s="2"/>
      <c r="W6" s="2"/>
    </row>
    <row r="7" spans="1:23" ht="20.100000000000001" customHeight="1" x14ac:dyDescent="0.25">
      <c r="A7" s="69" t="s">
        <v>50</v>
      </c>
      <c r="B7" s="75"/>
      <c r="C7" s="18"/>
      <c r="D7" s="84">
        <v>5000</v>
      </c>
      <c r="E7" s="84">
        <v>6000</v>
      </c>
      <c r="F7" s="84">
        <v>8000</v>
      </c>
      <c r="G7" s="84">
        <v>17000</v>
      </c>
      <c r="H7" s="84">
        <v>25000</v>
      </c>
      <c r="I7" s="2"/>
      <c r="J7" s="2"/>
      <c r="K7" s="2"/>
      <c r="L7" s="2"/>
      <c r="M7" s="2"/>
      <c r="N7" s="2"/>
      <c r="O7" s="2"/>
      <c r="P7" s="2"/>
      <c r="Q7" s="2"/>
      <c r="R7" s="2"/>
      <c r="S7" s="43"/>
      <c r="T7" s="2"/>
      <c r="U7" s="2"/>
      <c r="V7" s="2"/>
      <c r="W7" s="2"/>
    </row>
    <row r="8" spans="1:23" ht="20.100000000000001" customHeight="1" x14ac:dyDescent="0.25">
      <c r="A8" s="69" t="s">
        <v>51</v>
      </c>
      <c r="B8" s="75"/>
      <c r="C8" s="18"/>
      <c r="D8" s="84">
        <v>6000</v>
      </c>
      <c r="E8" s="84">
        <v>7000</v>
      </c>
      <c r="F8" s="84">
        <v>8000</v>
      </c>
      <c r="G8" s="84">
        <v>16000</v>
      </c>
      <c r="H8" s="84">
        <v>24000</v>
      </c>
      <c r="I8" s="2"/>
      <c r="J8" s="2"/>
      <c r="K8" s="2"/>
      <c r="L8" s="2"/>
      <c r="M8" s="2"/>
      <c r="N8" s="2"/>
      <c r="O8" s="2"/>
      <c r="P8" s="2"/>
      <c r="Q8" s="2"/>
      <c r="R8" s="2"/>
      <c r="S8" s="43"/>
      <c r="T8" s="2"/>
      <c r="U8" s="2"/>
      <c r="V8" s="2"/>
      <c r="W8" s="2"/>
    </row>
    <row r="9" spans="1:23" ht="20.100000000000001" customHeight="1" x14ac:dyDescent="0.25">
      <c r="A9" s="69" t="s">
        <v>52</v>
      </c>
      <c r="B9" s="75"/>
      <c r="C9" s="18"/>
      <c r="D9" s="91">
        <v>5000</v>
      </c>
      <c r="E9" s="91">
        <v>6000</v>
      </c>
      <c r="F9" s="91">
        <v>9000</v>
      </c>
      <c r="G9" s="91">
        <v>17000</v>
      </c>
      <c r="H9" s="91">
        <v>26000</v>
      </c>
      <c r="I9" s="2"/>
      <c r="J9" s="2"/>
      <c r="K9" s="2"/>
      <c r="L9" s="2"/>
      <c r="M9" s="2"/>
      <c r="N9" s="2"/>
      <c r="O9" s="2"/>
      <c r="P9" s="2"/>
      <c r="Q9" s="2"/>
      <c r="R9" s="2"/>
      <c r="S9" s="43"/>
      <c r="T9" s="2"/>
      <c r="U9" s="2"/>
      <c r="V9" s="2"/>
      <c r="W9" s="2"/>
    </row>
    <row r="10" spans="1:23" ht="20.100000000000001" customHeight="1" x14ac:dyDescent="0.25">
      <c r="A10" s="13" t="s">
        <v>30</v>
      </c>
      <c r="B10" s="14"/>
      <c r="C10" s="2"/>
      <c r="D10" s="88">
        <f>SUM(D7:D9)</f>
        <v>16000</v>
      </c>
      <c r="E10" s="88">
        <f t="shared" ref="E10:H10" si="1">SUM(E7:E9)</f>
        <v>19000</v>
      </c>
      <c r="F10" s="88">
        <f t="shared" si="1"/>
        <v>25000</v>
      </c>
      <c r="G10" s="88">
        <f t="shared" si="1"/>
        <v>50000</v>
      </c>
      <c r="H10" s="88">
        <f t="shared" si="1"/>
        <v>75000</v>
      </c>
      <c r="I10" s="2"/>
      <c r="J10" s="4"/>
      <c r="K10" s="2"/>
      <c r="L10" s="2"/>
      <c r="M10" s="2"/>
      <c r="N10" s="2"/>
      <c r="O10" s="2"/>
      <c r="P10" s="2"/>
      <c r="Q10" s="2"/>
      <c r="R10" s="2"/>
      <c r="S10" s="42"/>
      <c r="T10" s="2"/>
      <c r="U10" s="2"/>
      <c r="V10" s="2"/>
      <c r="W10" s="2"/>
    </row>
    <row r="11" spans="1:23" ht="20.100000000000001" customHeight="1" x14ac:dyDescent="0.25">
      <c r="A11" s="2" t="s">
        <v>5</v>
      </c>
      <c r="B11" s="102">
        <v>0.2</v>
      </c>
      <c r="C11" s="2"/>
      <c r="D11" s="87">
        <f>+$B$11*(C26-D53)</f>
        <v>5000</v>
      </c>
      <c r="E11" s="87">
        <f>+$B$11*(D26-E53)</f>
        <v>14000</v>
      </c>
      <c r="F11" s="87">
        <f>+$B$11*(E26-F53)</f>
        <v>11600</v>
      </c>
      <c r="G11" s="87">
        <f>+$B$11*(F26-G53)</f>
        <v>9680</v>
      </c>
      <c r="H11" s="87">
        <f>+$B$11*(G26-H53)</f>
        <v>11744</v>
      </c>
      <c r="I11" s="2"/>
      <c r="J11" s="4" t="s">
        <v>35</v>
      </c>
      <c r="K11" s="2"/>
      <c r="L11" s="20"/>
      <c r="M11" s="20"/>
      <c r="N11" s="2"/>
      <c r="O11" s="2"/>
      <c r="P11" s="2"/>
      <c r="Q11" s="2"/>
      <c r="R11" s="2"/>
      <c r="S11" s="43"/>
      <c r="T11" s="2"/>
      <c r="U11" s="2"/>
      <c r="V11" s="2"/>
      <c r="W11" s="2"/>
    </row>
    <row r="12" spans="1:23" ht="20.100000000000001" customHeight="1" x14ac:dyDescent="0.25">
      <c r="A12" s="13" t="s">
        <v>42</v>
      </c>
      <c r="B12" s="14"/>
      <c r="C12" s="2"/>
      <c r="D12" s="88">
        <f>+D6-D10-D11</f>
        <v>1000</v>
      </c>
      <c r="E12" s="88">
        <f>+E6-E10-E11</f>
        <v>8250</v>
      </c>
      <c r="F12" s="88">
        <f>+F6-F10-F11</f>
        <v>18400.000000000007</v>
      </c>
      <c r="G12" s="88">
        <f>+G6-G10-G11</f>
        <v>50320.000000000015</v>
      </c>
      <c r="H12" s="88">
        <f>+H6-H10-H11</f>
        <v>78256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42"/>
      <c r="T12" s="2"/>
      <c r="U12" s="2"/>
      <c r="V12" s="2"/>
      <c r="W12" s="2"/>
    </row>
    <row r="13" spans="1:23" ht="20.100000000000001" customHeight="1" x14ac:dyDescent="0.25">
      <c r="A13" s="2" t="s">
        <v>53</v>
      </c>
      <c r="B13" s="102">
        <v>0.04</v>
      </c>
      <c r="C13" s="2"/>
      <c r="D13" s="87">
        <f>+D212</f>
        <v>600</v>
      </c>
      <c r="E13" s="87">
        <f t="shared" ref="E13:H13" si="2">+E212</f>
        <v>2247.7908764736035</v>
      </c>
      <c r="F13" s="87">
        <f t="shared" si="2"/>
        <v>1614.5917045349142</v>
      </c>
      <c r="G13" s="87">
        <f t="shared" si="2"/>
        <v>956.06456571867784</v>
      </c>
      <c r="H13" s="87">
        <f t="shared" si="2"/>
        <v>487.40546487618849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42"/>
      <c r="T13" s="2"/>
      <c r="U13" s="2"/>
      <c r="V13" s="2"/>
      <c r="W13" s="2"/>
    </row>
    <row r="14" spans="1:23" ht="20.100000000000001" customHeight="1" x14ac:dyDescent="0.25">
      <c r="A14" s="13" t="s">
        <v>32</v>
      </c>
      <c r="B14" s="13"/>
      <c r="C14" s="14"/>
      <c r="D14" s="93">
        <f>+D12-D13</f>
        <v>400</v>
      </c>
      <c r="E14" s="93">
        <f t="shared" ref="E14:H14" si="3">+E12-E13</f>
        <v>6002.2091235263961</v>
      </c>
      <c r="F14" s="93">
        <f t="shared" si="3"/>
        <v>16785.408295465095</v>
      </c>
      <c r="G14" s="93">
        <f t="shared" si="3"/>
        <v>49363.935434281339</v>
      </c>
      <c r="H14" s="93">
        <f t="shared" si="3"/>
        <v>77768.594535123819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42"/>
      <c r="T14" s="2"/>
      <c r="U14" s="2"/>
      <c r="V14" s="2"/>
      <c r="W14" s="2"/>
    </row>
    <row r="15" spans="1:23" ht="20.100000000000001" customHeight="1" x14ac:dyDescent="0.25">
      <c r="A15" s="16" t="s">
        <v>54</v>
      </c>
      <c r="B15" s="102">
        <v>0.2</v>
      </c>
      <c r="C15" s="14"/>
      <c r="D15" s="94">
        <f>+D163</f>
        <v>80</v>
      </c>
      <c r="E15" s="94">
        <f t="shared" ref="E15:H15" si="4">+E163</f>
        <v>1200.4418247052793</v>
      </c>
      <c r="F15" s="94">
        <f t="shared" si="4"/>
        <v>3357.081659093019</v>
      </c>
      <c r="G15" s="94">
        <f t="shared" si="4"/>
        <v>9872.7870868562677</v>
      </c>
      <c r="H15" s="94">
        <f t="shared" si="4"/>
        <v>15553.718907024766</v>
      </c>
      <c r="I15" s="2"/>
      <c r="J15" s="4"/>
      <c r="K15" s="2"/>
      <c r="L15" s="2"/>
      <c r="M15" s="2"/>
      <c r="N15" s="2"/>
      <c r="O15" s="2"/>
      <c r="P15" s="2"/>
      <c r="Q15" s="2"/>
      <c r="R15" s="2"/>
      <c r="S15" s="43"/>
      <c r="T15" s="2"/>
      <c r="U15" s="2"/>
      <c r="V15" s="2"/>
      <c r="W15" s="2"/>
    </row>
    <row r="16" spans="1:23" ht="21.95" customHeight="1" thickBot="1" x14ac:dyDescent="0.3">
      <c r="A16" s="13" t="s">
        <v>31</v>
      </c>
      <c r="B16" s="13"/>
      <c r="C16" s="14"/>
      <c r="D16" s="95">
        <f>+D14-D15</f>
        <v>320</v>
      </c>
      <c r="E16" s="95">
        <f t="shared" ref="E16:H16" si="5">+E14-E15</f>
        <v>4801.767298821117</v>
      </c>
      <c r="F16" s="95">
        <f t="shared" si="5"/>
        <v>13428.326636372076</v>
      </c>
      <c r="G16" s="95">
        <f t="shared" si="5"/>
        <v>39491.148347425071</v>
      </c>
      <c r="H16" s="95">
        <f t="shared" si="5"/>
        <v>62214.875628099049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43"/>
      <c r="T16" s="2"/>
      <c r="U16" s="2"/>
      <c r="V16" s="2"/>
      <c r="W16" s="2"/>
    </row>
    <row r="17" spans="1:23" ht="20.100000000000001" customHeight="1" thickTop="1" x14ac:dyDescent="0.25">
      <c r="A17" s="13"/>
      <c r="B17" s="13"/>
      <c r="C17" s="14"/>
      <c r="D17" s="17"/>
      <c r="E17" s="17"/>
      <c r="F17" s="17"/>
      <c r="G17" s="17"/>
      <c r="H17" s="17"/>
      <c r="I17" s="2"/>
      <c r="J17" s="2"/>
      <c r="K17" s="2"/>
      <c r="L17" s="2"/>
      <c r="M17" s="2"/>
      <c r="N17" s="2"/>
      <c r="O17" s="2"/>
      <c r="P17" s="2"/>
      <c r="Q17" s="2"/>
      <c r="R17" s="2"/>
      <c r="S17" s="42"/>
      <c r="T17" s="2"/>
      <c r="U17" s="2"/>
      <c r="V17" s="2"/>
      <c r="W17" s="2"/>
    </row>
    <row r="18" spans="1:23" ht="20.100000000000001" customHeight="1" x14ac:dyDescent="0.25">
      <c r="A18" s="13"/>
      <c r="B18" s="13"/>
      <c r="C18" s="14"/>
      <c r="D18" s="17"/>
      <c r="E18" s="17"/>
      <c r="F18" s="17"/>
      <c r="G18" s="17"/>
      <c r="H18" s="17"/>
      <c r="I18" s="2"/>
      <c r="J18" s="2"/>
      <c r="K18" s="2"/>
      <c r="L18" s="2"/>
      <c r="M18" s="2"/>
      <c r="N18" s="2"/>
      <c r="O18" s="2"/>
      <c r="P18" s="2"/>
      <c r="Q18" s="2"/>
      <c r="R18" s="2"/>
      <c r="S18" s="42"/>
      <c r="T18" s="2"/>
      <c r="U18" s="2"/>
      <c r="V18" s="2"/>
      <c r="W18" s="2"/>
    </row>
    <row r="19" spans="1:23" ht="20.100000000000001" customHeight="1" x14ac:dyDescent="0.25">
      <c r="A19" s="13"/>
      <c r="B19" s="13"/>
      <c r="C19" s="14"/>
      <c r="D19" s="17"/>
      <c r="E19" s="17"/>
      <c r="F19" s="17"/>
      <c r="G19" s="17"/>
      <c r="H19" s="17"/>
      <c r="I19" s="2"/>
      <c r="J19" s="2"/>
      <c r="K19" s="2"/>
      <c r="L19" s="2"/>
      <c r="M19" s="2"/>
      <c r="N19" s="2"/>
      <c r="O19" s="2"/>
      <c r="P19" s="2"/>
      <c r="Q19" s="2"/>
      <c r="R19" s="2"/>
      <c r="S19" s="42"/>
      <c r="T19" s="2"/>
      <c r="U19" s="2"/>
      <c r="V19" s="2"/>
      <c r="W19" s="2"/>
    </row>
    <row r="20" spans="1:23" ht="27.95" customHeight="1" x14ac:dyDescent="0.25">
      <c r="A20" s="3" t="s">
        <v>12</v>
      </c>
      <c r="B20" s="101" t="s">
        <v>69</v>
      </c>
      <c r="C20" s="99" t="s">
        <v>13</v>
      </c>
      <c r="D20" s="99" t="s">
        <v>15</v>
      </c>
      <c r="E20" s="99" t="s">
        <v>16</v>
      </c>
      <c r="F20" s="99" t="s">
        <v>17</v>
      </c>
      <c r="G20" s="99" t="s">
        <v>18</v>
      </c>
      <c r="H20" s="99" t="s">
        <v>19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44"/>
      <c r="T20" s="2"/>
      <c r="U20" s="2"/>
      <c r="V20" s="2"/>
      <c r="W20" s="2"/>
    </row>
    <row r="21" spans="1:23" ht="20.100000000000001" customHeight="1" x14ac:dyDescent="0.25">
      <c r="A21" s="13" t="s">
        <v>48</v>
      </c>
    </row>
    <row r="22" spans="1:23" ht="20.100000000000001" customHeight="1" x14ac:dyDescent="0.25">
      <c r="A22" s="2" t="s">
        <v>1</v>
      </c>
      <c r="B22" s="85"/>
      <c r="C22" s="84">
        <v>5000</v>
      </c>
      <c r="D22" s="94">
        <f>+C22+D61</f>
        <v>1845.7308159496706</v>
      </c>
      <c r="E22" s="94">
        <f>+D22+E61</f>
        <v>1156.1324110179003</v>
      </c>
      <c r="F22" s="94">
        <f>+E22+F61</f>
        <v>4951.1612338250079</v>
      </c>
      <c r="G22" s="94">
        <f>+F22+G61</f>
        <v>29450.847669329818</v>
      </c>
      <c r="H22" s="94">
        <f>+G22+H61</f>
        <v>60163.590410207878</v>
      </c>
      <c r="I22" s="19"/>
      <c r="J22" s="53" t="str">
        <f>IF(COUNTIF(D22:H22,"&lt;0")&gt;0,"Error: Cash cannot be negative","")</f>
        <v/>
      </c>
      <c r="K22" s="37"/>
      <c r="L22" s="19"/>
      <c r="M22" s="19"/>
      <c r="N22" s="36"/>
      <c r="O22" s="19"/>
      <c r="P22" s="19"/>
      <c r="Q22" s="19"/>
      <c r="R22" s="19"/>
      <c r="S22" s="49"/>
      <c r="T22" s="2"/>
      <c r="U22" s="2"/>
      <c r="V22" s="2"/>
      <c r="W22" s="2"/>
    </row>
    <row r="23" spans="1:23" ht="20.100000000000001" customHeight="1" x14ac:dyDescent="0.25">
      <c r="A23" s="2" t="s">
        <v>2</v>
      </c>
      <c r="B23" s="104">
        <v>45</v>
      </c>
      <c r="C23" s="84">
        <v>6000</v>
      </c>
      <c r="D23" s="85">
        <f>+$B$23*D3/365</f>
        <v>4931.5068493150684</v>
      </c>
      <c r="E23" s="85">
        <f>+$B$23*E3/365</f>
        <v>9246.5753424657541</v>
      </c>
      <c r="F23" s="85">
        <f>+$B$23*F3/365</f>
        <v>12328.767123287671</v>
      </c>
      <c r="G23" s="85">
        <f>+$B$23*G3/365</f>
        <v>24657.534246575342</v>
      </c>
      <c r="H23" s="85">
        <f>+$B$23*H3/365</f>
        <v>36986.301369863017</v>
      </c>
      <c r="I23" s="19"/>
      <c r="J23" s="21"/>
      <c r="K23" s="36"/>
      <c r="L23" s="21"/>
      <c r="M23" s="19"/>
      <c r="N23" s="36"/>
      <c r="O23" s="19"/>
      <c r="P23" s="36"/>
      <c r="Q23" s="19"/>
      <c r="R23" s="19"/>
      <c r="S23" s="46"/>
      <c r="T23" s="2"/>
      <c r="U23" s="2"/>
      <c r="V23" s="2"/>
      <c r="W23" s="2"/>
    </row>
    <row r="24" spans="1:23" ht="20.100000000000001" customHeight="1" x14ac:dyDescent="0.25">
      <c r="A24" s="2" t="s">
        <v>3</v>
      </c>
      <c r="B24" s="104">
        <v>90</v>
      </c>
      <c r="C24" s="84">
        <v>5000</v>
      </c>
      <c r="D24" s="85">
        <f>+$B$24*D5/365</f>
        <v>4438.3561643835619</v>
      </c>
      <c r="E24" s="85">
        <f>+$B$24*E5/365</f>
        <v>8321.9178082191775</v>
      </c>
      <c r="F24" s="85">
        <f>+$B$24*F5/365</f>
        <v>11095.890410958902</v>
      </c>
      <c r="G24" s="85">
        <f>+$B$24*G5/365</f>
        <v>22191.780821917804</v>
      </c>
      <c r="H24" s="85">
        <f>+$B$24*H5/365</f>
        <v>33287.67123287671</v>
      </c>
      <c r="I24" s="19"/>
      <c r="J24" s="21"/>
      <c r="K24" s="36"/>
      <c r="L24" s="21"/>
      <c r="M24" s="19"/>
      <c r="N24" s="36"/>
      <c r="O24" s="19"/>
      <c r="P24" s="36"/>
      <c r="Q24" s="19"/>
      <c r="R24" s="19"/>
      <c r="S24" s="46"/>
      <c r="T24" s="2"/>
      <c r="U24" s="2"/>
      <c r="V24" s="2"/>
      <c r="W24" s="2"/>
    </row>
    <row r="25" spans="1:23" ht="20.100000000000001" customHeight="1" x14ac:dyDescent="0.25">
      <c r="A25" s="13" t="s">
        <v>4</v>
      </c>
      <c r="B25" s="88"/>
      <c r="C25" s="88">
        <f t="shared" ref="C25:H25" si="6">SUM(C22:C24)</f>
        <v>16000</v>
      </c>
      <c r="D25" s="88">
        <f t="shared" si="6"/>
        <v>11215.5938296483</v>
      </c>
      <c r="E25" s="88">
        <f t="shared" si="6"/>
        <v>18724.625561702829</v>
      </c>
      <c r="F25" s="88">
        <f t="shared" si="6"/>
        <v>28375.818768071582</v>
      </c>
      <c r="G25" s="88">
        <f t="shared" si="6"/>
        <v>76300.162737822975</v>
      </c>
      <c r="H25" s="88">
        <f t="shared" si="6"/>
        <v>130437.56301294762</v>
      </c>
      <c r="I25" s="19"/>
      <c r="J25" s="21"/>
      <c r="K25" s="36"/>
      <c r="L25" s="38"/>
      <c r="M25" s="19"/>
      <c r="N25" s="36"/>
      <c r="O25" s="19"/>
      <c r="P25" s="19"/>
      <c r="Q25" s="19"/>
      <c r="R25" s="19"/>
      <c r="S25" s="46"/>
      <c r="T25" s="2"/>
      <c r="U25" s="2"/>
      <c r="V25" s="2"/>
      <c r="W25" s="2"/>
    </row>
    <row r="26" spans="1:23" ht="20.100000000000001" customHeight="1" x14ac:dyDescent="0.25">
      <c r="A26" s="16" t="s">
        <v>67</v>
      </c>
      <c r="B26" s="88"/>
      <c r="C26" s="84">
        <v>20000</v>
      </c>
      <c r="D26" s="87">
        <f>+C26-D53-D11</f>
        <v>20000</v>
      </c>
      <c r="E26" s="87">
        <f>+D26-E53-E11</f>
        <v>56000</v>
      </c>
      <c r="F26" s="87">
        <f>+E26-F53-F11</f>
        <v>46400</v>
      </c>
      <c r="G26" s="87">
        <f>+F26-G53-G11</f>
        <v>38720</v>
      </c>
      <c r="H26" s="87">
        <f>+G26-H53-H11</f>
        <v>46976</v>
      </c>
      <c r="I26" s="19"/>
      <c r="J26" s="28"/>
      <c r="K26" s="36"/>
      <c r="L26" s="36"/>
      <c r="M26" s="19"/>
      <c r="N26" s="36"/>
      <c r="O26" s="21"/>
      <c r="P26" s="21"/>
      <c r="Q26" s="19"/>
      <c r="R26" s="19"/>
      <c r="S26" s="45"/>
      <c r="T26" s="2"/>
      <c r="U26" s="2"/>
      <c r="V26" s="2"/>
      <c r="W26" s="2"/>
    </row>
    <row r="27" spans="1:23" ht="21.95" customHeight="1" thickBot="1" x14ac:dyDescent="0.3">
      <c r="A27" s="13" t="s">
        <v>43</v>
      </c>
      <c r="B27" s="88"/>
      <c r="C27" s="96">
        <f t="shared" ref="C27:H27" si="7">+C25+C26</f>
        <v>36000</v>
      </c>
      <c r="D27" s="96">
        <f t="shared" si="7"/>
        <v>31215.5938296483</v>
      </c>
      <c r="E27" s="96">
        <f t="shared" si="7"/>
        <v>74724.625561702822</v>
      </c>
      <c r="F27" s="96">
        <f t="shared" si="7"/>
        <v>74775.818768071578</v>
      </c>
      <c r="G27" s="96">
        <f t="shared" si="7"/>
        <v>115020.16273782298</v>
      </c>
      <c r="H27" s="96">
        <f t="shared" si="7"/>
        <v>177413.56301294762</v>
      </c>
      <c r="I27" s="19"/>
      <c r="J27" s="28"/>
      <c r="K27" s="36"/>
      <c r="L27" s="36"/>
      <c r="M27" s="19"/>
      <c r="N27" s="36"/>
      <c r="O27" s="21"/>
      <c r="P27" s="21"/>
      <c r="Q27" s="19"/>
      <c r="R27" s="19"/>
      <c r="S27" s="45"/>
      <c r="T27" s="2"/>
      <c r="U27" s="2"/>
      <c r="V27" s="2"/>
      <c r="W27" s="2"/>
    </row>
    <row r="28" spans="1:23" ht="20.100000000000001" customHeight="1" thickTop="1" x14ac:dyDescent="0.25">
      <c r="A28" s="13"/>
      <c r="B28" s="88"/>
      <c r="C28" s="89"/>
      <c r="D28" s="88"/>
      <c r="E28" s="88"/>
      <c r="F28" s="88"/>
      <c r="G28" s="88"/>
      <c r="H28" s="88"/>
      <c r="I28" s="19"/>
      <c r="J28" s="28"/>
      <c r="K28" s="36"/>
      <c r="L28" s="36"/>
      <c r="M28" s="19"/>
      <c r="N28" s="36"/>
      <c r="O28" s="21"/>
      <c r="P28" s="21"/>
      <c r="Q28" s="19"/>
      <c r="R28" s="19"/>
      <c r="S28" s="45"/>
      <c r="T28" s="2"/>
      <c r="U28" s="2"/>
      <c r="V28" s="2"/>
      <c r="W28" s="2"/>
    </row>
    <row r="29" spans="1:23" ht="20.100000000000001" customHeight="1" x14ac:dyDescent="0.25">
      <c r="A29" s="13" t="s">
        <v>49</v>
      </c>
      <c r="B29" s="88"/>
      <c r="C29" s="89"/>
      <c r="D29" s="88"/>
      <c r="E29" s="88"/>
      <c r="F29" s="88"/>
      <c r="G29" s="88"/>
      <c r="H29" s="88"/>
      <c r="I29" s="19"/>
      <c r="J29" s="28"/>
      <c r="K29" s="36"/>
      <c r="L29" s="36"/>
      <c r="M29" s="19"/>
      <c r="N29" s="36"/>
      <c r="O29" s="21"/>
      <c r="P29" s="21"/>
      <c r="Q29" s="19"/>
      <c r="R29" s="19"/>
      <c r="S29" s="45"/>
      <c r="T29" s="2"/>
      <c r="U29" s="2"/>
      <c r="V29" s="2"/>
      <c r="W29" s="2"/>
    </row>
    <row r="30" spans="1:23" ht="20.100000000000001" customHeight="1" x14ac:dyDescent="0.25">
      <c r="A30" s="2" t="s">
        <v>6</v>
      </c>
      <c r="B30" s="104">
        <v>60</v>
      </c>
      <c r="C30" s="84">
        <v>3500</v>
      </c>
      <c r="D30" s="85">
        <f>+$B$30*D5/365</f>
        <v>2958.9041095890411</v>
      </c>
      <c r="E30" s="85">
        <f>+$B$30*E5/365</f>
        <v>5547.9452054794519</v>
      </c>
      <c r="F30" s="85">
        <f>+$B$30*F5/365</f>
        <v>7397.2602739726017</v>
      </c>
      <c r="G30" s="85">
        <f>+$B$30*G5/365</f>
        <v>14794.520547945203</v>
      </c>
      <c r="H30" s="85">
        <f>+$B$30*H5/365</f>
        <v>22191.780821917808</v>
      </c>
      <c r="I30" s="19"/>
      <c r="J30" s="28"/>
      <c r="K30" s="52"/>
      <c r="L30" s="52"/>
      <c r="M30" s="52"/>
      <c r="N30" s="52"/>
      <c r="O30" s="52"/>
      <c r="P30" s="36"/>
      <c r="Q30" s="36"/>
      <c r="R30" s="19"/>
      <c r="S30" s="45"/>
      <c r="T30" s="2"/>
      <c r="U30" s="2"/>
      <c r="V30" s="2"/>
      <c r="W30" s="2"/>
    </row>
    <row r="31" spans="1:23" ht="20.100000000000001" customHeight="1" x14ac:dyDescent="0.25">
      <c r="A31" s="2" t="s">
        <v>21</v>
      </c>
      <c r="B31" s="104">
        <v>60</v>
      </c>
      <c r="C31" s="84">
        <v>2500</v>
      </c>
      <c r="D31" s="85">
        <f>+$B$31*(D10+D13+D15)/365</f>
        <v>2741.9178082191779</v>
      </c>
      <c r="E31" s="85">
        <f>+$B$31*(E10+E13+E15)/365</f>
        <v>3690.120444029405</v>
      </c>
      <c r="F31" s="85">
        <f>+$B$31*(F10+F13+F15)/365</f>
        <v>4926.8504159388385</v>
      </c>
      <c r="G31" s="85">
        <f>+$B$31*(G10+G13+G15)/365</f>
        <v>9999.2632853547857</v>
      </c>
      <c r="H31" s="85">
        <f>+$B$31*(H10+H13+H15)/365</f>
        <v>14965.664280312485</v>
      </c>
      <c r="I31" s="19"/>
      <c r="J31" s="28"/>
      <c r="K31" s="36"/>
      <c r="L31" s="21"/>
      <c r="M31" s="36"/>
      <c r="N31" s="36"/>
      <c r="O31" s="19"/>
      <c r="P31" s="36"/>
      <c r="Q31" s="36"/>
      <c r="R31" s="19"/>
      <c r="S31" s="45"/>
      <c r="T31" s="2"/>
      <c r="U31" s="2"/>
      <c r="V31" s="2"/>
      <c r="W31" s="2"/>
    </row>
    <row r="32" spans="1:23" ht="20.100000000000001" customHeight="1" x14ac:dyDescent="0.25">
      <c r="A32" s="13" t="s">
        <v>7</v>
      </c>
      <c r="B32" s="88"/>
      <c r="C32" s="88">
        <f>SUM(C30:C31)</f>
        <v>6000</v>
      </c>
      <c r="D32" s="88">
        <f t="shared" ref="D32:H32" si="8">SUM(D30:D31)</f>
        <v>5700.821917808219</v>
      </c>
      <c r="E32" s="88">
        <f t="shared" si="8"/>
        <v>9238.0656495088569</v>
      </c>
      <c r="F32" s="88">
        <f t="shared" si="8"/>
        <v>12324.11068991144</v>
      </c>
      <c r="G32" s="88">
        <f t="shared" si="8"/>
        <v>24793.783833299989</v>
      </c>
      <c r="H32" s="88">
        <f t="shared" si="8"/>
        <v>37157.445102230296</v>
      </c>
      <c r="I32" s="19"/>
      <c r="J32" s="28"/>
      <c r="K32" s="36"/>
      <c r="L32" s="21"/>
      <c r="M32" s="21"/>
      <c r="N32" s="36"/>
      <c r="O32" s="19"/>
      <c r="P32" s="21"/>
      <c r="Q32" s="36"/>
      <c r="R32" s="19"/>
      <c r="S32" s="45"/>
      <c r="T32" s="2"/>
      <c r="U32" s="2"/>
      <c r="V32" s="2"/>
      <c r="W32" s="2"/>
    </row>
    <row r="33" spans="1:23" ht="20.100000000000001" customHeight="1" x14ac:dyDescent="0.25">
      <c r="A33" s="16" t="s">
        <v>45</v>
      </c>
      <c r="B33" s="104">
        <v>3</v>
      </c>
      <c r="C33" s="84">
        <v>15000</v>
      </c>
      <c r="D33" s="85">
        <f>+C33+D56+D58</f>
        <v>10194.771911840082</v>
      </c>
      <c r="E33" s="85">
        <f>+D33+E56+E58</f>
        <v>40364.792613372862</v>
      </c>
      <c r="F33" s="85">
        <f>+E33+F56+F58</f>
        <v>23901.614142966951</v>
      </c>
      <c r="G33" s="85">
        <f>+F33+G56+G58</f>
        <v>12185.136621904721</v>
      </c>
      <c r="H33" s="85">
        <f>+G33+H56+H58</f>
        <v>0</v>
      </c>
      <c r="I33" s="19"/>
      <c r="J33" s="28" t="s">
        <v>33</v>
      </c>
      <c r="K33" s="36"/>
      <c r="L33" s="38"/>
      <c r="M33" s="19"/>
      <c r="N33" s="19"/>
      <c r="O33" s="19"/>
      <c r="P33" s="21"/>
      <c r="Q33" s="19"/>
      <c r="R33" s="19"/>
      <c r="S33" s="45"/>
      <c r="T33" s="2"/>
      <c r="U33" s="2"/>
      <c r="V33" s="2"/>
      <c r="W33" s="2"/>
    </row>
    <row r="34" spans="1:23" s="74" customFormat="1" ht="20.100000000000001" customHeight="1" x14ac:dyDescent="0.25">
      <c r="A34" s="13" t="s">
        <v>44</v>
      </c>
      <c r="B34" s="88"/>
      <c r="C34" s="88">
        <f t="shared" ref="C34:H34" si="9">+C32+C33</f>
        <v>21000</v>
      </c>
      <c r="D34" s="88">
        <f t="shared" si="9"/>
        <v>15895.5938296483</v>
      </c>
      <c r="E34" s="88">
        <f t="shared" si="9"/>
        <v>49602.858262881717</v>
      </c>
      <c r="F34" s="88">
        <f t="shared" si="9"/>
        <v>36225.72483287839</v>
      </c>
      <c r="G34" s="88">
        <f t="shared" si="9"/>
        <v>36978.920455204709</v>
      </c>
      <c r="H34" s="88">
        <f t="shared" si="9"/>
        <v>37157.445102230296</v>
      </c>
      <c r="I34" s="18"/>
      <c r="J34" s="70"/>
      <c r="K34" s="24"/>
      <c r="L34" s="71"/>
      <c r="M34" s="18"/>
      <c r="N34" s="18"/>
      <c r="O34" s="18"/>
      <c r="P34" s="72"/>
      <c r="Q34" s="18"/>
      <c r="R34" s="18"/>
      <c r="S34" s="73"/>
      <c r="T34" s="18"/>
      <c r="U34" s="18"/>
      <c r="V34" s="18"/>
      <c r="W34" s="18"/>
    </row>
    <row r="35" spans="1:23" s="74" customFormat="1" ht="20.100000000000001" customHeight="1" x14ac:dyDescent="0.25">
      <c r="A35" s="13"/>
      <c r="B35" s="88"/>
      <c r="C35" s="88"/>
      <c r="D35" s="88"/>
      <c r="E35" s="88"/>
      <c r="F35" s="88"/>
      <c r="G35" s="88"/>
      <c r="H35" s="88"/>
      <c r="I35" s="18"/>
      <c r="J35" s="70"/>
      <c r="K35" s="24"/>
      <c r="L35" s="71"/>
      <c r="M35" s="18"/>
      <c r="N35" s="18"/>
      <c r="O35" s="18"/>
      <c r="P35" s="72"/>
      <c r="Q35" s="18"/>
      <c r="R35" s="18"/>
      <c r="S35" s="73"/>
      <c r="T35" s="18"/>
      <c r="U35" s="18"/>
      <c r="V35" s="18"/>
      <c r="W35" s="18"/>
    </row>
    <row r="36" spans="1:23" s="74" customFormat="1" ht="20.100000000000001" customHeight="1" x14ac:dyDescent="0.25">
      <c r="A36" s="13" t="s">
        <v>9</v>
      </c>
      <c r="B36" s="89"/>
      <c r="C36" s="89"/>
      <c r="D36" s="90"/>
      <c r="E36" s="90"/>
      <c r="F36" s="90"/>
      <c r="G36" s="90"/>
      <c r="H36" s="90"/>
      <c r="I36" s="18"/>
      <c r="J36" s="70"/>
      <c r="K36" s="24"/>
      <c r="L36" s="71"/>
      <c r="M36" s="18"/>
      <c r="N36" s="18"/>
      <c r="O36" s="18"/>
      <c r="P36" s="72"/>
      <c r="Q36" s="18"/>
      <c r="R36" s="18"/>
      <c r="S36" s="73"/>
      <c r="T36" s="18"/>
      <c r="U36" s="18"/>
      <c r="V36" s="18"/>
      <c r="W36" s="18"/>
    </row>
    <row r="37" spans="1:23" ht="20.100000000000001" customHeight="1" x14ac:dyDescent="0.25">
      <c r="A37" s="2" t="s">
        <v>8</v>
      </c>
      <c r="B37" s="85"/>
      <c r="C37" s="84">
        <v>10000</v>
      </c>
      <c r="D37" s="85">
        <f>+C37+D57</f>
        <v>10000</v>
      </c>
      <c r="E37" s="85">
        <f>+D37+E57</f>
        <v>15000</v>
      </c>
      <c r="F37" s="85">
        <f>+E37+F57</f>
        <v>15000</v>
      </c>
      <c r="G37" s="85">
        <f>+F37+G57</f>
        <v>15000</v>
      </c>
      <c r="H37" s="85">
        <f>+G37+H57</f>
        <v>15000</v>
      </c>
      <c r="I37" s="19"/>
      <c r="J37" s="28"/>
      <c r="K37" s="36"/>
      <c r="L37" s="19"/>
      <c r="M37" s="19"/>
      <c r="N37" s="36"/>
      <c r="O37" s="19"/>
      <c r="P37" s="21"/>
      <c r="Q37" s="19"/>
      <c r="R37" s="19"/>
      <c r="S37" s="45"/>
      <c r="T37" s="2"/>
      <c r="U37" s="2"/>
      <c r="V37" s="2"/>
      <c r="W37" s="2"/>
    </row>
    <row r="38" spans="1:23" ht="20.100000000000001" customHeight="1" x14ac:dyDescent="0.25">
      <c r="A38" s="2" t="s">
        <v>37</v>
      </c>
      <c r="B38" s="85"/>
      <c r="C38" s="85">
        <f>+C27-C34-C37</f>
        <v>5000</v>
      </c>
      <c r="D38" s="85">
        <f>+C38+D16</f>
        <v>5320</v>
      </c>
      <c r="E38" s="85">
        <f>+D38+E16</f>
        <v>10121.767298821116</v>
      </c>
      <c r="F38" s="85">
        <f>+E38+F16</f>
        <v>23550.093935193192</v>
      </c>
      <c r="G38" s="85">
        <f>+F38+G16</f>
        <v>63041.242282618259</v>
      </c>
      <c r="H38" s="85">
        <f>+G38+H16</f>
        <v>125256.11791071731</v>
      </c>
      <c r="I38" s="19"/>
      <c r="J38" s="2"/>
      <c r="K38" s="36"/>
      <c r="L38" s="21"/>
      <c r="M38" s="19"/>
      <c r="N38" s="36"/>
      <c r="O38" s="19"/>
      <c r="P38" s="21"/>
      <c r="Q38" s="19"/>
      <c r="R38" s="19"/>
      <c r="S38" s="45"/>
      <c r="T38" s="2"/>
      <c r="U38" s="2"/>
      <c r="V38" s="2"/>
      <c r="W38" s="2"/>
    </row>
    <row r="39" spans="1:23" ht="20.100000000000001" customHeight="1" x14ac:dyDescent="0.25">
      <c r="A39" s="22" t="s">
        <v>46</v>
      </c>
      <c r="B39" s="97"/>
      <c r="C39" s="92">
        <f t="shared" ref="C39:H39" si="10">SUM(C37:C38)</f>
        <v>15000</v>
      </c>
      <c r="D39" s="92">
        <f t="shared" si="10"/>
        <v>15320</v>
      </c>
      <c r="E39" s="92">
        <f t="shared" si="10"/>
        <v>25121.767298821116</v>
      </c>
      <c r="F39" s="92">
        <f t="shared" si="10"/>
        <v>38550.093935193188</v>
      </c>
      <c r="G39" s="92">
        <f t="shared" si="10"/>
        <v>78041.242282618259</v>
      </c>
      <c r="H39" s="92">
        <f t="shared" si="10"/>
        <v>140256.11791071732</v>
      </c>
      <c r="I39" s="19"/>
      <c r="J39" s="28"/>
      <c r="K39" s="36"/>
      <c r="L39" s="21"/>
      <c r="M39" s="19"/>
      <c r="N39" s="19"/>
      <c r="O39" s="21"/>
      <c r="P39" s="21"/>
      <c r="Q39" s="19"/>
      <c r="R39" s="19"/>
      <c r="S39" s="45"/>
      <c r="T39" s="2"/>
      <c r="U39" s="2"/>
      <c r="V39" s="2"/>
      <c r="W39" s="2"/>
    </row>
    <row r="40" spans="1:23" ht="21.95" customHeight="1" thickBot="1" x14ac:dyDescent="0.3">
      <c r="A40" s="22" t="s">
        <v>47</v>
      </c>
      <c r="B40" s="97"/>
      <c r="C40" s="96">
        <f t="shared" ref="C40:H40" si="11">+C34+C39</f>
        <v>36000</v>
      </c>
      <c r="D40" s="96">
        <f t="shared" si="11"/>
        <v>31215.5938296483</v>
      </c>
      <c r="E40" s="96">
        <f t="shared" si="11"/>
        <v>74724.625561702836</v>
      </c>
      <c r="F40" s="96">
        <f t="shared" si="11"/>
        <v>74775.818768071578</v>
      </c>
      <c r="G40" s="96">
        <f t="shared" si="11"/>
        <v>115020.16273782298</v>
      </c>
      <c r="H40" s="96">
        <f t="shared" si="11"/>
        <v>177413.56301294762</v>
      </c>
      <c r="I40" s="19"/>
      <c r="J40" s="28"/>
      <c r="K40" s="36"/>
      <c r="L40" s="21"/>
      <c r="M40" s="19"/>
      <c r="N40" s="19"/>
      <c r="O40" s="21"/>
      <c r="P40" s="21"/>
      <c r="Q40" s="19"/>
      <c r="R40" s="19"/>
      <c r="S40" s="45"/>
      <c r="T40" s="2"/>
      <c r="U40" s="2"/>
      <c r="V40" s="2"/>
      <c r="W40" s="2"/>
    </row>
    <row r="41" spans="1:23" ht="21.95" customHeight="1" thickTop="1" x14ac:dyDescent="0.25">
      <c r="A41" s="22"/>
      <c r="B41" s="22"/>
      <c r="C41" s="14"/>
      <c r="D41" s="14"/>
      <c r="E41" s="14"/>
      <c r="F41" s="14"/>
      <c r="G41" s="14"/>
      <c r="H41" s="14"/>
      <c r="I41" s="19"/>
      <c r="J41" s="28"/>
      <c r="K41" s="36"/>
      <c r="L41" s="21"/>
      <c r="M41" s="19"/>
      <c r="N41" s="19"/>
      <c r="O41" s="21"/>
      <c r="P41" s="21"/>
      <c r="Q41" s="19"/>
      <c r="R41" s="19"/>
      <c r="S41" s="45"/>
      <c r="T41" s="2"/>
      <c r="U41" s="2"/>
      <c r="V41" s="2"/>
      <c r="W41" s="2"/>
    </row>
    <row r="42" spans="1:23" ht="27.95" customHeight="1" x14ac:dyDescent="0.25">
      <c r="A42" s="8" t="s">
        <v>40</v>
      </c>
      <c r="B42" s="101" t="s">
        <v>69</v>
      </c>
      <c r="C42" s="23"/>
      <c r="D42" s="99" t="s">
        <v>15</v>
      </c>
      <c r="E42" s="99" t="s">
        <v>16</v>
      </c>
      <c r="F42" s="99" t="s">
        <v>17</v>
      </c>
      <c r="G42" s="99" t="s">
        <v>18</v>
      </c>
      <c r="H42" s="99" t="s">
        <v>19</v>
      </c>
      <c r="I42" s="19"/>
      <c r="J42" s="29"/>
      <c r="K42" s="19"/>
      <c r="L42" s="19"/>
      <c r="M42" s="19"/>
      <c r="N42" s="19"/>
      <c r="O42" s="19"/>
      <c r="P42" s="19"/>
      <c r="Q42" s="19"/>
      <c r="R42" s="19"/>
      <c r="S42" s="47"/>
      <c r="T42" s="2"/>
      <c r="U42" s="2"/>
      <c r="V42" s="2"/>
      <c r="W42" s="2"/>
    </row>
    <row r="43" spans="1:23" ht="20.100000000000001" customHeight="1" x14ac:dyDescent="0.25">
      <c r="A43" s="2"/>
      <c r="B43" s="2"/>
      <c r="C43" s="2"/>
      <c r="D43" s="2"/>
      <c r="E43" s="2"/>
      <c r="F43" s="2"/>
      <c r="G43" s="2"/>
      <c r="H43" s="2"/>
      <c r="I43" s="19"/>
      <c r="J43" s="29"/>
      <c r="K43" s="19"/>
      <c r="L43" s="19"/>
      <c r="M43" s="19"/>
      <c r="N43" s="19"/>
      <c r="O43" s="19"/>
      <c r="P43" s="19"/>
      <c r="Q43" s="19"/>
      <c r="R43" s="19"/>
      <c r="S43" s="47"/>
      <c r="T43" s="2"/>
      <c r="U43" s="2"/>
      <c r="V43" s="2"/>
      <c r="W43" s="2"/>
    </row>
    <row r="44" spans="1:23" ht="20.100000000000001" customHeight="1" x14ac:dyDescent="0.25">
      <c r="A44" s="2" t="s">
        <v>31</v>
      </c>
      <c r="B44" s="85"/>
      <c r="C44" s="90"/>
      <c r="D44" s="85">
        <f>+D16</f>
        <v>320</v>
      </c>
      <c r="E44" s="85">
        <f>+E16</f>
        <v>4801.767298821117</v>
      </c>
      <c r="F44" s="85">
        <f>+F16</f>
        <v>13428.326636372076</v>
      </c>
      <c r="G44" s="85">
        <f>+G16</f>
        <v>39491.148347425071</v>
      </c>
      <c r="H44" s="85">
        <f>+H16</f>
        <v>62214.875628099049</v>
      </c>
      <c r="I44" s="19"/>
      <c r="J44" s="29"/>
      <c r="K44" s="36"/>
      <c r="L44" s="36"/>
      <c r="M44" s="36"/>
      <c r="N44" s="36"/>
      <c r="O44" s="36"/>
      <c r="P44" s="19"/>
      <c r="Q44" s="19"/>
      <c r="R44" s="19"/>
      <c r="S44" s="47"/>
      <c r="T44" s="2"/>
      <c r="U44" s="2"/>
      <c r="V44" s="2"/>
      <c r="W44" s="2"/>
    </row>
    <row r="45" spans="1:23" ht="20.100000000000001" customHeight="1" x14ac:dyDescent="0.25">
      <c r="A45" s="2" t="s">
        <v>41</v>
      </c>
      <c r="B45" s="85"/>
      <c r="C45" s="90"/>
      <c r="D45" s="85">
        <f>+D11</f>
        <v>5000</v>
      </c>
      <c r="E45" s="85">
        <f>+E11</f>
        <v>14000</v>
      </c>
      <c r="F45" s="85">
        <f>+F11</f>
        <v>11600</v>
      </c>
      <c r="G45" s="85">
        <f>+G11</f>
        <v>9680</v>
      </c>
      <c r="H45" s="85">
        <f>+H11</f>
        <v>11744</v>
      </c>
      <c r="I45" s="19"/>
      <c r="J45" s="29"/>
      <c r="K45" s="36"/>
      <c r="L45" s="36"/>
      <c r="M45" s="36"/>
      <c r="N45" s="36"/>
      <c r="O45" s="36"/>
      <c r="P45" s="19"/>
      <c r="Q45" s="19"/>
      <c r="R45" s="19"/>
      <c r="S45" s="47"/>
      <c r="T45" s="2"/>
      <c r="U45" s="2"/>
      <c r="V45" s="2"/>
      <c r="W45" s="2"/>
    </row>
    <row r="46" spans="1:23" ht="20.100000000000001" customHeight="1" x14ac:dyDescent="0.25">
      <c r="A46" s="13" t="s">
        <v>61</v>
      </c>
      <c r="B46" s="85"/>
      <c r="C46" s="90"/>
      <c r="D46" s="85"/>
      <c r="E46" s="85"/>
      <c r="F46" s="85"/>
      <c r="G46" s="85"/>
      <c r="H46" s="85"/>
      <c r="I46" s="19"/>
      <c r="J46" s="29"/>
      <c r="K46" s="36"/>
      <c r="L46" s="36"/>
      <c r="M46" s="36"/>
      <c r="N46" s="36"/>
      <c r="O46" s="36"/>
      <c r="P46" s="19"/>
      <c r="Q46" s="19"/>
      <c r="R46" s="19"/>
      <c r="S46" s="47"/>
      <c r="T46" s="2"/>
      <c r="U46" s="2"/>
      <c r="V46" s="2"/>
      <c r="W46" s="2"/>
    </row>
    <row r="47" spans="1:23" ht="20.100000000000001" customHeight="1" x14ac:dyDescent="0.25">
      <c r="A47" s="2" t="s">
        <v>2</v>
      </c>
      <c r="B47" s="85"/>
      <c r="C47" s="90"/>
      <c r="D47" s="85">
        <f t="shared" ref="D47:H48" si="12">-(D23-C23)</f>
        <v>1068.4931506849316</v>
      </c>
      <c r="E47" s="85">
        <f t="shared" si="12"/>
        <v>-4315.0684931506858</v>
      </c>
      <c r="F47" s="85">
        <f t="shared" si="12"/>
        <v>-3082.1917808219168</v>
      </c>
      <c r="G47" s="85">
        <f t="shared" si="12"/>
        <v>-12328.767123287671</v>
      </c>
      <c r="H47" s="85">
        <f t="shared" si="12"/>
        <v>-12328.767123287675</v>
      </c>
      <c r="I47" s="19"/>
      <c r="J47" s="29"/>
      <c r="K47" s="36"/>
      <c r="L47" s="36"/>
      <c r="M47" s="36"/>
      <c r="N47" s="36"/>
      <c r="O47" s="36"/>
      <c r="P47" s="19"/>
      <c r="Q47" s="19"/>
      <c r="R47" s="19"/>
      <c r="S47" s="47"/>
      <c r="T47" s="2"/>
      <c r="U47" s="2"/>
      <c r="V47" s="2"/>
      <c r="W47" s="2"/>
    </row>
    <row r="48" spans="1:23" ht="20.100000000000001" customHeight="1" x14ac:dyDescent="0.25">
      <c r="A48" s="2" t="s">
        <v>3</v>
      </c>
      <c r="B48" s="85"/>
      <c r="C48" s="90"/>
      <c r="D48" s="85">
        <f t="shared" si="12"/>
        <v>561.64383561643808</v>
      </c>
      <c r="E48" s="85">
        <f t="shared" si="12"/>
        <v>-3883.5616438356155</v>
      </c>
      <c r="F48" s="85">
        <f t="shared" si="12"/>
        <v>-2773.9726027397246</v>
      </c>
      <c r="G48" s="85">
        <f t="shared" si="12"/>
        <v>-11095.890410958902</v>
      </c>
      <c r="H48" s="85">
        <f t="shared" si="12"/>
        <v>-11095.890410958906</v>
      </c>
      <c r="I48" s="19"/>
      <c r="J48" s="29"/>
      <c r="K48" s="36"/>
      <c r="L48" s="36"/>
      <c r="M48" s="36"/>
      <c r="N48" s="36"/>
      <c r="O48" s="36"/>
      <c r="P48" s="19"/>
      <c r="Q48" s="19"/>
      <c r="R48" s="19"/>
      <c r="S48" s="47"/>
      <c r="T48" s="2"/>
      <c r="U48" s="2"/>
      <c r="V48" s="2"/>
      <c r="W48" s="2"/>
    </row>
    <row r="49" spans="1:23" ht="20.100000000000001" customHeight="1" x14ac:dyDescent="0.25">
      <c r="A49" s="2" t="s">
        <v>6</v>
      </c>
      <c r="B49" s="85"/>
      <c r="C49" s="90"/>
      <c r="D49" s="85">
        <f>D30-C30</f>
        <v>-541.09589041095887</v>
      </c>
      <c r="E49" s="85">
        <f>E30-D30</f>
        <v>2589.0410958904108</v>
      </c>
      <c r="F49" s="85">
        <f>F30-E30</f>
        <v>1849.3150684931497</v>
      </c>
      <c r="G49" s="85">
        <f>G30-F30</f>
        <v>7397.2602739726017</v>
      </c>
      <c r="H49" s="85">
        <f>H30-G30</f>
        <v>7397.2602739726044</v>
      </c>
      <c r="I49" s="19"/>
      <c r="J49" s="29"/>
      <c r="K49" s="36"/>
      <c r="L49" s="36"/>
      <c r="M49" s="36"/>
      <c r="N49" s="36"/>
      <c r="O49" s="36"/>
      <c r="P49" s="19"/>
      <c r="Q49" s="19"/>
      <c r="R49" s="19"/>
      <c r="S49" s="47"/>
      <c r="T49" s="2"/>
      <c r="U49" s="2"/>
      <c r="V49" s="2"/>
      <c r="W49" s="2"/>
    </row>
    <row r="50" spans="1:23" ht="20.100000000000001" customHeight="1" x14ac:dyDescent="0.25">
      <c r="A50" s="2" t="s">
        <v>21</v>
      </c>
      <c r="B50" s="85"/>
      <c r="C50" s="90"/>
      <c r="D50" s="85">
        <f>+D31-C31</f>
        <v>241.91780821917791</v>
      </c>
      <c r="E50" s="85">
        <f>+E31-D31</f>
        <v>948.20263581022709</v>
      </c>
      <c r="F50" s="85">
        <f>+F31-E31</f>
        <v>1236.7299719094335</v>
      </c>
      <c r="G50" s="85">
        <f>+G31-F31</f>
        <v>5072.4128694159472</v>
      </c>
      <c r="H50" s="85">
        <f>+H31-G31</f>
        <v>4966.4009949576994</v>
      </c>
      <c r="I50" s="19"/>
      <c r="J50" s="29"/>
      <c r="K50" s="36"/>
      <c r="L50" s="36"/>
      <c r="M50" s="36"/>
      <c r="N50" s="36"/>
      <c r="O50" s="36"/>
      <c r="P50" s="19"/>
      <c r="Q50" s="19"/>
      <c r="R50" s="19"/>
      <c r="S50" s="47"/>
      <c r="T50" s="2"/>
      <c r="U50" s="2"/>
      <c r="V50" s="2"/>
      <c r="W50" s="2"/>
    </row>
    <row r="51" spans="1:23" ht="20.100000000000001" customHeight="1" x14ac:dyDescent="0.25">
      <c r="A51" s="22" t="s">
        <v>57</v>
      </c>
      <c r="B51" s="97"/>
      <c r="C51" s="92"/>
      <c r="D51" s="97">
        <f>SUM(D44:D50)</f>
        <v>6650.9589041095878</v>
      </c>
      <c r="E51" s="97">
        <f t="shared" ref="E51:H51" si="13">SUM(E44:E50)</f>
        <v>14140.380893535452</v>
      </c>
      <c r="F51" s="97">
        <f t="shared" si="13"/>
        <v>22258.207293213018</v>
      </c>
      <c r="G51" s="97">
        <f t="shared" si="13"/>
        <v>38216.163956567041</v>
      </c>
      <c r="H51" s="97">
        <f t="shared" si="13"/>
        <v>62897.879362782776</v>
      </c>
      <c r="I51" s="2"/>
      <c r="J51" s="29"/>
      <c r="K51" s="2"/>
      <c r="L51" s="2"/>
      <c r="M51" s="2"/>
      <c r="N51" s="2"/>
      <c r="O51" s="2"/>
      <c r="P51" s="2"/>
      <c r="Q51" s="2"/>
      <c r="R51" s="2"/>
      <c r="S51" s="47"/>
      <c r="T51" s="2"/>
      <c r="U51" s="2"/>
      <c r="V51" s="2"/>
      <c r="W51" s="2"/>
    </row>
    <row r="52" spans="1:23" ht="20.100000000000001" customHeight="1" x14ac:dyDescent="0.25">
      <c r="A52" s="22"/>
      <c r="B52" s="97"/>
      <c r="C52" s="92"/>
      <c r="D52" s="97"/>
      <c r="E52" s="97"/>
      <c r="F52" s="97"/>
      <c r="G52" s="97"/>
      <c r="H52" s="97"/>
      <c r="I52" s="2"/>
      <c r="J52" s="29"/>
      <c r="K52" s="2"/>
      <c r="L52" s="2"/>
      <c r="M52" s="2"/>
      <c r="N52" s="2"/>
      <c r="O52" s="2"/>
      <c r="P52" s="2"/>
      <c r="Q52" s="2"/>
      <c r="R52" s="2"/>
      <c r="S52" s="47"/>
      <c r="T52" s="2"/>
      <c r="U52" s="2"/>
      <c r="V52" s="2"/>
      <c r="W52" s="2"/>
    </row>
    <row r="53" spans="1:23" ht="20.100000000000001" customHeight="1" x14ac:dyDescent="0.25">
      <c r="A53" s="2" t="s">
        <v>68</v>
      </c>
      <c r="B53" s="85"/>
      <c r="C53" s="86"/>
      <c r="D53" s="84">
        <v>-5000</v>
      </c>
      <c r="E53" s="84">
        <v>-50000</v>
      </c>
      <c r="F53" s="84">
        <v>-2000</v>
      </c>
      <c r="G53" s="84">
        <v>-2000</v>
      </c>
      <c r="H53" s="84">
        <v>-20000</v>
      </c>
      <c r="I53" s="2"/>
      <c r="J53" s="29" t="s">
        <v>36</v>
      </c>
      <c r="K53" s="2"/>
      <c r="L53" s="2"/>
      <c r="M53" s="2"/>
      <c r="N53" s="2"/>
      <c r="O53" s="2"/>
      <c r="P53" s="2"/>
      <c r="Q53" s="2"/>
      <c r="R53" s="2"/>
      <c r="S53" s="47"/>
      <c r="T53" s="2"/>
      <c r="U53" s="2"/>
      <c r="V53" s="2"/>
      <c r="W53" s="2"/>
    </row>
    <row r="54" spans="1:23" s="74" customFormat="1" ht="20.100000000000001" customHeight="1" x14ac:dyDescent="0.25">
      <c r="A54" s="22" t="s">
        <v>55</v>
      </c>
      <c r="B54" s="97"/>
      <c r="C54" s="92"/>
      <c r="D54" s="97">
        <f>SUM(D53)</f>
        <v>-5000</v>
      </c>
      <c r="E54" s="97">
        <f t="shared" ref="E54:H54" si="14">SUM(E53)</f>
        <v>-50000</v>
      </c>
      <c r="F54" s="97">
        <f t="shared" si="14"/>
        <v>-2000</v>
      </c>
      <c r="G54" s="97">
        <f t="shared" si="14"/>
        <v>-2000</v>
      </c>
      <c r="H54" s="97">
        <f t="shared" si="14"/>
        <v>-20000</v>
      </c>
      <c r="I54" s="18"/>
      <c r="J54" s="39"/>
      <c r="K54" s="18"/>
      <c r="L54" s="18"/>
      <c r="M54" s="18"/>
      <c r="N54" s="18"/>
      <c r="O54" s="18"/>
      <c r="P54" s="18"/>
      <c r="Q54" s="18"/>
      <c r="R54" s="18"/>
      <c r="S54" s="76"/>
      <c r="T54" s="18"/>
      <c r="U54" s="18"/>
      <c r="V54" s="18"/>
      <c r="W54" s="18"/>
    </row>
    <row r="55" spans="1:23" ht="20.100000000000001" customHeight="1" x14ac:dyDescent="0.25">
      <c r="A55" s="22"/>
      <c r="B55" s="97"/>
      <c r="C55" s="92"/>
      <c r="D55" s="97"/>
      <c r="E55" s="97"/>
      <c r="F55" s="97"/>
      <c r="G55" s="97"/>
      <c r="H55" s="97"/>
      <c r="I55" s="2"/>
      <c r="J55" s="29"/>
      <c r="K55" s="2"/>
      <c r="L55" s="2"/>
      <c r="M55" s="2"/>
      <c r="N55" s="2"/>
      <c r="O55" s="2"/>
      <c r="P55" s="2"/>
      <c r="Q55" s="2"/>
      <c r="R55" s="2"/>
      <c r="S55" s="47"/>
      <c r="T55" s="2"/>
      <c r="U55" s="2"/>
      <c r="V55" s="2"/>
      <c r="W55" s="2"/>
    </row>
    <row r="56" spans="1:23" ht="20.100000000000001" customHeight="1" x14ac:dyDescent="0.25">
      <c r="A56" s="2" t="s">
        <v>59</v>
      </c>
      <c r="B56" s="104">
        <v>4</v>
      </c>
      <c r="C56" s="86"/>
      <c r="D56" s="84"/>
      <c r="E56" s="84">
        <v>46000</v>
      </c>
      <c r="F56" s="84"/>
      <c r="G56" s="84"/>
      <c r="H56" s="84"/>
      <c r="I56" s="2"/>
      <c r="J56" s="4" t="s">
        <v>34</v>
      </c>
      <c r="K56" s="2"/>
      <c r="L56" s="2"/>
      <c r="M56" s="2"/>
      <c r="N56" s="2"/>
      <c r="O56" s="2"/>
      <c r="P56" s="2"/>
      <c r="Q56" s="2"/>
      <c r="R56" s="2"/>
      <c r="S56" s="47"/>
      <c r="T56" s="2"/>
      <c r="U56" s="2"/>
      <c r="V56" s="2"/>
      <c r="W56" s="2"/>
    </row>
    <row r="57" spans="1:23" ht="20.100000000000001" customHeight="1" x14ac:dyDescent="0.25">
      <c r="A57" s="2" t="s">
        <v>58</v>
      </c>
      <c r="B57" s="85"/>
      <c r="C57" s="86"/>
      <c r="D57" s="84">
        <v>0</v>
      </c>
      <c r="E57" s="84">
        <v>5000</v>
      </c>
      <c r="F57" s="84">
        <v>0</v>
      </c>
      <c r="G57" s="84">
        <v>0</v>
      </c>
      <c r="H57" s="84"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47"/>
      <c r="T57" s="2"/>
      <c r="U57" s="2"/>
      <c r="V57" s="2"/>
      <c r="W57" s="2"/>
    </row>
    <row r="58" spans="1:23" ht="20.100000000000001" customHeight="1" x14ac:dyDescent="0.25">
      <c r="A58" s="2" t="s">
        <v>60</v>
      </c>
      <c r="B58" s="85"/>
      <c r="C58" s="86"/>
      <c r="D58" s="85">
        <f>-D213</f>
        <v>-4805.2280881599172</v>
      </c>
      <c r="E58" s="85">
        <f t="shared" ref="E58:H58" si="15">-E213</f>
        <v>-15829.979298467222</v>
      </c>
      <c r="F58" s="85">
        <f t="shared" si="15"/>
        <v>-16463.17847040591</v>
      </c>
      <c r="G58" s="85">
        <f t="shared" si="15"/>
        <v>-11716.47752106223</v>
      </c>
      <c r="H58" s="85">
        <f t="shared" si="15"/>
        <v>-12185.13662190472</v>
      </c>
      <c r="I58" s="2"/>
      <c r="J58" s="4"/>
      <c r="K58" s="2"/>
      <c r="L58" s="2"/>
      <c r="M58" s="2"/>
      <c r="N58" s="2"/>
      <c r="O58" s="2"/>
      <c r="P58" s="2"/>
      <c r="Q58" s="2"/>
      <c r="R58" s="2"/>
      <c r="S58" s="43"/>
      <c r="T58" s="2"/>
      <c r="U58" s="2"/>
      <c r="V58" s="2"/>
      <c r="W58" s="2"/>
    </row>
    <row r="59" spans="1:23" ht="20.100000000000001" customHeight="1" x14ac:dyDescent="0.25">
      <c r="A59" s="22" t="s">
        <v>56</v>
      </c>
      <c r="B59" s="97"/>
      <c r="C59" s="92"/>
      <c r="D59" s="97">
        <f>SUM(D56:D58)</f>
        <v>-4805.2280881599172</v>
      </c>
      <c r="E59" s="97">
        <f t="shared" ref="E59:H59" si="16">SUM(E56:E58)</f>
        <v>35170.020701532776</v>
      </c>
      <c r="F59" s="97">
        <f t="shared" si="16"/>
        <v>-16463.17847040591</v>
      </c>
      <c r="G59" s="97">
        <f t="shared" si="16"/>
        <v>-11716.47752106223</v>
      </c>
      <c r="H59" s="97">
        <f t="shared" si="16"/>
        <v>-12185.13662190472</v>
      </c>
      <c r="I59" s="2"/>
      <c r="J59" s="4"/>
      <c r="K59" s="2"/>
      <c r="L59" s="2"/>
      <c r="M59" s="2"/>
      <c r="N59" s="2"/>
      <c r="O59" s="2"/>
      <c r="P59" s="2"/>
      <c r="Q59" s="2"/>
      <c r="R59" s="2"/>
      <c r="S59" s="43"/>
      <c r="T59" s="2"/>
      <c r="U59" s="2"/>
      <c r="V59" s="2"/>
      <c r="W59" s="2"/>
    </row>
    <row r="60" spans="1:23" ht="20.100000000000001" customHeight="1" x14ac:dyDescent="0.25">
      <c r="A60" s="2"/>
      <c r="B60" s="85"/>
      <c r="C60" s="86"/>
      <c r="D60" s="85"/>
      <c r="E60" s="85"/>
      <c r="F60" s="85"/>
      <c r="G60" s="85"/>
      <c r="H60" s="85"/>
      <c r="I60" s="2"/>
      <c r="J60" s="4"/>
      <c r="K60" s="2"/>
      <c r="L60" s="2"/>
      <c r="M60" s="2"/>
      <c r="N60" s="2"/>
      <c r="O60" s="2"/>
      <c r="P60" s="2"/>
      <c r="Q60" s="2"/>
      <c r="R60" s="2"/>
      <c r="S60" s="43"/>
      <c r="T60" s="2"/>
      <c r="U60" s="2"/>
      <c r="V60" s="2"/>
      <c r="W60" s="2"/>
    </row>
    <row r="61" spans="1:23" ht="20.100000000000001" customHeight="1" x14ac:dyDescent="0.25">
      <c r="A61" s="13" t="s">
        <v>14</v>
      </c>
      <c r="B61" s="88"/>
      <c r="C61" s="88">
        <v>0</v>
      </c>
      <c r="D61" s="98">
        <f>+D51+D54+D59</f>
        <v>-3154.2691840503294</v>
      </c>
      <c r="E61" s="98">
        <f>+E51+E54+E59</f>
        <v>-689.59840493177035</v>
      </c>
      <c r="F61" s="98">
        <f>+F51+F54+F59</f>
        <v>3795.0288228071076</v>
      </c>
      <c r="G61" s="98">
        <f>+G51+G54+G59</f>
        <v>24499.686435504809</v>
      </c>
      <c r="H61" s="98">
        <f>+H51+H54+H59</f>
        <v>30712.742740878057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42"/>
      <c r="T61" s="2"/>
      <c r="U61" s="2"/>
      <c r="V61" s="2"/>
      <c r="W61" s="2"/>
    </row>
    <row r="62" spans="1:23" ht="20.100000000000001" customHeight="1" x14ac:dyDescent="0.25">
      <c r="A62" s="2" t="s">
        <v>76</v>
      </c>
      <c r="B62" s="88"/>
      <c r="C62" s="88"/>
      <c r="D62" s="94">
        <f>+C22</f>
        <v>5000</v>
      </c>
      <c r="E62" s="94">
        <f>+D63</f>
        <v>1845.7308159496706</v>
      </c>
      <c r="F62" s="94">
        <f t="shared" ref="F62:H62" si="17">+E63</f>
        <v>1156.1324110179003</v>
      </c>
      <c r="G62" s="94">
        <f t="shared" si="17"/>
        <v>4951.1612338250079</v>
      </c>
      <c r="H62" s="94">
        <f t="shared" si="17"/>
        <v>29450.847669329818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42"/>
      <c r="T62" s="2"/>
      <c r="U62" s="2"/>
      <c r="V62" s="2"/>
      <c r="W62" s="2"/>
    </row>
    <row r="63" spans="1:23" ht="21.95" customHeight="1" thickBot="1" x14ac:dyDescent="0.3">
      <c r="A63" s="13" t="s">
        <v>77</v>
      </c>
      <c r="B63" s="85"/>
      <c r="C63" s="85"/>
      <c r="D63" s="95">
        <f>SUM(D61:D62)</f>
        <v>1845.7308159496706</v>
      </c>
      <c r="E63" s="95">
        <f>SUM(E61:E62)</f>
        <v>1156.1324110179003</v>
      </c>
      <c r="F63" s="95">
        <f>SUM(F61:F62)</f>
        <v>4951.1612338250079</v>
      </c>
      <c r="G63" s="95">
        <f>SUM(G61:G62)</f>
        <v>29450.847669329818</v>
      </c>
      <c r="H63" s="95">
        <f>SUM(H61:H62)</f>
        <v>60163.590410207878</v>
      </c>
      <c r="I63" s="2"/>
      <c r="J63" s="4"/>
      <c r="K63" s="2"/>
      <c r="L63" s="2"/>
      <c r="M63" s="2"/>
      <c r="N63" s="2"/>
      <c r="O63" s="2"/>
      <c r="P63" s="2"/>
      <c r="Q63" s="2"/>
      <c r="R63" s="2"/>
      <c r="S63" s="43"/>
      <c r="T63" s="2"/>
      <c r="U63" s="2"/>
      <c r="V63" s="2"/>
      <c r="W63" s="2"/>
    </row>
    <row r="64" spans="1:23" ht="20.100000000000001" customHeight="1" thickTop="1" x14ac:dyDescent="0.25">
      <c r="A64" s="13"/>
      <c r="B64" s="2"/>
      <c r="C64" s="2"/>
      <c r="D64" s="2"/>
      <c r="E64" s="2"/>
      <c r="F64" s="2"/>
      <c r="G64" s="2"/>
      <c r="H64" s="2"/>
      <c r="I64" s="2"/>
      <c r="J64" s="4"/>
      <c r="K64" s="2"/>
      <c r="L64" s="2"/>
      <c r="M64" s="2"/>
      <c r="N64" s="2"/>
      <c r="O64" s="2"/>
      <c r="P64" s="2"/>
      <c r="Q64" s="2"/>
      <c r="R64" s="2"/>
      <c r="S64" s="43"/>
      <c r="T64" s="2"/>
      <c r="U64" s="2"/>
      <c r="V64" s="2"/>
      <c r="W64" s="2"/>
    </row>
    <row r="65" spans="1:23" ht="27.95" customHeight="1" x14ac:dyDescent="0.25">
      <c r="A65" s="3" t="s">
        <v>23</v>
      </c>
      <c r="B65" s="4"/>
      <c r="C65" s="4"/>
      <c r="D65" s="99" t="s">
        <v>15</v>
      </c>
      <c r="E65" s="99" t="s">
        <v>16</v>
      </c>
      <c r="F65" s="99" t="s">
        <v>17</v>
      </c>
      <c r="G65" s="99" t="s">
        <v>18</v>
      </c>
      <c r="H65" s="99" t="s">
        <v>19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43"/>
      <c r="T65" s="2"/>
      <c r="U65" s="2"/>
      <c r="V65" s="2"/>
      <c r="W65" s="2"/>
    </row>
    <row r="66" spans="1:23" ht="20.100000000000001" customHeight="1" x14ac:dyDescent="0.25">
      <c r="A66" s="3"/>
      <c r="B66" s="4"/>
      <c r="C66" s="4"/>
      <c r="D66" s="6"/>
      <c r="E66" s="6"/>
      <c r="F66" s="6"/>
      <c r="G66" s="6"/>
      <c r="H66" s="6"/>
      <c r="I66" s="2"/>
      <c r="J66" s="2"/>
      <c r="K66" s="2"/>
      <c r="L66" s="2"/>
      <c r="M66" s="2"/>
      <c r="N66" s="2"/>
      <c r="O66" s="2"/>
      <c r="P66" s="2"/>
      <c r="Q66" s="2"/>
      <c r="R66" s="2"/>
      <c r="S66" s="43"/>
      <c r="T66" s="2"/>
      <c r="U66" s="2"/>
      <c r="V66" s="2"/>
      <c r="W66" s="2"/>
    </row>
    <row r="67" spans="1:23" ht="20.100000000000001" customHeight="1" x14ac:dyDescent="0.25">
      <c r="A67" s="2" t="s">
        <v>90</v>
      </c>
      <c r="B67" s="77"/>
      <c r="C67" s="77"/>
      <c r="D67" s="26">
        <f>+D16/D3</f>
        <v>8.0000000000000002E-3</v>
      </c>
      <c r="E67" s="26">
        <f t="shared" ref="E67:H67" si="18">+E16/E3</f>
        <v>6.4023563984281565E-2</v>
      </c>
      <c r="F67" s="26">
        <f t="shared" si="18"/>
        <v>0.13428326636372076</v>
      </c>
      <c r="G67" s="26">
        <f t="shared" si="18"/>
        <v>0.19745574173712535</v>
      </c>
      <c r="H67" s="26">
        <f t="shared" si="18"/>
        <v>0.20738291876033016</v>
      </c>
      <c r="I67" s="2"/>
      <c r="J67" s="29"/>
      <c r="K67" s="19"/>
      <c r="L67" s="2"/>
      <c r="M67" s="2"/>
      <c r="N67" s="2"/>
      <c r="O67" s="2"/>
      <c r="P67" s="2"/>
      <c r="Q67" s="2"/>
      <c r="R67" s="2"/>
      <c r="S67" s="43"/>
      <c r="T67" s="2"/>
      <c r="U67" s="2"/>
      <c r="V67" s="2"/>
      <c r="W67" s="2"/>
    </row>
    <row r="68" spans="1:23" ht="20.100000000000001" customHeight="1" x14ac:dyDescent="0.25">
      <c r="A68" s="54" t="s">
        <v>70</v>
      </c>
      <c r="B68" s="54"/>
      <c r="C68" s="24"/>
      <c r="D68" s="80">
        <f>+D3/D27</f>
        <v>1.2814108300579035</v>
      </c>
      <c r="E68" s="80">
        <f>+E3/E27</f>
        <v>1.0036851899387544</v>
      </c>
      <c r="F68" s="80">
        <f>+F3/F27</f>
        <v>1.3373307259953249</v>
      </c>
      <c r="G68" s="80">
        <f>+G3/G27</f>
        <v>1.7388255697036363</v>
      </c>
      <c r="H68" s="80">
        <f>+H3/H27</f>
        <v>1.6909642921612822</v>
      </c>
      <c r="I68" s="2"/>
      <c r="J68" s="29"/>
      <c r="K68" s="19"/>
      <c r="L68" s="2"/>
      <c r="M68" s="2"/>
      <c r="N68" s="2"/>
      <c r="O68" s="2"/>
      <c r="P68" s="2"/>
      <c r="Q68" s="2"/>
      <c r="R68" s="2"/>
      <c r="S68" s="43"/>
      <c r="T68" s="2"/>
      <c r="U68" s="2"/>
      <c r="V68" s="2"/>
      <c r="W68" s="2"/>
    </row>
    <row r="69" spans="1:23" ht="20.100000000000001" customHeight="1" x14ac:dyDescent="0.25">
      <c r="A69" s="54" t="s">
        <v>92</v>
      </c>
      <c r="B69" s="54"/>
      <c r="C69" s="24"/>
      <c r="D69" s="79">
        <f>+D34/D27</f>
        <v>0.50921965208782294</v>
      </c>
      <c r="E69" s="79">
        <f t="shared" ref="E69:H69" si="19">+E34/E27</f>
        <v>0.66380872289447401</v>
      </c>
      <c r="F69" s="79">
        <f t="shared" si="19"/>
        <v>0.48445774890460125</v>
      </c>
      <c r="G69" s="79">
        <f t="shared" si="19"/>
        <v>0.32149946213773389</v>
      </c>
      <c r="H69" s="79">
        <f t="shared" si="19"/>
        <v>0.20943970951938184</v>
      </c>
      <c r="I69" s="2"/>
      <c r="J69" s="29"/>
      <c r="K69" s="19"/>
      <c r="L69" s="2"/>
      <c r="M69" s="2"/>
      <c r="N69" s="2"/>
      <c r="O69" s="2"/>
      <c r="P69" s="2"/>
      <c r="Q69" s="2"/>
      <c r="R69" s="2"/>
      <c r="S69" s="43"/>
      <c r="T69" s="2"/>
      <c r="U69" s="2"/>
      <c r="V69" s="2"/>
      <c r="W69" s="2"/>
    </row>
    <row r="70" spans="1:23" ht="20.100000000000001" customHeight="1" x14ac:dyDescent="0.25">
      <c r="A70" s="54" t="s">
        <v>91</v>
      </c>
      <c r="B70" s="54"/>
      <c r="C70" s="24"/>
      <c r="D70" s="79">
        <f>+D12/D27</f>
        <v>3.2035270751447589E-2</v>
      </c>
      <c r="E70" s="79">
        <f t="shared" ref="E70:H70" si="20">+E12/E27</f>
        <v>0.11040537089326298</v>
      </c>
      <c r="F70" s="79">
        <f t="shared" si="20"/>
        <v>0.24606885358313987</v>
      </c>
      <c r="G70" s="79">
        <f t="shared" si="20"/>
        <v>0.43748851333743505</v>
      </c>
      <c r="H70" s="79">
        <f t="shared" si="20"/>
        <v>0.44109367215791101</v>
      </c>
      <c r="I70" s="31"/>
      <c r="J70" s="29"/>
      <c r="K70" s="19"/>
      <c r="L70" s="2"/>
      <c r="M70" s="2"/>
      <c r="N70" s="2"/>
      <c r="O70" s="2"/>
      <c r="P70" s="2"/>
      <c r="Q70" s="2"/>
      <c r="R70" s="2"/>
      <c r="S70" s="43"/>
      <c r="T70" s="2"/>
      <c r="U70" s="2"/>
      <c r="V70" s="2"/>
      <c r="W70" s="2"/>
    </row>
    <row r="71" spans="1:23" ht="20.100000000000001" customHeight="1" x14ac:dyDescent="0.25">
      <c r="A71" s="69" t="s">
        <v>72</v>
      </c>
      <c r="B71" s="69"/>
      <c r="C71" s="12"/>
      <c r="D71" s="82">
        <f>+D16/D39</f>
        <v>2.0887728459530026E-2</v>
      </c>
      <c r="E71" s="82">
        <f t="shared" ref="E71:H71" si="21">+E16/E39</f>
        <v>0.19113970930884502</v>
      </c>
      <c r="F71" s="82">
        <f t="shared" si="21"/>
        <v>0.34833447251637112</v>
      </c>
      <c r="G71" s="82">
        <f t="shared" si="21"/>
        <v>0.50602921214928864</v>
      </c>
      <c r="H71" s="82">
        <f t="shared" si="21"/>
        <v>0.44358047659427663</v>
      </c>
      <c r="I71" s="31"/>
      <c r="J71" s="29"/>
      <c r="K71" s="19"/>
      <c r="L71" s="2"/>
      <c r="M71" s="2"/>
      <c r="N71" s="2"/>
      <c r="O71" s="2"/>
      <c r="P71" s="2"/>
      <c r="Q71" s="2"/>
      <c r="R71" s="2"/>
      <c r="S71" s="43"/>
      <c r="T71" s="2"/>
      <c r="U71" s="2"/>
      <c r="V71" s="2"/>
      <c r="W71" s="2"/>
    </row>
    <row r="72" spans="1:23" ht="20.100000000000001" customHeight="1" x14ac:dyDescent="0.25">
      <c r="A72" s="54" t="s">
        <v>71</v>
      </c>
      <c r="B72" s="55"/>
      <c r="C72" s="55"/>
      <c r="D72" s="81">
        <f>+D25/D32</f>
        <v>1.967364354008857</v>
      </c>
      <c r="E72" s="81">
        <f t="shared" ref="E72:H72" si="22">+E25/E32</f>
        <v>2.026898949640862</v>
      </c>
      <c r="F72" s="81">
        <f t="shared" si="22"/>
        <v>2.3024638030312503</v>
      </c>
      <c r="G72" s="81">
        <f t="shared" si="22"/>
        <v>3.0773908190385164</v>
      </c>
      <c r="H72" s="81">
        <f t="shared" si="22"/>
        <v>3.5104018226785563</v>
      </c>
      <c r="I72" s="2"/>
      <c r="J72" s="29"/>
      <c r="K72" s="19"/>
      <c r="L72" s="2"/>
      <c r="M72" s="2"/>
      <c r="N72" s="2"/>
      <c r="O72" s="2"/>
      <c r="P72" s="2"/>
      <c r="Q72" s="2"/>
      <c r="R72" s="2"/>
      <c r="S72" s="43"/>
      <c r="T72" s="2"/>
      <c r="U72" s="2"/>
      <c r="V72" s="2"/>
      <c r="W72" s="2"/>
    </row>
    <row r="73" spans="1:23" ht="20.100000000000001" customHeight="1" x14ac:dyDescent="0.25">
      <c r="A73" s="2" t="s">
        <v>24</v>
      </c>
      <c r="B73" s="4"/>
      <c r="C73" s="4"/>
      <c r="D73" s="85">
        <f>+(D10+D11+D13)/D4</f>
        <v>39272.727272727272</v>
      </c>
      <c r="E73" s="85">
        <f t="shared" ref="E73:H73" si="23">+(E10+E11+E13)/E4</f>
        <v>64086.892502679279</v>
      </c>
      <c r="F73" s="85">
        <f t="shared" si="23"/>
        <v>69481.075826427113</v>
      </c>
      <c r="G73" s="85">
        <f t="shared" si="23"/>
        <v>110247.3901194885</v>
      </c>
      <c r="H73" s="85">
        <f t="shared" si="23"/>
        <v>158602.55539068396</v>
      </c>
      <c r="I73" s="2"/>
      <c r="J73" s="4"/>
      <c r="K73" s="2"/>
      <c r="L73" s="2"/>
      <c r="M73" s="2"/>
      <c r="N73" s="2"/>
      <c r="O73" s="2"/>
      <c r="P73" s="2"/>
      <c r="Q73" s="2"/>
      <c r="R73" s="2"/>
      <c r="S73" s="43"/>
      <c r="T73" s="2"/>
      <c r="U73" s="2"/>
      <c r="V73" s="2"/>
      <c r="W73" s="2"/>
    </row>
    <row r="74" spans="1:23" ht="20.100000000000001" customHeight="1" x14ac:dyDescent="0.25">
      <c r="A74" s="2"/>
      <c r="B74" s="4"/>
      <c r="C74" s="4"/>
      <c r="D74" s="20"/>
      <c r="E74" s="20"/>
      <c r="F74" s="20"/>
      <c r="G74" s="20"/>
      <c r="H74" s="20"/>
      <c r="I74" s="2"/>
      <c r="J74" s="4"/>
      <c r="K74" s="2"/>
      <c r="L74" s="2"/>
      <c r="M74" s="2"/>
      <c r="N74" s="2"/>
      <c r="O74" s="2"/>
      <c r="P74" s="2"/>
      <c r="Q74" s="2"/>
      <c r="R74" s="2"/>
      <c r="S74" s="43"/>
      <c r="T74" s="2"/>
      <c r="U74" s="2"/>
      <c r="V74" s="2"/>
      <c r="W74" s="2"/>
    </row>
    <row r="75" spans="1:23" ht="20.100000000000001" customHeight="1" x14ac:dyDescent="0.25">
      <c r="L75" s="2"/>
      <c r="M75" s="2"/>
      <c r="N75" s="2"/>
      <c r="O75" s="2"/>
      <c r="P75" s="2"/>
      <c r="Q75" s="2"/>
      <c r="R75" s="2"/>
      <c r="S75" s="43"/>
      <c r="T75" s="2"/>
      <c r="U75" s="2"/>
      <c r="V75" s="2"/>
      <c r="W75" s="2"/>
    </row>
    <row r="76" spans="1:23" ht="27.95" customHeight="1" x14ac:dyDescent="0.25">
      <c r="A76" s="3" t="s">
        <v>22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42"/>
      <c r="T76" s="2"/>
      <c r="U76" s="2"/>
      <c r="V76" s="2"/>
      <c r="W76" s="2"/>
    </row>
    <row r="77" spans="1:23" ht="20.10000000000000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42"/>
      <c r="T77" s="2"/>
      <c r="U77" s="2"/>
      <c r="V77" s="2"/>
      <c r="W77" s="2"/>
    </row>
    <row r="78" spans="1:23" ht="20.100000000000001" customHeight="1" x14ac:dyDescent="0.25">
      <c r="A78" s="2"/>
      <c r="B78" s="4"/>
      <c r="C78" s="4"/>
      <c r="D78" s="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42"/>
      <c r="T78" s="2"/>
      <c r="U78" s="2"/>
      <c r="V78" s="2"/>
      <c r="W78" s="2"/>
    </row>
    <row r="79" spans="1:23" ht="20.100000000000001" customHeight="1" x14ac:dyDescent="0.25">
      <c r="A79" s="2"/>
      <c r="B79" s="4"/>
      <c r="C79" s="4"/>
      <c r="D79" s="5"/>
      <c r="E79" s="5"/>
      <c r="F79" s="2"/>
      <c r="G79" s="2"/>
      <c r="H79" s="2"/>
      <c r="I79" s="2"/>
      <c r="J79" s="2"/>
      <c r="K79" s="2"/>
      <c r="L79" s="2"/>
      <c r="M79" s="2"/>
      <c r="N79" s="4"/>
      <c r="O79" s="2"/>
      <c r="P79" s="2"/>
      <c r="Q79" s="2"/>
      <c r="R79" s="2"/>
      <c r="S79" s="42"/>
      <c r="T79" s="2"/>
      <c r="U79" s="2"/>
      <c r="V79" s="2"/>
      <c r="W79" s="2"/>
    </row>
    <row r="80" spans="1:23" ht="20.100000000000001" customHeight="1" x14ac:dyDescent="0.25">
      <c r="A80" s="2"/>
      <c r="B80" s="4"/>
      <c r="C80" s="4"/>
      <c r="D80" s="5"/>
      <c r="E80" s="5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42"/>
      <c r="T80" s="2"/>
      <c r="U80" s="2"/>
      <c r="V80" s="2"/>
      <c r="W80" s="2"/>
    </row>
    <row r="81" spans="1:23" ht="20.100000000000001" customHeight="1" x14ac:dyDescent="0.25">
      <c r="A81" s="2"/>
      <c r="B81" s="4"/>
      <c r="C81" s="4"/>
      <c r="D81" s="5"/>
      <c r="E81" s="5"/>
      <c r="F81" s="5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42"/>
      <c r="T81" s="2"/>
      <c r="U81" s="2"/>
      <c r="V81" s="2"/>
      <c r="W81" s="2"/>
    </row>
    <row r="82" spans="1:23" ht="20.100000000000001" customHeight="1" x14ac:dyDescent="0.25">
      <c r="A82" s="2"/>
      <c r="B82" s="4"/>
      <c r="C82" s="4"/>
      <c r="D82" s="5"/>
      <c r="E82" s="5"/>
      <c r="F82" s="5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42"/>
      <c r="T82" s="2"/>
      <c r="U82" s="2"/>
      <c r="V82" s="2"/>
      <c r="W82" s="2"/>
    </row>
    <row r="83" spans="1:23" ht="20.100000000000001" customHeight="1" x14ac:dyDescent="0.25">
      <c r="A83" s="2"/>
      <c r="B83" s="4"/>
      <c r="C83" s="4"/>
      <c r="D83" s="5"/>
      <c r="E83" s="5"/>
      <c r="F83" s="5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42"/>
      <c r="T83" s="2"/>
      <c r="U83" s="2"/>
      <c r="V83" s="2"/>
      <c r="W83" s="2"/>
    </row>
    <row r="84" spans="1:23" ht="20.100000000000001" customHeight="1" x14ac:dyDescent="0.25">
      <c r="A84" s="2"/>
      <c r="B84" s="4"/>
      <c r="C84" s="4"/>
      <c r="D84" s="5"/>
      <c r="E84" s="5"/>
      <c r="F84" s="5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42"/>
      <c r="T84" s="2"/>
      <c r="U84" s="2"/>
      <c r="V84" s="2"/>
      <c r="W84" s="2"/>
    </row>
    <row r="85" spans="1:23" ht="20.100000000000001" customHeight="1" x14ac:dyDescent="0.25">
      <c r="A85" s="2"/>
      <c r="B85" s="4"/>
      <c r="C85" s="4"/>
      <c r="D85" s="5"/>
      <c r="E85" s="5"/>
      <c r="F85" s="5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42"/>
      <c r="T85" s="2"/>
      <c r="U85" s="2"/>
      <c r="V85" s="2"/>
      <c r="W85" s="2"/>
    </row>
    <row r="86" spans="1:23" ht="20.100000000000001" customHeight="1" x14ac:dyDescent="0.25">
      <c r="A86" s="2"/>
      <c r="B86" s="4"/>
      <c r="C86" s="4"/>
      <c r="D86" s="5"/>
      <c r="E86" s="5"/>
      <c r="F86" s="5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42"/>
      <c r="T86" s="2"/>
      <c r="U86" s="2"/>
      <c r="V86" s="2"/>
      <c r="W86" s="2"/>
    </row>
    <row r="87" spans="1:23" ht="20.100000000000001" customHeight="1" x14ac:dyDescent="0.25">
      <c r="A87" s="2"/>
      <c r="B87" s="4"/>
      <c r="C87" s="4"/>
      <c r="D87" s="5"/>
      <c r="E87" s="5"/>
      <c r="F87" s="5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42"/>
      <c r="T87" s="2"/>
      <c r="U87" s="2"/>
      <c r="V87" s="2"/>
      <c r="W87" s="2"/>
    </row>
    <row r="88" spans="1:23" ht="20.100000000000001" customHeight="1" x14ac:dyDescent="0.25">
      <c r="A88" s="2"/>
      <c r="B88" s="4"/>
      <c r="C88" s="4"/>
      <c r="D88" s="5"/>
      <c r="E88" s="5"/>
      <c r="F88" s="5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42"/>
      <c r="T88" s="2"/>
      <c r="U88" s="2"/>
      <c r="V88" s="2"/>
      <c r="W88" s="2"/>
    </row>
    <row r="89" spans="1:23" ht="20.100000000000001" customHeight="1" x14ac:dyDescent="0.25">
      <c r="A89" s="2"/>
      <c r="B89" s="4"/>
      <c r="C89" s="4"/>
      <c r="D89" s="5"/>
      <c r="E89" s="5"/>
      <c r="F89" s="5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42"/>
      <c r="T89" s="2"/>
      <c r="U89" s="2"/>
      <c r="V89" s="2"/>
      <c r="W89" s="2"/>
    </row>
    <row r="90" spans="1:23" ht="20.100000000000001" customHeight="1" x14ac:dyDescent="0.25">
      <c r="A90" s="2"/>
      <c r="B90" s="4"/>
      <c r="C90" s="4"/>
      <c r="D90" s="5"/>
      <c r="E90" s="5"/>
      <c r="F90" s="5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42"/>
      <c r="T90" s="2"/>
      <c r="U90" s="2"/>
      <c r="V90" s="2"/>
      <c r="W90" s="2"/>
    </row>
    <row r="91" spans="1:23" ht="20.100000000000001" customHeight="1" x14ac:dyDescent="0.25">
      <c r="A91" s="2"/>
      <c r="B91" s="4"/>
      <c r="C91" s="4"/>
      <c r="D91" s="5"/>
      <c r="E91" s="5"/>
      <c r="F91" s="5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42"/>
      <c r="T91" s="2"/>
      <c r="U91" s="2"/>
      <c r="V91" s="2"/>
      <c r="W91" s="2"/>
    </row>
    <row r="92" spans="1:23" ht="20.100000000000001" customHeight="1" x14ac:dyDescent="0.25">
      <c r="A92" s="2"/>
      <c r="B92" s="4"/>
      <c r="C92" s="4"/>
      <c r="D92" s="5"/>
      <c r="E92" s="5"/>
      <c r="F92" s="5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42"/>
      <c r="T92" s="2"/>
      <c r="U92" s="2"/>
      <c r="V92" s="2"/>
      <c r="W92" s="2"/>
    </row>
    <row r="93" spans="1:23" ht="20.100000000000001" customHeight="1" x14ac:dyDescent="0.25">
      <c r="A93" s="2"/>
      <c r="B93" s="4"/>
      <c r="C93" s="4"/>
      <c r="D93" s="5"/>
      <c r="E93" s="5"/>
      <c r="F93" s="5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42"/>
      <c r="T93" s="2"/>
      <c r="U93" s="2"/>
      <c r="V93" s="2"/>
      <c r="W93" s="2"/>
    </row>
    <row r="94" spans="1:23" ht="20.100000000000001" customHeight="1" x14ac:dyDescent="0.25">
      <c r="A94" s="2"/>
      <c r="B94" s="4"/>
      <c r="C94" s="4"/>
      <c r="D94" s="5"/>
      <c r="E94" s="5"/>
      <c r="F94" s="5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42"/>
      <c r="T94" s="2"/>
      <c r="U94" s="2"/>
      <c r="V94" s="2"/>
      <c r="W94" s="2"/>
    </row>
    <row r="95" spans="1:23" ht="20.100000000000001" customHeight="1" x14ac:dyDescent="0.25">
      <c r="A95" s="2"/>
      <c r="B95" s="4"/>
      <c r="C95" s="4"/>
      <c r="D95" s="5"/>
      <c r="E95" s="5"/>
      <c r="F95" s="5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42"/>
      <c r="T95" s="2"/>
      <c r="U95" s="2"/>
      <c r="V95" s="2"/>
      <c r="W95" s="2"/>
    </row>
    <row r="96" spans="1:23" ht="20.100000000000001" customHeight="1" x14ac:dyDescent="0.25">
      <c r="A96" s="2"/>
      <c r="B96" s="4"/>
      <c r="C96" s="4"/>
      <c r="D96" s="5"/>
      <c r="E96" s="5"/>
      <c r="F96" s="5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42"/>
      <c r="T96" s="2"/>
      <c r="U96" s="2"/>
      <c r="V96" s="2"/>
      <c r="W96" s="2"/>
    </row>
    <row r="97" spans="1:23" ht="20.100000000000001" customHeight="1" x14ac:dyDescent="0.25">
      <c r="A97" s="2"/>
      <c r="B97" s="4"/>
      <c r="C97" s="4"/>
      <c r="D97" s="5"/>
      <c r="E97" s="5"/>
      <c r="F97" s="5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42"/>
      <c r="T97" s="2"/>
      <c r="U97" s="2"/>
      <c r="V97" s="2"/>
      <c r="W97" s="2"/>
    </row>
    <row r="98" spans="1:23" ht="20.100000000000001" customHeight="1" x14ac:dyDescent="0.25">
      <c r="A98" s="2"/>
      <c r="B98" s="4"/>
      <c r="C98" s="4"/>
      <c r="D98" s="5"/>
      <c r="E98" s="5"/>
      <c r="F98" s="5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42"/>
      <c r="T98" s="2"/>
      <c r="U98" s="2"/>
      <c r="V98" s="2"/>
      <c r="W98" s="2"/>
    </row>
    <row r="99" spans="1:23" ht="20.100000000000001" customHeight="1" x14ac:dyDescent="0.25">
      <c r="A99" s="2"/>
      <c r="B99" s="4"/>
      <c r="C99" s="4"/>
      <c r="D99" s="5"/>
      <c r="E99" s="5"/>
      <c r="F99" s="5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42"/>
      <c r="T99" s="2"/>
      <c r="U99" s="2"/>
      <c r="V99" s="2"/>
      <c r="W99" s="2"/>
    </row>
    <row r="100" spans="1:23" ht="20.100000000000001" customHeight="1" x14ac:dyDescent="0.25">
      <c r="L100" s="2"/>
      <c r="M100" s="2"/>
      <c r="N100" s="2"/>
      <c r="O100" s="2"/>
      <c r="P100" s="2"/>
      <c r="Q100" s="2"/>
      <c r="R100" s="2"/>
      <c r="S100" s="42"/>
      <c r="T100" s="2"/>
      <c r="U100" s="2"/>
      <c r="V100" s="2"/>
      <c r="W100" s="2"/>
    </row>
    <row r="101" spans="1:23" ht="20.100000000000001" customHeight="1" x14ac:dyDescent="0.25">
      <c r="A101" s="2"/>
      <c r="B101" s="77"/>
      <c r="C101" s="27"/>
      <c r="D101" s="20"/>
      <c r="E101" s="20"/>
      <c r="F101" s="20"/>
      <c r="G101" s="20"/>
      <c r="H101" s="2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42"/>
    </row>
    <row r="102" spans="1:23" ht="20.100000000000001" customHeight="1" x14ac:dyDescent="0.25">
      <c r="A102" s="4"/>
      <c r="B102" s="4"/>
      <c r="C102" s="4"/>
      <c r="D102" s="5"/>
      <c r="E102" s="5"/>
      <c r="F102" s="5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42"/>
    </row>
    <row r="103" spans="1:23" customFormat="1" ht="20.100000000000001" customHeight="1" x14ac:dyDescent="0.25">
      <c r="A103" s="114" t="s">
        <v>66</v>
      </c>
      <c r="B103" s="114"/>
      <c r="C103" s="114"/>
      <c r="D103" s="114"/>
      <c r="E103" s="114"/>
      <c r="F103" s="114"/>
      <c r="G103" s="114"/>
      <c r="H103" s="11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48"/>
      <c r="T103" s="7"/>
      <c r="U103" s="7"/>
      <c r="V103" s="7"/>
      <c r="W103" s="7"/>
    </row>
    <row r="104" spans="1:23" customFormat="1" ht="20.100000000000001" customHeight="1" x14ac:dyDescent="0.25">
      <c r="A104" s="115"/>
      <c r="B104" s="115"/>
      <c r="C104" s="115"/>
      <c r="D104" s="115"/>
      <c r="E104" s="115"/>
      <c r="F104" s="115"/>
      <c r="G104" s="115"/>
      <c r="H104" s="115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48"/>
      <c r="T104" s="7"/>
      <c r="U104" s="7"/>
      <c r="V104" s="7"/>
      <c r="W104" s="7"/>
    </row>
    <row r="105" spans="1:23" s="33" customFormat="1" ht="20.100000000000001" customHeight="1" x14ac:dyDescent="0.25">
      <c r="A105" s="7"/>
      <c r="B105" s="32"/>
      <c r="C105" s="32"/>
      <c r="D105" s="34"/>
      <c r="E105" s="35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48"/>
      <c r="T105" s="7"/>
      <c r="U105" s="7"/>
      <c r="V105" s="7"/>
      <c r="W105" s="7"/>
    </row>
    <row r="106" spans="1:23" s="33" customFormat="1" ht="20.100000000000001" customHeight="1" x14ac:dyDescent="0.25">
      <c r="A106" s="116"/>
      <c r="B106" s="116"/>
      <c r="C106" s="116"/>
      <c r="D106" s="116"/>
      <c r="E106" s="116"/>
      <c r="F106" s="116"/>
      <c r="G106" s="116"/>
      <c r="H106" s="116"/>
      <c r="I106" s="4"/>
      <c r="J106" s="4"/>
      <c r="K106" s="7"/>
      <c r="L106" s="7"/>
      <c r="M106" s="7"/>
      <c r="N106" s="7"/>
      <c r="O106" s="7"/>
      <c r="P106" s="7"/>
      <c r="Q106" s="7"/>
      <c r="R106" s="7"/>
      <c r="S106" s="48"/>
      <c r="T106" s="7"/>
      <c r="U106" s="7"/>
      <c r="V106" s="7"/>
      <c r="W106" s="7"/>
    </row>
    <row r="107" spans="1:23" s="58" customFormat="1" ht="20.100000000000001" customHeight="1" x14ac:dyDescent="0.25">
      <c r="A107" s="54"/>
      <c r="B107" s="55"/>
      <c r="C107" s="55"/>
      <c r="D107" s="56"/>
      <c r="E107" s="56"/>
      <c r="F107" s="56"/>
      <c r="G107" s="56"/>
      <c r="H107" s="56"/>
      <c r="I107" s="54"/>
      <c r="J107" s="55"/>
      <c r="K107" s="54"/>
      <c r="L107" s="54"/>
      <c r="M107" s="54"/>
      <c r="N107" s="54"/>
      <c r="O107" s="54"/>
      <c r="P107" s="54"/>
      <c r="Q107" s="54"/>
      <c r="R107" s="54"/>
      <c r="S107" s="57"/>
      <c r="T107" s="54"/>
      <c r="U107" s="54"/>
      <c r="V107" s="54"/>
      <c r="W107" s="54"/>
    </row>
    <row r="108" spans="1:23" s="58" customFormat="1" ht="20.100000000000001" customHeight="1" x14ac:dyDescent="0.25">
      <c r="A108" s="59"/>
      <c r="B108" s="54"/>
      <c r="C108" s="60"/>
      <c r="D108" s="61"/>
      <c r="E108" s="61"/>
      <c r="F108" s="61"/>
      <c r="G108" s="61"/>
      <c r="H108" s="61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7"/>
      <c r="T108" s="54"/>
      <c r="U108" s="54"/>
      <c r="V108" s="54"/>
      <c r="W108" s="54"/>
    </row>
    <row r="109" spans="1:23" ht="20.100000000000001" customHeight="1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42"/>
    </row>
    <row r="110" spans="1:23" s="58" customFormat="1" ht="20.100000000000001" customHeight="1" x14ac:dyDescent="0.25">
      <c r="J110" s="54"/>
      <c r="K110" s="54"/>
      <c r="L110" s="54"/>
      <c r="M110" s="54"/>
      <c r="N110" s="54"/>
      <c r="O110" s="54"/>
      <c r="P110" s="54"/>
      <c r="Q110" s="54"/>
      <c r="R110" s="54"/>
      <c r="S110" s="57"/>
      <c r="T110" s="54"/>
      <c r="U110" s="54"/>
      <c r="V110" s="54"/>
      <c r="W110" s="54"/>
    </row>
    <row r="111" spans="1:23" s="58" customFormat="1" ht="20.100000000000001" customHeight="1" x14ac:dyDescent="0.25"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7"/>
      <c r="T111" s="54"/>
      <c r="U111" s="54"/>
      <c r="V111" s="54"/>
      <c r="W111" s="54"/>
    </row>
    <row r="112" spans="1:23" s="58" customFormat="1" ht="20.100000000000001" customHeight="1" x14ac:dyDescent="0.25"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7"/>
      <c r="T112" s="54"/>
      <c r="U112" s="54"/>
      <c r="V112" s="54"/>
      <c r="W112" s="54"/>
    </row>
    <row r="113" spans="1:25" s="58" customFormat="1" ht="20.100000000000001" customHeight="1" x14ac:dyDescent="0.25">
      <c r="I113" s="83"/>
      <c r="J113" s="54"/>
      <c r="K113" s="54"/>
      <c r="L113" s="54"/>
      <c r="M113" s="54"/>
      <c r="N113" s="54"/>
      <c r="O113" s="54"/>
      <c r="P113" s="54"/>
      <c r="Q113" s="54"/>
      <c r="R113" s="54"/>
      <c r="S113" s="57"/>
      <c r="T113" s="54"/>
      <c r="U113" s="54"/>
      <c r="V113" s="54"/>
      <c r="W113" s="54"/>
    </row>
    <row r="114" spans="1:25" s="58" customFormat="1" ht="20.100000000000001" customHeight="1" x14ac:dyDescent="0.25"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7"/>
      <c r="T114" s="54"/>
      <c r="U114" s="54"/>
      <c r="V114" s="54"/>
      <c r="W114" s="54"/>
    </row>
    <row r="115" spans="1:25" s="58" customFormat="1" ht="20.100000000000001" customHeight="1" x14ac:dyDescent="0.25">
      <c r="A115" s="54"/>
      <c r="B115" s="54"/>
      <c r="C115" s="24"/>
      <c r="D115" s="79"/>
      <c r="E115" s="79"/>
      <c r="F115" s="79"/>
      <c r="G115" s="79"/>
      <c r="H115" s="79"/>
      <c r="I115" s="54"/>
      <c r="J115" s="54"/>
      <c r="K115" s="54"/>
      <c r="L115" s="54"/>
      <c r="M115" s="54"/>
      <c r="N115" s="54"/>
      <c r="O115" s="54"/>
      <c r="P115" s="54"/>
      <c r="Q115" s="54"/>
      <c r="R115" s="64"/>
      <c r="S115" s="65"/>
      <c r="T115" s="65"/>
      <c r="U115" s="65"/>
      <c r="V115" s="65"/>
      <c r="W115" s="65"/>
      <c r="X115" s="66"/>
      <c r="Y115" s="66"/>
    </row>
    <row r="116" spans="1:25" s="58" customFormat="1" ht="20.100000000000001" customHeight="1" x14ac:dyDescent="0.25">
      <c r="A116" s="54"/>
      <c r="B116" s="54"/>
      <c r="C116" s="24"/>
      <c r="D116" s="79"/>
      <c r="E116" s="79"/>
      <c r="F116" s="79"/>
      <c r="G116" s="79"/>
      <c r="H116" s="79"/>
      <c r="I116" s="54"/>
      <c r="J116" s="54"/>
      <c r="K116" s="54"/>
      <c r="L116" s="54"/>
      <c r="M116" s="54"/>
      <c r="N116" s="54"/>
      <c r="O116" s="54"/>
      <c r="P116" s="54"/>
      <c r="Q116" s="54"/>
      <c r="R116" s="67"/>
      <c r="S116" s="67"/>
      <c r="T116" s="67"/>
      <c r="U116" s="67"/>
      <c r="V116" s="67"/>
      <c r="W116" s="67"/>
      <c r="X116" s="68"/>
    </row>
    <row r="117" spans="1:25" s="58" customFormat="1" ht="20.100000000000001" customHeight="1" x14ac:dyDescent="0.25"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66"/>
      <c r="T117" s="54"/>
      <c r="U117" s="54"/>
      <c r="V117" s="54"/>
      <c r="W117" s="54"/>
    </row>
    <row r="118" spans="1:25" s="58" customFormat="1" ht="20.100000000000001" customHeight="1" x14ac:dyDescent="0.25">
      <c r="A118" s="54"/>
      <c r="B118" s="54"/>
      <c r="C118" s="24"/>
      <c r="D118" s="62"/>
      <c r="E118" s="62"/>
      <c r="F118" s="62"/>
      <c r="G118" s="62"/>
      <c r="H118" s="62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68"/>
      <c r="T118" s="54"/>
      <c r="U118" s="54"/>
      <c r="V118" s="54"/>
      <c r="W118" s="54"/>
    </row>
    <row r="119" spans="1:25" s="58" customFormat="1" ht="20.100000000000001" customHeight="1" x14ac:dyDescent="0.25">
      <c r="A119" s="54"/>
      <c r="B119" s="54"/>
      <c r="C119" s="24"/>
      <c r="D119" s="62"/>
      <c r="E119" s="62"/>
      <c r="F119" s="62"/>
      <c r="G119" s="62"/>
      <c r="H119" s="62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68"/>
      <c r="T119" s="54"/>
      <c r="U119" s="54"/>
      <c r="V119" s="54"/>
      <c r="W119" s="54"/>
    </row>
    <row r="120" spans="1:25" s="58" customFormat="1" ht="20.100000000000001" customHeight="1" x14ac:dyDescent="0.25">
      <c r="A120" s="63"/>
      <c r="B120" s="63"/>
      <c r="C120" s="14"/>
      <c r="D120" s="14"/>
      <c r="E120" s="14"/>
      <c r="F120" s="14"/>
      <c r="G120" s="14"/>
      <c r="H120" s="1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68"/>
      <c r="T120" s="54"/>
      <c r="U120" s="54"/>
      <c r="V120" s="54"/>
      <c r="W120" s="54"/>
    </row>
    <row r="121" spans="1:25" s="58" customFormat="1" ht="20.100000000000001" customHeight="1" x14ac:dyDescent="0.25">
      <c r="A121" s="54"/>
      <c r="B121" s="55"/>
      <c r="C121" s="55"/>
      <c r="D121" s="56"/>
      <c r="E121" s="56"/>
      <c r="F121" s="56"/>
      <c r="G121" s="56"/>
      <c r="H121" s="56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68"/>
      <c r="T121" s="54"/>
      <c r="U121" s="54"/>
      <c r="V121" s="54"/>
      <c r="W121" s="54"/>
    </row>
    <row r="122" spans="1:25" s="58" customFormat="1" ht="20.100000000000001" customHeight="1" x14ac:dyDescent="0.25">
      <c r="A122" s="51"/>
      <c r="B122" s="51"/>
      <c r="C122" s="51"/>
      <c r="D122" s="15"/>
      <c r="E122" s="15"/>
      <c r="F122" s="15"/>
      <c r="G122" s="15"/>
      <c r="H122" s="15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68"/>
      <c r="T122" s="54"/>
      <c r="U122" s="54"/>
      <c r="V122" s="54"/>
      <c r="W122" s="54"/>
    </row>
    <row r="123" spans="1:25" s="58" customFormat="1" ht="20.100000000000001" customHeight="1" x14ac:dyDescent="0.25">
      <c r="A123" s="54"/>
      <c r="B123" s="55"/>
      <c r="C123" s="55"/>
      <c r="D123" s="56"/>
      <c r="E123" s="56"/>
      <c r="F123" s="56"/>
      <c r="G123" s="56"/>
      <c r="H123" s="56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68"/>
      <c r="T123" s="54"/>
      <c r="U123" s="54"/>
      <c r="V123" s="54"/>
      <c r="W123" s="54"/>
    </row>
    <row r="124" spans="1:25" s="58" customFormat="1" ht="20.100000000000001" customHeight="1" x14ac:dyDescent="0.25">
      <c r="A124" s="54"/>
      <c r="B124" s="54"/>
      <c r="C124" s="24"/>
      <c r="D124" s="62"/>
      <c r="E124" s="62"/>
      <c r="F124" s="62"/>
      <c r="G124" s="62"/>
      <c r="H124" s="62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68"/>
      <c r="T124" s="54"/>
      <c r="U124" s="54"/>
      <c r="V124" s="54"/>
      <c r="W124" s="54"/>
    </row>
    <row r="125" spans="1:25" s="58" customFormat="1" ht="20.100000000000001" customHeight="1" x14ac:dyDescent="0.25">
      <c r="A125" s="51"/>
      <c r="B125" s="51"/>
      <c r="C125" s="51"/>
      <c r="D125" s="15"/>
      <c r="E125" s="15"/>
      <c r="F125" s="15"/>
      <c r="G125" s="15"/>
      <c r="H125" s="15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68"/>
      <c r="T125" s="54"/>
      <c r="U125" s="54"/>
      <c r="V125" s="54"/>
      <c r="W125" s="54"/>
    </row>
    <row r="126" spans="1:25" s="58" customFormat="1" ht="20.100000000000001" customHeight="1" x14ac:dyDescent="0.25">
      <c r="A126" s="54"/>
      <c r="B126" s="55"/>
      <c r="C126" s="55"/>
      <c r="D126" s="56"/>
      <c r="E126" s="56"/>
      <c r="F126" s="56"/>
      <c r="G126" s="56"/>
      <c r="H126" s="56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68"/>
      <c r="T126" s="54"/>
      <c r="U126" s="54"/>
      <c r="V126" s="54"/>
      <c r="W126" s="54"/>
    </row>
    <row r="127" spans="1:25" ht="20.100000000000001" customHeight="1" x14ac:dyDescent="0.25">
      <c r="A127" s="2"/>
      <c r="B127" s="4"/>
      <c r="C127" s="4"/>
      <c r="D127" s="5"/>
      <c r="E127" s="5"/>
      <c r="F127" s="5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50"/>
      <c r="T127" s="2"/>
      <c r="U127" s="2"/>
      <c r="V127" s="2"/>
      <c r="W127" s="2"/>
    </row>
    <row r="128" spans="1:25" x14ac:dyDescent="0.25">
      <c r="A128" s="2"/>
      <c r="B128" s="2"/>
      <c r="C128" s="2"/>
      <c r="D128" s="20"/>
      <c r="E128" s="20"/>
      <c r="F128" s="20"/>
      <c r="G128" s="20"/>
      <c r="H128" s="2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23" x14ac:dyDescent="0.25">
      <c r="A129" s="2"/>
      <c r="B129" s="2"/>
      <c r="C129" s="2"/>
      <c r="D129" s="20"/>
      <c r="E129" s="20"/>
      <c r="F129" s="20"/>
      <c r="G129" s="20"/>
      <c r="H129" s="2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23" ht="20.100000000000001" customHeight="1" x14ac:dyDescent="0.2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50"/>
      <c r="T130" s="2"/>
      <c r="U130" s="2"/>
      <c r="V130" s="2"/>
      <c r="W130" s="2"/>
    </row>
    <row r="131" spans="1:23" ht="20.10000000000000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50"/>
      <c r="T131" s="2"/>
      <c r="U131" s="2"/>
      <c r="V131" s="2"/>
      <c r="W131" s="2"/>
    </row>
    <row r="132" spans="1:23" ht="20.10000000000000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50"/>
      <c r="T132" s="2"/>
      <c r="U132" s="2"/>
      <c r="V132" s="2"/>
      <c r="W132" s="2"/>
    </row>
    <row r="133" spans="1:23" ht="20.100000000000001" customHeight="1" x14ac:dyDescent="0.25">
      <c r="A133" s="2"/>
      <c r="B133" s="4"/>
      <c r="C133" s="4"/>
      <c r="D133" s="5"/>
      <c r="E133" s="5"/>
      <c r="F133" s="5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50"/>
      <c r="T133" s="2"/>
      <c r="U133" s="2"/>
      <c r="V133" s="2"/>
      <c r="W133" s="2"/>
    </row>
    <row r="134" spans="1:23" ht="20.100000000000001" customHeight="1" x14ac:dyDescent="0.25">
      <c r="A134" s="2"/>
      <c r="B134" s="4"/>
      <c r="C134" s="4"/>
      <c r="D134" s="5"/>
      <c r="E134" s="5"/>
      <c r="F134" s="5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50"/>
      <c r="T134" s="2"/>
      <c r="U134" s="2"/>
      <c r="V134" s="2"/>
      <c r="W134" s="2"/>
    </row>
    <row r="135" spans="1:23" ht="20.100000000000001" customHeight="1" x14ac:dyDescent="0.25">
      <c r="A135" s="2"/>
      <c r="B135" s="4"/>
      <c r="C135" s="4"/>
      <c r="D135" s="5"/>
      <c r="E135" s="5"/>
      <c r="F135" s="5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50"/>
      <c r="T135" s="2"/>
      <c r="U135" s="2"/>
      <c r="V135" s="2"/>
      <c r="W135" s="2"/>
    </row>
    <row r="136" spans="1:23" ht="20.100000000000001" customHeight="1" x14ac:dyDescent="0.25">
      <c r="A136" s="2"/>
      <c r="B136" s="4"/>
      <c r="C136" s="4"/>
      <c r="D136" s="5"/>
      <c r="E136" s="5"/>
      <c r="F136" s="5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50"/>
      <c r="T136" s="2"/>
      <c r="U136" s="2"/>
      <c r="V136" s="2"/>
      <c r="W136" s="2"/>
    </row>
    <row r="137" spans="1:23" ht="20.100000000000001" customHeight="1" x14ac:dyDescent="0.25">
      <c r="A137" s="2"/>
      <c r="B137" s="4"/>
      <c r="C137" s="4"/>
      <c r="D137" s="5"/>
      <c r="E137" s="5"/>
      <c r="F137" s="5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/>
    </row>
    <row r="138" spans="1:23" ht="20.100000000000001" customHeight="1" x14ac:dyDescent="0.25">
      <c r="A138" s="2"/>
      <c r="B138" s="4"/>
      <c r="C138" s="4"/>
      <c r="D138" s="5"/>
      <c r="E138" s="5"/>
      <c r="F138" s="5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50"/>
      <c r="T138" s="2"/>
      <c r="U138" s="2"/>
      <c r="V138" s="2"/>
      <c r="W138" s="2"/>
    </row>
    <row r="139" spans="1:23" ht="20.100000000000001" customHeight="1" x14ac:dyDescent="0.25">
      <c r="A139" s="2"/>
      <c r="B139" s="4"/>
      <c r="C139" s="4"/>
      <c r="D139" s="5"/>
      <c r="E139" s="5"/>
      <c r="F139" s="5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50"/>
      <c r="T139" s="2"/>
      <c r="U139" s="2"/>
      <c r="V139" s="2"/>
      <c r="W139" s="2"/>
    </row>
    <row r="140" spans="1:23" ht="20.100000000000001" customHeight="1" x14ac:dyDescent="0.25">
      <c r="A140" s="2"/>
      <c r="B140" s="4"/>
      <c r="C140" s="4"/>
      <c r="D140" s="5"/>
      <c r="E140" s="5"/>
      <c r="F140" s="5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50"/>
      <c r="T140" s="2"/>
      <c r="U140" s="2"/>
      <c r="V140" s="2"/>
      <c r="W140" s="2"/>
    </row>
    <row r="141" spans="1:23" ht="20.100000000000001" customHeight="1" x14ac:dyDescent="0.25">
      <c r="A141" s="2"/>
      <c r="B141" s="4"/>
      <c r="C141" s="4"/>
      <c r="D141" s="5"/>
      <c r="E141" s="5"/>
      <c r="F141" s="5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50"/>
      <c r="T141" s="2"/>
      <c r="U141" s="2"/>
      <c r="V141" s="2"/>
      <c r="W141" s="2"/>
    </row>
    <row r="142" spans="1:23" ht="20.100000000000001" customHeight="1" x14ac:dyDescent="0.25">
      <c r="A142" s="2"/>
      <c r="B142" s="4"/>
      <c r="C142" s="4"/>
      <c r="D142" s="5"/>
      <c r="E142" s="5"/>
      <c r="F142" s="5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50"/>
      <c r="T142" s="2"/>
      <c r="U142" s="2"/>
      <c r="V142" s="2"/>
      <c r="W142" s="2"/>
    </row>
    <row r="143" spans="1:23" ht="20.100000000000001" customHeight="1" x14ac:dyDescent="0.25">
      <c r="A143" s="30"/>
      <c r="B143" s="4"/>
      <c r="C143" s="4"/>
      <c r="D143" s="5"/>
      <c r="E143" s="5"/>
      <c r="F143" s="5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50"/>
      <c r="T143" s="2"/>
      <c r="U143" s="2"/>
      <c r="V143" s="2"/>
      <c r="W143" s="2"/>
    </row>
    <row r="144" spans="1:23" ht="20.100000000000001" customHeight="1" x14ac:dyDescent="0.25">
      <c r="A144" s="4"/>
      <c r="B144" s="4"/>
      <c r="C144" s="5"/>
      <c r="D144" s="5"/>
      <c r="E144" s="5"/>
      <c r="F144" s="5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50"/>
      <c r="T144" s="2"/>
      <c r="U144" s="2"/>
      <c r="V144" s="2"/>
      <c r="W144" s="2"/>
    </row>
    <row r="145" spans="1:23" ht="20.100000000000001" customHeight="1" x14ac:dyDescent="0.25">
      <c r="A145" s="4"/>
      <c r="B145" s="4"/>
      <c r="C145" s="4"/>
      <c r="D145" s="5"/>
      <c r="E145" s="5"/>
      <c r="F145" s="5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0"/>
      <c r="T145" s="2"/>
      <c r="U145" s="2"/>
      <c r="V145" s="2"/>
      <c r="W145" s="2"/>
    </row>
    <row r="146" spans="1:23" ht="20.10000000000000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50"/>
      <c r="T146" s="2"/>
      <c r="U146" s="2"/>
      <c r="V146" s="2"/>
      <c r="W146" s="2"/>
    </row>
    <row r="147" spans="1:23" ht="20.100000000000001" customHeight="1" x14ac:dyDescent="0.25">
      <c r="A147" s="30" t="s">
        <v>38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50"/>
      <c r="T147" s="2"/>
      <c r="U147" s="2"/>
      <c r="V147" s="2"/>
      <c r="W147" s="2"/>
    </row>
    <row r="148" spans="1:23" customFormat="1" ht="20.100000000000001" customHeight="1" x14ac:dyDescent="0.25">
      <c r="A148" s="4" t="s">
        <v>10</v>
      </c>
      <c r="B148" s="1"/>
      <c r="C148" s="4"/>
      <c r="D148" s="25">
        <f>+D3</f>
        <v>40000</v>
      </c>
      <c r="E148" s="25">
        <f>+E3</f>
        <v>75000</v>
      </c>
      <c r="F148" s="25">
        <f>+F3</f>
        <v>100000</v>
      </c>
      <c r="G148" s="25">
        <f>+G3</f>
        <v>200000</v>
      </c>
      <c r="H148" s="25">
        <f>+H3</f>
        <v>300000</v>
      </c>
      <c r="I148" s="7"/>
      <c r="J148" s="7"/>
      <c r="K148" s="7"/>
      <c r="L148" s="7"/>
      <c r="M148" s="7"/>
      <c r="N148" s="7"/>
      <c r="O148" s="7"/>
      <c r="P148" s="7"/>
      <c r="Q148" s="7"/>
      <c r="R148" s="2"/>
      <c r="S148" s="50"/>
      <c r="T148" s="7"/>
      <c r="U148" s="7"/>
      <c r="V148" s="7"/>
      <c r="W148" s="7"/>
    </row>
    <row r="149" spans="1:23" customFormat="1" ht="20.100000000000001" customHeight="1" x14ac:dyDescent="0.25">
      <c r="A149" s="78" t="s">
        <v>31</v>
      </c>
      <c r="B149" s="1"/>
      <c r="C149" s="78"/>
      <c r="D149" s="25">
        <f>+D16</f>
        <v>320</v>
      </c>
      <c r="E149" s="25">
        <f>+E16</f>
        <v>4801.767298821117</v>
      </c>
      <c r="F149" s="25">
        <f>+F16</f>
        <v>13428.326636372076</v>
      </c>
      <c r="G149" s="25">
        <f>+G16</f>
        <v>39491.148347425071</v>
      </c>
      <c r="H149" s="25">
        <f>+H16</f>
        <v>62214.875628099049</v>
      </c>
      <c r="I149" s="7"/>
      <c r="J149" s="7"/>
      <c r="K149" s="7"/>
      <c r="L149" s="7"/>
      <c r="M149" s="7"/>
      <c r="N149" s="7"/>
      <c r="O149" s="7"/>
      <c r="P149" s="7"/>
      <c r="Q149" s="7"/>
      <c r="R149" s="2"/>
      <c r="S149" s="50"/>
      <c r="T149" s="7"/>
      <c r="U149" s="7"/>
      <c r="V149" s="7"/>
      <c r="W149" s="7"/>
    </row>
    <row r="150" spans="1:23" customFormat="1" ht="20.100000000000001" customHeight="1" x14ac:dyDescent="0.25">
      <c r="A150" s="4" t="s">
        <v>63</v>
      </c>
      <c r="B150" s="1"/>
      <c r="C150" s="4"/>
      <c r="D150" s="25">
        <f>+D22</f>
        <v>1845.7308159496706</v>
      </c>
      <c r="E150" s="25">
        <f>+E22</f>
        <v>1156.1324110179003</v>
      </c>
      <c r="F150" s="25">
        <f>+F22</f>
        <v>4951.1612338250079</v>
      </c>
      <c r="G150" s="25">
        <f>+G22</f>
        <v>29450.847669329818</v>
      </c>
      <c r="H150" s="25">
        <f>+H22</f>
        <v>60163.590410207878</v>
      </c>
      <c r="I150" s="7"/>
      <c r="J150" s="7"/>
      <c r="K150" s="7"/>
      <c r="L150" s="7"/>
      <c r="M150" s="7"/>
      <c r="N150" s="7"/>
      <c r="O150" s="7"/>
      <c r="P150" s="7"/>
      <c r="Q150" s="7"/>
      <c r="R150" s="2"/>
      <c r="S150" s="50"/>
      <c r="T150" s="7"/>
      <c r="U150" s="7"/>
      <c r="V150" s="7"/>
      <c r="W150" s="7"/>
    </row>
    <row r="151" spans="1:23" customFormat="1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7"/>
      <c r="J151" s="7"/>
      <c r="K151" s="7"/>
      <c r="L151" s="7"/>
      <c r="M151" s="7"/>
      <c r="N151" s="7"/>
      <c r="O151" s="7"/>
      <c r="P151" s="7"/>
      <c r="Q151" s="7"/>
      <c r="R151" s="2"/>
      <c r="S151" s="50"/>
      <c r="T151" s="7"/>
      <c r="U151" s="7"/>
      <c r="V151" s="7"/>
      <c r="W151" s="7"/>
    </row>
    <row r="152" spans="1:23" ht="20.100000000000001" customHeight="1" x14ac:dyDescent="0.25">
      <c r="A152" s="4" t="s">
        <v>62</v>
      </c>
      <c r="C152" s="4">
        <v>0</v>
      </c>
      <c r="D152" s="25">
        <f>+D51+D54</f>
        <v>1650.9589041095878</v>
      </c>
      <c r="E152" s="25">
        <f>+E51+E54</f>
        <v>-35859.619106464546</v>
      </c>
      <c r="F152" s="25">
        <f>+F51+F54</f>
        <v>20258.207293213018</v>
      </c>
      <c r="G152" s="25">
        <f>+G51+G54</f>
        <v>36216.163956567041</v>
      </c>
      <c r="H152" s="25">
        <f>+H51+H54</f>
        <v>42897.879362782776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50"/>
      <c r="T152" s="2"/>
      <c r="U152" s="2"/>
      <c r="V152" s="2"/>
      <c r="W152" s="2"/>
    </row>
    <row r="153" spans="1:23" ht="20.100000000000001" customHeight="1" x14ac:dyDescent="0.25">
      <c r="A153" s="4" t="s">
        <v>65</v>
      </c>
      <c r="C153" s="4">
        <f>+C152</f>
        <v>0</v>
      </c>
      <c r="D153" s="25">
        <f>+C153+D152</f>
        <v>1650.9589041095878</v>
      </c>
      <c r="E153" s="25">
        <f t="shared" ref="E153:H153" si="24">+D153+E152</f>
        <v>-34208.660202354957</v>
      </c>
      <c r="F153" s="25">
        <f t="shared" si="24"/>
        <v>-13950.452909141939</v>
      </c>
      <c r="G153" s="25">
        <f t="shared" si="24"/>
        <v>22265.711047425102</v>
      </c>
      <c r="H153" s="25">
        <f t="shared" si="24"/>
        <v>65163.590410207878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50"/>
      <c r="T153" s="2"/>
      <c r="U153" s="2"/>
      <c r="V153" s="2"/>
      <c r="W153" s="2"/>
    </row>
    <row r="154" spans="1:23" ht="20.100000000000001" customHeight="1" x14ac:dyDescent="0.25">
      <c r="A154" s="4" t="s">
        <v>64</v>
      </c>
      <c r="B154" s="2"/>
      <c r="C154" s="4">
        <v>0</v>
      </c>
      <c r="D154" s="25">
        <v>1</v>
      </c>
      <c r="E154" s="25">
        <v>2</v>
      </c>
      <c r="F154" s="25">
        <v>3</v>
      </c>
      <c r="G154" s="25">
        <v>4</v>
      </c>
      <c r="H154" s="25">
        <v>5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50"/>
      <c r="T154" s="2"/>
      <c r="U154" s="2"/>
      <c r="V154" s="2"/>
      <c r="W154" s="2"/>
    </row>
    <row r="155" spans="1:23" ht="20.100000000000001" customHeight="1" x14ac:dyDescent="0.25">
      <c r="A155" s="2"/>
      <c r="B155" s="2"/>
      <c r="C155" s="2"/>
      <c r="D155" s="25"/>
      <c r="E155" s="25"/>
      <c r="F155" s="25"/>
      <c r="G155" s="25"/>
      <c r="H155" s="2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50"/>
      <c r="T155" s="2"/>
      <c r="U155" s="2"/>
      <c r="V155" s="2"/>
      <c r="W155" s="2"/>
    </row>
    <row r="156" spans="1:23" ht="20.100000000000001" hidden="1" customHeight="1" x14ac:dyDescent="0.25">
      <c r="A156" s="2"/>
      <c r="B156" s="2"/>
      <c r="C156" s="2"/>
      <c r="D156" s="25"/>
      <c r="E156" s="25"/>
      <c r="F156" s="25"/>
      <c r="G156" s="25"/>
      <c r="H156" s="2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50"/>
      <c r="T156" s="2"/>
      <c r="U156" s="2"/>
      <c r="V156" s="2"/>
      <c r="W156" s="2"/>
    </row>
    <row r="157" spans="1:23" ht="20.100000000000001" hidden="1" customHeight="1" x14ac:dyDescent="0.25">
      <c r="A157" s="30" t="s">
        <v>20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50"/>
      <c r="T157" s="2"/>
      <c r="U157" s="2"/>
      <c r="V157" s="2"/>
      <c r="W157" s="2"/>
    </row>
    <row r="158" spans="1:23" ht="20.100000000000001" hidden="1" customHeight="1" x14ac:dyDescent="0.25">
      <c r="A158" s="4" t="s">
        <v>26</v>
      </c>
      <c r="B158" s="2"/>
      <c r="C158" s="5">
        <f>IF(C38&gt;0,0,C38)</f>
        <v>0</v>
      </c>
      <c r="D158" s="5">
        <f>+C158</f>
        <v>0</v>
      </c>
      <c r="E158" s="5">
        <f>+D160</f>
        <v>400</v>
      </c>
      <c r="F158" s="5">
        <f t="shared" ref="F158:H158" si="25">+E160</f>
        <v>6402.2091235263961</v>
      </c>
      <c r="G158" s="5">
        <f t="shared" si="25"/>
        <v>23187.617418991489</v>
      </c>
      <c r="H158" s="5">
        <f t="shared" si="25"/>
        <v>72551.55285327282</v>
      </c>
      <c r="I158" s="5"/>
      <c r="J158" s="2"/>
      <c r="K158" s="2"/>
      <c r="L158" s="2"/>
      <c r="M158" s="2"/>
      <c r="N158" s="2"/>
      <c r="O158" s="2"/>
      <c r="P158" s="2"/>
      <c r="Q158" s="2"/>
      <c r="R158" s="2"/>
      <c r="S158" s="50"/>
      <c r="T158" s="2"/>
      <c r="U158" s="2"/>
      <c r="V158" s="2"/>
      <c r="W158" s="2"/>
    </row>
    <row r="159" spans="1:23" ht="20.100000000000001" hidden="1" customHeight="1" x14ac:dyDescent="0.25">
      <c r="A159" s="4" t="s">
        <v>32</v>
      </c>
      <c r="B159" s="2"/>
      <c r="C159" s="5"/>
      <c r="D159" s="5">
        <f>+D14</f>
        <v>400</v>
      </c>
      <c r="E159" s="5">
        <f>+E14</f>
        <v>6002.2091235263961</v>
      </c>
      <c r="F159" s="5">
        <f>+F14</f>
        <v>16785.408295465095</v>
      </c>
      <c r="G159" s="5">
        <f>+G14</f>
        <v>49363.935434281339</v>
      </c>
      <c r="H159" s="5">
        <f>+H14</f>
        <v>77768.594535123819</v>
      </c>
      <c r="I159" s="5"/>
      <c r="J159" s="2"/>
      <c r="K159" s="2"/>
      <c r="L159" s="2"/>
      <c r="M159" s="2"/>
      <c r="N159" s="2"/>
      <c r="O159" s="2"/>
      <c r="P159" s="2"/>
      <c r="Q159" s="2"/>
      <c r="R159" s="2"/>
      <c r="S159" s="50"/>
      <c r="T159" s="2"/>
      <c r="U159" s="2"/>
      <c r="V159" s="2"/>
      <c r="W159" s="2"/>
    </row>
    <row r="160" spans="1:23" ht="20.100000000000001" hidden="1" customHeight="1" x14ac:dyDescent="0.25">
      <c r="A160" s="4" t="s">
        <v>27</v>
      </c>
      <c r="B160" s="2"/>
      <c r="C160" s="5"/>
      <c r="D160" s="5">
        <f>+D158+D159</f>
        <v>400</v>
      </c>
      <c r="E160" s="5">
        <f t="shared" ref="E160:H160" si="26">+E158+E159</f>
        <v>6402.2091235263961</v>
      </c>
      <c r="F160" s="5">
        <f t="shared" si="26"/>
        <v>23187.617418991489</v>
      </c>
      <c r="G160" s="5">
        <f t="shared" si="26"/>
        <v>72551.55285327282</v>
      </c>
      <c r="H160" s="5">
        <f t="shared" si="26"/>
        <v>150320.14738839664</v>
      </c>
      <c r="I160" s="5"/>
      <c r="J160" s="2"/>
      <c r="K160" s="2"/>
      <c r="L160" s="2"/>
      <c r="M160" s="2"/>
      <c r="N160" s="2"/>
      <c r="O160" s="2"/>
      <c r="P160" s="2"/>
      <c r="Q160" s="2"/>
      <c r="R160" s="2"/>
      <c r="S160" s="50"/>
      <c r="T160" s="2"/>
      <c r="U160" s="2"/>
      <c r="V160" s="2"/>
      <c r="W160" s="2"/>
    </row>
    <row r="161" spans="1:23" ht="20.100000000000001" hidden="1" customHeight="1" x14ac:dyDescent="0.25">
      <c r="A161" s="2"/>
      <c r="B161" s="2"/>
      <c r="C161" s="5"/>
      <c r="D161" s="5"/>
      <c r="E161" s="5"/>
      <c r="F161" s="5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50"/>
      <c r="T161" s="2"/>
      <c r="U161" s="2"/>
      <c r="V161" s="2"/>
      <c r="W161" s="2"/>
    </row>
    <row r="162" spans="1:23" ht="20.100000000000001" hidden="1" customHeight="1" x14ac:dyDescent="0.25">
      <c r="A162" s="4" t="s">
        <v>28</v>
      </c>
      <c r="B162" s="4"/>
      <c r="C162" s="5"/>
      <c r="D162" s="5">
        <f>IF(D160&lt;0,0,$B$15*D160)</f>
        <v>80</v>
      </c>
      <c r="E162" s="5">
        <f t="shared" ref="E162:H162" si="27">IF(E160&lt;0,0,$B$15*E160)</f>
        <v>1280.4418247052793</v>
      </c>
      <c r="F162" s="5">
        <f t="shared" si="27"/>
        <v>4637.523483798298</v>
      </c>
      <c r="G162" s="5">
        <f t="shared" si="27"/>
        <v>14510.310570654565</v>
      </c>
      <c r="H162" s="5">
        <f t="shared" si="27"/>
        <v>30064.029477679331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50"/>
      <c r="T162" s="2"/>
      <c r="U162" s="2"/>
      <c r="V162" s="2"/>
      <c r="W162" s="2"/>
    </row>
    <row r="163" spans="1:23" ht="20.100000000000001" hidden="1" customHeight="1" x14ac:dyDescent="0.25">
      <c r="A163" s="4" t="s">
        <v>20</v>
      </c>
      <c r="B163" s="4"/>
      <c r="C163" s="5"/>
      <c r="D163" s="5">
        <f>+D162</f>
        <v>80</v>
      </c>
      <c r="E163" s="5">
        <f>+E162-D162</f>
        <v>1200.4418247052793</v>
      </c>
      <c r="F163" s="5">
        <f t="shared" ref="F163:H163" si="28">+F162-E162</f>
        <v>3357.081659093019</v>
      </c>
      <c r="G163" s="5">
        <f t="shared" si="28"/>
        <v>9872.7870868562677</v>
      </c>
      <c r="H163" s="5">
        <f t="shared" si="28"/>
        <v>15553.718907024766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50"/>
      <c r="T163" s="2"/>
      <c r="U163" s="2"/>
      <c r="V163" s="2"/>
      <c r="W163" s="2"/>
    </row>
    <row r="164" spans="1:23" ht="20.100000000000001" hidden="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50"/>
      <c r="T164" s="2"/>
      <c r="U164" s="2"/>
      <c r="V164" s="2"/>
      <c r="W164" s="2"/>
    </row>
    <row r="165" spans="1:23" ht="20.100000000000001" hidden="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</row>
    <row r="166" spans="1:23" ht="20.100000000000001" hidden="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50"/>
      <c r="T166" s="2"/>
      <c r="U166" s="2"/>
      <c r="V166" s="2"/>
      <c r="W166" s="2"/>
    </row>
    <row r="167" spans="1:23" ht="20.100000000000001" hidden="1" customHeight="1" x14ac:dyDescent="0.25">
      <c r="A167" s="30" t="s">
        <v>25</v>
      </c>
      <c r="B167" s="106" t="s">
        <v>69</v>
      </c>
      <c r="C167" s="107" t="s">
        <v>13</v>
      </c>
      <c r="D167" s="107" t="s">
        <v>15</v>
      </c>
      <c r="E167" s="107" t="s">
        <v>16</v>
      </c>
      <c r="F167" s="107" t="s">
        <v>17</v>
      </c>
      <c r="G167" s="107" t="s">
        <v>18</v>
      </c>
      <c r="H167" s="107" t="s">
        <v>19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0.100000000000001" hidden="1" customHeight="1" x14ac:dyDescent="0.25">
      <c r="A168" s="108" t="s">
        <v>78</v>
      </c>
      <c r="B168" s="5"/>
      <c r="C168" s="5"/>
      <c r="D168" s="5"/>
      <c r="E168" s="5"/>
      <c r="F168" s="5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0.100000000000001" hidden="1" customHeight="1" x14ac:dyDescent="0.25">
      <c r="A169" s="109" t="s">
        <v>79</v>
      </c>
      <c r="B169" s="110"/>
      <c r="C169" s="110"/>
      <c r="D169" s="109">
        <v>1</v>
      </c>
      <c r="E169" s="109">
        <v>2</v>
      </c>
      <c r="F169" s="109">
        <v>3</v>
      </c>
      <c r="G169" s="109">
        <v>4</v>
      </c>
      <c r="H169" s="109">
        <v>5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0.100000000000001" hidden="1" customHeight="1" x14ac:dyDescent="0.25">
      <c r="A170" s="5" t="s">
        <v>80</v>
      </c>
      <c r="B170" s="5"/>
      <c r="C170"/>
      <c r="D170" s="5">
        <f>+C173</f>
        <v>15000</v>
      </c>
      <c r="E170" s="5">
        <f>+D173</f>
        <v>10194.771911840082</v>
      </c>
      <c r="F170" s="5">
        <f t="shared" ref="F170:H170" si="29">+E173</f>
        <v>5197.3347001537686</v>
      </c>
      <c r="G170" s="5">
        <f t="shared" si="29"/>
        <v>0</v>
      </c>
      <c r="H170" s="5">
        <f t="shared" si="29"/>
        <v>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0.100000000000001" hidden="1" customHeight="1" x14ac:dyDescent="0.25">
      <c r="A171" s="5" t="s">
        <v>81</v>
      </c>
      <c r="B171" s="111">
        <f>+B13</f>
        <v>0.04</v>
      </c>
      <c r="C171" s="5"/>
      <c r="D171" s="5">
        <f>+D170*$B171</f>
        <v>600</v>
      </c>
      <c r="E171" s="5">
        <f t="shared" ref="E171:H171" si="30">+E170*$B171</f>
        <v>407.7908764736033</v>
      </c>
      <c r="F171" s="5">
        <f t="shared" si="30"/>
        <v>207.89338800615076</v>
      </c>
      <c r="G171" s="5">
        <f t="shared" si="30"/>
        <v>0</v>
      </c>
      <c r="H171" s="5">
        <f t="shared" si="30"/>
        <v>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0.100000000000001" hidden="1" customHeight="1" x14ac:dyDescent="0.25">
      <c r="A172" s="5" t="s">
        <v>82</v>
      </c>
      <c r="B172" s="5">
        <f>+B33</f>
        <v>3</v>
      </c>
      <c r="C172" s="5"/>
      <c r="D172" s="5">
        <f>IF(D169&gt;$B172,0,PMT($B171,$B172,$C173))</f>
        <v>-5405.2280881599172</v>
      </c>
      <c r="E172" s="5">
        <f>IF(E169&gt;$B172,0,PMT($B171,$B172,$C173))</f>
        <v>-5405.2280881599172</v>
      </c>
      <c r="F172" s="5">
        <f>IF(F169&gt;$B172,0,PMT($B171,$B172,$C173))</f>
        <v>-5405.2280881599172</v>
      </c>
      <c r="G172" s="5">
        <f>IF(G169&gt;$B172,0,PMT($B171,$B172,$C173))</f>
        <v>0</v>
      </c>
      <c r="H172" s="5">
        <f>IF(H169&gt;$B172,0,PMT($B171,$B172,$C173))</f>
        <v>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0.100000000000001" hidden="1" customHeight="1" x14ac:dyDescent="0.25">
      <c r="A173" s="5" t="s">
        <v>83</v>
      </c>
      <c r="B173" s="5"/>
      <c r="C173" s="40">
        <f>+C33</f>
        <v>15000</v>
      </c>
      <c r="D173" s="5">
        <f>SUM(D170:D172)</f>
        <v>10194.771911840082</v>
      </c>
      <c r="E173" s="5">
        <f>SUM(E170:E172)</f>
        <v>5197.3347001537686</v>
      </c>
      <c r="F173" s="5">
        <f t="shared" ref="F173:H173" si="31">SUM(F170:F172)</f>
        <v>0</v>
      </c>
      <c r="G173" s="5">
        <f t="shared" si="31"/>
        <v>0</v>
      </c>
      <c r="H173" s="5">
        <f t="shared" si="31"/>
        <v>0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0.100000000000001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0.100000000000001" hidden="1" customHeight="1" x14ac:dyDescent="0.25">
      <c r="A175" s="108" t="s">
        <v>15</v>
      </c>
      <c r="B175" s="5"/>
      <c r="C175" s="5"/>
      <c r="D175" s="5"/>
      <c r="E175" s="5"/>
      <c r="F175" s="5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0.100000000000001" hidden="1" customHeight="1" x14ac:dyDescent="0.25">
      <c r="A176" s="109" t="s">
        <v>79</v>
      </c>
      <c r="B176" s="5"/>
      <c r="C176" s="110"/>
      <c r="D176" s="109">
        <v>1</v>
      </c>
      <c r="E176" s="109">
        <v>2</v>
      </c>
      <c r="F176" s="109">
        <v>3</v>
      </c>
      <c r="G176" s="109">
        <v>4</v>
      </c>
      <c r="H176" s="109">
        <v>5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0.100000000000001" hidden="1" customHeight="1" x14ac:dyDescent="0.25">
      <c r="A177" s="5" t="s">
        <v>80</v>
      </c>
      <c r="B177" s="5"/>
      <c r="C177" s="41"/>
      <c r="D177" s="40">
        <f>+D56</f>
        <v>0</v>
      </c>
      <c r="E177" s="5">
        <f>+D180</f>
        <v>0</v>
      </c>
      <c r="F177" s="5">
        <f t="shared" ref="F177:H177" si="32">+E180</f>
        <v>0</v>
      </c>
      <c r="G177" s="5">
        <f t="shared" si="32"/>
        <v>0</v>
      </c>
      <c r="H177" s="5">
        <f t="shared" si="32"/>
        <v>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0.100000000000001" hidden="1" customHeight="1" x14ac:dyDescent="0.25">
      <c r="A178" s="5" t="s">
        <v>81</v>
      </c>
      <c r="B178" s="111">
        <f>+B13</f>
        <v>0.04</v>
      </c>
      <c r="C178" s="41"/>
      <c r="D178" s="5">
        <f>+D177*$B178</f>
        <v>0</v>
      </c>
      <c r="E178" s="5">
        <f t="shared" ref="E178:H178" si="33">+E177*$B178</f>
        <v>0</v>
      </c>
      <c r="F178" s="5">
        <f t="shared" si="33"/>
        <v>0</v>
      </c>
      <c r="G178" s="5">
        <f t="shared" si="33"/>
        <v>0</v>
      </c>
      <c r="H178" s="5">
        <f t="shared" si="33"/>
        <v>0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0.100000000000001" hidden="1" customHeight="1" x14ac:dyDescent="0.25">
      <c r="A179" s="5" t="s">
        <v>82</v>
      </c>
      <c r="B179" s="5">
        <f>+B56</f>
        <v>4</v>
      </c>
      <c r="C179" s="41"/>
      <c r="D179" s="5">
        <f>IF(D176&gt;$B179,0,PMT($B178,$B179,$D177))</f>
        <v>0</v>
      </c>
      <c r="E179" s="5">
        <f t="shared" ref="E179:H179" si="34">IF(E176&gt;$B179,0,PMT($B178,$B179,$D177))</f>
        <v>0</v>
      </c>
      <c r="F179" s="5">
        <f t="shared" si="34"/>
        <v>0</v>
      </c>
      <c r="G179" s="5">
        <f t="shared" si="34"/>
        <v>0</v>
      </c>
      <c r="H179" s="5">
        <f t="shared" si="34"/>
        <v>0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0.100000000000001" hidden="1" customHeight="1" x14ac:dyDescent="0.25">
      <c r="A180" s="5" t="s">
        <v>83</v>
      </c>
      <c r="B180" s="5"/>
      <c r="C180" s="41"/>
      <c r="D180" s="5">
        <f>SUM(D177:D179)</f>
        <v>0</v>
      </c>
      <c r="E180" s="5">
        <f>SUM(E177:E179)</f>
        <v>0</v>
      </c>
      <c r="F180" s="5">
        <f t="shared" ref="F180:H180" si="35">SUM(F177:F179)</f>
        <v>0</v>
      </c>
      <c r="G180" s="5">
        <f t="shared" si="35"/>
        <v>0</v>
      </c>
      <c r="H180" s="5">
        <f t="shared" si="35"/>
        <v>0</v>
      </c>
      <c r="I180" s="18"/>
      <c r="J180" s="18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0.100000000000001" hidden="1" customHeight="1" x14ac:dyDescent="0.25">
      <c r="A181"/>
      <c r="B181" s="5"/>
      <c r="C181"/>
      <c r="D181"/>
      <c r="E181"/>
      <c r="F181"/>
      <c r="G181"/>
      <c r="H181"/>
      <c r="I181" s="18"/>
      <c r="J181" s="1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0.100000000000001" hidden="1" customHeight="1" x14ac:dyDescent="0.25">
      <c r="A182" s="108" t="s">
        <v>16</v>
      </c>
      <c r="B182" s="5"/>
      <c r="C182"/>
      <c r="D182"/>
      <c r="E182"/>
      <c r="F182"/>
      <c r="G182"/>
      <c r="H182"/>
      <c r="I182" s="18"/>
      <c r="J182" s="1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0.100000000000001" hidden="1" customHeight="1" x14ac:dyDescent="0.25">
      <c r="A183" s="109" t="s">
        <v>79</v>
      </c>
      <c r="B183" s="5"/>
      <c r="C183" s="110"/>
      <c r="D183" s="109"/>
      <c r="E183" s="109">
        <v>1</v>
      </c>
      <c r="F183" s="109">
        <v>2</v>
      </c>
      <c r="G183" s="109">
        <v>3</v>
      </c>
      <c r="H183" s="109">
        <v>4</v>
      </c>
      <c r="I183" s="18"/>
      <c r="J183" s="1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0.100000000000001" hidden="1" customHeight="1" x14ac:dyDescent="0.25">
      <c r="A184" s="5" t="s">
        <v>80</v>
      </c>
      <c r="B184" s="5"/>
      <c r="C184" s="41"/>
      <c r="D184" s="41"/>
      <c r="E184" s="40">
        <f>+E56</f>
        <v>46000</v>
      </c>
      <c r="F184" s="5">
        <f t="shared" ref="F184:H184" si="36">+E187</f>
        <v>35167.457913219092</v>
      </c>
      <c r="G184" s="5">
        <f t="shared" si="36"/>
        <v>23901.614142966944</v>
      </c>
      <c r="H184" s="5">
        <f t="shared" si="36"/>
        <v>12185.136621904712</v>
      </c>
      <c r="I184" s="18"/>
      <c r="J184" s="1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0.100000000000001" hidden="1" customHeight="1" x14ac:dyDescent="0.25">
      <c r="A185" s="5" t="s">
        <v>81</v>
      </c>
      <c r="B185" s="111">
        <f>+B13</f>
        <v>0.04</v>
      </c>
      <c r="C185" s="41"/>
      <c r="D185" s="41"/>
      <c r="E185" s="5">
        <f t="shared" ref="E185:H185" si="37">+E184*$B185</f>
        <v>1840</v>
      </c>
      <c r="F185" s="5">
        <f t="shared" si="37"/>
        <v>1406.6983165287636</v>
      </c>
      <c r="G185" s="5">
        <f t="shared" si="37"/>
        <v>956.06456571867784</v>
      </c>
      <c r="H185" s="5">
        <f t="shared" si="37"/>
        <v>487.40546487618849</v>
      </c>
      <c r="I185" s="18"/>
      <c r="J185" s="1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0.100000000000001" hidden="1" customHeight="1" x14ac:dyDescent="0.25">
      <c r="A186" s="5" t="s">
        <v>82</v>
      </c>
      <c r="B186" s="5">
        <f>+B56</f>
        <v>4</v>
      </c>
      <c r="C186" s="41"/>
      <c r="D186" s="41"/>
      <c r="E186" s="5">
        <f>IF(E183&gt;$B186,0,PMT($B185,$B186,$E184))</f>
        <v>-12672.542086780908</v>
      </c>
      <c r="F186" s="5">
        <f t="shared" ref="F186:H186" si="38">IF(F183&gt;$B186,0,PMT($B185,$B186,$E184))</f>
        <v>-12672.542086780908</v>
      </c>
      <c r="G186" s="5">
        <f t="shared" si="38"/>
        <v>-12672.542086780908</v>
      </c>
      <c r="H186" s="5">
        <f t="shared" si="38"/>
        <v>-12672.542086780908</v>
      </c>
      <c r="I186" s="18"/>
      <c r="J186" s="1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0.100000000000001" hidden="1" customHeight="1" x14ac:dyDescent="0.25">
      <c r="A187" s="5" t="s">
        <v>83</v>
      </c>
      <c r="B187" s="5"/>
      <c r="C187" s="41"/>
      <c r="D187" s="41"/>
      <c r="E187" s="5">
        <f>SUM(E184:E186)</f>
        <v>35167.457913219092</v>
      </c>
      <c r="F187" s="5">
        <f t="shared" ref="F187:H187" si="39">SUM(F184:F186)</f>
        <v>23901.614142966944</v>
      </c>
      <c r="G187" s="5">
        <f t="shared" si="39"/>
        <v>12185.136621904712</v>
      </c>
      <c r="H187" s="5">
        <f t="shared" si="39"/>
        <v>0</v>
      </c>
      <c r="I187" s="18"/>
      <c r="J187" s="1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0.100000000000001" hidden="1" customHeight="1" x14ac:dyDescent="0.25">
      <c r="A188"/>
      <c r="B188" s="5"/>
      <c r="C188"/>
      <c r="D188"/>
      <c r="E188"/>
      <c r="F188"/>
      <c r="G188"/>
      <c r="H188"/>
      <c r="I188" s="18"/>
      <c r="J188" s="1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0.100000000000001" hidden="1" customHeight="1" x14ac:dyDescent="0.25">
      <c r="A189" s="108" t="s">
        <v>17</v>
      </c>
      <c r="B189" s="5"/>
      <c r="C189"/>
      <c r="D189"/>
      <c r="E189"/>
      <c r="F189"/>
      <c r="G189"/>
      <c r="H189"/>
      <c r="I189" s="18"/>
      <c r="J189" s="1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0.100000000000001" hidden="1" customHeight="1" x14ac:dyDescent="0.25">
      <c r="A190" s="109" t="s">
        <v>79</v>
      </c>
      <c r="B190" s="5"/>
      <c r="C190" s="110"/>
      <c r="D190" s="109"/>
      <c r="E190" s="109"/>
      <c r="F190" s="109">
        <v>1</v>
      </c>
      <c r="G190" s="109">
        <v>2</v>
      </c>
      <c r="H190" s="109">
        <v>3</v>
      </c>
      <c r="I190" s="18"/>
      <c r="J190" s="1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0.100000000000001" hidden="1" customHeight="1" x14ac:dyDescent="0.25">
      <c r="A191" s="5" t="s">
        <v>80</v>
      </c>
      <c r="B191" s="5"/>
      <c r="C191" s="41"/>
      <c r="D191" s="41"/>
      <c r="E191" s="112"/>
      <c r="F191" s="40">
        <f>+F56</f>
        <v>0</v>
      </c>
      <c r="G191" s="5">
        <f t="shared" ref="G191:H191" si="40">+F194</f>
        <v>0</v>
      </c>
      <c r="H191" s="5">
        <f t="shared" si="40"/>
        <v>0</v>
      </c>
      <c r="I191" s="18"/>
      <c r="J191" s="1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0.100000000000001" hidden="1" customHeight="1" x14ac:dyDescent="0.25">
      <c r="A192" s="5" t="s">
        <v>81</v>
      </c>
      <c r="B192" s="111">
        <f>+B13</f>
        <v>0.04</v>
      </c>
      <c r="C192" s="41"/>
      <c r="D192" s="41"/>
      <c r="E192" s="41"/>
      <c r="F192" s="5">
        <f t="shared" ref="F192:H192" si="41">+F191*$B192</f>
        <v>0</v>
      </c>
      <c r="G192" s="5">
        <f t="shared" si="41"/>
        <v>0</v>
      </c>
      <c r="H192" s="5">
        <f t="shared" si="41"/>
        <v>0</v>
      </c>
      <c r="I192" s="18"/>
      <c r="J192" s="1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0.100000000000001" hidden="1" customHeight="1" x14ac:dyDescent="0.25">
      <c r="A193" s="5" t="s">
        <v>82</v>
      </c>
      <c r="B193" s="5">
        <f>+B56</f>
        <v>4</v>
      </c>
      <c r="C193" s="41"/>
      <c r="D193" s="41"/>
      <c r="E193" s="41"/>
      <c r="F193" s="5">
        <f>IF(F190&gt;$B193,0,PMT($B192,$B193,$F191))</f>
        <v>0</v>
      </c>
      <c r="G193" s="5">
        <f t="shared" ref="G193:H193" si="42">IF(G190&gt;$B193,0,PMT($B192,$B193,$F191))</f>
        <v>0</v>
      </c>
      <c r="H193" s="5">
        <f t="shared" si="42"/>
        <v>0</v>
      </c>
      <c r="I193" s="18"/>
      <c r="J193" s="1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0.100000000000001" hidden="1" customHeight="1" x14ac:dyDescent="0.25">
      <c r="A194" s="5" t="s">
        <v>83</v>
      </c>
      <c r="B194" s="5"/>
      <c r="C194" s="41"/>
      <c r="D194" s="41"/>
      <c r="E194" s="41"/>
      <c r="F194" s="5">
        <f t="shared" ref="F194:H194" si="43">SUM(F191:F193)</f>
        <v>0</v>
      </c>
      <c r="G194" s="5">
        <f t="shared" si="43"/>
        <v>0</v>
      </c>
      <c r="H194" s="5">
        <f t="shared" si="43"/>
        <v>0</v>
      </c>
      <c r="I194" s="18"/>
      <c r="J194" s="1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0.100000000000001" hidden="1" customHeight="1" x14ac:dyDescent="0.25">
      <c r="A195"/>
      <c r="B195" s="5"/>
      <c r="C195"/>
      <c r="D195"/>
      <c r="E195"/>
      <c r="F195"/>
      <c r="G195"/>
      <c r="H195"/>
      <c r="I195" s="18"/>
      <c r="J195" s="1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0.100000000000001" hidden="1" customHeight="1" x14ac:dyDescent="0.25">
      <c r="A196" s="108" t="s">
        <v>18</v>
      </c>
      <c r="B196" s="5"/>
      <c r="C196"/>
      <c r="D196"/>
      <c r="E196"/>
      <c r="F196"/>
      <c r="G196"/>
      <c r="H196"/>
      <c r="I196" s="18"/>
      <c r="J196" s="1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0.100000000000001" hidden="1" customHeight="1" x14ac:dyDescent="0.25">
      <c r="A197" s="109" t="s">
        <v>79</v>
      </c>
      <c r="B197" s="5"/>
      <c r="C197" s="110"/>
      <c r="D197" s="109"/>
      <c r="E197" s="109"/>
      <c r="F197" s="109"/>
      <c r="G197" s="109">
        <v>1</v>
      </c>
      <c r="H197" s="109">
        <v>2</v>
      </c>
      <c r="I197" s="18"/>
      <c r="J197" s="1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0.100000000000001" hidden="1" customHeight="1" x14ac:dyDescent="0.25">
      <c r="A198" s="5" t="s">
        <v>80</v>
      </c>
      <c r="B198" s="5"/>
      <c r="C198" s="41"/>
      <c r="D198" s="41"/>
      <c r="E198" s="112"/>
      <c r="F198" s="112"/>
      <c r="G198" s="40">
        <f>+G56</f>
        <v>0</v>
      </c>
      <c r="H198" s="5">
        <f t="shared" ref="H198" si="44">+G201</f>
        <v>0</v>
      </c>
      <c r="I198" s="18"/>
      <c r="J198" s="1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0.100000000000001" hidden="1" customHeight="1" x14ac:dyDescent="0.25">
      <c r="A199" s="5" t="s">
        <v>81</v>
      </c>
      <c r="B199" s="111">
        <f>+B13</f>
        <v>0.04</v>
      </c>
      <c r="C199" s="41"/>
      <c r="D199" s="41"/>
      <c r="E199" s="41"/>
      <c r="F199" s="41"/>
      <c r="G199" s="5">
        <f t="shared" ref="G199:H199" si="45">+G198*$B199</f>
        <v>0</v>
      </c>
      <c r="H199" s="5">
        <f t="shared" si="45"/>
        <v>0</v>
      </c>
      <c r="I199" s="18"/>
      <c r="J199" s="1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0.100000000000001" hidden="1" customHeight="1" x14ac:dyDescent="0.25">
      <c r="A200" s="5" t="s">
        <v>82</v>
      </c>
      <c r="B200" s="5">
        <f>+B56</f>
        <v>4</v>
      </c>
      <c r="C200" s="41"/>
      <c r="D200" s="41"/>
      <c r="E200" s="41"/>
      <c r="F200" s="41"/>
      <c r="G200" s="5">
        <f>IF(G197&gt;$B200,0,PMT($B199,$B200,$G198))</f>
        <v>0</v>
      </c>
      <c r="H200" s="5">
        <f>IF(H197&gt;$B200,0,PMT($B199,$B200,$G198))</f>
        <v>0</v>
      </c>
      <c r="I200" s="18"/>
      <c r="J200" s="1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0.100000000000001" hidden="1" customHeight="1" x14ac:dyDescent="0.25">
      <c r="A201" s="5" t="s">
        <v>83</v>
      </c>
      <c r="B201" s="5"/>
      <c r="C201" s="41"/>
      <c r="D201" s="41"/>
      <c r="E201" s="41"/>
      <c r="F201" s="41"/>
      <c r="G201" s="5">
        <f t="shared" ref="G201:H201" si="46">SUM(G198:G200)</f>
        <v>0</v>
      </c>
      <c r="H201" s="5">
        <f t="shared" si="46"/>
        <v>0</v>
      </c>
      <c r="I201" s="18"/>
      <c r="J201" s="1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0.100000000000001" hidden="1" customHeight="1" x14ac:dyDescent="0.25">
      <c r="A202"/>
      <c r="B202" s="5"/>
      <c r="C202"/>
      <c r="D202"/>
      <c r="E202"/>
      <c r="F202"/>
      <c r="G202"/>
      <c r="H202"/>
      <c r="I202" s="18"/>
      <c r="J202" s="1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0.100000000000001" hidden="1" customHeight="1" x14ac:dyDescent="0.25">
      <c r="A203" s="108" t="s">
        <v>19</v>
      </c>
      <c r="B203" s="5"/>
      <c r="C203"/>
      <c r="D203"/>
      <c r="E203"/>
      <c r="F203"/>
      <c r="G203"/>
      <c r="H203"/>
      <c r="I203" s="18"/>
      <c r="J203" s="1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0.100000000000001" hidden="1" customHeight="1" x14ac:dyDescent="0.25">
      <c r="A204" s="109" t="s">
        <v>79</v>
      </c>
      <c r="B204" s="5"/>
      <c r="C204" s="110"/>
      <c r="D204" s="109"/>
      <c r="E204" s="109"/>
      <c r="F204" s="113"/>
      <c r="G204" s="113"/>
      <c r="H204" s="109">
        <v>1</v>
      </c>
      <c r="I204" s="18"/>
      <c r="J204" s="1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0.100000000000001" hidden="1" customHeight="1" x14ac:dyDescent="0.25">
      <c r="A205" s="5" t="s">
        <v>80</v>
      </c>
      <c r="B205" s="5"/>
      <c r="C205" s="41"/>
      <c r="D205" s="41"/>
      <c r="E205" s="112"/>
      <c r="F205" s="112"/>
      <c r="G205" s="112"/>
      <c r="H205" s="40">
        <f>+H56</f>
        <v>0</v>
      </c>
      <c r="I205" s="18"/>
      <c r="J205" s="1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0.100000000000001" hidden="1" customHeight="1" x14ac:dyDescent="0.25">
      <c r="A206" s="5" t="s">
        <v>81</v>
      </c>
      <c r="B206" s="111">
        <f>+B13</f>
        <v>0.04</v>
      </c>
      <c r="C206" s="41"/>
      <c r="D206" s="41"/>
      <c r="E206" s="41"/>
      <c r="F206" s="41"/>
      <c r="G206" s="41"/>
      <c r="H206" s="5">
        <f t="shared" ref="H206" si="47">+H205*$B206</f>
        <v>0</v>
      </c>
      <c r="I206" s="18"/>
      <c r="J206" s="1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0.100000000000001" hidden="1" customHeight="1" x14ac:dyDescent="0.25">
      <c r="A207" s="5" t="s">
        <v>82</v>
      </c>
      <c r="B207" s="5">
        <f>+B56</f>
        <v>4</v>
      </c>
      <c r="C207" s="41"/>
      <c r="D207" s="41"/>
      <c r="E207" s="41"/>
      <c r="F207" s="41"/>
      <c r="G207" s="41"/>
      <c r="H207" s="5">
        <f>IF(H204&gt;$B207,0,PMT($B206,$B207,$H205))</f>
        <v>0</v>
      </c>
      <c r="I207" s="18"/>
      <c r="J207" s="1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0.100000000000001" hidden="1" customHeight="1" x14ac:dyDescent="0.25">
      <c r="A208" s="5" t="s">
        <v>83</v>
      </c>
      <c r="B208" s="5"/>
      <c r="C208" s="41"/>
      <c r="D208" s="41"/>
      <c r="E208" s="41"/>
      <c r="F208" s="41"/>
      <c r="G208" s="41"/>
      <c r="H208" s="5">
        <f t="shared" ref="H208" si="48">SUM(H205:H207)</f>
        <v>0</v>
      </c>
      <c r="I208" s="18"/>
      <c r="J208" s="1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0.100000000000001" hidden="1" customHeight="1" x14ac:dyDescent="0.25">
      <c r="A209"/>
      <c r="B209" s="5"/>
      <c r="C209"/>
      <c r="D209"/>
      <c r="E209"/>
      <c r="F209"/>
      <c r="G209"/>
      <c r="H209"/>
      <c r="I209" s="18"/>
      <c r="J209" s="1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0.100000000000001" hidden="1" customHeight="1" x14ac:dyDescent="0.25">
      <c r="A210" s="108" t="s">
        <v>84</v>
      </c>
      <c r="B210" s="5"/>
      <c r="C210"/>
      <c r="D210"/>
      <c r="E210"/>
      <c r="F210"/>
      <c r="G210"/>
      <c r="H210"/>
      <c r="I210" s="18"/>
      <c r="J210" s="1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0.100000000000001" hidden="1" customHeight="1" x14ac:dyDescent="0.25">
      <c r="A211" s="5" t="s">
        <v>85</v>
      </c>
      <c r="B211" s="5"/>
      <c r="C211" s="5"/>
      <c r="D211" s="5">
        <f>+D173+D180+D187+D194+D201+D208</f>
        <v>10194.771911840082</v>
      </c>
      <c r="E211" s="5">
        <f t="shared" ref="E211:H211" si="49">+E173+E180+E187+E194+E201+E208</f>
        <v>40364.792613372862</v>
      </c>
      <c r="F211" s="5">
        <f t="shared" si="49"/>
        <v>23901.614142966944</v>
      </c>
      <c r="G211" s="5">
        <f t="shared" si="49"/>
        <v>12185.136621904712</v>
      </c>
      <c r="H211" s="5">
        <f t="shared" si="49"/>
        <v>0</v>
      </c>
      <c r="I211" s="2"/>
      <c r="J211" s="4" t="s">
        <v>12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0.100000000000001" hidden="1" customHeight="1" x14ac:dyDescent="0.25">
      <c r="A212" s="5" t="s">
        <v>81</v>
      </c>
      <c r="B212" s="5"/>
      <c r="C212" s="5"/>
      <c r="D212" s="5">
        <f t="shared" ref="D212" si="50">+D171+D178+D185+D192+D199+D206</f>
        <v>600</v>
      </c>
      <c r="E212" s="5">
        <f t="shared" ref="E212:H212" si="51">+E171+E178+E185+E192+E199+E206</f>
        <v>2247.7908764736035</v>
      </c>
      <c r="F212" s="5">
        <f t="shared" si="51"/>
        <v>1614.5917045349142</v>
      </c>
      <c r="G212" s="5">
        <f t="shared" si="51"/>
        <v>956.06456571867784</v>
      </c>
      <c r="H212" s="5">
        <f t="shared" si="51"/>
        <v>487.40546487618849</v>
      </c>
      <c r="I212" s="2"/>
      <c r="J212" s="4" t="s">
        <v>89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0.100000000000001" hidden="1" customHeight="1" x14ac:dyDescent="0.25">
      <c r="A213" s="5" t="s">
        <v>86</v>
      </c>
      <c r="B213" s="5"/>
      <c r="C213" s="5"/>
      <c r="D213" s="5">
        <f>+D214-D212</f>
        <v>4805.2280881599172</v>
      </c>
      <c r="E213" s="5">
        <f t="shared" ref="E213:H213" si="52">+E214-E212</f>
        <v>15829.979298467222</v>
      </c>
      <c r="F213" s="5">
        <f t="shared" si="52"/>
        <v>16463.17847040591</v>
      </c>
      <c r="G213" s="5">
        <f t="shared" si="52"/>
        <v>11716.47752106223</v>
      </c>
      <c r="H213" s="5">
        <f t="shared" si="52"/>
        <v>12185.13662190472</v>
      </c>
      <c r="I213" s="2"/>
      <c r="J213" s="4" t="s">
        <v>87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0.100000000000001" hidden="1" customHeight="1" x14ac:dyDescent="0.25">
      <c r="A214" s="5" t="s">
        <v>29</v>
      </c>
      <c r="B214" s="5"/>
      <c r="C214" s="5"/>
      <c r="D214" s="5">
        <f>-(+D172+D179+D186+D193+D200+D207)</f>
        <v>5405.2280881599172</v>
      </c>
      <c r="E214" s="5">
        <f t="shared" ref="E214:H214" si="53">-(+E172+E179+E186+E193+E200+E207)</f>
        <v>18077.770174940826</v>
      </c>
      <c r="F214" s="5">
        <f t="shared" si="53"/>
        <v>18077.770174940826</v>
      </c>
      <c r="G214" s="5">
        <f t="shared" si="53"/>
        <v>12672.542086780908</v>
      </c>
      <c r="H214" s="5">
        <f t="shared" si="53"/>
        <v>12672.542086780908</v>
      </c>
      <c r="I214" s="2"/>
      <c r="J214" s="4" t="s">
        <v>88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0.100000000000001" hidden="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0.100000000000001" hidden="1" customHeight="1" x14ac:dyDescent="0.25">
      <c r="A216" s="2"/>
      <c r="B216" s="2"/>
      <c r="C216" s="2"/>
      <c r="D216" s="20"/>
      <c r="E216" s="20"/>
      <c r="F216" s="20"/>
      <c r="G216" s="20"/>
      <c r="H216" s="20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0.100000000000001" hidden="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0.10000000000000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0.10000000000000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0.10000000000000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</sheetData>
  <dataConsolidate/>
  <mergeCells count="3">
    <mergeCell ref="A103:H103"/>
    <mergeCell ref="A104:H104"/>
    <mergeCell ref="A106:H106"/>
  </mergeCells>
  <conditionalFormatting sqref="J3:J4">
    <cfRule type="cellIs" dxfId="2" priority="4" operator="lessThan">
      <formula>0</formula>
    </cfRule>
  </conditionalFormatting>
  <conditionalFormatting sqref="D22:H22">
    <cfRule type="cellIs" dxfId="1" priority="3" operator="lessThan">
      <formula>0</formula>
    </cfRule>
  </conditionalFormatting>
  <conditionalFormatting sqref="D125:H125">
    <cfRule type="cellIs" dxfId="0" priority="1" operator="lessThan">
      <formula>0</formula>
    </cfRule>
  </conditionalFormatting>
  <dataValidations disablePrompts="1" count="2">
    <dataValidation type="whole" operator="greaterThanOrEqual" allowBlank="1" showInputMessage="1" showErrorMessage="1" errorTitle="Opening cash balance" error="Amount must be greater than or equal to zero." sqref="C22">
      <formula1>0</formula1>
    </dataValidation>
    <dataValidation type="decimal" operator="lessThanOrEqual" allowBlank="1" showInputMessage="1" showErrorMessage="1" errorTitle="Error:" error="Depreciation rate cannot be greater than 100%" sqref="B11">
      <formula1>1</formula1>
    </dataValidation>
  </dataValidations>
  <pageMargins left="0.55118110236220497" right="0.55118110236220497" top="0.74803149606299202" bottom="0.74803149606299202" header="0.31496062992126" footer="0.31496062992126"/>
  <pageSetup paperSize="9" fitToWidth="0" fitToHeight="0" orientation="landscape" r:id="rId1"/>
  <rowBreaks count="2" manualBreakCount="2">
    <brk id="41" max="7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Projection</vt:lpstr>
      <vt:lpstr>Projection!Print_Area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