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image/svg+xml" Extension="svg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openxmlformats-officedocument.drawing+xml" PartName="/xl/drawings/drawing1.xml"/>
  <Override ContentType="application/vnd.openxmlformats-officedocument.drawingml.chartshapes+xml" PartName="/xl/drawings/drawing2.xml"/>
  <Override ContentType="application/vnd.openxmlformats-officedocument.drawingml.chartshapes+xml" PartName="/xl/drawings/drawing3.xml"/>
  <Override ContentType="application/vnd.openxmlformats-officedocument.drawing+xml" PartName="/xl/drawings/drawing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PWORK 2022\Alexey Nikolayev - Dashboards\Inventory\"/>
    </mc:Choice>
  </mc:AlternateContent>
  <xr:revisionPtr revIDLastSave="0" documentId="13_ncr:1_{E16ED329-12AC-4EEB-AC79-6115DB56E656}" xr6:coauthVersionLast="47" xr6:coauthVersionMax="47" xr10:uidLastSave="{00000000-0000-0000-0000-000000000000}"/>
  <bookViews>
    <workbookView xWindow="-108" yWindow="-108" windowWidth="23256" windowHeight="12576" activeTab="4" xr2:uid="{4BA747BB-89DB-4544-B97F-B64776DCD5DB}"/>
  </bookViews>
  <sheets>
    <sheet name="Product Data" sheetId="1" r:id="rId1"/>
    <sheet name="Input" sheetId="2" r:id="rId2"/>
    <sheet name="Output" sheetId="3" r:id="rId3"/>
    <sheet name="Calc" sheetId="4" r:id="rId4"/>
    <sheet name="DASHBOARD" sheetId="5" r:id="rId5"/>
    <sheet name="©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7" i="4" l="1"/>
  <c r="A14" i="4"/>
  <c r="C36" i="4" l="1"/>
  <c r="A33" i="4"/>
  <c r="A17" i="4"/>
  <c r="B14" i="4"/>
  <c r="A20" i="4" l="1"/>
  <c r="D13" i="4" s="1"/>
  <c r="D21" i="4"/>
  <c r="G2" i="1"/>
  <c r="G3" i="1"/>
  <c r="G4" i="1"/>
  <c r="G5" i="1"/>
  <c r="G6" i="1"/>
  <c r="A30" i="4" s="1"/>
  <c r="B30" i="4" s="1"/>
  <c r="G7" i="1"/>
  <c r="G8" i="1"/>
  <c r="G9" i="1"/>
  <c r="G10" i="1"/>
  <c r="G11" i="1"/>
  <c r="G12" i="1"/>
  <c r="J12" i="1" s="1"/>
  <c r="G13" i="1"/>
  <c r="G14" i="1"/>
  <c r="G15" i="1"/>
  <c r="G16" i="1"/>
  <c r="G17" i="1"/>
  <c r="G18" i="1"/>
  <c r="G19" i="1"/>
  <c r="G20" i="1"/>
  <c r="G21" i="1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D15" i="4" l="1"/>
  <c r="A36" i="4"/>
  <c r="D19" i="4"/>
  <c r="D14" i="4"/>
  <c r="D16" i="4"/>
  <c r="D20" i="4"/>
  <c r="D22" i="4"/>
  <c r="J21" i="1"/>
  <c r="K21" i="1"/>
  <c r="J13" i="1"/>
  <c r="K13" i="1"/>
  <c r="J20" i="1"/>
  <c r="K20" i="1"/>
  <c r="J16" i="1"/>
  <c r="K16" i="1"/>
  <c r="K12" i="1"/>
  <c r="J8" i="1"/>
  <c r="K8" i="1"/>
  <c r="J4" i="1"/>
  <c r="K4" i="1"/>
  <c r="J17" i="1"/>
  <c r="K17" i="1"/>
  <c r="J9" i="1"/>
  <c r="K9" i="1"/>
  <c r="J19" i="1"/>
  <c r="K19" i="1"/>
  <c r="J15" i="1"/>
  <c r="K15" i="1"/>
  <c r="J11" i="1"/>
  <c r="K11" i="1"/>
  <c r="J7" i="1"/>
  <c r="K7" i="1"/>
  <c r="J3" i="1"/>
  <c r="K3" i="1"/>
  <c r="J5" i="1"/>
  <c r="C33" i="4" s="1"/>
  <c r="K5" i="1"/>
  <c r="C27" i="4" s="1"/>
  <c r="J18" i="1"/>
  <c r="K18" i="1"/>
  <c r="J14" i="1"/>
  <c r="K14" i="1"/>
  <c r="J10" i="1"/>
  <c r="K10" i="1"/>
  <c r="J6" i="1"/>
  <c r="K6" i="1"/>
  <c r="J2" i="1"/>
  <c r="K2" i="1"/>
  <c r="H21" i="1"/>
  <c r="I21" i="1"/>
  <c r="H17" i="1"/>
  <c r="I17" i="1"/>
  <c r="H13" i="1"/>
  <c r="I13" i="1"/>
  <c r="H9" i="1"/>
  <c r="I9" i="1"/>
  <c r="H5" i="1"/>
  <c r="I5" i="1"/>
  <c r="C30" i="4" s="1"/>
  <c r="H20" i="1"/>
  <c r="I20" i="1"/>
  <c r="H16" i="1"/>
  <c r="I16" i="1"/>
  <c r="H12" i="1"/>
  <c r="I12" i="1"/>
  <c r="H8" i="1"/>
  <c r="I8" i="1"/>
  <c r="H4" i="1"/>
  <c r="D8" i="4" s="1"/>
  <c r="I4" i="1"/>
  <c r="H19" i="1"/>
  <c r="I19" i="1"/>
  <c r="H15" i="1"/>
  <c r="I15" i="1"/>
  <c r="H11" i="1"/>
  <c r="I11" i="1"/>
  <c r="H7" i="1"/>
  <c r="I7" i="1"/>
  <c r="H3" i="1"/>
  <c r="I3" i="1"/>
  <c r="H18" i="1"/>
  <c r="I18" i="1"/>
  <c r="H14" i="1"/>
  <c r="I14" i="1"/>
  <c r="H10" i="1"/>
  <c r="I10" i="1"/>
  <c r="H6" i="1"/>
  <c r="I6" i="1"/>
  <c r="H2" i="1"/>
  <c r="I2" i="1"/>
  <c r="A2" i="4"/>
  <c r="D6" i="4" l="1"/>
  <c r="D9" i="4"/>
  <c r="D7" i="4"/>
  <c r="D10" i="4" s="1"/>
  <c r="B58" i="4"/>
  <c r="E44" i="4" a="1"/>
  <c r="E44" i="4" s="1"/>
  <c r="D19" i="5" s="1"/>
  <c r="E48" i="4" a="1"/>
  <c r="E48" i="4" s="1"/>
  <c r="E52" i="4" a="1"/>
  <c r="E52" i="4" s="1"/>
  <c r="H46" i="4" a="1"/>
  <c r="H46" i="4" s="1"/>
  <c r="H50" i="4" a="1"/>
  <c r="H50" i="4" s="1"/>
  <c r="B44" i="4" a="1"/>
  <c r="B44" i="4" s="1"/>
  <c r="C19" i="5" s="1"/>
  <c r="G44" i="4" a="1"/>
  <c r="G44" i="4" s="1"/>
  <c r="E19" i="5" s="1"/>
  <c r="A45" i="4" a="1"/>
  <c r="A45" i="4" s="1"/>
  <c r="B20" i="5" s="1"/>
  <c r="F45" i="4" a="1"/>
  <c r="F45" i="4" s="1"/>
  <c r="K45" i="4" a="1"/>
  <c r="K45" i="4" s="1"/>
  <c r="D46" i="4" a="1"/>
  <c r="D46" i="4" s="1"/>
  <c r="J46" i="4" a="1"/>
  <c r="J46" i="4" s="1"/>
  <c r="G21" i="5" s="1"/>
  <c r="C47" i="4" a="1"/>
  <c r="C47" i="4" s="1"/>
  <c r="I47" i="4" a="1"/>
  <c r="I47" i="4" s="1"/>
  <c r="F22" i="5" s="1"/>
  <c r="B48" i="4" a="1"/>
  <c r="B48" i="4" s="1"/>
  <c r="G48" i="4" a="1"/>
  <c r="G48" i="4" s="1"/>
  <c r="A49" i="4" a="1"/>
  <c r="A49" i="4" s="1"/>
  <c r="F49" i="4" a="1"/>
  <c r="F49" i="4" s="1"/>
  <c r="K49" i="4" a="1"/>
  <c r="K49" i="4" s="1"/>
  <c r="D50" i="4" a="1"/>
  <c r="D50" i="4" s="1"/>
  <c r="J50" i="4" a="1"/>
  <c r="J50" i="4" s="1"/>
  <c r="C51" i="4" a="1"/>
  <c r="C51" i="4" s="1"/>
  <c r="I51" i="4" a="1"/>
  <c r="I51" i="4" s="1"/>
  <c r="B52" i="4" a="1"/>
  <c r="B52" i="4" s="1"/>
  <c r="G52" i="4" a="1"/>
  <c r="G52" i="4" s="1"/>
  <c r="B43" i="4" a="1"/>
  <c r="B43" i="4" s="1"/>
  <c r="C18" i="5" s="1"/>
  <c r="G43" i="4" a="1"/>
  <c r="G43" i="4" s="1"/>
  <c r="E18" i="5" s="1"/>
  <c r="A43" i="4" a="1"/>
  <c r="A43" i="4" s="1"/>
  <c r="B18" i="5" s="1"/>
  <c r="B57" i="4"/>
  <c r="E45" i="4" a="1"/>
  <c r="E45" i="4" s="1"/>
  <c r="D20" i="5" s="1"/>
  <c r="E49" i="4" a="1"/>
  <c r="E49" i="4" s="1"/>
  <c r="H43" i="4" a="1"/>
  <c r="H43" i="4" s="1"/>
  <c r="H47" i="4" a="1"/>
  <c r="H47" i="4" s="1"/>
  <c r="H51" i="4" a="1"/>
  <c r="H51" i="4" s="1"/>
  <c r="C44" i="4" a="1"/>
  <c r="C44" i="4" s="1"/>
  <c r="I44" i="4" a="1"/>
  <c r="I44" i="4" s="1"/>
  <c r="F19" i="5" s="1"/>
  <c r="B45" i="4" a="1"/>
  <c r="B45" i="4" s="1"/>
  <c r="C20" i="5" s="1"/>
  <c r="G45" i="4" a="1"/>
  <c r="G45" i="4" s="1"/>
  <c r="E20" i="5" s="1"/>
  <c r="A46" i="4" a="1"/>
  <c r="A46" i="4" s="1"/>
  <c r="B21" i="5" s="1"/>
  <c r="F46" i="4" a="1"/>
  <c r="F46" i="4" s="1"/>
  <c r="K46" i="4" a="1"/>
  <c r="K46" i="4" s="1"/>
  <c r="D47" i="4" a="1"/>
  <c r="D47" i="4" s="1"/>
  <c r="J47" i="4" a="1"/>
  <c r="J47" i="4" s="1"/>
  <c r="G22" i="5" s="1"/>
  <c r="C48" i="4" a="1"/>
  <c r="C48" i="4" s="1"/>
  <c r="I48" i="4" a="1"/>
  <c r="I48" i="4" s="1"/>
  <c r="B49" i="4" a="1"/>
  <c r="B49" i="4" s="1"/>
  <c r="G49" i="4" a="1"/>
  <c r="G49" i="4" s="1"/>
  <c r="A50" i="4" a="1"/>
  <c r="A50" i="4" s="1"/>
  <c r="F50" i="4" a="1"/>
  <c r="F50" i="4" s="1"/>
  <c r="K50" i="4" a="1"/>
  <c r="K50" i="4" s="1"/>
  <c r="D51" i="4" a="1"/>
  <c r="D51" i="4" s="1"/>
  <c r="J51" i="4" a="1"/>
  <c r="J51" i="4" s="1"/>
  <c r="C52" i="4" a="1"/>
  <c r="C52" i="4" s="1"/>
  <c r="I52" i="4" a="1"/>
  <c r="I52" i="4" s="1"/>
  <c r="C43" i="4" a="1"/>
  <c r="C43" i="4" s="1"/>
  <c r="I43" i="4" a="1"/>
  <c r="I43" i="4" s="1"/>
  <c r="F18" i="5" s="1"/>
  <c r="E46" i="4" a="1"/>
  <c r="E46" i="4" s="1"/>
  <c r="D21" i="5" s="1"/>
  <c r="E50" i="4" a="1"/>
  <c r="E50" i="4" s="1"/>
  <c r="H44" i="4" a="1"/>
  <c r="H44" i="4" s="1"/>
  <c r="H48" i="4" a="1"/>
  <c r="H48" i="4" s="1"/>
  <c r="H52" i="4" a="1"/>
  <c r="H52" i="4" s="1"/>
  <c r="D44" i="4" a="1"/>
  <c r="D44" i="4" s="1"/>
  <c r="J44" i="4" a="1"/>
  <c r="J44" i="4" s="1"/>
  <c r="G19" i="5" s="1"/>
  <c r="C45" i="4" a="1"/>
  <c r="C45" i="4" s="1"/>
  <c r="I45" i="4" a="1"/>
  <c r="I45" i="4" s="1"/>
  <c r="F20" i="5" s="1"/>
  <c r="B46" i="4" a="1"/>
  <c r="B46" i="4" s="1"/>
  <c r="C21" i="5" s="1"/>
  <c r="G46" i="4" a="1"/>
  <c r="G46" i="4" s="1"/>
  <c r="E21" i="5" s="1"/>
  <c r="A47" i="4" a="1"/>
  <c r="A47" i="4" s="1"/>
  <c r="B22" i="5" s="1"/>
  <c r="F47" i="4" a="1"/>
  <c r="F47" i="4" s="1"/>
  <c r="K47" i="4" a="1"/>
  <c r="K47" i="4" s="1"/>
  <c r="D48" i="4" a="1"/>
  <c r="D48" i="4" s="1"/>
  <c r="J48" i="4" a="1"/>
  <c r="J48" i="4" s="1"/>
  <c r="C49" i="4" a="1"/>
  <c r="C49" i="4" s="1"/>
  <c r="I49" i="4" a="1"/>
  <c r="I49" i="4" s="1"/>
  <c r="B50" i="4" a="1"/>
  <c r="B50" i="4" s="1"/>
  <c r="G50" i="4" a="1"/>
  <c r="G50" i="4" s="1"/>
  <c r="A51" i="4" a="1"/>
  <c r="A51" i="4" s="1"/>
  <c r="F51" i="4" a="1"/>
  <c r="F51" i="4" s="1"/>
  <c r="K51" i="4" a="1"/>
  <c r="K51" i="4" s="1"/>
  <c r="D52" i="4" a="1"/>
  <c r="D52" i="4" s="1"/>
  <c r="J52" i="4" a="1"/>
  <c r="J52" i="4" s="1"/>
  <c r="D43" i="4" a="1"/>
  <c r="D43" i="4" s="1"/>
  <c r="J43" i="4" a="1"/>
  <c r="J43" i="4" s="1"/>
  <c r="G18" i="5" s="1"/>
  <c r="B59" i="4"/>
  <c r="E43" i="4" a="1"/>
  <c r="E43" i="4" s="1"/>
  <c r="D18" i="5" s="1"/>
  <c r="E47" i="4" a="1"/>
  <c r="E47" i="4" s="1"/>
  <c r="D22" i="5" s="1"/>
  <c r="E51" i="4" a="1"/>
  <c r="E51" i="4" s="1"/>
  <c r="H45" i="4" a="1"/>
  <c r="H45" i="4" s="1"/>
  <c r="H49" i="4" a="1"/>
  <c r="H49" i="4" s="1"/>
  <c r="A44" i="4" a="1"/>
  <c r="A44" i="4" s="1"/>
  <c r="B19" i="5" s="1"/>
  <c r="F44" i="4" a="1"/>
  <c r="F44" i="4" s="1"/>
  <c r="K44" i="4" a="1"/>
  <c r="K44" i="4" s="1"/>
  <c r="D45" i="4" a="1"/>
  <c r="D45" i="4" s="1"/>
  <c r="J45" i="4" a="1"/>
  <c r="J45" i="4" s="1"/>
  <c r="G20" i="5" s="1"/>
  <c r="C46" i="4" a="1"/>
  <c r="C46" i="4" s="1"/>
  <c r="I46" i="4" a="1"/>
  <c r="I46" i="4" s="1"/>
  <c r="F21" i="5" s="1"/>
  <c r="B47" i="4" a="1"/>
  <c r="B47" i="4" s="1"/>
  <c r="C22" i="5" s="1"/>
  <c r="G47" i="4" a="1"/>
  <c r="G47" i="4" s="1"/>
  <c r="E22" i="5" s="1"/>
  <c r="A48" i="4" a="1"/>
  <c r="A48" i="4" s="1"/>
  <c r="F48" i="4" a="1"/>
  <c r="F48" i="4" s="1"/>
  <c r="K48" i="4" a="1"/>
  <c r="K48" i="4" s="1"/>
  <c r="D49" i="4" a="1"/>
  <c r="D49" i="4" s="1"/>
  <c r="J49" i="4" a="1"/>
  <c r="J49" i="4" s="1"/>
  <c r="C50" i="4" a="1"/>
  <c r="C50" i="4" s="1"/>
  <c r="I50" i="4" a="1"/>
  <c r="I50" i="4" s="1"/>
  <c r="B51" i="4" a="1"/>
  <c r="B51" i="4" s="1"/>
  <c r="G51" i="4" a="1"/>
  <c r="G51" i="4" s="1"/>
  <c r="A52" i="4" a="1"/>
  <c r="A52" i="4" s="1"/>
  <c r="F52" i="4" a="1"/>
  <c r="F52" i="4" s="1"/>
  <c r="K52" i="4" a="1"/>
  <c r="K52" i="4" s="1"/>
  <c r="F43" i="4" a="1"/>
  <c r="F43" i="4" s="1"/>
  <c r="K43" i="4" a="1"/>
  <c r="K43" i="4" s="1"/>
  <c r="A6" i="4"/>
  <c r="B60" i="4" l="1"/>
  <c r="C58" i="4" l="1"/>
  <c r="C57" i="4"/>
  <c r="C59" i="4"/>
</calcChain>
</file>

<file path=xl/sharedStrings.xml><?xml version="1.0" encoding="utf-8"?>
<sst xmlns="http://schemas.openxmlformats.org/spreadsheetml/2006/main" count="407" uniqueCount="70">
  <si>
    <t>ID</t>
  </si>
  <si>
    <t>Article 01</t>
  </si>
  <si>
    <t>Article 02</t>
  </si>
  <si>
    <t>Article 03</t>
  </si>
  <si>
    <t>Article 04</t>
  </si>
  <si>
    <t>Article 05</t>
  </si>
  <si>
    <t>Article 06</t>
  </si>
  <si>
    <t>Article 07</t>
  </si>
  <si>
    <t>Article 08</t>
  </si>
  <si>
    <t>Article 09</t>
  </si>
  <si>
    <t>Article 10</t>
  </si>
  <si>
    <t>Article 11</t>
  </si>
  <si>
    <t>Article 12</t>
  </si>
  <si>
    <t>Article 13</t>
  </si>
  <si>
    <t>Article 14</t>
  </si>
  <si>
    <t>Article 15</t>
  </si>
  <si>
    <t>Article 16</t>
  </si>
  <si>
    <t>Article 17</t>
  </si>
  <si>
    <t>Article 18</t>
  </si>
  <si>
    <t>Article 19</t>
  </si>
  <si>
    <t>Article 20</t>
  </si>
  <si>
    <t>Product Description</t>
  </si>
  <si>
    <t>Product Group</t>
  </si>
  <si>
    <t>Group 1</t>
  </si>
  <si>
    <t>Group 2</t>
  </si>
  <si>
    <t>Group 3</t>
  </si>
  <si>
    <t>Group 4</t>
  </si>
  <si>
    <t>Unit Price</t>
  </si>
  <si>
    <t>MIN Qty</t>
  </si>
  <si>
    <t>Current Stock</t>
  </si>
  <si>
    <t>Stock Value</t>
  </si>
  <si>
    <t>Transaction ID</t>
  </si>
  <si>
    <t>Date</t>
  </si>
  <si>
    <t>Product</t>
  </si>
  <si>
    <t>Product ID</t>
  </si>
  <si>
    <t>Units Received</t>
  </si>
  <si>
    <t>Amount</t>
  </si>
  <si>
    <t>Units Sold</t>
  </si>
  <si>
    <t>Optimal Qty</t>
  </si>
  <si>
    <t>AVAILABLE ITEMS ON STOCK</t>
  </si>
  <si>
    <t>STOCK VALUE</t>
  </si>
  <si>
    <t>SELECTED MONTH</t>
  </si>
  <si>
    <t>Start Date</t>
  </si>
  <si>
    <t>End Date</t>
  </si>
  <si>
    <t>Days</t>
  </si>
  <si>
    <t>GROUP</t>
  </si>
  <si>
    <t>PURCHASED ITEMS PER MONTH</t>
  </si>
  <si>
    <t>SELECTED PRODUCT</t>
  </si>
  <si>
    <t>Min to Reorder</t>
  </si>
  <si>
    <t>Status</t>
  </si>
  <si>
    <t>Percentage of Optimal</t>
  </si>
  <si>
    <t>CURRENT QTY</t>
  </si>
  <si>
    <t>SALES PER DAY</t>
  </si>
  <si>
    <t>DAYS ON HAND</t>
  </si>
  <si>
    <t>CRITICAL ITEMS</t>
  </si>
  <si>
    <t>STATUS</t>
  </si>
  <si>
    <t>STOCK OK</t>
  </si>
  <si>
    <t>BELOW OPTIMAL</t>
  </si>
  <si>
    <t>REORDER NOW</t>
  </si>
  <si>
    <t>Optimal
Qty</t>
  </si>
  <si>
    <t>Stock
Qty</t>
  </si>
  <si>
    <t>Min.
Reorder</t>
  </si>
  <si>
    <t>SELECT MONTH:</t>
  </si>
  <si>
    <t>SOLD ITEMS PER MONTH</t>
  </si>
  <si>
    <t>SELECT PRODUCT:</t>
  </si>
  <si>
    <t>PERCENTAGE</t>
  </si>
  <si>
    <t>REORDER</t>
  </si>
  <si>
    <t>OPTIMAL QTY</t>
  </si>
  <si>
    <t>CURRENT - OPTIMAL QTY</t>
  </si>
  <si>
    <t>© TemplateLab.com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</si>
</sst>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C09]#,##0.00"/>
    <numFmt numFmtId="165" formatCode="mmmm\ yyyy"/>
    <numFmt numFmtId="166" formatCode="#,##0.0"/>
  </numFmts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Bahnschrift"/>
      <family val="2"/>
    </font>
    <font>
      <sz val="11"/>
      <color theme="0"/>
      <name val="Bahnschrift"/>
      <family val="2"/>
    </font>
    <font>
      <sz val="8"/>
      <name val="Calibri"/>
      <family val="2"/>
      <scheme val="minor"/>
    </font>
    <font>
      <sz val="11"/>
      <color rgb="FFD71387"/>
      <name val="Bahnschrift"/>
      <family val="2"/>
    </font>
    <font>
      <b/>
      <sz val="11"/>
      <color theme="1"/>
      <name val="Bahnschrift"/>
      <family val="2"/>
    </font>
    <font>
      <sz val="10"/>
      <color theme="1"/>
      <name val="Bahnschrift"/>
      <family val="2"/>
    </font>
    <font>
      <b/>
      <sz val="9"/>
      <color theme="1"/>
      <name val="Bahnschrift"/>
      <family val="2"/>
    </font>
    <font>
      <sz val="9"/>
      <color rgb="FFD71387"/>
      <name val="Bahnschrift"/>
      <family val="2"/>
    </font>
    <font>
      <sz val="9"/>
      <color theme="1" tint="0.34998626667073579"/>
      <name val="Bahnschrift"/>
      <family val="2"/>
    </font>
    <font>
      <b/>
      <sz val="9"/>
      <color theme="1" tint="0.34998626667073579"/>
      <name val="Bahnschrift"/>
      <family val="2"/>
    </font>
    <font>
      <sz val="18"/>
      <color rgb="FF11A3D7"/>
      <name val="Bahnschrift"/>
      <family val="2"/>
    </font>
    <font>
      <sz val="18"/>
      <color theme="1" tint="0.34998626667073579"/>
      <name val="Bahnschrift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rgb="FFD71387"/>
        <bgColor indexed="64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rgb="FF11A3D7"/>
      </bottom>
      <diagonal/>
    </border>
    <border>
      <left/>
      <right/>
      <top/>
      <bottom style="thin">
        <color rgb="FF11A3D7"/>
      </bottom>
      <diagonal/>
    </border>
    <border>
      <left/>
      <right/>
      <top style="thin">
        <color rgb="FF11A3D7"/>
      </top>
      <bottom style="thin">
        <color rgb="FF11A3D7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4" fontId="2" fillId="3" borderId="0" xfId="0" applyNumberFormat="1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64" fontId="2" fillId="4" borderId="2" xfId="0" applyNumberFormat="1" applyFont="1" applyFill="1" applyBorder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3" fillId="5" borderId="0" xfId="0" applyFont="1" applyFill="1" applyAlignment="1">
      <alignment horizontal="left"/>
    </xf>
    <xf numFmtId="0" fontId="3" fillId="5" borderId="0" xfId="0" applyFont="1" applyFill="1"/>
    <xf numFmtId="3" fontId="2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166" fontId="2" fillId="3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9" fontId="2" fillId="2" borderId="3" xfId="0" applyNumberFormat="1" applyFont="1" applyFill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64" fontId="2" fillId="3" borderId="0" xfId="0" applyNumberFormat="1" applyFont="1" applyFill="1" applyAlignment="1">
      <alignment horizontal="right" vertical="center"/>
    </xf>
    <xf numFmtId="164" fontId="6" fillId="3" borderId="4" xfId="0" applyNumberFormat="1" applyFont="1" applyFill="1" applyBorder="1" applyAlignment="1">
      <alignment horizontal="right" vertical="center"/>
    </xf>
    <xf numFmtId="0" fontId="2" fillId="3" borderId="0" xfId="0" applyFont="1" applyFill="1" applyAlignment="1">
      <alignment horizontal="left"/>
    </xf>
    <xf numFmtId="0" fontId="0" fillId="3" borderId="0" xfId="0" applyFill="1"/>
    <xf numFmtId="0" fontId="7" fillId="0" borderId="0" xfId="0" applyFont="1"/>
    <xf numFmtId="0" fontId="7" fillId="3" borderId="0" xfId="0" applyFont="1" applyFill="1"/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3" fontId="10" fillId="3" borderId="6" xfId="0" applyNumberFormat="1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3" fontId="10" fillId="3" borderId="7" xfId="0" applyNumberFormat="1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3" fontId="10" fillId="3" borderId="5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3" fontId="9" fillId="3" borderId="6" xfId="0" applyNumberFormat="1" applyFont="1" applyFill="1" applyBorder="1" applyAlignment="1">
      <alignment horizontal="center" vertical="center"/>
    </xf>
    <xf numFmtId="3" fontId="9" fillId="3" borderId="7" xfId="0" applyNumberFormat="1" applyFont="1" applyFill="1" applyBorder="1" applyAlignment="1">
      <alignment horizontal="center" vertical="center"/>
    </xf>
    <xf numFmtId="3" fontId="9" fillId="3" borderId="5" xfId="0" applyNumberFormat="1" applyFont="1" applyFill="1" applyBorder="1" applyAlignment="1">
      <alignment horizontal="center" vertical="center"/>
    </xf>
    <xf numFmtId="9" fontId="2" fillId="3" borderId="0" xfId="0" applyNumberFormat="1" applyFont="1" applyFill="1" applyAlignment="1">
      <alignment horizontal="center" vertical="center"/>
    </xf>
    <xf numFmtId="3" fontId="2" fillId="3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1"/>
    <xf numFmtId="165" fontId="12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/>
    </xf>
    <xf numFmtId="165" fontId="13" fillId="3" borderId="0" xfId="0" applyNumberFormat="1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42">
    <dxf>
      <font>
        <color rgb="FFFFC000"/>
      </font>
    </dxf>
    <dxf>
      <font>
        <color rgb="FF00B050"/>
      </font>
    </dxf>
    <dxf>
      <font>
        <color rgb="FFFF0000"/>
      </font>
    </dxf>
    <dxf>
      <font>
        <color rgb="FFFFC000"/>
      </font>
    </dxf>
    <dxf>
      <font>
        <color rgb="FF00B050"/>
      </font>
    </dxf>
    <dxf>
      <font>
        <color rgb="FFFF0000"/>
      </font>
    </dxf>
    <dxf>
      <font>
        <color rgb="FFFFC000"/>
      </font>
    </dxf>
    <dxf>
      <font>
        <color rgb="FF00B05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4" formatCode="[$$-C09]#,##0.00"/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4" formatCode="[$$-C09]#,##0.00"/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9" formatCode="dd/mm/yyyy"/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4" formatCode="[$$-C09]#,##0.00"/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3" formatCode="#,##0"/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4" formatCode="[$$-C09]#,##0.00"/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9" formatCode="dd/mm/yyyy"/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fill>
        <patternFill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3" formatCode="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4" formatCode="[$$-C09]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numFmt numFmtId="164" formatCode="[$$-C09]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ahnschrift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DED610"/>
      <color rgb="FFD71387"/>
      <color rgb="FF11A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calcChain.xml" Type="http://schemas.openxmlformats.org/officeDocument/2006/relationships/calcChain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worksheets/sheet6.xml" Type="http://schemas.openxmlformats.org/officeDocument/2006/relationships/worksheet"/>
<Relationship Id="rId7" Target="theme/theme1.xml" Type="http://schemas.openxmlformats.org/officeDocument/2006/relationships/theme"/>
<Relationship Id="rId8" Target="styles.xml" Type="http://schemas.openxmlformats.org/officeDocument/2006/relationships/styles"/>
<Relationship Id="rId9" Target="sharedStrings.xml" Type="http://schemas.openxmlformats.org/officeDocument/2006/relationships/sharedStrings"/>
</Relationships>

</file>

<file path=xl/charts/_rels/chart2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_rels/chart3.xml.rels><?xml version="1.0" encoding="UTF-8" standalone="no"?>
<Relationships xmlns="http://schemas.openxmlformats.org/package/2006/relationships">
<Relationship Id="rId1" Target="style2.xml" Type="http://schemas.microsoft.com/office/2011/relationships/chartStyle"/>
<Relationship Id="rId2" Target="colors2.xml" Type="http://schemas.microsoft.com/office/2011/relationships/chartColorStyle"/>
<Relationship Id="rId3" Target="../drawings/drawing2.xml" Type="http://schemas.openxmlformats.org/officeDocument/2006/relationships/chartUserShapes"/>
</Relationships>

</file>

<file path=xl/charts/_rels/chart4.xml.rels><?xml version="1.0" encoding="UTF-8" standalone="no"?>
<Relationships xmlns="http://schemas.openxmlformats.org/package/2006/relationships">
<Relationship Id="rId1" Target="style3.xml" Type="http://schemas.microsoft.com/office/2011/relationships/chartStyle"/>
<Relationship Id="rId2" Target="colors3.xml" Type="http://schemas.microsoft.com/office/2011/relationships/chartColorStyle"/>
<Relationship Id="rId3" Target="../drawings/drawing3.xml" Type="http://schemas.openxmlformats.org/officeDocument/2006/relationships/chartUserShapes"/>
</Relationships>

</file>

<file path=xl/charts/_rels/chart5.xml.rels><?xml version="1.0" encoding="UTF-8" standalone="no"?>
<Relationships xmlns="http://schemas.openxmlformats.org/package/2006/relationships">
<Relationship Id="rId1" Target="style4.xml" Type="http://schemas.microsoft.com/office/2011/relationships/chartStyle"/>
<Relationship Id="rId2" Target="colors4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975025112601673"/>
          <c:y val="0.11627906976744186"/>
          <c:w val="0.59938555134311911"/>
          <c:h val="0.78682170542635654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11A3D7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DED61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06B-436A-A553-B2562D308F6A}"/>
              </c:ext>
            </c:extLst>
          </c:dPt>
          <c:dPt>
            <c:idx val="2"/>
            <c:invertIfNegative val="0"/>
            <c:bubble3D val="0"/>
            <c:spPr>
              <a:solidFill>
                <a:srgbClr val="D7138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06B-436A-A553-B2562D308F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19050" rIns="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Calc!$A$57:$A$59</c:f>
              <c:strCache>
                <c:ptCount val="3"/>
                <c:pt idx="0">
                  <c:v>STOCK OK</c:v>
                </c:pt>
                <c:pt idx="1">
                  <c:v>BELOW OPTIMAL</c:v>
                </c:pt>
                <c:pt idx="2">
                  <c:v>REORDER NOW</c:v>
                </c:pt>
              </c:strCache>
            </c:strRef>
          </c:cat>
          <c:val>
            <c:numRef>
              <c:f>Calc!$B$57:$B$59</c:f>
              <c:numCache>
                <c:formatCode>General</c:formatCode>
                <c:ptCount val="3"/>
                <c:pt idx="0">
                  <c:v>10</c:v>
                </c:pt>
                <c:pt idx="1">
                  <c:v>5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B-436A-A553-B2562D308F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1"/>
        <c:overlap val="100"/>
        <c:axId val="310919920"/>
        <c:axId val="310915760"/>
      </c:barChart>
      <c:catAx>
        <c:axId val="3109199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310915760"/>
        <c:crosses val="autoZero"/>
        <c:auto val="1"/>
        <c:lblAlgn val="ctr"/>
        <c:lblOffset val="100"/>
        <c:noMultiLvlLbl val="0"/>
      </c:catAx>
      <c:valAx>
        <c:axId val="310915760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31091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r>
              <a:rPr lang="sr-Latn-RS" sz="120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</a:rPr>
              <a:t>STOCK VALUES BY GROUPS</a:t>
            </a:r>
            <a:endParaRPr lang="en-GB" sz="1200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0948083567302075"/>
          <c:y val="0.2797157672364125"/>
          <c:w val="0.76843258730020758"/>
          <c:h val="0.63085333845464442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F9D-41DE-8E45-6E91115E13F7}"/>
              </c:ext>
            </c:extLst>
          </c:dPt>
          <c:dPt>
            <c:idx val="1"/>
            <c:invertIfNegative val="0"/>
            <c:bubble3D val="0"/>
            <c:spPr>
              <a:solidFill>
                <a:srgbClr val="DED61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F9D-41DE-8E45-6E91115E13F7}"/>
              </c:ext>
            </c:extLst>
          </c:dPt>
          <c:dPt>
            <c:idx val="2"/>
            <c:invertIfNegative val="0"/>
            <c:bubble3D val="0"/>
            <c:spPr>
              <a:solidFill>
                <a:srgbClr val="11A3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F9D-41DE-8E45-6E91115E13F7}"/>
              </c:ext>
            </c:extLst>
          </c:dPt>
          <c:dPt>
            <c:idx val="3"/>
            <c:invertIfNegative val="0"/>
            <c:bubble3D val="0"/>
            <c:spPr>
              <a:solidFill>
                <a:srgbClr val="D7138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F9D-41DE-8E45-6E91115E13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horzOverflow="clip" vert="horz" wrap="square" lIns="0" tIns="19050" rIns="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bg1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Calc!$C$6:$C$9</c:f>
              <c:strCache>
                <c:ptCount val="4"/>
                <c:pt idx="0">
                  <c:v>Group 1</c:v>
                </c:pt>
                <c:pt idx="1">
                  <c:v>Group 2</c:v>
                </c:pt>
                <c:pt idx="2">
                  <c:v>Group 3</c:v>
                </c:pt>
                <c:pt idx="3">
                  <c:v>Group 4</c:v>
                </c:pt>
              </c:strCache>
            </c:strRef>
          </c:cat>
          <c:val>
            <c:numRef>
              <c:f>Calc!$D$6:$D$9</c:f>
              <c:numCache>
                <c:formatCode>[$$-C09]#,##0.00</c:formatCode>
                <c:ptCount val="4"/>
                <c:pt idx="0">
                  <c:v>48920</c:v>
                </c:pt>
                <c:pt idx="1">
                  <c:v>39920</c:v>
                </c:pt>
                <c:pt idx="2">
                  <c:v>18600</c:v>
                </c:pt>
                <c:pt idx="3">
                  <c:v>66440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9D-41DE-8E45-6E91115E1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overlap val="100"/>
        <c:axId val="228595712"/>
        <c:axId val="228596128"/>
      </c:barChart>
      <c:catAx>
        <c:axId val="2285957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228596128"/>
        <c:crosses val="autoZero"/>
        <c:auto val="1"/>
        <c:lblAlgn val="ctr"/>
        <c:lblOffset val="100"/>
        <c:noMultiLvlLbl val="0"/>
      </c:catAx>
      <c:valAx>
        <c:axId val="228596128"/>
        <c:scaling>
          <c:orientation val="minMax"/>
        </c:scaling>
        <c:delete val="1"/>
        <c:axPos val="t"/>
        <c:numFmt formatCode="[$$-C09]#,##0.00" sourceLinked="1"/>
        <c:majorTickMark val="none"/>
        <c:minorTickMark val="none"/>
        <c:tickLblPos val="nextTo"/>
        <c:crossAx val="22859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777794619429203E-2"/>
          <c:y val="0.19231841756396861"/>
          <c:w val="0.93388886286088224"/>
          <c:h val="0.6873943314932059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6DC-40C2-9300-6F5EF4F815A7}"/>
              </c:ext>
            </c:extLst>
          </c:dPt>
          <c:dPt>
            <c:idx val="1"/>
            <c:invertIfNegative val="0"/>
            <c:bubble3D val="0"/>
            <c:spPr>
              <a:solidFill>
                <a:srgbClr val="DED61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6DC-40C2-9300-6F5EF4F815A7}"/>
              </c:ext>
            </c:extLst>
          </c:dPt>
          <c:dPt>
            <c:idx val="2"/>
            <c:invertIfNegative val="0"/>
            <c:bubble3D val="0"/>
            <c:spPr>
              <a:solidFill>
                <a:srgbClr val="11A3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B6DC-40C2-9300-6F5EF4F815A7}"/>
              </c:ext>
            </c:extLst>
          </c:dPt>
          <c:dPt>
            <c:idx val="3"/>
            <c:invertIfNegative val="0"/>
            <c:bubble3D val="0"/>
            <c:spPr>
              <a:solidFill>
                <a:srgbClr val="D7138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6DC-40C2-9300-6F5EF4F815A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Calc!$C$13:$C$16</c:f>
              <c:strCache>
                <c:ptCount val="4"/>
                <c:pt idx="0">
                  <c:v>Group 1</c:v>
                </c:pt>
                <c:pt idx="1">
                  <c:v>Group 2</c:v>
                </c:pt>
                <c:pt idx="2">
                  <c:v>Group 3</c:v>
                </c:pt>
                <c:pt idx="3">
                  <c:v>Group 4</c:v>
                </c:pt>
              </c:strCache>
            </c:strRef>
          </c:cat>
          <c:val>
            <c:numRef>
              <c:f>Calc!$D$13:$D$16</c:f>
              <c:numCache>
                <c:formatCode>General</c:formatCode>
                <c:ptCount val="4"/>
                <c:pt idx="0">
                  <c:v>5800</c:v>
                </c:pt>
                <c:pt idx="1">
                  <c:v>4000</c:v>
                </c:pt>
                <c:pt idx="2">
                  <c:v>2100</c:v>
                </c:pt>
                <c:pt idx="3">
                  <c:v>2800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DC-40C2-9300-6F5EF4F815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22"/>
        <c:overlap val="-3"/>
        <c:axId val="214790448"/>
        <c:axId val="214790864"/>
      </c:barChart>
      <c:catAx>
        <c:axId val="21479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214790864"/>
        <c:crosses val="autoZero"/>
        <c:auto val="1"/>
        <c:lblAlgn val="ctr"/>
        <c:lblOffset val="100"/>
        <c:noMultiLvlLbl val="0"/>
      </c:catAx>
      <c:valAx>
        <c:axId val="2147908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479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777794619429203E-2"/>
          <c:y val="0.19231841756396861"/>
          <c:w val="0.93388886286088224"/>
          <c:h val="0.6873943314932059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162-4B9F-88CF-06FE363D27BD}"/>
              </c:ext>
            </c:extLst>
          </c:dPt>
          <c:dPt>
            <c:idx val="1"/>
            <c:invertIfNegative val="0"/>
            <c:bubble3D val="0"/>
            <c:spPr>
              <a:solidFill>
                <a:srgbClr val="DED61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162-4B9F-88CF-06FE363D27BD}"/>
              </c:ext>
            </c:extLst>
          </c:dPt>
          <c:dPt>
            <c:idx val="2"/>
            <c:invertIfNegative val="0"/>
            <c:bubble3D val="0"/>
            <c:spPr>
              <a:solidFill>
                <a:srgbClr val="11A3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162-4B9F-88CF-06FE363D27BD}"/>
              </c:ext>
            </c:extLst>
          </c:dPt>
          <c:dPt>
            <c:idx val="3"/>
            <c:invertIfNegative val="0"/>
            <c:bubble3D val="0"/>
            <c:spPr>
              <a:solidFill>
                <a:srgbClr val="D7138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162-4B9F-88CF-06FE363D27BD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Calc!$C$19:$C$22</c:f>
              <c:strCache>
                <c:ptCount val="4"/>
                <c:pt idx="0">
                  <c:v>Group 1</c:v>
                </c:pt>
                <c:pt idx="1">
                  <c:v>Group 2</c:v>
                </c:pt>
                <c:pt idx="2">
                  <c:v>Group 3</c:v>
                </c:pt>
                <c:pt idx="3">
                  <c:v>Group 4</c:v>
                </c:pt>
              </c:strCache>
            </c:strRef>
          </c:cat>
          <c:val>
            <c:numRef>
              <c:f>Calc!$D$19:$D$22</c:f>
              <c:numCache>
                <c:formatCode>General</c:formatCode>
                <c:ptCount val="4"/>
                <c:pt idx="0">
                  <c:v>3400</c:v>
                </c:pt>
                <c:pt idx="1">
                  <c:v>1300</c:v>
                </c:pt>
                <c:pt idx="2">
                  <c:v>1000</c:v>
                </c:pt>
                <c:pt idx="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162-4B9F-88CF-06FE363D27B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22"/>
        <c:overlap val="-3"/>
        <c:axId val="214790448"/>
        <c:axId val="214790864"/>
      </c:barChart>
      <c:catAx>
        <c:axId val="21479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214790864"/>
        <c:crosses val="autoZero"/>
        <c:auto val="1"/>
        <c:lblAlgn val="ctr"/>
        <c:lblOffset val="100"/>
        <c:noMultiLvlLbl val="0"/>
      </c:catAx>
      <c:valAx>
        <c:axId val="2147908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479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rgbClr val="D71387"/>
            </a:solidFill>
            <a:ln>
              <a:noFill/>
            </a:ln>
          </c:spPr>
          <c:dPt>
            <c:idx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F2E-47DE-8428-54C4F02D4739}"/>
              </c:ext>
            </c:extLst>
          </c:dPt>
          <c:dPt>
            <c:idx val="1"/>
            <c:bubble3D val="0"/>
            <c:spPr>
              <a:solidFill>
                <a:srgbClr val="DED61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F2E-47DE-8428-54C4F02D4739}"/>
              </c:ext>
            </c:extLst>
          </c:dPt>
          <c:cat>
            <c:strRef>
              <c:f>Calc!$A$29:$B$29</c:f>
              <c:strCache>
                <c:ptCount val="2"/>
                <c:pt idx="0">
                  <c:v>CURRENT QTY</c:v>
                </c:pt>
                <c:pt idx="1">
                  <c:v>CURRENT - OPTIMAL QTY</c:v>
                </c:pt>
              </c:strCache>
            </c:strRef>
          </c:cat>
          <c:val>
            <c:numRef>
              <c:f>Calc!$A$30:$B$30</c:f>
              <c:numCache>
                <c:formatCode>#,##0</c:formatCode>
                <c:ptCount val="2"/>
                <c:pt idx="0">
                  <c:v>700</c:v>
                </c:pt>
                <c:pt idx="1">
                  <c:v>-100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E-47DE-8428-54C4F02D4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9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Relationship Id="rId2" Target="../media/image1.png" Type="http://schemas.openxmlformats.org/officeDocument/2006/relationships/image"/>
<Relationship Id="rId3" Target="../media/image2.svg" Type="http://schemas.openxmlformats.org/officeDocument/2006/relationships/image"/>
<Relationship Id="rId4" Target="../media/image3.png" Type="http://schemas.openxmlformats.org/officeDocument/2006/relationships/image"/>
<Relationship Id="rId5" Target="../media/image4.svg" Type="http://schemas.openxmlformats.org/officeDocument/2006/relationships/image"/>
<Relationship Id="rId6" Target="../charts/chart2.xml" Type="http://schemas.openxmlformats.org/officeDocument/2006/relationships/chart"/>
<Relationship Id="rId7" Target="../charts/chart3.xml" Type="http://schemas.openxmlformats.org/officeDocument/2006/relationships/chart"/>
<Relationship Id="rId8" Target="../charts/chart4.xml" Type="http://schemas.openxmlformats.org/officeDocument/2006/relationships/chart"/>
<Relationship Id="rId9" Target="../charts/chart5.xml" Type="http://schemas.openxmlformats.org/officeDocument/2006/relationships/chart"/>
</Relationships>

</file>

<file path=xl/drawings/_rels/drawing4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media/image5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748221</xdr:colOff>
      <xdr:row>0</xdr:row>
      <xdr:rowOff>141514</xdr:rowOff>
    </xdr:from>
    <xdr:to>
      <xdr:col>10</xdr:col>
      <xdr:colOff>566057</xdr:colOff>
      <xdr:row>1</xdr:row>
      <xdr:rowOff>1532708</xdr:rowOff>
    </xdr:to>
    <xdr:sp macro="" textlink="">
      <xdr:nvSpPr>
        <xdr:cNvPr id="24" name="Rectangle: Rounded Corners 23">
          <a:extLst>
            <a:ext uri="{FF2B5EF4-FFF2-40B4-BE49-F238E27FC236}">
              <a16:creationId xmlns:a16="http://schemas.microsoft.com/office/drawing/2014/main" id="{52F9E534-F2EE-47E7-9AC3-B31AA88AC1F2}"/>
            </a:ext>
          </a:extLst>
        </xdr:cNvPr>
        <xdr:cNvSpPr/>
      </xdr:nvSpPr>
      <xdr:spPr>
        <a:xfrm>
          <a:off x="4307850" y="141514"/>
          <a:ext cx="2702550" cy="155448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137160</xdr:colOff>
      <xdr:row>13</xdr:row>
      <xdr:rowOff>0</xdr:rowOff>
    </xdr:from>
    <xdr:to>
      <xdr:col>12</xdr:col>
      <xdr:colOff>0</xdr:colOff>
      <xdr:row>23</xdr:row>
      <xdr:rowOff>7614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E208119C-C8E1-E880-26F3-68B257484212}"/>
            </a:ext>
          </a:extLst>
        </xdr:cNvPr>
        <xdr:cNvGrpSpPr/>
      </xdr:nvGrpSpPr>
      <xdr:grpSpPr>
        <a:xfrm>
          <a:off x="4736054" y="8570259"/>
          <a:ext cx="2471570" cy="1809520"/>
          <a:chOff x="4739640" y="8050483"/>
          <a:chExt cx="2468880" cy="1786936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FD7C19A3-0BEE-4FAB-9FBC-502C0BB14E64}"/>
              </a:ext>
            </a:extLst>
          </xdr:cNvPr>
          <xdr:cNvGraphicFramePr>
            <a:graphicFrameLocks/>
          </xdr:cNvGraphicFramePr>
        </xdr:nvGraphicFramePr>
        <xdr:xfrm>
          <a:off x="4739640" y="8524372"/>
          <a:ext cx="2468880" cy="13130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FCEDB07B-3176-7CFC-EAFC-ADDD12E48F38}"/>
              </a:ext>
            </a:extLst>
          </xdr:cNvPr>
          <xdr:cNvSpPr txBox="1"/>
        </xdr:nvSpPr>
        <xdr:spPr>
          <a:xfrm>
            <a:off x="4991100" y="8050483"/>
            <a:ext cx="1856214" cy="26161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sr-Latn-RS" sz="1100" b="1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</a:rPr>
              <a:t>ALL ITEMS STOCK STATUS</a:t>
            </a:r>
            <a:endParaRPr lang="en-GB" sz="11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>
    <xdr:from>
      <xdr:col>1</xdr:col>
      <xdr:colOff>20760</xdr:colOff>
      <xdr:row>1</xdr:row>
      <xdr:rowOff>0</xdr:rowOff>
    </xdr:from>
    <xdr:to>
      <xdr:col>3</xdr:col>
      <xdr:colOff>310320</xdr:colOff>
      <xdr:row>1</xdr:row>
      <xdr:rowOff>1554480</xdr:rowOff>
    </xdr:to>
    <xdr:grpSp>
      <xdr:nvGrpSpPr>
        <xdr:cNvPr id="11" name="Group 10">
          <a:extLst>
            <a:ext uri="{FF2B5EF4-FFF2-40B4-BE49-F238E27FC236}">
              <a16:creationId xmlns:a16="http://schemas.microsoft.com/office/drawing/2014/main" id="{A42BEB9C-FB3B-79EE-A73C-0CCB8693929B}"/>
            </a:ext>
          </a:extLst>
        </xdr:cNvPr>
        <xdr:cNvGrpSpPr/>
      </xdr:nvGrpSpPr>
      <xdr:grpSpPr>
        <a:xfrm>
          <a:off x="200054" y="170329"/>
          <a:ext cx="1831490" cy="1554480"/>
          <a:chOff x="267751" y="168166"/>
          <a:chExt cx="1829326" cy="1554480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8F561822-8074-E0BE-8550-D25A269795AE}"/>
              </a:ext>
            </a:extLst>
          </xdr:cNvPr>
          <xdr:cNvSpPr/>
        </xdr:nvSpPr>
        <xdr:spPr>
          <a:xfrm>
            <a:off x="267751" y="168166"/>
            <a:ext cx="1829326" cy="1554480"/>
          </a:xfrm>
          <a:prstGeom prst="round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E22CA365-5579-4941-92F1-A8C8A33B48D8}"/>
              </a:ext>
            </a:extLst>
          </xdr:cNvPr>
          <xdr:cNvSpPr txBox="1"/>
        </xdr:nvSpPr>
        <xdr:spPr>
          <a:xfrm>
            <a:off x="309661" y="1219726"/>
            <a:ext cx="1745506" cy="4572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>
            <a:noAutofit/>
          </a:bodyPr>
          <a:lstStyle/>
          <a:p>
            <a:pPr algn="ctr"/>
            <a:r>
              <a:rPr lang="sr-Latn-RS" sz="1100" b="1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</a:rPr>
              <a:t>ITEMS AVAILABLE</a:t>
            </a:r>
            <a:endParaRPr lang="sr-Latn-RS" sz="1100" b="1" baseline="0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  <a:p>
            <a:pPr algn="ctr"/>
            <a:r>
              <a:rPr lang="sr-Latn-RS" sz="1100" b="1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</a:rPr>
              <a:t>ON STOCK</a:t>
            </a:r>
            <a:endParaRPr lang="en-GB" sz="11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xdr:txBody>
      </xdr:sp>
      <xdr:sp macro="" textlink="Calc!A2">
        <xdr:nvSpPr>
          <xdr:cNvPr id="8" name="TextBox 7">
            <a:extLst>
              <a:ext uri="{FF2B5EF4-FFF2-40B4-BE49-F238E27FC236}">
                <a16:creationId xmlns:a16="http://schemas.microsoft.com/office/drawing/2014/main" id="{DC736547-07ED-4EB2-9B9D-886D04966C6C}"/>
              </a:ext>
            </a:extLst>
          </xdr:cNvPr>
          <xdr:cNvSpPr txBox="1"/>
        </xdr:nvSpPr>
        <xdr:spPr>
          <a:xfrm>
            <a:off x="309661" y="762526"/>
            <a:ext cx="1745506" cy="4572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>
            <a:noAutofit/>
          </a:bodyPr>
          <a:lstStyle/>
          <a:p>
            <a:pPr algn="ctr"/>
            <a:fld id="{36A00AD4-1AC4-4DB4-B72A-0974F24857A5}" type="TxLink">
              <a:rPr lang="en-US" sz="2400" b="0" i="0" u="none" strike="noStrike">
                <a:solidFill>
                  <a:srgbClr val="11A3D7"/>
                </a:solidFill>
                <a:latin typeface="Bahnschrift"/>
              </a:rPr>
              <a:pPr algn="ctr"/>
              <a:t>8,650</a:t>
            </a:fld>
            <a:endParaRPr lang="en-GB" sz="2400" b="1">
              <a:solidFill>
                <a:srgbClr val="11A3D7"/>
              </a:solidFill>
              <a:latin typeface="Bahnschrift" panose="020B0502040204020203" pitchFamily="34" charset="0"/>
            </a:endParaRPr>
          </a:p>
        </xdr:txBody>
      </xdr:sp>
      <xdr:pic>
        <xdr:nvPicPr>
          <xdr:cNvPr id="9" name="Graphic 8">
            <a:extLst>
              <a:ext uri="{FF2B5EF4-FFF2-40B4-BE49-F238E27FC236}">
                <a16:creationId xmlns:a16="http://schemas.microsoft.com/office/drawing/2014/main" id="{C0FFF954-A208-2760-3831-D885953DD51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966414" y="299547"/>
            <a:ext cx="432000" cy="431844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530507</xdr:colOff>
      <xdr:row>1</xdr:row>
      <xdr:rowOff>0</xdr:rowOff>
    </xdr:from>
    <xdr:to>
      <xdr:col>6</xdr:col>
      <xdr:colOff>531033</xdr:colOff>
      <xdr:row>1</xdr:row>
      <xdr:rowOff>1554480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C4D3A620-00A3-A013-0339-D48B09ACC091}"/>
            </a:ext>
          </a:extLst>
        </xdr:cNvPr>
        <xdr:cNvGrpSpPr/>
      </xdr:nvGrpSpPr>
      <xdr:grpSpPr>
        <a:xfrm>
          <a:off x="2251731" y="170329"/>
          <a:ext cx="1829326" cy="1554480"/>
          <a:chOff x="2255033" y="168442"/>
          <a:chExt cx="1829326" cy="1554480"/>
        </a:xfrm>
      </xdr:grpSpPr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A9A8328D-FFBB-4E86-B2F3-94CFCEA47AB7}"/>
              </a:ext>
            </a:extLst>
          </xdr:cNvPr>
          <xdr:cNvGrpSpPr/>
        </xdr:nvGrpSpPr>
        <xdr:grpSpPr>
          <a:xfrm>
            <a:off x="2255033" y="168442"/>
            <a:ext cx="1829326" cy="1554480"/>
            <a:chOff x="267751" y="168166"/>
            <a:chExt cx="1829326" cy="1554480"/>
          </a:xfrm>
        </xdr:grpSpPr>
        <xdr:sp macro="" textlink="">
          <xdr:nvSpPr>
            <xdr:cNvPr id="13" name="Rectangle: Rounded Corners 12">
              <a:extLst>
                <a:ext uri="{FF2B5EF4-FFF2-40B4-BE49-F238E27FC236}">
                  <a16:creationId xmlns:a16="http://schemas.microsoft.com/office/drawing/2014/main" id="{36996DD5-8831-8766-05BF-862C5DA475C5}"/>
                </a:ext>
              </a:extLst>
            </xdr:cNvPr>
            <xdr:cNvSpPr/>
          </xdr:nvSpPr>
          <xdr:spPr>
            <a:xfrm>
              <a:off x="267751" y="168166"/>
              <a:ext cx="1829326" cy="1554480"/>
            </a:xfrm>
            <a:prstGeom prst="roundRect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B66AF1DC-A76D-5CE0-805C-29D61AD7743F}"/>
                </a:ext>
              </a:extLst>
            </xdr:cNvPr>
            <xdr:cNvSpPr txBox="1"/>
          </xdr:nvSpPr>
          <xdr:spPr>
            <a:xfrm>
              <a:off x="309661" y="1219726"/>
              <a:ext cx="1745506" cy="457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36000" tIns="36000" rIns="36000" bIns="36000" rtlCol="0" anchor="ctr">
              <a:noAutofit/>
            </a:bodyPr>
            <a:lstStyle/>
            <a:p>
              <a:pPr algn="ctr"/>
              <a:r>
                <a:rPr lang="sr-Latn-RS" sz="1100" b="1">
                  <a:solidFill>
                    <a:schemeClr val="tx1">
                      <a:lumMod val="65000"/>
                      <a:lumOff val="35000"/>
                    </a:schemeClr>
                  </a:solidFill>
                  <a:latin typeface="Bahnschrift" panose="020B0502040204020203" pitchFamily="34" charset="0"/>
                </a:rPr>
                <a:t>TOTAL</a:t>
              </a:r>
            </a:p>
            <a:p>
              <a:pPr algn="ctr"/>
              <a:r>
                <a:rPr lang="sr-Latn-RS" sz="1100" b="1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ahnschrift" panose="020B0502040204020203" pitchFamily="34" charset="0"/>
                </a:rPr>
                <a:t>STOCK VALUE</a:t>
              </a:r>
              <a:endParaRPr lang="en-GB" sz="1100" b="1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</a:endParaRPr>
            </a:p>
          </xdr:txBody>
        </xdr:sp>
        <xdr:sp macro="" textlink="Calc!A6">
          <xdr:nvSpPr>
            <xdr:cNvPr id="15" name="TextBox 14">
              <a:extLst>
                <a:ext uri="{FF2B5EF4-FFF2-40B4-BE49-F238E27FC236}">
                  <a16:creationId xmlns:a16="http://schemas.microsoft.com/office/drawing/2014/main" id="{8F5BB668-6308-7A3A-D260-8FF97AADAB38}"/>
                </a:ext>
              </a:extLst>
            </xdr:cNvPr>
            <xdr:cNvSpPr txBox="1"/>
          </xdr:nvSpPr>
          <xdr:spPr>
            <a:xfrm>
              <a:off x="309661" y="762526"/>
              <a:ext cx="1745506" cy="457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36000" tIns="36000" rIns="36000" bIns="36000" rtlCol="0" anchor="ctr">
              <a:noAutofit/>
            </a:bodyPr>
            <a:lstStyle/>
            <a:p>
              <a:pPr algn="ctr"/>
              <a:fld id="{C0046631-3A61-46A2-8A8E-F52461DB0B13}" type="TxLink">
                <a:rPr lang="en-US" sz="2400" b="0" i="0" u="none" strike="noStrike">
                  <a:solidFill>
                    <a:srgbClr val="11A3D7"/>
                  </a:solidFill>
                  <a:latin typeface="Bahnschrift"/>
                </a:rPr>
                <a:pPr algn="ctr"/>
                <a:t>$173,880.00</a:t>
              </a:fld>
              <a:endParaRPr lang="en-GB" sz="5400" b="1">
                <a:solidFill>
                  <a:srgbClr val="11A3D7"/>
                </a:solidFill>
                <a:latin typeface="Bahnschrift" panose="020B0502040204020203" pitchFamily="34" charset="0"/>
              </a:endParaRPr>
            </a:p>
          </xdr:txBody>
        </xdr:sp>
      </xdr:grpSp>
      <xdr:pic>
        <xdr:nvPicPr>
          <xdr:cNvPr id="17" name="Graphic 16">
            <a:extLst>
              <a:ext uri="{FF2B5EF4-FFF2-40B4-BE49-F238E27FC236}">
                <a16:creationId xmlns:a16="http://schemas.microsoft.com/office/drawing/2014/main" id="{2DD2CEF8-34A8-43AC-DEBA-7F1EA30857A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2953696" y="238234"/>
            <a:ext cx="432000" cy="518400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726078</xdr:colOff>
      <xdr:row>0</xdr:row>
      <xdr:rowOff>141515</xdr:rowOff>
    </xdr:from>
    <xdr:to>
      <xdr:col>11</xdr:col>
      <xdr:colOff>141514</xdr:colOff>
      <xdr:row>1</xdr:row>
      <xdr:rowOff>1540329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2377C3DB-3CEB-4D5D-BFE9-33E61E761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152401</xdr:colOff>
      <xdr:row>5</xdr:row>
      <xdr:rowOff>141513</xdr:rowOff>
    </xdr:from>
    <xdr:to>
      <xdr:col>5</xdr:col>
      <xdr:colOff>468085</xdr:colOff>
      <xdr:row>6</xdr:row>
      <xdr:rowOff>2427514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5C4ADC21-299A-4FAB-888D-70752E2F9E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163288</xdr:colOff>
      <xdr:row>5</xdr:row>
      <xdr:rowOff>141513</xdr:rowOff>
    </xdr:from>
    <xdr:to>
      <xdr:col>10</xdr:col>
      <xdr:colOff>544287</xdr:colOff>
      <xdr:row>6</xdr:row>
      <xdr:rowOff>2427514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8CF72F6-04D1-461F-B3B8-D4E093388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529043</xdr:colOff>
      <xdr:row>13</xdr:row>
      <xdr:rowOff>0</xdr:rowOff>
    </xdr:from>
    <xdr:to>
      <xdr:col>6</xdr:col>
      <xdr:colOff>315683</xdr:colOff>
      <xdr:row>14</xdr:row>
      <xdr:rowOff>119743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7592A051-E82B-4C0B-9953-71AE107785CE}"/>
            </a:ext>
          </a:extLst>
        </xdr:cNvPr>
        <xdr:cNvSpPr txBox="1"/>
      </xdr:nvSpPr>
      <xdr:spPr>
        <a:xfrm>
          <a:off x="1225729" y="7073532"/>
          <a:ext cx="2649583" cy="3069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sr-Latn-RS" sz="11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rPr>
            <a:t>ITEMS</a:t>
          </a:r>
          <a:r>
            <a:rPr lang="sr-Latn-RS" sz="1100" b="1" baseline="0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rPr>
            <a:t> WITH CRITICAL STOCK</a:t>
          </a:r>
          <a:endParaRPr lang="en-GB" sz="1100" b="1">
            <a:solidFill>
              <a:schemeClr val="tx1">
                <a:lumMod val="65000"/>
                <a:lumOff val="35000"/>
              </a:schemeClr>
            </a:solidFill>
            <a:latin typeface="Bahnschrift" panose="020B0502040204020203" pitchFamily="34" charset="0"/>
          </a:endParaRPr>
        </a:p>
      </xdr:txBody>
    </xdr:sp>
    <xdr:clientData/>
  </xdr:twoCellAnchor>
  <xdr:twoCellAnchor>
    <xdr:from>
      <xdr:col>1</xdr:col>
      <xdr:colOff>326573</xdr:colOff>
      <xdr:row>11</xdr:row>
      <xdr:rowOff>10885</xdr:rowOff>
    </xdr:from>
    <xdr:to>
      <xdr:col>4</xdr:col>
      <xdr:colOff>468086</xdr:colOff>
      <xdr:row>12</xdr:row>
      <xdr:rowOff>10886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7F2DA891-C640-4226-9C54-C0D30FA3B6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444848</xdr:colOff>
      <xdr:row>11</xdr:row>
      <xdr:rowOff>550668</xdr:rowOff>
    </xdr:from>
    <xdr:to>
      <xdr:col>3</xdr:col>
      <xdr:colOff>449203</xdr:colOff>
      <xdr:row>11</xdr:row>
      <xdr:rowOff>1105840</xdr:rowOff>
    </xdr:to>
    <xdr:sp macro="" textlink="Calc!C27">
      <xdr:nvSpPr>
        <xdr:cNvPr id="28" name="TextBox 27">
          <a:extLst>
            <a:ext uri="{FF2B5EF4-FFF2-40B4-BE49-F238E27FC236}">
              <a16:creationId xmlns:a16="http://schemas.microsoft.com/office/drawing/2014/main" id="{116A3C0E-8688-4745-BB05-B76CD8C9941C}"/>
            </a:ext>
          </a:extLst>
        </xdr:cNvPr>
        <xdr:cNvSpPr txBox="1"/>
      </xdr:nvSpPr>
      <xdr:spPr>
        <a:xfrm>
          <a:off x="1138531" y="6704475"/>
          <a:ext cx="1034369" cy="5551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fld id="{1D7903ED-6534-4B64-A29B-01B4F07499ED}" type="TxLink">
            <a:rPr lang="en-US" sz="32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Bahnschrift"/>
            </a:rPr>
            <a:pPr algn="ctr"/>
            <a:t>88%</a:t>
          </a:fld>
          <a:endParaRPr lang="en-GB" sz="3200" b="1">
            <a:solidFill>
              <a:schemeClr val="tx1">
                <a:lumMod val="65000"/>
                <a:lumOff val="35000"/>
              </a:schemeClr>
            </a:solidFill>
            <a:latin typeface="Bahnschrift" panose="020B0502040204020203" pitchFamily="34" charset="0"/>
          </a:endParaRPr>
        </a:p>
      </xdr:txBody>
    </xdr:sp>
    <xdr:clientData/>
  </xdr:twoCellAnchor>
  <xdr:twoCellAnchor>
    <xdr:from>
      <xdr:col>2</xdr:col>
      <xdr:colOff>421704</xdr:colOff>
      <xdr:row>11</xdr:row>
      <xdr:rowOff>1014821</xdr:rowOff>
    </xdr:from>
    <xdr:to>
      <xdr:col>3</xdr:col>
      <xdr:colOff>472346</xdr:colOff>
      <xdr:row>11</xdr:row>
      <xdr:rowOff>1170534</xdr:rowOff>
    </xdr:to>
    <xdr:sp macro="" textlink="">
      <xdr:nvSpPr>
        <xdr:cNvPr id="30" name="TextBox 13">
          <a:extLst>
            <a:ext uri="{FF2B5EF4-FFF2-40B4-BE49-F238E27FC236}">
              <a16:creationId xmlns:a16="http://schemas.microsoft.com/office/drawing/2014/main" id="{EC765CD0-4AF5-36B4-8655-D83B1F8DC6BA}"/>
            </a:ext>
          </a:extLst>
        </xdr:cNvPr>
        <xdr:cNvSpPr txBox="1"/>
      </xdr:nvSpPr>
      <xdr:spPr>
        <a:xfrm>
          <a:off x="1115387" y="7168628"/>
          <a:ext cx="1080656" cy="1557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lIns="36000" tIns="36000" rIns="36000" bIns="36000" rtlCol="0" anchor="ctr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sr-Latn-RS" sz="9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Bahnschrift"/>
            </a:rPr>
            <a:t>OF OPTIMAL STOCK</a:t>
          </a:r>
          <a:endParaRPr lang="en-GB" sz="500" b="1">
            <a:solidFill>
              <a:schemeClr val="tx1">
                <a:lumMod val="65000"/>
                <a:lumOff val="35000"/>
              </a:schemeClr>
            </a:solidFill>
            <a:latin typeface="Bahnschrift" panose="020B0502040204020203" pitchFamily="34" charset="0"/>
          </a:endParaRPr>
        </a:p>
      </xdr:txBody>
    </xdr:sp>
    <xdr:clientData/>
  </xdr:twoCellAnchor>
  <xdr:twoCellAnchor>
    <xdr:from>
      <xdr:col>2</xdr:col>
      <xdr:colOff>444848</xdr:colOff>
      <xdr:row>11</xdr:row>
      <xdr:rowOff>1212573</xdr:rowOff>
    </xdr:from>
    <xdr:to>
      <xdr:col>3</xdr:col>
      <xdr:colOff>449203</xdr:colOff>
      <xdr:row>11</xdr:row>
      <xdr:rowOff>1517373</xdr:rowOff>
    </xdr:to>
    <xdr:sp macro="" textlink="Calc!C30">
      <xdr:nvSpPr>
        <xdr:cNvPr id="31" name="TextBox 30">
          <a:extLst>
            <a:ext uri="{FF2B5EF4-FFF2-40B4-BE49-F238E27FC236}">
              <a16:creationId xmlns:a16="http://schemas.microsoft.com/office/drawing/2014/main" id="{8EF837E8-BA78-46FA-8786-7577B58777D0}"/>
            </a:ext>
          </a:extLst>
        </xdr:cNvPr>
        <xdr:cNvSpPr txBox="1"/>
      </xdr:nvSpPr>
      <xdr:spPr>
        <a:xfrm>
          <a:off x="1140587" y="7348330"/>
          <a:ext cx="1031399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fld id="{B831071A-9B84-479F-8953-2497892E7644}" type="TxLink">
            <a:rPr lang="en-US" sz="1600" b="1" i="0" u="none" strike="noStrike">
              <a:solidFill>
                <a:srgbClr val="DED610"/>
              </a:solidFill>
              <a:latin typeface="Bahnschrift"/>
            </a:rPr>
            <a:pPr algn="ctr"/>
            <a:t>100</a:t>
          </a:fld>
          <a:endParaRPr lang="en-GB" sz="4400" b="1">
            <a:solidFill>
              <a:srgbClr val="DED610"/>
            </a:solidFill>
            <a:latin typeface="Bahnschrift" panose="020B0502040204020203" pitchFamily="34" charset="0"/>
          </a:endParaRPr>
        </a:p>
      </xdr:txBody>
    </xdr:sp>
    <xdr:clientData/>
  </xdr:twoCellAnchor>
  <xdr:twoCellAnchor>
    <xdr:from>
      <xdr:col>2</xdr:col>
      <xdr:colOff>521096</xdr:colOff>
      <xdr:row>11</xdr:row>
      <xdr:rowOff>1494183</xdr:rowOff>
    </xdr:from>
    <xdr:to>
      <xdr:col>3</xdr:col>
      <xdr:colOff>372955</xdr:colOff>
      <xdr:row>11</xdr:row>
      <xdr:rowOff>1669774</xdr:rowOff>
    </xdr:to>
    <xdr:sp macro="" textlink="">
      <xdr:nvSpPr>
        <xdr:cNvPr id="32" name="TextBox 13">
          <a:extLst>
            <a:ext uri="{FF2B5EF4-FFF2-40B4-BE49-F238E27FC236}">
              <a16:creationId xmlns:a16="http://schemas.microsoft.com/office/drawing/2014/main" id="{AC646DE4-925F-446C-A980-304FAEB37C10}"/>
            </a:ext>
          </a:extLst>
        </xdr:cNvPr>
        <xdr:cNvSpPr txBox="1"/>
      </xdr:nvSpPr>
      <xdr:spPr>
        <a:xfrm>
          <a:off x="1216835" y="7629940"/>
          <a:ext cx="878903" cy="1755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lIns="36000" tIns="36000" rIns="36000" bIns="36000" rtlCol="0" anchor="ctr">
          <a:no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sr-Latn-RS" sz="9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Bahnschrift"/>
            </a:rPr>
            <a:t>TO REORDER</a:t>
          </a:r>
          <a:endParaRPr lang="en-GB" sz="500" b="1">
            <a:solidFill>
              <a:schemeClr val="tx1">
                <a:lumMod val="65000"/>
                <a:lumOff val="35000"/>
              </a:schemeClr>
            </a:solidFill>
            <a:latin typeface="Bahnschrift" panose="020B0502040204020203" pitchFamily="34" charset="0"/>
          </a:endParaRPr>
        </a:p>
      </xdr:txBody>
    </xdr:sp>
    <xdr:clientData/>
  </xdr:twoCellAnchor>
  <xdr:twoCellAnchor>
    <xdr:from>
      <xdr:col>5</xdr:col>
      <xdr:colOff>367862</xdr:colOff>
      <xdr:row>11</xdr:row>
      <xdr:rowOff>105102</xdr:rowOff>
    </xdr:from>
    <xdr:to>
      <xdr:col>11</xdr:col>
      <xdr:colOff>29307</xdr:colOff>
      <xdr:row>11</xdr:row>
      <xdr:rowOff>630619</xdr:rowOff>
    </xdr:to>
    <xdr:grpSp>
      <xdr:nvGrpSpPr>
        <xdr:cNvPr id="64" name="Group 63">
          <a:extLst>
            <a:ext uri="{FF2B5EF4-FFF2-40B4-BE49-F238E27FC236}">
              <a16:creationId xmlns:a16="http://schemas.microsoft.com/office/drawing/2014/main" id="{73C42DCA-72F4-2753-194E-F70905482FFD}"/>
            </a:ext>
          </a:extLst>
        </xdr:cNvPr>
        <xdr:cNvGrpSpPr/>
      </xdr:nvGrpSpPr>
      <xdr:grpSpPr>
        <a:xfrm>
          <a:off x="3308286" y="6192137"/>
          <a:ext cx="3758315" cy="525517"/>
          <a:chOff x="3309182" y="6254442"/>
          <a:chExt cx="3761005" cy="525517"/>
        </a:xfrm>
      </xdr:grpSpPr>
      <xdr:grpSp>
        <xdr:nvGrpSpPr>
          <xdr:cNvPr id="52" name="Group 51">
            <a:extLst>
              <a:ext uri="{FF2B5EF4-FFF2-40B4-BE49-F238E27FC236}">
                <a16:creationId xmlns:a16="http://schemas.microsoft.com/office/drawing/2014/main" id="{F752ADBE-D729-9B8C-835B-816EB6A1394C}"/>
              </a:ext>
            </a:extLst>
          </xdr:cNvPr>
          <xdr:cNvGrpSpPr/>
        </xdr:nvGrpSpPr>
        <xdr:grpSpPr>
          <a:xfrm>
            <a:off x="3309182" y="6254442"/>
            <a:ext cx="1960459" cy="525517"/>
            <a:chOff x="3306325" y="6243965"/>
            <a:chExt cx="1961411" cy="525517"/>
          </a:xfrm>
        </xdr:grpSpPr>
        <xdr:grpSp>
          <xdr:nvGrpSpPr>
            <xdr:cNvPr id="38" name="Group 37">
              <a:extLst>
                <a:ext uri="{FF2B5EF4-FFF2-40B4-BE49-F238E27FC236}">
                  <a16:creationId xmlns:a16="http://schemas.microsoft.com/office/drawing/2014/main" id="{CD065EBE-A140-AC44-E9ED-5E640CC3DE02}"/>
                </a:ext>
              </a:extLst>
            </xdr:cNvPr>
            <xdr:cNvGrpSpPr/>
          </xdr:nvGrpSpPr>
          <xdr:grpSpPr>
            <a:xfrm>
              <a:off x="3306325" y="6243965"/>
              <a:ext cx="1961411" cy="525517"/>
              <a:chOff x="3331779" y="6479626"/>
              <a:chExt cx="1959933" cy="525517"/>
            </a:xfrm>
          </xdr:grpSpPr>
          <xdr:sp macro="" textlink="">
            <xdr:nvSpPr>
              <xdr:cNvPr id="36" name="Rectangle: Top Corners Rounded 35">
                <a:extLst>
                  <a:ext uri="{FF2B5EF4-FFF2-40B4-BE49-F238E27FC236}">
                    <a16:creationId xmlns:a16="http://schemas.microsoft.com/office/drawing/2014/main" id="{7A101123-13CC-85AB-0981-B45C09D49A37}"/>
                  </a:ext>
                </a:extLst>
              </xdr:cNvPr>
              <xdr:cNvSpPr/>
            </xdr:nvSpPr>
            <xdr:spPr>
              <a:xfrm rot="16200000">
                <a:off x="3195020" y="6616385"/>
                <a:ext cx="525517" cy="252000"/>
              </a:xfrm>
              <a:prstGeom prst="round2SameRect">
                <a:avLst/>
              </a:prstGeom>
              <a:solidFill>
                <a:schemeClr val="tx1">
                  <a:lumMod val="65000"/>
                  <a:lumOff val="35000"/>
                </a:schemeClr>
              </a:solidFill>
              <a:ln>
                <a:solidFill>
                  <a:schemeClr val="tx1">
                    <a:lumMod val="65000"/>
                    <a:lumOff val="35000"/>
                  </a:schemeClr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GB" sz="1100"/>
              </a:p>
            </xdr:txBody>
          </xdr:sp>
          <xdr:sp macro="" textlink="">
            <xdr:nvSpPr>
              <xdr:cNvPr id="37" name="Rectangle: Top Corners Rounded 36">
                <a:extLst>
                  <a:ext uri="{FF2B5EF4-FFF2-40B4-BE49-F238E27FC236}">
                    <a16:creationId xmlns:a16="http://schemas.microsoft.com/office/drawing/2014/main" id="{BB2FF96B-F218-4574-85B5-5CE039B6E4F8}"/>
                  </a:ext>
                </a:extLst>
              </xdr:cNvPr>
              <xdr:cNvSpPr/>
            </xdr:nvSpPr>
            <xdr:spPr>
              <a:xfrm rot="5400000" flipH="1">
                <a:off x="4177740" y="5891171"/>
                <a:ext cx="525517" cy="1702427"/>
              </a:xfrm>
              <a:prstGeom prst="round2SameRect">
                <a:avLst>
                  <a:gd name="adj1" fmla="val 8667"/>
                  <a:gd name="adj2" fmla="val 0"/>
                </a:avLst>
              </a:prstGeom>
              <a:solidFill>
                <a:schemeClr val="bg1"/>
              </a:solidFill>
              <a:ln>
                <a:solidFill>
                  <a:schemeClr val="tx1">
                    <a:lumMod val="65000"/>
                    <a:lumOff val="35000"/>
                  </a:schemeClr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GB" sz="1100"/>
              </a:p>
            </xdr:txBody>
          </xdr:sp>
        </xdr:grpSp>
        <xdr:sp macro="" textlink="Calc!A30">
          <xdr:nvSpPr>
            <xdr:cNvPr id="51" name="TextBox 50">
              <a:extLst>
                <a:ext uri="{FF2B5EF4-FFF2-40B4-BE49-F238E27FC236}">
                  <a16:creationId xmlns:a16="http://schemas.microsoft.com/office/drawing/2014/main" id="{D0C3275F-80F7-4502-A773-98C81742DEE7}"/>
                </a:ext>
              </a:extLst>
            </xdr:cNvPr>
            <xdr:cNvSpPr txBox="1"/>
          </xdr:nvSpPr>
          <xdr:spPr>
            <a:xfrm>
              <a:off x="3576638" y="6248397"/>
              <a:ext cx="1676400" cy="507547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fld id="{05F7BC0B-68F3-41C1-ACC7-CA8F12E71455}" type="TxLink">
                <a:rPr lang="en-US" sz="2800" b="0" i="0" u="none" strike="noStrike">
                  <a:solidFill>
                    <a:schemeClr val="tx1">
                      <a:lumMod val="65000"/>
                      <a:lumOff val="35000"/>
                    </a:schemeClr>
                  </a:solidFill>
                  <a:latin typeface="Bahnschrift"/>
                </a:rPr>
                <a:pPr algn="ctr"/>
                <a:t>700</a:t>
              </a:fld>
              <a:endParaRPr lang="en-GB" sz="6600" b="1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</a:endParaRPr>
            </a:p>
          </xdr:txBody>
        </xdr:sp>
      </xdr:grpSp>
      <xdr:sp macro="" textlink="">
        <xdr:nvSpPr>
          <xdr:cNvPr id="63" name="TextBox 13">
            <a:extLst>
              <a:ext uri="{FF2B5EF4-FFF2-40B4-BE49-F238E27FC236}">
                <a16:creationId xmlns:a16="http://schemas.microsoft.com/office/drawing/2014/main" id="{40D22D67-FB2E-4193-80BA-82FEBD0E2E2F}"/>
              </a:ext>
            </a:extLst>
          </xdr:cNvPr>
          <xdr:cNvSpPr txBox="1"/>
        </xdr:nvSpPr>
        <xdr:spPr>
          <a:xfrm>
            <a:off x="5403399" y="6313973"/>
            <a:ext cx="1666788" cy="42152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36000" tIns="36000" rIns="36000" bIns="36000" rtlCol="0" anchor="ctr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sr-Latn-RS" sz="9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Bahnschrift"/>
              </a:rPr>
              <a:t>CURRENT</a:t>
            </a:r>
          </a:p>
          <a:p>
            <a:pPr algn="l"/>
            <a:r>
              <a:rPr lang="sr-Latn-RS" sz="9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Bahnschrift"/>
              </a:rPr>
              <a:t>QUANTITY</a:t>
            </a:r>
            <a:r>
              <a:rPr lang="sr-Latn-RS" sz="900" b="1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/>
              </a:rPr>
              <a:t> AVAILABLE</a:t>
            </a:r>
            <a:endParaRPr lang="en-GB" sz="5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>
    <xdr:from>
      <xdr:col>5</xdr:col>
      <xdr:colOff>367862</xdr:colOff>
      <xdr:row>11</xdr:row>
      <xdr:rowOff>802332</xdr:rowOff>
    </xdr:from>
    <xdr:to>
      <xdr:col>11</xdr:col>
      <xdr:colOff>29307</xdr:colOff>
      <xdr:row>11</xdr:row>
      <xdr:rowOff>1327849</xdr:rowOff>
    </xdr:to>
    <xdr:grpSp>
      <xdr:nvGrpSpPr>
        <xdr:cNvPr id="65" name="Group 64">
          <a:extLst>
            <a:ext uri="{FF2B5EF4-FFF2-40B4-BE49-F238E27FC236}">
              <a16:creationId xmlns:a16="http://schemas.microsoft.com/office/drawing/2014/main" id="{EC6F46FE-4330-4558-B07E-23D834C1E5D4}"/>
            </a:ext>
          </a:extLst>
        </xdr:cNvPr>
        <xdr:cNvGrpSpPr/>
      </xdr:nvGrpSpPr>
      <xdr:grpSpPr>
        <a:xfrm>
          <a:off x="3308286" y="6889367"/>
          <a:ext cx="3758315" cy="525517"/>
          <a:chOff x="3309182" y="6254442"/>
          <a:chExt cx="3761005" cy="525517"/>
        </a:xfrm>
      </xdr:grpSpPr>
      <xdr:grpSp>
        <xdr:nvGrpSpPr>
          <xdr:cNvPr id="66" name="Group 65">
            <a:extLst>
              <a:ext uri="{FF2B5EF4-FFF2-40B4-BE49-F238E27FC236}">
                <a16:creationId xmlns:a16="http://schemas.microsoft.com/office/drawing/2014/main" id="{606ADAAC-0BD8-5B85-56A7-1A51F0ABEC4B}"/>
              </a:ext>
            </a:extLst>
          </xdr:cNvPr>
          <xdr:cNvGrpSpPr/>
        </xdr:nvGrpSpPr>
        <xdr:grpSpPr>
          <a:xfrm>
            <a:off x="3309182" y="6254442"/>
            <a:ext cx="1960457" cy="525517"/>
            <a:chOff x="3306325" y="6243965"/>
            <a:chExt cx="1961409" cy="525517"/>
          </a:xfrm>
        </xdr:grpSpPr>
        <xdr:grpSp>
          <xdr:nvGrpSpPr>
            <xdr:cNvPr id="68" name="Group 67">
              <a:extLst>
                <a:ext uri="{FF2B5EF4-FFF2-40B4-BE49-F238E27FC236}">
                  <a16:creationId xmlns:a16="http://schemas.microsoft.com/office/drawing/2014/main" id="{57314227-33F3-B278-1095-98013BAAF6E3}"/>
                </a:ext>
              </a:extLst>
            </xdr:cNvPr>
            <xdr:cNvGrpSpPr/>
          </xdr:nvGrpSpPr>
          <xdr:grpSpPr>
            <a:xfrm>
              <a:off x="3306325" y="6243965"/>
              <a:ext cx="1961409" cy="525517"/>
              <a:chOff x="3331779" y="6479626"/>
              <a:chExt cx="1959931" cy="525517"/>
            </a:xfrm>
          </xdr:grpSpPr>
          <xdr:sp macro="" textlink="">
            <xdr:nvSpPr>
              <xdr:cNvPr id="70" name="Rectangle: Top Corners Rounded 69">
                <a:extLst>
                  <a:ext uri="{FF2B5EF4-FFF2-40B4-BE49-F238E27FC236}">
                    <a16:creationId xmlns:a16="http://schemas.microsoft.com/office/drawing/2014/main" id="{0005B938-C878-9CE2-EC4E-65F96D1C1603}"/>
                  </a:ext>
                </a:extLst>
              </xdr:cNvPr>
              <xdr:cNvSpPr/>
            </xdr:nvSpPr>
            <xdr:spPr>
              <a:xfrm rot="16200000">
                <a:off x="3195020" y="6616385"/>
                <a:ext cx="525517" cy="252000"/>
              </a:xfrm>
              <a:prstGeom prst="round2SameRect">
                <a:avLst/>
              </a:prstGeom>
              <a:solidFill>
                <a:srgbClr val="11A3D7"/>
              </a:solidFill>
              <a:ln>
                <a:solidFill>
                  <a:srgbClr val="11A3D7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GB" sz="1100"/>
              </a:p>
            </xdr:txBody>
          </xdr:sp>
          <xdr:sp macro="" textlink="">
            <xdr:nvSpPr>
              <xdr:cNvPr id="71" name="Rectangle: Top Corners Rounded 70">
                <a:extLst>
                  <a:ext uri="{FF2B5EF4-FFF2-40B4-BE49-F238E27FC236}">
                    <a16:creationId xmlns:a16="http://schemas.microsoft.com/office/drawing/2014/main" id="{9E62FE2D-0DE6-3653-7D3A-037C2215EEB1}"/>
                  </a:ext>
                </a:extLst>
              </xdr:cNvPr>
              <xdr:cNvSpPr/>
            </xdr:nvSpPr>
            <xdr:spPr>
              <a:xfrm rot="5400000" flipH="1">
                <a:off x="4177738" y="5891171"/>
                <a:ext cx="525517" cy="1702427"/>
              </a:xfrm>
              <a:prstGeom prst="round2SameRect">
                <a:avLst>
                  <a:gd name="adj1" fmla="val 8667"/>
                  <a:gd name="adj2" fmla="val 0"/>
                </a:avLst>
              </a:prstGeom>
              <a:solidFill>
                <a:schemeClr val="bg1"/>
              </a:solidFill>
              <a:ln>
                <a:solidFill>
                  <a:srgbClr val="11A3D7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GB" sz="1100"/>
              </a:p>
            </xdr:txBody>
          </xdr:sp>
        </xdr:grpSp>
        <xdr:sp macro="" textlink="Calc!A33">
          <xdr:nvSpPr>
            <xdr:cNvPr id="69" name="TextBox 68">
              <a:extLst>
                <a:ext uri="{FF2B5EF4-FFF2-40B4-BE49-F238E27FC236}">
                  <a16:creationId xmlns:a16="http://schemas.microsoft.com/office/drawing/2014/main" id="{CB2E480D-8327-C5E1-DDFF-F9CC5D4B5130}"/>
                </a:ext>
              </a:extLst>
            </xdr:cNvPr>
            <xdr:cNvSpPr txBox="1"/>
          </xdr:nvSpPr>
          <xdr:spPr>
            <a:xfrm>
              <a:off x="3576638" y="6248397"/>
              <a:ext cx="1676400" cy="5075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fld id="{C3F2FD03-5B47-47FA-8007-47A158A4EC5A}" type="TxLink">
                <a:rPr lang="en-US" sz="2800" b="0" i="0" u="none" strike="noStrike">
                  <a:solidFill>
                    <a:srgbClr val="11A3D7"/>
                  </a:solidFill>
                  <a:latin typeface="Bahnschrift"/>
                </a:rPr>
                <a:pPr algn="ctr"/>
                <a:t>22.6</a:t>
              </a:fld>
              <a:endParaRPr lang="en-GB" sz="16600" b="1">
                <a:solidFill>
                  <a:srgbClr val="11A3D7"/>
                </a:solidFill>
                <a:latin typeface="Bahnschrift" panose="020B0502040204020203" pitchFamily="34" charset="0"/>
              </a:endParaRPr>
            </a:p>
          </xdr:txBody>
        </xdr:sp>
      </xdr:grpSp>
      <xdr:sp macro="" textlink="">
        <xdr:nvSpPr>
          <xdr:cNvPr id="67" name="TextBox 13">
            <a:extLst>
              <a:ext uri="{FF2B5EF4-FFF2-40B4-BE49-F238E27FC236}">
                <a16:creationId xmlns:a16="http://schemas.microsoft.com/office/drawing/2014/main" id="{5B31529F-E148-D352-A82F-99F901264B77}"/>
              </a:ext>
            </a:extLst>
          </xdr:cNvPr>
          <xdr:cNvSpPr txBox="1"/>
        </xdr:nvSpPr>
        <xdr:spPr>
          <a:xfrm>
            <a:off x="5403399" y="6313973"/>
            <a:ext cx="1666788" cy="42152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36000" tIns="36000" rIns="36000" bIns="36000" rtlCol="0" anchor="ctr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sr-Latn-RS" sz="900" b="1" i="0" u="none" strike="noStrike">
                <a:solidFill>
                  <a:srgbClr val="11A3D7"/>
                </a:solidFill>
                <a:latin typeface="Bahnschrift"/>
              </a:rPr>
              <a:t>ITEMS</a:t>
            </a:r>
            <a:r>
              <a:rPr lang="sr-Latn-RS" sz="900" b="1" i="0" u="none" strike="noStrike" baseline="0">
                <a:solidFill>
                  <a:srgbClr val="11A3D7"/>
                </a:solidFill>
                <a:latin typeface="Bahnschrift"/>
              </a:rPr>
              <a:t> SOLD</a:t>
            </a:r>
            <a:endParaRPr lang="sr-Latn-RS" sz="900" b="1" i="0" u="none" strike="noStrike">
              <a:solidFill>
                <a:srgbClr val="11A3D7"/>
              </a:solidFill>
              <a:latin typeface="Bahnschrift"/>
            </a:endParaRPr>
          </a:p>
          <a:p>
            <a:pPr algn="l"/>
            <a:r>
              <a:rPr lang="sr-Latn-RS" sz="900" b="1" i="0" u="none" strike="noStrike">
                <a:solidFill>
                  <a:srgbClr val="11A3D7"/>
                </a:solidFill>
                <a:latin typeface="Bahnschrift"/>
              </a:rPr>
              <a:t>PER DAY</a:t>
            </a:r>
            <a:endParaRPr lang="en-GB" sz="500" b="1">
              <a:solidFill>
                <a:srgbClr val="11A3D7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>
    <xdr:from>
      <xdr:col>5</xdr:col>
      <xdr:colOff>367862</xdr:colOff>
      <xdr:row>11</xdr:row>
      <xdr:rowOff>1499562</xdr:rowOff>
    </xdr:from>
    <xdr:to>
      <xdr:col>11</xdr:col>
      <xdr:colOff>29307</xdr:colOff>
      <xdr:row>11</xdr:row>
      <xdr:rowOff>2025079</xdr:rowOff>
    </xdr:to>
    <xdr:grpSp>
      <xdr:nvGrpSpPr>
        <xdr:cNvPr id="72" name="Group 71">
          <a:extLst>
            <a:ext uri="{FF2B5EF4-FFF2-40B4-BE49-F238E27FC236}">
              <a16:creationId xmlns:a16="http://schemas.microsoft.com/office/drawing/2014/main" id="{8DAF2B04-2E64-42C9-881E-8287EEFA21F3}"/>
            </a:ext>
          </a:extLst>
        </xdr:cNvPr>
        <xdr:cNvGrpSpPr/>
      </xdr:nvGrpSpPr>
      <xdr:grpSpPr>
        <a:xfrm>
          <a:off x="3308286" y="7586597"/>
          <a:ext cx="3758315" cy="525517"/>
          <a:chOff x="3309182" y="6254442"/>
          <a:chExt cx="3761005" cy="525517"/>
        </a:xfrm>
      </xdr:grpSpPr>
      <xdr:grpSp>
        <xdr:nvGrpSpPr>
          <xdr:cNvPr id="73" name="Group 72">
            <a:extLst>
              <a:ext uri="{FF2B5EF4-FFF2-40B4-BE49-F238E27FC236}">
                <a16:creationId xmlns:a16="http://schemas.microsoft.com/office/drawing/2014/main" id="{D6AD2E85-847F-1BF3-CDAD-64C06D74ABE2}"/>
              </a:ext>
            </a:extLst>
          </xdr:cNvPr>
          <xdr:cNvGrpSpPr/>
        </xdr:nvGrpSpPr>
        <xdr:grpSpPr>
          <a:xfrm>
            <a:off x="3309182" y="6254442"/>
            <a:ext cx="1960457" cy="525517"/>
            <a:chOff x="3306325" y="6243965"/>
            <a:chExt cx="1961409" cy="525517"/>
          </a:xfrm>
        </xdr:grpSpPr>
        <xdr:grpSp>
          <xdr:nvGrpSpPr>
            <xdr:cNvPr id="75" name="Group 74">
              <a:extLst>
                <a:ext uri="{FF2B5EF4-FFF2-40B4-BE49-F238E27FC236}">
                  <a16:creationId xmlns:a16="http://schemas.microsoft.com/office/drawing/2014/main" id="{6CD58122-B9AD-2E22-018D-73EE0F2C5CF7}"/>
                </a:ext>
              </a:extLst>
            </xdr:cNvPr>
            <xdr:cNvGrpSpPr/>
          </xdr:nvGrpSpPr>
          <xdr:grpSpPr>
            <a:xfrm>
              <a:off x="3306325" y="6243965"/>
              <a:ext cx="1961409" cy="525517"/>
              <a:chOff x="3331779" y="6479626"/>
              <a:chExt cx="1959931" cy="525517"/>
            </a:xfrm>
          </xdr:grpSpPr>
          <xdr:sp macro="" textlink="">
            <xdr:nvSpPr>
              <xdr:cNvPr id="77" name="Rectangle: Top Corners Rounded 76">
                <a:extLst>
                  <a:ext uri="{FF2B5EF4-FFF2-40B4-BE49-F238E27FC236}">
                    <a16:creationId xmlns:a16="http://schemas.microsoft.com/office/drawing/2014/main" id="{9F3C7390-AE0A-7C06-E9BB-21EEDF205888}"/>
                  </a:ext>
                </a:extLst>
              </xdr:cNvPr>
              <xdr:cNvSpPr/>
            </xdr:nvSpPr>
            <xdr:spPr>
              <a:xfrm rot="16200000">
                <a:off x="3195020" y="6616385"/>
                <a:ext cx="525517" cy="252000"/>
              </a:xfrm>
              <a:prstGeom prst="round2SameRect">
                <a:avLst/>
              </a:prstGeom>
              <a:solidFill>
                <a:srgbClr val="D71387"/>
              </a:solidFill>
              <a:ln>
                <a:solidFill>
                  <a:srgbClr val="D71387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GB" sz="1100"/>
              </a:p>
            </xdr:txBody>
          </xdr:sp>
          <xdr:sp macro="" textlink="">
            <xdr:nvSpPr>
              <xdr:cNvPr id="78" name="Rectangle: Top Corners Rounded 77">
                <a:extLst>
                  <a:ext uri="{FF2B5EF4-FFF2-40B4-BE49-F238E27FC236}">
                    <a16:creationId xmlns:a16="http://schemas.microsoft.com/office/drawing/2014/main" id="{A5D50258-8138-7194-DB79-EDDC50065D01}"/>
                  </a:ext>
                </a:extLst>
              </xdr:cNvPr>
              <xdr:cNvSpPr/>
            </xdr:nvSpPr>
            <xdr:spPr>
              <a:xfrm rot="5400000" flipH="1">
                <a:off x="4177738" y="5891171"/>
                <a:ext cx="525517" cy="1702427"/>
              </a:xfrm>
              <a:prstGeom prst="round2SameRect">
                <a:avLst>
                  <a:gd name="adj1" fmla="val 8667"/>
                  <a:gd name="adj2" fmla="val 0"/>
                </a:avLst>
              </a:prstGeom>
              <a:solidFill>
                <a:schemeClr val="bg1"/>
              </a:solidFill>
              <a:ln>
                <a:solidFill>
                  <a:srgbClr val="D71387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GB" sz="1100"/>
              </a:p>
            </xdr:txBody>
          </xdr:sp>
        </xdr:grpSp>
        <xdr:sp macro="" textlink="Calc!A36">
          <xdr:nvSpPr>
            <xdr:cNvPr id="76" name="TextBox 75">
              <a:extLst>
                <a:ext uri="{FF2B5EF4-FFF2-40B4-BE49-F238E27FC236}">
                  <a16:creationId xmlns:a16="http://schemas.microsoft.com/office/drawing/2014/main" id="{FEB858FB-BD80-9F16-B864-99C243A020EC}"/>
                </a:ext>
              </a:extLst>
            </xdr:cNvPr>
            <xdr:cNvSpPr txBox="1"/>
          </xdr:nvSpPr>
          <xdr:spPr>
            <a:xfrm>
              <a:off x="3576638" y="6248397"/>
              <a:ext cx="1676400" cy="50754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fld id="{CEC2C6E2-98A8-4D72-9040-7907F8FCC7C9}" type="TxLink">
                <a:rPr lang="en-US" sz="2800" b="0" i="0" u="none" strike="noStrike">
                  <a:solidFill>
                    <a:srgbClr val="D71387"/>
                  </a:solidFill>
                  <a:latin typeface="Bahnschrift"/>
                </a:rPr>
                <a:pPr algn="ctr"/>
                <a:t>30.9</a:t>
              </a:fld>
              <a:endParaRPr lang="en-GB" sz="16600" b="1">
                <a:solidFill>
                  <a:srgbClr val="D71387"/>
                </a:solidFill>
                <a:latin typeface="Bahnschrift" panose="020B0502040204020203" pitchFamily="34" charset="0"/>
              </a:endParaRPr>
            </a:p>
          </xdr:txBody>
        </xdr:sp>
      </xdr:grpSp>
      <xdr:sp macro="" textlink="">
        <xdr:nvSpPr>
          <xdr:cNvPr id="74" name="TextBox 13">
            <a:extLst>
              <a:ext uri="{FF2B5EF4-FFF2-40B4-BE49-F238E27FC236}">
                <a16:creationId xmlns:a16="http://schemas.microsoft.com/office/drawing/2014/main" id="{EAF2EC35-29FD-B3D5-2CEC-219D15359FDE}"/>
              </a:ext>
            </a:extLst>
          </xdr:cNvPr>
          <xdr:cNvSpPr txBox="1"/>
        </xdr:nvSpPr>
        <xdr:spPr>
          <a:xfrm>
            <a:off x="5403399" y="6313973"/>
            <a:ext cx="1666788" cy="42152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36000" tIns="36000" rIns="36000" bIns="36000" rtlCol="0" anchor="ctr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sr-Latn-RS" sz="900" b="1" i="0" u="none" strike="noStrike">
                <a:solidFill>
                  <a:srgbClr val="D71387"/>
                </a:solidFill>
                <a:latin typeface="Bahnschrift"/>
              </a:rPr>
              <a:t>PREDICTED DAYS</a:t>
            </a:r>
          </a:p>
          <a:p>
            <a:pPr algn="l"/>
            <a:r>
              <a:rPr lang="sr-Latn-RS" sz="900" b="1" i="0" u="none" strike="noStrike">
                <a:solidFill>
                  <a:srgbClr val="D71387"/>
                </a:solidFill>
                <a:latin typeface="Bahnschrift"/>
              </a:rPr>
              <a:t>ON HAND</a:t>
            </a:r>
            <a:endParaRPr lang="en-GB" sz="500" b="1">
              <a:solidFill>
                <a:srgbClr val="D71387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0.19167</cdr:x>
      <cdr:y>0.00296</cdr:y>
    </cdr:from>
    <cdr:to>
      <cdr:x>0.83833</cdr:x>
      <cdr:y>0.21778</cdr:y>
    </cdr:to>
    <cdr:grpSp>
      <cdr:nvGrpSpPr>
        <cdr:cNvPr id="4" name="Group 3">
          <a:extLst xmlns:a="http://schemas.openxmlformats.org/drawingml/2006/main">
            <a:ext uri="{FF2B5EF4-FFF2-40B4-BE49-F238E27FC236}">
              <a16:creationId xmlns:a16="http://schemas.microsoft.com/office/drawing/2014/main" id="{2BA11B2F-6A78-7115-8A85-EEDCC88CD233}"/>
            </a:ext>
          </a:extLst>
        </cdr:cNvPr>
        <cdr:cNvGrpSpPr/>
      </cdr:nvGrpSpPr>
      <cdr:grpSpPr>
        <a:xfrm xmlns:a="http://schemas.openxmlformats.org/drawingml/2006/main">
          <a:off x="624098" y="7271"/>
          <a:ext cx="2105595" cy="527669"/>
          <a:chOff x="745670" y="39915"/>
          <a:chExt cx="2111829" cy="526144"/>
        </a:xfrm>
      </cdr:grpSpPr>
      <cdr:sp macro="" textlink="DASHBOARD!$E$5">
        <cdr:nvSpPr>
          <cdr:cNvPr id="2" name="TextBox 13">
            <a:extLst xmlns:a="http://schemas.openxmlformats.org/drawingml/2006/main">
              <a:ext uri="{FF2B5EF4-FFF2-40B4-BE49-F238E27FC236}">
                <a16:creationId xmlns:a16="http://schemas.microsoft.com/office/drawing/2014/main" id="{B66AF1DC-A76D-5CE0-805C-29D61AD7743F}"/>
              </a:ext>
            </a:extLst>
          </cdr:cNvPr>
          <cdr:cNvSpPr txBox="1"/>
        </cdr:nvSpPr>
        <cdr:spPr>
          <a:xfrm xmlns:a="http://schemas.openxmlformats.org/drawingml/2006/main">
            <a:off x="745670" y="39915"/>
            <a:ext cx="2111829" cy="297544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wrap="none" lIns="36000" tIns="36000" rIns="36000" bIns="36000" rtlCol="0" anchor="ctr"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fld id="{BA892741-24E9-4647-A40B-4D77D29A938B}" type="TxLink"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Bahnschrift"/>
              </a:rPr>
              <a:pPr algn="ctr"/>
              <a:t>January 2023</a:t>
            </a:fld>
            <a:endParaRPr lang="en-GB" sz="9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cdr:txBody>
      </cdr:sp>
      <cdr:sp macro="" textlink="">
        <cdr:nvSpPr>
          <cdr:cNvPr id="3" name="TextBox 13">
            <a:extLst xmlns:a="http://schemas.openxmlformats.org/drawingml/2006/main">
              <a:ext uri="{FF2B5EF4-FFF2-40B4-BE49-F238E27FC236}">
                <a16:creationId xmlns:a16="http://schemas.microsoft.com/office/drawing/2014/main" id="{0CA706AB-142D-AD0A-D85D-4D8A2FD9DB49}"/>
              </a:ext>
            </a:extLst>
          </cdr:cNvPr>
          <cdr:cNvSpPr txBox="1"/>
        </cdr:nvSpPr>
        <cdr:spPr>
          <a:xfrm xmlns:a="http://schemas.openxmlformats.org/drawingml/2006/main">
            <a:off x="745670" y="268515"/>
            <a:ext cx="2111829" cy="297544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wrap="none" lIns="36000" tIns="36000" rIns="36000" bIns="36000" rtlCol="0" anchor="ctr"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sr-Latn-R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Bahnschrift"/>
              </a:rPr>
              <a:t>PURCHASED ITEMS BY GROUPS</a:t>
            </a:r>
            <a:endParaRPr lang="en-GB" sz="9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cdr:txBody>
      </cdr: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0.19167</cdr:x>
      <cdr:y>0.00296</cdr:y>
    </cdr:from>
    <cdr:to>
      <cdr:x>0.83833</cdr:x>
      <cdr:y>0.21778</cdr:y>
    </cdr:to>
    <cdr:grpSp>
      <cdr:nvGrpSpPr>
        <cdr:cNvPr id="4" name="Group 3">
          <a:extLst xmlns:a="http://schemas.openxmlformats.org/drawingml/2006/main">
            <a:ext uri="{FF2B5EF4-FFF2-40B4-BE49-F238E27FC236}">
              <a16:creationId xmlns:a16="http://schemas.microsoft.com/office/drawing/2014/main" id="{2BA11B2F-6A78-7115-8A85-EEDCC88CD233}"/>
            </a:ext>
          </a:extLst>
        </cdr:cNvPr>
        <cdr:cNvGrpSpPr/>
      </cdr:nvGrpSpPr>
      <cdr:grpSpPr>
        <a:xfrm xmlns:a="http://schemas.openxmlformats.org/drawingml/2006/main">
          <a:off x="624589" y="7271"/>
          <a:ext cx="2107251" cy="527669"/>
          <a:chOff x="745670" y="39915"/>
          <a:chExt cx="2111829" cy="526144"/>
        </a:xfrm>
      </cdr:grpSpPr>
      <cdr:sp macro="" textlink="DASHBOARD!$E$5">
        <cdr:nvSpPr>
          <cdr:cNvPr id="2" name="TextBox 13">
            <a:extLst xmlns:a="http://schemas.openxmlformats.org/drawingml/2006/main">
              <a:ext uri="{FF2B5EF4-FFF2-40B4-BE49-F238E27FC236}">
                <a16:creationId xmlns:a16="http://schemas.microsoft.com/office/drawing/2014/main" id="{B66AF1DC-A76D-5CE0-805C-29D61AD7743F}"/>
              </a:ext>
            </a:extLst>
          </cdr:cNvPr>
          <cdr:cNvSpPr txBox="1"/>
        </cdr:nvSpPr>
        <cdr:spPr>
          <a:xfrm xmlns:a="http://schemas.openxmlformats.org/drawingml/2006/main">
            <a:off x="745670" y="39915"/>
            <a:ext cx="2111829" cy="297544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wrap="none" lIns="36000" tIns="36000" rIns="36000" bIns="36000" rtlCol="0" anchor="ctr"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fld id="{BA892741-24E9-4647-A40B-4D77D29A938B}" type="TxLink"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Bahnschrift"/>
              </a:rPr>
              <a:pPr algn="ctr"/>
              <a:t>January 2023</a:t>
            </a:fld>
            <a:endParaRPr lang="en-GB" sz="9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cdr:txBody>
      </cdr:sp>
      <cdr:sp macro="" textlink="">
        <cdr:nvSpPr>
          <cdr:cNvPr id="3" name="TextBox 13">
            <a:extLst xmlns:a="http://schemas.openxmlformats.org/drawingml/2006/main">
              <a:ext uri="{FF2B5EF4-FFF2-40B4-BE49-F238E27FC236}">
                <a16:creationId xmlns:a16="http://schemas.microsoft.com/office/drawing/2014/main" id="{0CA706AB-142D-AD0A-D85D-4D8A2FD9DB49}"/>
              </a:ext>
            </a:extLst>
          </cdr:cNvPr>
          <cdr:cNvSpPr txBox="1"/>
        </cdr:nvSpPr>
        <cdr:spPr>
          <a:xfrm xmlns:a="http://schemas.openxmlformats.org/drawingml/2006/main">
            <a:off x="745670" y="268515"/>
            <a:ext cx="2111829" cy="297544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wrap="none" lIns="36000" tIns="36000" rIns="36000" bIns="36000" rtlCol="0" anchor="ctr"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sr-Latn-R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Bahnschrift"/>
              </a:rPr>
              <a:t>ITEMS SOLD BY GROUPS</a:t>
            </a:r>
            <a:endParaRPr lang="en-GB" sz="900" b="1">
              <a:solidFill>
                <a:schemeClr val="tx1">
                  <a:lumMod val="65000"/>
                  <a:lumOff val="35000"/>
                </a:schemeClr>
              </a:solidFill>
              <a:latin typeface="Bahnschrift" panose="020B0502040204020203" pitchFamily="34" charset="0"/>
            </a:endParaRPr>
          </a:p>
        </cdr:txBody>
      </cdr:sp>
    </cdr:grp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14287</xdr:rowOff>
    </xdr:from>
    <xdr:to>
      <xdr:col>1</xdr:col>
      <xdr:colOff>2160027</xdr:colOff>
      <xdr:row>4</xdr:row>
      <xdr:rowOff>104775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04EFB5-D724-437F-91F2-D86597C62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80047"/>
          <a:ext cx="2160027" cy="4562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C456CA-937C-4848-AD27-CFE55D7B22ED}" name="Products" displayName="Products" ref="A1:K21" totalsRowShown="0" headerRowDxfId="41" dataDxfId="40">
  <autoFilter ref="A1:K21" xr:uid="{F0C456CA-937C-4848-AD27-CFE55D7B22ED}"/>
  <tableColumns count="11">
    <tableColumn id="1" xr3:uid="{0B60727D-AB80-4BBA-A80B-FC411ECFFC0E}" name="ID" dataDxfId="39"/>
    <tableColumn id="2" xr3:uid="{34663AE6-7865-4F6B-840E-5DBBA43DF7E6}" name="Product Description" dataDxfId="38"/>
    <tableColumn id="3" xr3:uid="{BCA648BB-488A-405A-BD1E-5BCFDAD64BE1}" name="Product Group" dataDxfId="37"/>
    <tableColumn id="4" xr3:uid="{D4E61F7F-5DAA-40D0-8789-4A428C2A26F1}" name="Unit Price" dataDxfId="36"/>
    <tableColumn id="8" xr3:uid="{4BADD3D0-747C-4E1A-84CC-1319EF7675E2}" name="Optimal Qty" dataDxfId="35"/>
    <tableColumn id="5" xr3:uid="{1EA8057B-4618-43FF-90FF-42573757643B}" name="MIN Qty" dataDxfId="34"/>
    <tableColumn id="6" xr3:uid="{7E173A9E-B511-4CA0-9FBB-10C956005E58}" name="Current Stock" dataDxfId="33">
      <calculatedColumnFormula>SUMIF(Input[Product ID], Products[[#This Row],[ID]], Input[Units Received])-SUMIF(Output[Product ID], Products[[#This Row],[ID]], Output[Units Sold])</calculatedColumnFormula>
    </tableColumn>
    <tableColumn id="7" xr3:uid="{E8AE3F25-6FBE-44EA-905A-C19CEC6D9AFF}" name="Stock Value" dataDxfId="32">
      <calculatedColumnFormula>Products[[#This Row],[Unit Price]]*Products[[#This Row],[Current Stock]]</calculatedColumnFormula>
    </tableColumn>
    <tableColumn id="9" xr3:uid="{2DECBF4A-0C59-48F0-9217-B63DE279EEF8}" name="Min to Reorder" dataDxfId="31">
      <calculatedColumnFormula>IF(Products[[#This Row],[Current Stock]]&lt;Products[[#This Row],[Optimal Qty]], Products[[#This Row],[Optimal Qty]]-Products[[#This Row],[Current Stock]],0)</calculatedColumnFormula>
    </tableColumn>
    <tableColumn id="10" xr3:uid="{9FF01010-96A6-417F-BC5D-CE6C58496193}" name="Status" dataDxfId="30">
      <calculatedColumnFormula>IF(Products[[#This Row],[Current Stock]]&gt;=Products[[#This Row],[Optimal Qty]], "STOCK OK", IF(Products[[#This Row],[Current Stock]]&lt;Products[[#This Row],[MIN Qty]], "REORDER NOW", "BELOW OPTIMAL"))</calculatedColumnFormula>
    </tableColumn>
    <tableColumn id="11" xr3:uid="{E4FF25FC-80C2-4D9C-A2E7-56353AD9E2C6}" name="Percentage of Optimal" dataDxfId="29">
      <calculatedColumnFormula>Products[[#This Row],[Current Stock]]/Products[[#This Row],[Optimal Qty]]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733E30-A45E-4935-8127-D29E600ABA0D}" name="Input" displayName="Input" ref="A1:H71" totalsRowShown="0" headerRowDxfId="28" dataDxfId="27">
  <autoFilter ref="A1:H71" xr:uid="{4C733E30-A45E-4935-8127-D29E600ABA0D}"/>
  <tableColumns count="8">
    <tableColumn id="1" xr3:uid="{B7C2494F-983E-43F8-97D1-2B3DB2DDD37F}" name="Transaction ID" dataDxfId="26"/>
    <tableColumn id="2" xr3:uid="{F5BC1E4E-CE85-4C8B-84F1-C48AB204A3DE}" name="Date" dataDxfId="25"/>
    <tableColumn id="3" xr3:uid="{D1027CB8-BC09-49E5-940E-275B6082371A}" name="Product ID" dataDxfId="24"/>
    <tableColumn id="4" xr3:uid="{E48D6A16-5A42-41B4-964B-114A049A86E6}" name="Product" dataDxfId="23"/>
    <tableColumn id="5" xr3:uid="{63A552E3-59AE-4685-97B7-4C3CE3715435}" name="Product Group" dataDxfId="22"/>
    <tableColumn id="6" xr3:uid="{3A718F0B-0C5A-4AEF-9BC4-28D0FD9F5F7E}" name="Unit Price" dataDxfId="21"/>
    <tableColumn id="7" xr3:uid="{667EB110-681E-430F-B4A1-EC71BAC64EE7}" name="Units Received" dataDxfId="20"/>
    <tableColumn id="8" xr3:uid="{14A3C505-5C7C-4DAF-8567-2AC4A09F491B}" name="Amount" dataDxfId="19">
      <calculatedColumnFormula>F2*G2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C24C8E0-7DDE-430D-B026-A88B5EDE4369}" name="Output" displayName="Output" ref="A1:H71" totalsRowShown="0" headerRowDxfId="18" dataDxfId="17">
  <autoFilter ref="A1:H71" xr:uid="{8C24C8E0-7DDE-430D-B026-A88B5EDE4369}"/>
  <tableColumns count="8">
    <tableColumn id="1" xr3:uid="{89C1DF89-F0ED-4786-9FD7-B26C7B58BC34}" name="Transaction ID" dataDxfId="16"/>
    <tableColumn id="2" xr3:uid="{ABB150DE-FC88-4964-8B9C-DCADCD277D20}" name="Date" dataDxfId="15"/>
    <tableColumn id="3" xr3:uid="{1EAD1368-7F85-47AB-BCC8-F556A1F36433}" name="Product ID" dataDxfId="14"/>
    <tableColumn id="4" xr3:uid="{C254F648-48E5-47BF-8E50-85A0A6D8D916}" name="Product" dataDxfId="13"/>
    <tableColumn id="5" xr3:uid="{34F3A8F3-4BE5-4B63-AE21-7580F7E420E5}" name="Product Group" dataDxfId="12"/>
    <tableColumn id="6" xr3:uid="{19F8C383-6381-472D-ACCF-D1D3950AE84C}" name="Unit Price" dataDxfId="11"/>
    <tableColumn id="7" xr3:uid="{BB6194B5-9497-40C2-AF12-AB5ACAC26400}" name="Units Sold" dataDxfId="10"/>
    <tableColumn id="8" xr3:uid="{70D92632-A335-4874-9D2A-9F43871A7906}" name="Amount" dataDxfId="9">
      <calculatedColumnFormula>F2*G2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tables/table1.xml" Type="http://schemas.openxmlformats.org/officeDocument/2006/relationships/table"/>
</Relationships>

</file>

<file path=xl/worksheets/_rels/sheet2.xml.rels><?xml version="1.0" encoding="UTF-8" standalone="no"?>
<Relationships xmlns="http://schemas.openxmlformats.org/package/2006/relationships">
<Relationship Id="rId1" Target="../tables/table2.xml" Type="http://schemas.openxmlformats.org/officeDocument/2006/relationships/table"/>
</Relationships>

</file>

<file path=xl/worksheets/_rels/sheet3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Relationship Id="rId2" Target="../tables/table3.xml" Type="http://schemas.openxmlformats.org/officeDocument/2006/relationships/table"/>
</Relationships>

</file>

<file path=xl/worksheets/_rels/sheet4.xml.rels><?xml version="1.0" encoding="UTF-8" standalone="no"?>
<Relationships xmlns="http://schemas.openxmlformats.org/package/2006/relationships">
<Relationship Id="rId1" Target="../printerSettings/printerSettings3.bin" Type="http://schemas.openxmlformats.org/officeDocument/2006/relationships/printerSettings"/>
</Relationships>

</file>

<file path=xl/worksheets/_rels/sheet5.xml.rels><?xml version="1.0" encoding="UTF-8" standalone="no"?>
<Relationships xmlns="http://schemas.openxmlformats.org/package/2006/relationships">
<Relationship Id="rId1" Target="../printerSettings/printerSettings4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_rels/sheet6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drawings/drawing4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4BC0B-72CF-4295-BDD5-AF6AA5E9BB50}">
  <dimension ref="A1:K21"/>
  <sheetViews>
    <sheetView zoomScale="85" zoomScaleNormal="85" workbookViewId="0">
      <selection activeCell="C41" sqref="C41"/>
    </sheetView>
  </sheetViews>
  <sheetFormatPr defaultRowHeight="13.8" x14ac:dyDescent="0.3"/>
  <cols>
    <col min="1" max="1" width="13.109375" style="2" customWidth="1"/>
    <col min="2" max="2" width="26.33203125" style="2" customWidth="1"/>
    <col min="3" max="3" width="20.21875" style="2" customWidth="1"/>
    <col min="4" max="4" width="17" style="2" customWidth="1"/>
    <col min="5" max="5" width="15.6640625" style="2" customWidth="1"/>
    <col min="6" max="6" width="19.6640625" style="2" customWidth="1"/>
    <col min="7" max="7" width="20.21875" style="2" customWidth="1"/>
    <col min="8" max="8" width="13.6640625" style="2" customWidth="1"/>
    <col min="9" max="9" width="19.21875" style="2" customWidth="1"/>
    <col min="10" max="10" width="22.33203125" style="2" customWidth="1"/>
    <col min="11" max="11" width="23" style="2" customWidth="1"/>
    <col min="12" max="16384" width="8.88671875" style="2"/>
  </cols>
  <sheetData>
    <row r="1" spans="1:11" x14ac:dyDescent="0.3">
      <c r="A1" s="2" t="s">
        <v>0</v>
      </c>
      <c r="B1" s="2" t="s">
        <v>21</v>
      </c>
      <c r="C1" s="2" t="s">
        <v>22</v>
      </c>
      <c r="D1" s="2" t="s">
        <v>27</v>
      </c>
      <c r="E1" s="2" t="s">
        <v>38</v>
      </c>
      <c r="F1" s="2" t="s">
        <v>28</v>
      </c>
      <c r="G1" s="2" t="s">
        <v>29</v>
      </c>
      <c r="H1" s="2" t="s">
        <v>30</v>
      </c>
      <c r="I1" s="2" t="s">
        <v>48</v>
      </c>
      <c r="J1" s="2" t="s">
        <v>49</v>
      </c>
      <c r="K1" s="2" t="s">
        <v>50</v>
      </c>
    </row>
    <row r="2" spans="1:11" x14ac:dyDescent="0.3">
      <c r="A2" s="2">
        <v>1001</v>
      </c>
      <c r="B2" s="2" t="s">
        <v>1</v>
      </c>
      <c r="C2" s="2" t="s">
        <v>23</v>
      </c>
      <c r="D2" s="3">
        <v>10.5</v>
      </c>
      <c r="E2" s="20">
        <v>200</v>
      </c>
      <c r="F2" s="20">
        <v>100</v>
      </c>
      <c r="G2" s="20">
        <f>SUMIF(Input[Product ID], Products[[#This Row],[ID]], Input[Units Received])-SUMIF(Output[Product ID], Products[[#This Row],[ID]], Output[Units Sold])</f>
        <v>100</v>
      </c>
      <c r="H2" s="3">
        <f>Products[[#This Row],[Unit Price]]*Products[[#This Row],[Current Stock]]</f>
        <v>1050</v>
      </c>
      <c r="I2" s="20">
        <f>IF(Products[[#This Row],[Current Stock]]&lt;Products[[#This Row],[Optimal Qty]], Products[[#This Row],[Optimal Qty]]-Products[[#This Row],[Current Stock]],0)</f>
        <v>100</v>
      </c>
      <c r="J2" s="20" t="str">
        <f>IF(Products[[#This Row],[Current Stock]]&gt;=Products[[#This Row],[Optimal Qty]], "STOCK OK", IF(Products[[#This Row],[Current Stock]]&lt;Products[[#This Row],[MIN Qty]], "REORDER NOW", "BELOW OPTIMAL"))</f>
        <v>BELOW OPTIMAL</v>
      </c>
      <c r="K2" s="21">
        <f>Products[[#This Row],[Current Stock]]/Products[[#This Row],[Optimal Qty]]</f>
        <v>0.5</v>
      </c>
    </row>
    <row r="3" spans="1:11" x14ac:dyDescent="0.3">
      <c r="A3" s="2">
        <v>1002</v>
      </c>
      <c r="B3" s="2" t="s">
        <v>2</v>
      </c>
      <c r="C3" s="2" t="s">
        <v>24</v>
      </c>
      <c r="D3" s="3">
        <v>20</v>
      </c>
      <c r="E3" s="20">
        <v>300</v>
      </c>
      <c r="F3" s="20">
        <v>200</v>
      </c>
      <c r="G3" s="20">
        <f>SUMIF(Input[Product ID], Products[[#This Row],[ID]], Input[Units Received])-SUMIF(Output[Product ID], Products[[#This Row],[ID]], Output[Units Sold])</f>
        <v>300</v>
      </c>
      <c r="H3" s="3">
        <f>Products[[#This Row],[Unit Price]]*Products[[#This Row],[Current Stock]]</f>
        <v>6000</v>
      </c>
      <c r="I3" s="20">
        <f>IF(Products[[#This Row],[Current Stock]]&lt;Products[[#This Row],[Optimal Qty]], Products[[#This Row],[Optimal Qty]]-Products[[#This Row],[Current Stock]],0)</f>
        <v>0</v>
      </c>
      <c r="J3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3" s="21">
        <f>Products[[#This Row],[Current Stock]]/Products[[#This Row],[Optimal Qty]]</f>
        <v>1</v>
      </c>
    </row>
    <row r="4" spans="1:11" x14ac:dyDescent="0.3">
      <c r="A4" s="2">
        <v>1003</v>
      </c>
      <c r="B4" s="2" t="s">
        <v>3</v>
      </c>
      <c r="C4" s="2" t="s">
        <v>25</v>
      </c>
      <c r="D4" s="3">
        <v>30.2</v>
      </c>
      <c r="E4" s="20">
        <v>400</v>
      </c>
      <c r="F4" s="20">
        <v>300</v>
      </c>
      <c r="G4" s="20">
        <f>SUMIF(Input[Product ID], Products[[#This Row],[ID]], Input[Units Received])-SUMIF(Output[Product ID], Products[[#This Row],[ID]], Output[Units Sold])</f>
        <v>100</v>
      </c>
      <c r="H4" s="3">
        <f>Products[[#This Row],[Unit Price]]*Products[[#This Row],[Current Stock]]</f>
        <v>3020</v>
      </c>
      <c r="I4" s="20">
        <f>IF(Products[[#This Row],[Current Stock]]&lt;Products[[#This Row],[Optimal Qty]], Products[[#This Row],[Optimal Qty]]-Products[[#This Row],[Current Stock]],0)</f>
        <v>300</v>
      </c>
      <c r="J4" s="20" t="str">
        <f>IF(Products[[#This Row],[Current Stock]]&gt;=Products[[#This Row],[Optimal Qty]], "STOCK OK", IF(Products[[#This Row],[Current Stock]]&lt;Products[[#This Row],[MIN Qty]], "REORDER NOW", "BELOW OPTIMAL"))</f>
        <v>REORDER NOW</v>
      </c>
      <c r="K4" s="21">
        <f>Products[[#This Row],[Current Stock]]/Products[[#This Row],[Optimal Qty]]</f>
        <v>0.25</v>
      </c>
    </row>
    <row r="5" spans="1:11" x14ac:dyDescent="0.3">
      <c r="A5" s="2">
        <v>1004</v>
      </c>
      <c r="B5" s="2" t="s">
        <v>4</v>
      </c>
      <c r="C5" s="2" t="s">
        <v>23</v>
      </c>
      <c r="D5" s="3">
        <v>15</v>
      </c>
      <c r="E5" s="20">
        <v>200</v>
      </c>
      <c r="F5" s="20">
        <v>100</v>
      </c>
      <c r="G5" s="20">
        <f>SUMIF(Input[Product ID], Products[[#This Row],[ID]], Input[Units Received])-SUMIF(Output[Product ID], Products[[#This Row],[ID]], Output[Units Sold])</f>
        <v>100</v>
      </c>
      <c r="H5" s="3">
        <f>Products[[#This Row],[Unit Price]]*Products[[#This Row],[Current Stock]]</f>
        <v>1500</v>
      </c>
      <c r="I5" s="20">
        <f>IF(Products[[#This Row],[Current Stock]]&lt;Products[[#This Row],[Optimal Qty]], Products[[#This Row],[Optimal Qty]]-Products[[#This Row],[Current Stock]],0)</f>
        <v>100</v>
      </c>
      <c r="J5" s="20" t="str">
        <f>IF(Products[[#This Row],[Current Stock]]&gt;=Products[[#This Row],[Optimal Qty]], "STOCK OK", IF(Products[[#This Row],[Current Stock]]&lt;Products[[#This Row],[MIN Qty]], "REORDER NOW", "BELOW OPTIMAL"))</f>
        <v>BELOW OPTIMAL</v>
      </c>
      <c r="K5" s="21">
        <f>Products[[#This Row],[Current Stock]]/Products[[#This Row],[Optimal Qty]]</f>
        <v>0.5</v>
      </c>
    </row>
    <row r="6" spans="1:11" x14ac:dyDescent="0.3">
      <c r="A6" s="2">
        <v>1005</v>
      </c>
      <c r="B6" s="2" t="s">
        <v>5</v>
      </c>
      <c r="C6" s="2" t="s">
        <v>23</v>
      </c>
      <c r="D6" s="3">
        <v>16.399999999999999</v>
      </c>
      <c r="E6" s="20">
        <v>300</v>
      </c>
      <c r="F6" s="20">
        <v>150</v>
      </c>
      <c r="G6" s="20">
        <f>SUMIF(Input[Product ID], Products[[#This Row],[ID]], Input[Units Received])-SUMIF(Output[Product ID], Products[[#This Row],[ID]], Output[Units Sold])</f>
        <v>400</v>
      </c>
      <c r="H6" s="3">
        <f>Products[[#This Row],[Unit Price]]*Products[[#This Row],[Current Stock]]</f>
        <v>6559.9999999999991</v>
      </c>
      <c r="I6" s="20">
        <f>IF(Products[[#This Row],[Current Stock]]&lt;Products[[#This Row],[Optimal Qty]], Products[[#This Row],[Optimal Qty]]-Products[[#This Row],[Current Stock]],0)</f>
        <v>0</v>
      </c>
      <c r="J6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6" s="21">
        <f>Products[[#This Row],[Current Stock]]/Products[[#This Row],[Optimal Qty]]</f>
        <v>1.3333333333333333</v>
      </c>
    </row>
    <row r="7" spans="1:11" x14ac:dyDescent="0.3">
      <c r="A7" s="2">
        <v>1006</v>
      </c>
      <c r="B7" s="2" t="s">
        <v>6</v>
      </c>
      <c r="C7" s="2" t="s">
        <v>26</v>
      </c>
      <c r="D7" s="3">
        <v>17.100000000000001</v>
      </c>
      <c r="E7" s="20">
        <v>500</v>
      </c>
      <c r="F7" s="20">
        <v>200</v>
      </c>
      <c r="G7" s="20">
        <f>SUMIF(Input[Product ID], Products[[#This Row],[ID]], Input[Units Received])-SUMIF(Output[Product ID], Products[[#This Row],[ID]], Output[Units Sold])</f>
        <v>800</v>
      </c>
      <c r="H7" s="3">
        <f>Products[[#This Row],[Unit Price]]*Products[[#This Row],[Current Stock]]</f>
        <v>13680.000000000002</v>
      </c>
      <c r="I7" s="20">
        <f>IF(Products[[#This Row],[Current Stock]]&lt;Products[[#This Row],[Optimal Qty]], Products[[#This Row],[Optimal Qty]]-Products[[#This Row],[Current Stock]],0)</f>
        <v>0</v>
      </c>
      <c r="J7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7" s="21">
        <f>Products[[#This Row],[Current Stock]]/Products[[#This Row],[Optimal Qty]]</f>
        <v>1.6</v>
      </c>
    </row>
    <row r="8" spans="1:11" x14ac:dyDescent="0.3">
      <c r="A8" s="2">
        <v>1007</v>
      </c>
      <c r="B8" s="2" t="s">
        <v>7</v>
      </c>
      <c r="C8" s="2" t="s">
        <v>26</v>
      </c>
      <c r="D8" s="3">
        <v>20.399999999999999</v>
      </c>
      <c r="E8" s="20">
        <v>500</v>
      </c>
      <c r="F8" s="20">
        <v>250</v>
      </c>
      <c r="G8" s="20">
        <f>SUMIF(Input[Product ID], Products[[#This Row],[ID]], Input[Units Received])-SUMIF(Output[Product ID], Products[[#This Row],[ID]], Output[Units Sold])</f>
        <v>700</v>
      </c>
      <c r="H8" s="3">
        <f>Products[[#This Row],[Unit Price]]*Products[[#This Row],[Current Stock]]</f>
        <v>14279.999999999998</v>
      </c>
      <c r="I8" s="20">
        <f>IF(Products[[#This Row],[Current Stock]]&lt;Products[[#This Row],[Optimal Qty]], Products[[#This Row],[Optimal Qty]]-Products[[#This Row],[Current Stock]],0)</f>
        <v>0</v>
      </c>
      <c r="J8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8" s="21">
        <f>Products[[#This Row],[Current Stock]]/Products[[#This Row],[Optimal Qty]]</f>
        <v>1.4</v>
      </c>
    </row>
    <row r="9" spans="1:11" x14ac:dyDescent="0.3">
      <c r="A9" s="2">
        <v>1008</v>
      </c>
      <c r="B9" s="2" t="s">
        <v>8</v>
      </c>
      <c r="C9" s="2" t="s">
        <v>23</v>
      </c>
      <c r="D9" s="3">
        <v>32.200000000000003</v>
      </c>
      <c r="E9" s="20">
        <v>800</v>
      </c>
      <c r="F9" s="20">
        <v>300</v>
      </c>
      <c r="G9" s="20">
        <f>SUMIF(Input[Product ID], Products[[#This Row],[ID]], Input[Units Received])-SUMIF(Output[Product ID], Products[[#This Row],[ID]], Output[Units Sold])</f>
        <v>700</v>
      </c>
      <c r="H9" s="3">
        <f>Products[[#This Row],[Unit Price]]*Products[[#This Row],[Current Stock]]</f>
        <v>22540.000000000004</v>
      </c>
      <c r="I9" s="20">
        <f>IF(Products[[#This Row],[Current Stock]]&lt;Products[[#This Row],[Optimal Qty]], Products[[#This Row],[Optimal Qty]]-Products[[#This Row],[Current Stock]],0)</f>
        <v>100</v>
      </c>
      <c r="J9" s="20" t="str">
        <f>IF(Products[[#This Row],[Current Stock]]&gt;=Products[[#This Row],[Optimal Qty]], "STOCK OK", IF(Products[[#This Row],[Current Stock]]&lt;Products[[#This Row],[MIN Qty]], "REORDER NOW", "BELOW OPTIMAL"))</f>
        <v>BELOW OPTIMAL</v>
      </c>
      <c r="K9" s="21">
        <f>Products[[#This Row],[Current Stock]]/Products[[#This Row],[Optimal Qty]]</f>
        <v>0.875</v>
      </c>
    </row>
    <row r="10" spans="1:11" x14ac:dyDescent="0.3">
      <c r="A10" s="2">
        <v>1009</v>
      </c>
      <c r="B10" s="2" t="s">
        <v>9</v>
      </c>
      <c r="C10" s="2" t="s">
        <v>24</v>
      </c>
      <c r="D10" s="3">
        <v>16</v>
      </c>
      <c r="E10" s="20">
        <v>600</v>
      </c>
      <c r="F10" s="20">
        <v>250</v>
      </c>
      <c r="G10" s="20">
        <f>SUMIF(Input[Product ID], Products[[#This Row],[ID]], Input[Units Received])-SUMIF(Output[Product ID], Products[[#This Row],[ID]], Output[Units Sold])</f>
        <v>650</v>
      </c>
      <c r="H10" s="3">
        <f>Products[[#This Row],[Unit Price]]*Products[[#This Row],[Current Stock]]</f>
        <v>10400</v>
      </c>
      <c r="I10" s="20">
        <f>IF(Products[[#This Row],[Current Stock]]&lt;Products[[#This Row],[Optimal Qty]], Products[[#This Row],[Optimal Qty]]-Products[[#This Row],[Current Stock]],0)</f>
        <v>0</v>
      </c>
      <c r="J10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10" s="21">
        <f>Products[[#This Row],[Current Stock]]/Products[[#This Row],[Optimal Qty]]</f>
        <v>1.0833333333333333</v>
      </c>
    </row>
    <row r="11" spans="1:11" x14ac:dyDescent="0.3">
      <c r="A11" s="2">
        <v>1010</v>
      </c>
      <c r="B11" s="2" t="s">
        <v>10</v>
      </c>
      <c r="C11" s="2" t="s">
        <v>24</v>
      </c>
      <c r="D11" s="3">
        <v>11.5</v>
      </c>
      <c r="E11" s="20">
        <v>500</v>
      </c>
      <c r="F11" s="20">
        <v>300</v>
      </c>
      <c r="G11" s="20">
        <f>SUMIF(Input[Product ID], Products[[#This Row],[ID]], Input[Units Received])-SUMIF(Output[Product ID], Products[[#This Row],[ID]], Output[Units Sold])</f>
        <v>800</v>
      </c>
      <c r="H11" s="3">
        <f>Products[[#This Row],[Unit Price]]*Products[[#This Row],[Current Stock]]</f>
        <v>9200</v>
      </c>
      <c r="I11" s="20">
        <f>IF(Products[[#This Row],[Current Stock]]&lt;Products[[#This Row],[Optimal Qty]], Products[[#This Row],[Optimal Qty]]-Products[[#This Row],[Current Stock]],0)</f>
        <v>0</v>
      </c>
      <c r="J11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11" s="21">
        <f>Products[[#This Row],[Current Stock]]/Products[[#This Row],[Optimal Qty]]</f>
        <v>1.6</v>
      </c>
    </row>
    <row r="12" spans="1:11" x14ac:dyDescent="0.3">
      <c r="A12" s="2">
        <v>1011</v>
      </c>
      <c r="B12" s="2" t="s">
        <v>11</v>
      </c>
      <c r="C12" s="2" t="s">
        <v>25</v>
      </c>
      <c r="D12" s="3">
        <v>13.8</v>
      </c>
      <c r="E12" s="20">
        <v>500</v>
      </c>
      <c r="F12" s="20">
        <v>400</v>
      </c>
      <c r="G12" s="20">
        <f>SUMIF(Input[Product ID], Products[[#This Row],[ID]], Input[Units Received])-SUMIF(Output[Product ID], Products[[#This Row],[ID]], Output[Units Sold])</f>
        <v>300</v>
      </c>
      <c r="H12" s="3">
        <f>Products[[#This Row],[Unit Price]]*Products[[#This Row],[Current Stock]]</f>
        <v>4140</v>
      </c>
      <c r="I12" s="20">
        <f>IF(Products[[#This Row],[Current Stock]]&lt;Products[[#This Row],[Optimal Qty]], Products[[#This Row],[Optimal Qty]]-Products[[#This Row],[Current Stock]],0)</f>
        <v>200</v>
      </c>
      <c r="J12" s="20" t="str">
        <f>IF(Products[[#This Row],[Current Stock]]&gt;=Products[[#This Row],[Optimal Qty]], "STOCK OK", IF(Products[[#This Row],[Current Stock]]&lt;Products[[#This Row],[MIN Qty]], "REORDER NOW", "BELOW OPTIMAL"))</f>
        <v>REORDER NOW</v>
      </c>
      <c r="K12" s="21">
        <f>Products[[#This Row],[Current Stock]]/Products[[#This Row],[Optimal Qty]]</f>
        <v>0.6</v>
      </c>
    </row>
    <row r="13" spans="1:11" x14ac:dyDescent="0.3">
      <c r="A13" s="2">
        <v>1012</v>
      </c>
      <c r="B13" s="2" t="s">
        <v>12</v>
      </c>
      <c r="C13" s="2" t="s">
        <v>23</v>
      </c>
      <c r="D13" s="3">
        <v>35.5</v>
      </c>
      <c r="E13" s="20">
        <v>300</v>
      </c>
      <c r="F13" s="20">
        <v>200</v>
      </c>
      <c r="G13" s="20">
        <f>SUMIF(Input[Product ID], Products[[#This Row],[ID]], Input[Units Received])-SUMIF(Output[Product ID], Products[[#This Row],[ID]], Output[Units Sold])</f>
        <v>100</v>
      </c>
      <c r="H13" s="3">
        <f>Products[[#This Row],[Unit Price]]*Products[[#This Row],[Current Stock]]</f>
        <v>3550</v>
      </c>
      <c r="I13" s="20">
        <f>IF(Products[[#This Row],[Current Stock]]&lt;Products[[#This Row],[Optimal Qty]], Products[[#This Row],[Optimal Qty]]-Products[[#This Row],[Current Stock]],0)</f>
        <v>200</v>
      </c>
      <c r="J13" s="20" t="str">
        <f>IF(Products[[#This Row],[Current Stock]]&gt;=Products[[#This Row],[Optimal Qty]], "STOCK OK", IF(Products[[#This Row],[Current Stock]]&lt;Products[[#This Row],[MIN Qty]], "REORDER NOW", "BELOW OPTIMAL"))</f>
        <v>REORDER NOW</v>
      </c>
      <c r="K13" s="21">
        <f>Products[[#This Row],[Current Stock]]/Products[[#This Row],[Optimal Qty]]</f>
        <v>0.33333333333333331</v>
      </c>
    </row>
    <row r="14" spans="1:11" x14ac:dyDescent="0.3">
      <c r="A14" s="2">
        <v>1013</v>
      </c>
      <c r="B14" s="2" t="s">
        <v>13</v>
      </c>
      <c r="C14" s="2" t="s">
        <v>26</v>
      </c>
      <c r="D14" s="3">
        <v>42</v>
      </c>
      <c r="E14" s="20">
        <v>600</v>
      </c>
      <c r="F14" s="20">
        <v>150</v>
      </c>
      <c r="G14" s="20">
        <f>SUMIF(Input[Product ID], Products[[#This Row],[ID]], Input[Units Received])-SUMIF(Output[Product ID], Products[[#This Row],[ID]], Output[Units Sold])</f>
        <v>800</v>
      </c>
      <c r="H14" s="3">
        <f>Products[[#This Row],[Unit Price]]*Products[[#This Row],[Current Stock]]</f>
        <v>33600</v>
      </c>
      <c r="I14" s="20">
        <f>IF(Products[[#This Row],[Current Stock]]&lt;Products[[#This Row],[Optimal Qty]], Products[[#This Row],[Optimal Qty]]-Products[[#This Row],[Current Stock]],0)</f>
        <v>0</v>
      </c>
      <c r="J14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14" s="21">
        <f>Products[[#This Row],[Current Stock]]/Products[[#This Row],[Optimal Qty]]</f>
        <v>1.3333333333333333</v>
      </c>
    </row>
    <row r="15" spans="1:11" x14ac:dyDescent="0.3">
      <c r="A15" s="2">
        <v>1014</v>
      </c>
      <c r="B15" s="2" t="s">
        <v>14</v>
      </c>
      <c r="C15" s="2" t="s">
        <v>23</v>
      </c>
      <c r="D15" s="3">
        <v>17</v>
      </c>
      <c r="E15" s="20">
        <v>400</v>
      </c>
      <c r="F15" s="20">
        <v>300</v>
      </c>
      <c r="G15" s="20">
        <f>SUMIF(Input[Product ID], Products[[#This Row],[ID]], Input[Units Received])-SUMIF(Output[Product ID], Products[[#This Row],[ID]], Output[Units Sold])</f>
        <v>300</v>
      </c>
      <c r="H15" s="3">
        <f>Products[[#This Row],[Unit Price]]*Products[[#This Row],[Current Stock]]</f>
        <v>5100</v>
      </c>
      <c r="I15" s="20">
        <f>IF(Products[[#This Row],[Current Stock]]&lt;Products[[#This Row],[Optimal Qty]], Products[[#This Row],[Optimal Qty]]-Products[[#This Row],[Current Stock]],0)</f>
        <v>100</v>
      </c>
      <c r="J15" s="20" t="str">
        <f>IF(Products[[#This Row],[Current Stock]]&gt;=Products[[#This Row],[Optimal Qty]], "STOCK OK", IF(Products[[#This Row],[Current Stock]]&lt;Products[[#This Row],[MIN Qty]], "REORDER NOW", "BELOW OPTIMAL"))</f>
        <v>BELOW OPTIMAL</v>
      </c>
      <c r="K15" s="21">
        <f>Products[[#This Row],[Current Stock]]/Products[[#This Row],[Optimal Qty]]</f>
        <v>0.75</v>
      </c>
    </row>
    <row r="16" spans="1:11" x14ac:dyDescent="0.3">
      <c r="A16" s="2">
        <v>1015</v>
      </c>
      <c r="B16" s="2" t="s">
        <v>15</v>
      </c>
      <c r="C16" s="2" t="s">
        <v>24</v>
      </c>
      <c r="D16" s="3">
        <v>15.8</v>
      </c>
      <c r="E16" s="20">
        <v>300</v>
      </c>
      <c r="F16" s="20">
        <v>200</v>
      </c>
      <c r="G16" s="20">
        <f>SUMIF(Input[Product ID], Products[[#This Row],[ID]], Input[Units Received])-SUMIF(Output[Product ID], Products[[#This Row],[ID]], Output[Units Sold])</f>
        <v>0</v>
      </c>
      <c r="H16" s="3">
        <f>Products[[#This Row],[Unit Price]]*Products[[#This Row],[Current Stock]]</f>
        <v>0</v>
      </c>
      <c r="I16" s="20">
        <f>IF(Products[[#This Row],[Current Stock]]&lt;Products[[#This Row],[Optimal Qty]], Products[[#This Row],[Optimal Qty]]-Products[[#This Row],[Current Stock]],0)</f>
        <v>300</v>
      </c>
      <c r="J16" s="20" t="str">
        <f>IF(Products[[#This Row],[Current Stock]]&gt;=Products[[#This Row],[Optimal Qty]], "STOCK OK", IF(Products[[#This Row],[Current Stock]]&lt;Products[[#This Row],[MIN Qty]], "REORDER NOW", "BELOW OPTIMAL"))</f>
        <v>REORDER NOW</v>
      </c>
      <c r="K16" s="21">
        <f>Products[[#This Row],[Current Stock]]/Products[[#This Row],[Optimal Qty]]</f>
        <v>0</v>
      </c>
    </row>
    <row r="17" spans="1:11" x14ac:dyDescent="0.3">
      <c r="A17" s="2">
        <v>1016</v>
      </c>
      <c r="B17" s="2" t="s">
        <v>16</v>
      </c>
      <c r="C17" s="2" t="s">
        <v>25</v>
      </c>
      <c r="D17" s="3">
        <v>14.3</v>
      </c>
      <c r="E17" s="20">
        <v>500</v>
      </c>
      <c r="F17" s="20">
        <v>200</v>
      </c>
      <c r="G17" s="20">
        <f>SUMIF(Input[Product ID], Products[[#This Row],[ID]], Input[Units Received])-SUMIF(Output[Product ID], Products[[#This Row],[ID]], Output[Units Sold])</f>
        <v>800</v>
      </c>
      <c r="H17" s="3">
        <f>Products[[#This Row],[Unit Price]]*Products[[#This Row],[Current Stock]]</f>
        <v>11440</v>
      </c>
      <c r="I17" s="20">
        <f>IF(Products[[#This Row],[Current Stock]]&lt;Products[[#This Row],[Optimal Qty]], Products[[#This Row],[Optimal Qty]]-Products[[#This Row],[Current Stock]],0)</f>
        <v>0</v>
      </c>
      <c r="J17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17" s="21">
        <f>Products[[#This Row],[Current Stock]]/Products[[#This Row],[Optimal Qty]]</f>
        <v>1.6</v>
      </c>
    </row>
    <row r="18" spans="1:11" x14ac:dyDescent="0.3">
      <c r="A18" s="2">
        <v>1017</v>
      </c>
      <c r="B18" s="2" t="s">
        <v>17</v>
      </c>
      <c r="C18" s="2" t="s">
        <v>26</v>
      </c>
      <c r="D18" s="3">
        <v>12.2</v>
      </c>
      <c r="E18" s="20">
        <v>500</v>
      </c>
      <c r="F18" s="20">
        <v>150</v>
      </c>
      <c r="G18" s="20">
        <f>SUMIF(Input[Product ID], Products[[#This Row],[ID]], Input[Units Received])-SUMIF(Output[Product ID], Products[[#This Row],[ID]], Output[Units Sold])</f>
        <v>400</v>
      </c>
      <c r="H18" s="3">
        <f>Products[[#This Row],[Unit Price]]*Products[[#This Row],[Current Stock]]</f>
        <v>4880</v>
      </c>
      <c r="I18" s="20">
        <f>IF(Products[[#This Row],[Current Stock]]&lt;Products[[#This Row],[Optimal Qty]], Products[[#This Row],[Optimal Qty]]-Products[[#This Row],[Current Stock]],0)</f>
        <v>100</v>
      </c>
      <c r="J18" s="20" t="str">
        <f>IF(Products[[#This Row],[Current Stock]]&gt;=Products[[#This Row],[Optimal Qty]], "STOCK OK", IF(Products[[#This Row],[Current Stock]]&lt;Products[[#This Row],[MIN Qty]], "REORDER NOW", "BELOW OPTIMAL"))</f>
        <v>BELOW OPTIMAL</v>
      </c>
      <c r="K18" s="21">
        <f>Products[[#This Row],[Current Stock]]/Products[[#This Row],[Optimal Qty]]</f>
        <v>0.8</v>
      </c>
    </row>
    <row r="19" spans="1:11" x14ac:dyDescent="0.3">
      <c r="A19" s="2">
        <v>1018</v>
      </c>
      <c r="B19" s="2" t="s">
        <v>18</v>
      </c>
      <c r="C19" s="2" t="s">
        <v>23</v>
      </c>
      <c r="D19" s="3">
        <v>16.8</v>
      </c>
      <c r="E19" s="20">
        <v>400</v>
      </c>
      <c r="F19" s="20">
        <v>300</v>
      </c>
      <c r="G19" s="20">
        <f>SUMIF(Input[Product ID], Products[[#This Row],[ID]], Input[Units Received])-SUMIF(Output[Product ID], Products[[#This Row],[ID]], Output[Units Sold])</f>
        <v>400</v>
      </c>
      <c r="H19" s="3">
        <f>Products[[#This Row],[Unit Price]]*Products[[#This Row],[Current Stock]]</f>
        <v>6720</v>
      </c>
      <c r="I19" s="20">
        <f>IF(Products[[#This Row],[Current Stock]]&lt;Products[[#This Row],[Optimal Qty]], Products[[#This Row],[Optimal Qty]]-Products[[#This Row],[Current Stock]],0)</f>
        <v>0</v>
      </c>
      <c r="J19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19" s="21">
        <f>Products[[#This Row],[Current Stock]]/Products[[#This Row],[Optimal Qty]]</f>
        <v>1</v>
      </c>
    </row>
    <row r="20" spans="1:11" x14ac:dyDescent="0.3">
      <c r="A20" s="2">
        <v>1019</v>
      </c>
      <c r="B20" s="2" t="s">
        <v>19</v>
      </c>
      <c r="C20" s="2" t="s">
        <v>24</v>
      </c>
      <c r="D20" s="3">
        <v>17.899999999999999</v>
      </c>
      <c r="E20" s="20">
        <v>600</v>
      </c>
      <c r="F20" s="20">
        <v>350</v>
      </c>
      <c r="G20" s="20">
        <f>SUMIF(Input[Product ID], Products[[#This Row],[ID]], Input[Units Received])-SUMIF(Output[Product ID], Products[[#This Row],[ID]], Output[Units Sold])</f>
        <v>800</v>
      </c>
      <c r="H20" s="3">
        <f>Products[[#This Row],[Unit Price]]*Products[[#This Row],[Current Stock]]</f>
        <v>14319.999999999998</v>
      </c>
      <c r="I20" s="20">
        <f>IF(Products[[#This Row],[Current Stock]]&lt;Products[[#This Row],[Optimal Qty]], Products[[#This Row],[Optimal Qty]]-Products[[#This Row],[Current Stock]],0)</f>
        <v>0</v>
      </c>
      <c r="J20" s="20" t="str">
        <f>IF(Products[[#This Row],[Current Stock]]&gt;=Products[[#This Row],[Optimal Qty]], "STOCK OK", IF(Products[[#This Row],[Current Stock]]&lt;Products[[#This Row],[MIN Qty]], "REORDER NOW", "BELOW OPTIMAL"))</f>
        <v>STOCK OK</v>
      </c>
      <c r="K20" s="21">
        <f>Products[[#This Row],[Current Stock]]/Products[[#This Row],[Optimal Qty]]</f>
        <v>1.3333333333333333</v>
      </c>
    </row>
    <row r="21" spans="1:11" x14ac:dyDescent="0.3">
      <c r="A21" s="2">
        <v>1020</v>
      </c>
      <c r="B21" s="2" t="s">
        <v>20</v>
      </c>
      <c r="C21" s="2" t="s">
        <v>23</v>
      </c>
      <c r="D21" s="3">
        <v>19</v>
      </c>
      <c r="E21" s="20">
        <v>750</v>
      </c>
      <c r="F21" s="20">
        <v>500</v>
      </c>
      <c r="G21" s="20">
        <f>SUMIF(Input[Product ID], Products[[#This Row],[ID]], Input[Units Received])-SUMIF(Output[Product ID], Products[[#This Row],[ID]], Output[Units Sold])</f>
        <v>100</v>
      </c>
      <c r="H21" s="3">
        <f>Products[[#This Row],[Unit Price]]*Products[[#This Row],[Current Stock]]</f>
        <v>1900</v>
      </c>
      <c r="I21" s="20">
        <f>IF(Products[[#This Row],[Current Stock]]&lt;Products[[#This Row],[Optimal Qty]], Products[[#This Row],[Optimal Qty]]-Products[[#This Row],[Current Stock]],0)</f>
        <v>650</v>
      </c>
      <c r="J21" s="20" t="str">
        <f>IF(Products[[#This Row],[Current Stock]]&gt;=Products[[#This Row],[Optimal Qty]], "STOCK OK", IF(Products[[#This Row],[Current Stock]]&lt;Products[[#This Row],[MIN Qty]], "REORDER NOW", "BELOW OPTIMAL"))</f>
        <v>REORDER NOW</v>
      </c>
      <c r="K21" s="21">
        <f>Products[[#This Row],[Current Stock]]/Products[[#This Row],[Optimal Qty]]</f>
        <v>0.13333333333333333</v>
      </c>
    </row>
  </sheetData>
  <conditionalFormatting sqref="J2:J21">
    <cfRule type="expression" dxfId="8" priority="7">
      <formula>$J2="REORDER NOW"</formula>
    </cfRule>
    <cfRule type="expression" dxfId="7" priority="8">
      <formula>$J2="STOCK OK"</formula>
    </cfRule>
    <cfRule type="expression" dxfId="6" priority="9">
      <formula>$J2="BELOW OPTIMAL"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73E42-9103-4719-9B67-6DCEBB8A82F0}">
  <dimension ref="A1:H71"/>
  <sheetViews>
    <sheetView topLeftCell="A43" workbookViewId="0">
      <selection activeCell="G64" sqref="G64"/>
    </sheetView>
  </sheetViews>
  <sheetFormatPr defaultRowHeight="13.8" x14ac:dyDescent="0.3"/>
  <cols>
    <col min="1" max="1" width="16" style="2" customWidth="1"/>
    <col min="2" max="2" width="13.109375" style="2" customWidth="1"/>
    <col min="3" max="3" width="12.44140625" style="2" customWidth="1"/>
    <col min="4" max="4" width="12.109375" style="2" customWidth="1"/>
    <col min="5" max="5" width="16.109375" style="2" customWidth="1"/>
    <col min="6" max="6" width="17.44140625" style="2" customWidth="1"/>
    <col min="7" max="7" width="16.44140625" style="2" customWidth="1"/>
    <col min="8" max="8" width="18.21875" style="2" customWidth="1"/>
    <col min="9" max="16384" width="8.88671875" style="2"/>
  </cols>
  <sheetData>
    <row r="1" spans="1:8" x14ac:dyDescent="0.3">
      <c r="A1" s="2" t="s">
        <v>31</v>
      </c>
      <c r="B1" s="2" t="s">
        <v>32</v>
      </c>
      <c r="C1" s="2" t="s">
        <v>34</v>
      </c>
      <c r="D1" s="2" t="s">
        <v>33</v>
      </c>
      <c r="E1" s="2" t="s">
        <v>22</v>
      </c>
      <c r="F1" s="2" t="s">
        <v>27</v>
      </c>
      <c r="G1" s="2" t="s">
        <v>35</v>
      </c>
      <c r="H1" s="2" t="s">
        <v>36</v>
      </c>
    </row>
    <row r="2" spans="1:8" x14ac:dyDescent="0.3">
      <c r="A2" s="6">
        <v>1</v>
      </c>
      <c r="B2" s="7">
        <v>44926</v>
      </c>
      <c r="C2" s="6">
        <v>1001</v>
      </c>
      <c r="D2" s="8" t="s">
        <v>1</v>
      </c>
      <c r="E2" s="8" t="s">
        <v>23</v>
      </c>
      <c r="F2" s="9">
        <v>10.5</v>
      </c>
      <c r="G2" s="13">
        <v>1000</v>
      </c>
      <c r="H2" s="10">
        <f>F2*G2</f>
        <v>10500</v>
      </c>
    </row>
    <row r="3" spans="1:8" x14ac:dyDescent="0.3">
      <c r="A3" s="6">
        <v>2</v>
      </c>
      <c r="B3" s="7">
        <v>44926</v>
      </c>
      <c r="C3" s="6">
        <v>1002</v>
      </c>
      <c r="D3" s="11" t="s">
        <v>2</v>
      </c>
      <c r="E3" s="11" t="s">
        <v>24</v>
      </c>
      <c r="F3" s="12">
        <v>20</v>
      </c>
      <c r="G3" s="13">
        <v>1000</v>
      </c>
      <c r="H3" s="10">
        <f t="shared" ref="H3:H66" si="0">F3*G3</f>
        <v>20000</v>
      </c>
    </row>
    <row r="4" spans="1:8" x14ac:dyDescent="0.3">
      <c r="A4" s="6">
        <v>3</v>
      </c>
      <c r="B4" s="7">
        <v>44926</v>
      </c>
      <c r="C4" s="6">
        <v>1003</v>
      </c>
      <c r="D4" s="8" t="s">
        <v>3</v>
      </c>
      <c r="E4" s="8" t="s">
        <v>25</v>
      </c>
      <c r="F4" s="9">
        <v>30.2</v>
      </c>
      <c r="G4" s="13">
        <v>1000</v>
      </c>
      <c r="H4" s="10">
        <f t="shared" si="0"/>
        <v>30200</v>
      </c>
    </row>
    <row r="5" spans="1:8" x14ac:dyDescent="0.3">
      <c r="A5" s="6">
        <v>4</v>
      </c>
      <c r="B5" s="7">
        <v>44926</v>
      </c>
      <c r="C5" s="6">
        <v>1004</v>
      </c>
      <c r="D5" s="11" t="s">
        <v>4</v>
      </c>
      <c r="E5" s="11" t="s">
        <v>23</v>
      </c>
      <c r="F5" s="12">
        <v>15</v>
      </c>
      <c r="G5" s="13">
        <v>1000</v>
      </c>
      <c r="H5" s="10">
        <f t="shared" si="0"/>
        <v>15000</v>
      </c>
    </row>
    <row r="6" spans="1:8" x14ac:dyDescent="0.3">
      <c r="A6" s="6">
        <v>5</v>
      </c>
      <c r="B6" s="7">
        <v>44926</v>
      </c>
      <c r="C6" s="6">
        <v>1005</v>
      </c>
      <c r="D6" s="8" t="s">
        <v>5</v>
      </c>
      <c r="E6" s="8" t="s">
        <v>23</v>
      </c>
      <c r="F6" s="9">
        <v>16.399999999999999</v>
      </c>
      <c r="G6" s="13">
        <v>1000</v>
      </c>
      <c r="H6" s="10">
        <f t="shared" si="0"/>
        <v>16400</v>
      </c>
    </row>
    <row r="7" spans="1:8" x14ac:dyDescent="0.3">
      <c r="A7" s="6">
        <v>6</v>
      </c>
      <c r="B7" s="7">
        <v>44926</v>
      </c>
      <c r="C7" s="6">
        <v>1006</v>
      </c>
      <c r="D7" s="11" t="s">
        <v>6</v>
      </c>
      <c r="E7" s="11" t="s">
        <v>26</v>
      </c>
      <c r="F7" s="12">
        <v>17.100000000000001</v>
      </c>
      <c r="G7" s="13">
        <v>1000</v>
      </c>
      <c r="H7" s="10">
        <f t="shared" si="0"/>
        <v>17100</v>
      </c>
    </row>
    <row r="8" spans="1:8" x14ac:dyDescent="0.3">
      <c r="A8" s="6">
        <v>7</v>
      </c>
      <c r="B8" s="7">
        <v>44926</v>
      </c>
      <c r="C8" s="6">
        <v>1007</v>
      </c>
      <c r="D8" s="8" t="s">
        <v>7</v>
      </c>
      <c r="E8" s="8" t="s">
        <v>26</v>
      </c>
      <c r="F8" s="9">
        <v>20.399999999999999</v>
      </c>
      <c r="G8" s="13">
        <v>1000</v>
      </c>
      <c r="H8" s="10">
        <f t="shared" si="0"/>
        <v>20400</v>
      </c>
    </row>
    <row r="9" spans="1:8" x14ac:dyDescent="0.3">
      <c r="A9" s="6">
        <v>8</v>
      </c>
      <c r="B9" s="7">
        <v>44926</v>
      </c>
      <c r="C9" s="6">
        <v>1008</v>
      </c>
      <c r="D9" s="11" t="s">
        <v>8</v>
      </c>
      <c r="E9" s="11" t="s">
        <v>23</v>
      </c>
      <c r="F9" s="12">
        <v>32.200000000000003</v>
      </c>
      <c r="G9" s="13">
        <v>1000</v>
      </c>
      <c r="H9" s="10">
        <f t="shared" si="0"/>
        <v>32200.000000000004</v>
      </c>
    </row>
    <row r="10" spans="1:8" x14ac:dyDescent="0.3">
      <c r="A10" s="6">
        <v>9</v>
      </c>
      <c r="B10" s="7">
        <v>44926</v>
      </c>
      <c r="C10" s="6">
        <v>1009</v>
      </c>
      <c r="D10" s="8" t="s">
        <v>9</v>
      </c>
      <c r="E10" s="8" t="s">
        <v>24</v>
      </c>
      <c r="F10" s="9">
        <v>16</v>
      </c>
      <c r="G10" s="13">
        <v>1000</v>
      </c>
      <c r="H10" s="10">
        <f t="shared" si="0"/>
        <v>16000</v>
      </c>
    </row>
    <row r="11" spans="1:8" x14ac:dyDescent="0.3">
      <c r="A11" s="6">
        <v>10</v>
      </c>
      <c r="B11" s="7">
        <v>44926</v>
      </c>
      <c r="C11" s="6">
        <v>1010</v>
      </c>
      <c r="D11" s="11" t="s">
        <v>10</v>
      </c>
      <c r="E11" s="11" t="s">
        <v>24</v>
      </c>
      <c r="F11" s="12">
        <v>11.5</v>
      </c>
      <c r="G11" s="13">
        <v>1000</v>
      </c>
      <c r="H11" s="10">
        <f t="shared" si="0"/>
        <v>11500</v>
      </c>
    </row>
    <row r="12" spans="1:8" x14ac:dyDescent="0.3">
      <c r="A12" s="6">
        <v>11</v>
      </c>
      <c r="B12" s="7">
        <v>44926</v>
      </c>
      <c r="C12" s="6">
        <v>1011</v>
      </c>
      <c r="D12" s="8" t="s">
        <v>11</v>
      </c>
      <c r="E12" s="8" t="s">
        <v>25</v>
      </c>
      <c r="F12" s="9">
        <v>13.8</v>
      </c>
      <c r="G12" s="13">
        <v>1000</v>
      </c>
      <c r="H12" s="10">
        <f t="shared" si="0"/>
        <v>13800</v>
      </c>
    </row>
    <row r="13" spans="1:8" x14ac:dyDescent="0.3">
      <c r="A13" s="6">
        <v>12</v>
      </c>
      <c r="B13" s="7">
        <v>44926</v>
      </c>
      <c r="C13" s="6">
        <v>1012</v>
      </c>
      <c r="D13" s="11" t="s">
        <v>12</v>
      </c>
      <c r="E13" s="11" t="s">
        <v>23</v>
      </c>
      <c r="F13" s="12">
        <v>35.5</v>
      </c>
      <c r="G13" s="13">
        <v>1000</v>
      </c>
      <c r="H13" s="10">
        <f t="shared" si="0"/>
        <v>35500</v>
      </c>
    </row>
    <row r="14" spans="1:8" x14ac:dyDescent="0.3">
      <c r="A14" s="6">
        <v>13</v>
      </c>
      <c r="B14" s="7">
        <v>44926</v>
      </c>
      <c r="C14" s="6">
        <v>1013</v>
      </c>
      <c r="D14" s="8" t="s">
        <v>13</v>
      </c>
      <c r="E14" s="8" t="s">
        <v>26</v>
      </c>
      <c r="F14" s="9">
        <v>42</v>
      </c>
      <c r="G14" s="13">
        <v>1000</v>
      </c>
      <c r="H14" s="10">
        <f t="shared" si="0"/>
        <v>42000</v>
      </c>
    </row>
    <row r="15" spans="1:8" x14ac:dyDescent="0.3">
      <c r="A15" s="6">
        <v>14</v>
      </c>
      <c r="B15" s="7">
        <v>44926</v>
      </c>
      <c r="C15" s="6">
        <v>1014</v>
      </c>
      <c r="D15" s="11" t="s">
        <v>14</v>
      </c>
      <c r="E15" s="11" t="s">
        <v>23</v>
      </c>
      <c r="F15" s="12">
        <v>17</v>
      </c>
      <c r="G15" s="13">
        <v>1000</v>
      </c>
      <c r="H15" s="10">
        <f t="shared" si="0"/>
        <v>17000</v>
      </c>
    </row>
    <row r="16" spans="1:8" x14ac:dyDescent="0.3">
      <c r="A16" s="6">
        <v>15</v>
      </c>
      <c r="B16" s="7">
        <v>44926</v>
      </c>
      <c r="C16" s="6">
        <v>1015</v>
      </c>
      <c r="D16" s="8" t="s">
        <v>15</v>
      </c>
      <c r="E16" s="8" t="s">
        <v>24</v>
      </c>
      <c r="F16" s="9">
        <v>15.8</v>
      </c>
      <c r="G16" s="13">
        <v>1000</v>
      </c>
      <c r="H16" s="10">
        <f t="shared" si="0"/>
        <v>15800</v>
      </c>
    </row>
    <row r="17" spans="1:8" x14ac:dyDescent="0.3">
      <c r="A17" s="6">
        <v>16</v>
      </c>
      <c r="B17" s="7">
        <v>44926</v>
      </c>
      <c r="C17" s="6">
        <v>1016</v>
      </c>
      <c r="D17" s="11" t="s">
        <v>16</v>
      </c>
      <c r="E17" s="11" t="s">
        <v>25</v>
      </c>
      <c r="F17" s="12">
        <v>14.3</v>
      </c>
      <c r="G17" s="13">
        <v>1000</v>
      </c>
      <c r="H17" s="10">
        <f t="shared" si="0"/>
        <v>14300</v>
      </c>
    </row>
    <row r="18" spans="1:8" x14ac:dyDescent="0.3">
      <c r="A18" s="6">
        <v>17</v>
      </c>
      <c r="B18" s="7">
        <v>44926</v>
      </c>
      <c r="C18" s="6">
        <v>1017</v>
      </c>
      <c r="D18" s="8" t="s">
        <v>17</v>
      </c>
      <c r="E18" s="8" t="s">
        <v>26</v>
      </c>
      <c r="F18" s="9">
        <v>12.2</v>
      </c>
      <c r="G18" s="13">
        <v>1000</v>
      </c>
      <c r="H18" s="10">
        <f t="shared" si="0"/>
        <v>12200</v>
      </c>
    </row>
    <row r="19" spans="1:8" x14ac:dyDescent="0.3">
      <c r="A19" s="6">
        <v>18</v>
      </c>
      <c r="B19" s="7">
        <v>44926</v>
      </c>
      <c r="C19" s="6">
        <v>1018</v>
      </c>
      <c r="D19" s="11" t="s">
        <v>18</v>
      </c>
      <c r="E19" s="11" t="s">
        <v>23</v>
      </c>
      <c r="F19" s="12">
        <v>16.8</v>
      </c>
      <c r="G19" s="13">
        <v>1000</v>
      </c>
      <c r="H19" s="10">
        <f t="shared" si="0"/>
        <v>16800</v>
      </c>
    </row>
    <row r="20" spans="1:8" x14ac:dyDescent="0.3">
      <c r="A20" s="6">
        <v>19</v>
      </c>
      <c r="B20" s="7">
        <v>44926</v>
      </c>
      <c r="C20" s="6">
        <v>1019</v>
      </c>
      <c r="D20" s="8" t="s">
        <v>19</v>
      </c>
      <c r="E20" s="8" t="s">
        <v>24</v>
      </c>
      <c r="F20" s="9">
        <v>17.899999999999999</v>
      </c>
      <c r="G20" s="13">
        <v>1000</v>
      </c>
      <c r="H20" s="10">
        <f t="shared" si="0"/>
        <v>17900</v>
      </c>
    </row>
    <row r="21" spans="1:8" x14ac:dyDescent="0.3">
      <c r="A21" s="6">
        <v>20</v>
      </c>
      <c r="B21" s="7">
        <v>44926</v>
      </c>
      <c r="C21" s="6">
        <v>1020</v>
      </c>
      <c r="D21" s="11" t="s">
        <v>20</v>
      </c>
      <c r="E21" s="11" t="s">
        <v>23</v>
      </c>
      <c r="F21" s="12">
        <v>19</v>
      </c>
      <c r="G21" s="13">
        <v>1000</v>
      </c>
      <c r="H21" s="10">
        <f t="shared" si="0"/>
        <v>19000</v>
      </c>
    </row>
    <row r="22" spans="1:8" x14ac:dyDescent="0.3">
      <c r="A22" s="6">
        <v>21</v>
      </c>
      <c r="B22" s="7">
        <v>44929</v>
      </c>
      <c r="C22" s="6">
        <v>1001</v>
      </c>
      <c r="D22" s="8" t="s">
        <v>1</v>
      </c>
      <c r="E22" s="8" t="s">
        <v>23</v>
      </c>
      <c r="F22" s="9">
        <v>10.5</v>
      </c>
      <c r="G22" s="13">
        <v>500</v>
      </c>
      <c r="H22" s="10">
        <f t="shared" si="0"/>
        <v>5250</v>
      </c>
    </row>
    <row r="23" spans="1:8" x14ac:dyDescent="0.3">
      <c r="A23" s="6">
        <v>22</v>
      </c>
      <c r="B23" s="7">
        <v>44929</v>
      </c>
      <c r="C23" s="6">
        <v>1003</v>
      </c>
      <c r="D23" s="8" t="s">
        <v>3</v>
      </c>
      <c r="E23" s="8" t="s">
        <v>25</v>
      </c>
      <c r="F23" s="9">
        <v>30.2</v>
      </c>
      <c r="G23" s="13">
        <v>800</v>
      </c>
      <c r="H23" s="10">
        <f t="shared" si="0"/>
        <v>24160</v>
      </c>
    </row>
    <row r="24" spans="1:8" x14ac:dyDescent="0.3">
      <c r="A24" s="6">
        <v>23</v>
      </c>
      <c r="B24" s="7">
        <v>44929</v>
      </c>
      <c r="C24" s="6">
        <v>1006</v>
      </c>
      <c r="D24" s="11" t="s">
        <v>6</v>
      </c>
      <c r="E24" s="11" t="s">
        <v>26</v>
      </c>
      <c r="F24" s="12">
        <v>17.100000000000001</v>
      </c>
      <c r="G24" s="13">
        <v>400</v>
      </c>
      <c r="H24" s="10">
        <f t="shared" si="0"/>
        <v>6840.0000000000009</v>
      </c>
    </row>
    <row r="25" spans="1:8" x14ac:dyDescent="0.3">
      <c r="A25" s="6">
        <v>24</v>
      </c>
      <c r="B25" s="7">
        <v>44929</v>
      </c>
      <c r="C25" s="6">
        <v>1008</v>
      </c>
      <c r="D25" s="11" t="s">
        <v>8</v>
      </c>
      <c r="E25" s="11" t="s">
        <v>23</v>
      </c>
      <c r="F25" s="12">
        <v>32.200000000000003</v>
      </c>
      <c r="G25" s="13">
        <v>500</v>
      </c>
      <c r="H25" s="10">
        <f t="shared" si="0"/>
        <v>16100.000000000002</v>
      </c>
    </row>
    <row r="26" spans="1:8" x14ac:dyDescent="0.3">
      <c r="A26" s="6">
        <v>25</v>
      </c>
      <c r="B26" s="7">
        <v>44931</v>
      </c>
      <c r="C26" s="6">
        <v>1011</v>
      </c>
      <c r="D26" s="8" t="s">
        <v>11</v>
      </c>
      <c r="E26" s="8" t="s">
        <v>25</v>
      </c>
      <c r="F26" s="9">
        <v>13.8</v>
      </c>
      <c r="G26" s="13">
        <v>1000</v>
      </c>
      <c r="H26" s="10">
        <f t="shared" si="0"/>
        <v>13800</v>
      </c>
    </row>
    <row r="27" spans="1:8" x14ac:dyDescent="0.3">
      <c r="A27" s="6">
        <v>26</v>
      </c>
      <c r="B27" s="7">
        <v>44931</v>
      </c>
      <c r="C27" s="6">
        <v>1004</v>
      </c>
      <c r="D27" s="11" t="s">
        <v>4</v>
      </c>
      <c r="E27" s="11" t="s">
        <v>23</v>
      </c>
      <c r="F27" s="12">
        <v>15</v>
      </c>
      <c r="G27" s="13">
        <v>600</v>
      </c>
      <c r="H27" s="10">
        <f t="shared" si="0"/>
        <v>9000</v>
      </c>
    </row>
    <row r="28" spans="1:8" x14ac:dyDescent="0.3">
      <c r="A28" s="6">
        <v>27</v>
      </c>
      <c r="B28" s="7">
        <v>44931</v>
      </c>
      <c r="C28" s="6">
        <v>1018</v>
      </c>
      <c r="D28" s="11" t="s">
        <v>18</v>
      </c>
      <c r="E28" s="11" t="s">
        <v>23</v>
      </c>
      <c r="F28" s="12">
        <v>16.8</v>
      </c>
      <c r="G28" s="13">
        <v>500</v>
      </c>
      <c r="H28" s="10">
        <f t="shared" si="0"/>
        <v>8400</v>
      </c>
    </row>
    <row r="29" spans="1:8" x14ac:dyDescent="0.3">
      <c r="A29" s="6">
        <v>28</v>
      </c>
      <c r="B29" s="7">
        <v>44931</v>
      </c>
      <c r="C29" s="6">
        <v>1009</v>
      </c>
      <c r="D29" s="8" t="s">
        <v>9</v>
      </c>
      <c r="E29" s="8" t="s">
        <v>24</v>
      </c>
      <c r="F29" s="9">
        <v>16</v>
      </c>
      <c r="G29" s="13">
        <v>700</v>
      </c>
      <c r="H29" s="10">
        <f t="shared" si="0"/>
        <v>11200</v>
      </c>
    </row>
    <row r="30" spans="1:8" x14ac:dyDescent="0.3">
      <c r="A30" s="6">
        <v>29</v>
      </c>
      <c r="B30" s="7">
        <v>44931</v>
      </c>
      <c r="C30" s="6">
        <v>1002</v>
      </c>
      <c r="D30" s="11" t="s">
        <v>2</v>
      </c>
      <c r="E30" s="11" t="s">
        <v>24</v>
      </c>
      <c r="F30" s="12">
        <v>20</v>
      </c>
      <c r="G30" s="13">
        <v>100</v>
      </c>
      <c r="H30" s="10">
        <f t="shared" si="0"/>
        <v>2000</v>
      </c>
    </row>
    <row r="31" spans="1:8" x14ac:dyDescent="0.3">
      <c r="A31" s="6">
        <v>30</v>
      </c>
      <c r="B31" s="7">
        <v>44931</v>
      </c>
      <c r="C31" s="6">
        <v>1014</v>
      </c>
      <c r="D31" s="11" t="s">
        <v>14</v>
      </c>
      <c r="E31" s="11" t="s">
        <v>23</v>
      </c>
      <c r="F31" s="12">
        <v>17</v>
      </c>
      <c r="G31" s="13">
        <v>200</v>
      </c>
      <c r="H31" s="10">
        <f t="shared" si="0"/>
        <v>3400</v>
      </c>
    </row>
    <row r="32" spans="1:8" x14ac:dyDescent="0.3">
      <c r="A32" s="6">
        <v>31</v>
      </c>
      <c r="B32" s="7">
        <v>44931</v>
      </c>
      <c r="C32" s="6">
        <v>1005</v>
      </c>
      <c r="D32" s="8" t="s">
        <v>5</v>
      </c>
      <c r="E32" s="8" t="s">
        <v>23</v>
      </c>
      <c r="F32" s="9">
        <v>16.399999999999999</v>
      </c>
      <c r="G32" s="13">
        <v>400</v>
      </c>
      <c r="H32" s="10">
        <f t="shared" si="0"/>
        <v>6559.9999999999991</v>
      </c>
    </row>
    <row r="33" spans="1:8" x14ac:dyDescent="0.3">
      <c r="A33" s="6">
        <v>32</v>
      </c>
      <c r="B33" s="7">
        <v>44931</v>
      </c>
      <c r="C33" s="6">
        <v>1019</v>
      </c>
      <c r="D33" s="8" t="s">
        <v>19</v>
      </c>
      <c r="E33" s="8" t="s">
        <v>24</v>
      </c>
      <c r="F33" s="9">
        <v>17.899999999999999</v>
      </c>
      <c r="G33" s="13">
        <v>800</v>
      </c>
      <c r="H33" s="10">
        <f t="shared" si="0"/>
        <v>14319.999999999998</v>
      </c>
    </row>
    <row r="34" spans="1:8" x14ac:dyDescent="0.3">
      <c r="A34" s="6">
        <v>33</v>
      </c>
      <c r="B34" s="7">
        <v>44936</v>
      </c>
      <c r="C34" s="6">
        <v>1017</v>
      </c>
      <c r="D34" s="8" t="s">
        <v>17</v>
      </c>
      <c r="E34" s="8" t="s">
        <v>26</v>
      </c>
      <c r="F34" s="9">
        <v>12.2</v>
      </c>
      <c r="G34" s="13">
        <v>500</v>
      </c>
      <c r="H34" s="10">
        <f t="shared" si="0"/>
        <v>6100</v>
      </c>
    </row>
    <row r="35" spans="1:8" x14ac:dyDescent="0.3">
      <c r="A35" s="6">
        <v>34</v>
      </c>
      <c r="B35" s="7">
        <v>44936</v>
      </c>
      <c r="C35" s="6">
        <v>1001</v>
      </c>
      <c r="D35" s="8" t="s">
        <v>1</v>
      </c>
      <c r="E35" s="8" t="s">
        <v>23</v>
      </c>
      <c r="F35" s="9">
        <v>10.5</v>
      </c>
      <c r="G35" s="13">
        <v>300</v>
      </c>
      <c r="H35" s="10">
        <f t="shared" si="0"/>
        <v>3150</v>
      </c>
    </row>
    <row r="36" spans="1:8" x14ac:dyDescent="0.3">
      <c r="A36" s="6">
        <v>35</v>
      </c>
      <c r="B36" s="7">
        <v>44936</v>
      </c>
      <c r="C36" s="6">
        <v>1020</v>
      </c>
      <c r="D36" s="11" t="s">
        <v>20</v>
      </c>
      <c r="E36" s="11" t="s">
        <v>23</v>
      </c>
      <c r="F36" s="12">
        <v>19</v>
      </c>
      <c r="G36" s="13">
        <v>1000</v>
      </c>
      <c r="H36" s="10">
        <f t="shared" si="0"/>
        <v>19000</v>
      </c>
    </row>
    <row r="37" spans="1:8" x14ac:dyDescent="0.3">
      <c r="A37" s="6">
        <v>36</v>
      </c>
      <c r="B37" s="7">
        <v>44936</v>
      </c>
      <c r="C37" s="6">
        <v>1013</v>
      </c>
      <c r="D37" s="8" t="s">
        <v>13</v>
      </c>
      <c r="E37" s="8" t="s">
        <v>26</v>
      </c>
      <c r="F37" s="9">
        <v>42</v>
      </c>
      <c r="G37" s="13">
        <v>1100</v>
      </c>
      <c r="H37" s="10">
        <f t="shared" si="0"/>
        <v>46200</v>
      </c>
    </row>
    <row r="38" spans="1:8" x14ac:dyDescent="0.3">
      <c r="A38" s="6">
        <v>37</v>
      </c>
      <c r="B38" s="7">
        <v>44942</v>
      </c>
      <c r="C38" s="6">
        <v>1006</v>
      </c>
      <c r="D38" s="11" t="s">
        <v>6</v>
      </c>
      <c r="E38" s="11" t="s">
        <v>26</v>
      </c>
      <c r="F38" s="12">
        <v>17.100000000000001</v>
      </c>
      <c r="G38" s="13">
        <v>500</v>
      </c>
      <c r="H38" s="10">
        <f t="shared" si="0"/>
        <v>8550</v>
      </c>
    </row>
    <row r="39" spans="1:8" x14ac:dyDescent="0.3">
      <c r="A39" s="6">
        <v>38</v>
      </c>
      <c r="B39" s="7">
        <v>44942</v>
      </c>
      <c r="C39" s="6">
        <v>1020</v>
      </c>
      <c r="D39" s="11" t="s">
        <v>20</v>
      </c>
      <c r="E39" s="11" t="s">
        <v>23</v>
      </c>
      <c r="F39" s="12">
        <v>19</v>
      </c>
      <c r="G39" s="13">
        <v>600</v>
      </c>
      <c r="H39" s="10">
        <f t="shared" si="0"/>
        <v>11400</v>
      </c>
    </row>
    <row r="40" spans="1:8" x14ac:dyDescent="0.3">
      <c r="A40" s="6">
        <v>39</v>
      </c>
      <c r="B40" s="7">
        <v>44942</v>
      </c>
      <c r="C40" s="6">
        <v>1010</v>
      </c>
      <c r="D40" s="11" t="s">
        <v>10</v>
      </c>
      <c r="E40" s="11" t="s">
        <v>24</v>
      </c>
      <c r="F40" s="12">
        <v>11.5</v>
      </c>
      <c r="G40" s="13">
        <v>700</v>
      </c>
      <c r="H40" s="10">
        <f t="shared" si="0"/>
        <v>8050</v>
      </c>
    </row>
    <row r="41" spans="1:8" x14ac:dyDescent="0.3">
      <c r="A41" s="6">
        <v>40</v>
      </c>
      <c r="B41" s="7">
        <v>44942</v>
      </c>
      <c r="C41" s="6">
        <v>1019</v>
      </c>
      <c r="D41" s="8" t="s">
        <v>19</v>
      </c>
      <c r="E41" s="8" t="s">
        <v>24</v>
      </c>
      <c r="F41" s="9">
        <v>17.899999999999999</v>
      </c>
      <c r="G41" s="13">
        <v>400</v>
      </c>
      <c r="H41" s="10">
        <f t="shared" si="0"/>
        <v>7159.9999999999991</v>
      </c>
    </row>
    <row r="42" spans="1:8" x14ac:dyDescent="0.3">
      <c r="A42" s="6">
        <v>41</v>
      </c>
      <c r="B42" s="7">
        <v>44942</v>
      </c>
      <c r="C42" s="6">
        <v>1007</v>
      </c>
      <c r="D42" s="8" t="s">
        <v>7</v>
      </c>
      <c r="E42" s="8" t="s">
        <v>26</v>
      </c>
      <c r="F42" s="9">
        <v>20.399999999999999</v>
      </c>
      <c r="G42" s="13">
        <v>300</v>
      </c>
      <c r="H42" s="10">
        <f t="shared" si="0"/>
        <v>6120</v>
      </c>
    </row>
    <row r="43" spans="1:8" x14ac:dyDescent="0.3">
      <c r="A43" s="6">
        <v>42</v>
      </c>
      <c r="B43" s="7">
        <v>44942</v>
      </c>
      <c r="C43" s="6">
        <v>1020</v>
      </c>
      <c r="D43" s="11" t="s">
        <v>20</v>
      </c>
      <c r="E43" s="11" t="s">
        <v>23</v>
      </c>
      <c r="F43" s="12">
        <v>19</v>
      </c>
      <c r="G43" s="13">
        <v>500</v>
      </c>
      <c r="H43" s="10">
        <f t="shared" si="0"/>
        <v>9500</v>
      </c>
    </row>
    <row r="44" spans="1:8" x14ac:dyDescent="0.3">
      <c r="A44" s="6">
        <v>43</v>
      </c>
      <c r="B44" s="7">
        <v>44942</v>
      </c>
      <c r="C44" s="6">
        <v>1015</v>
      </c>
      <c r="D44" s="8" t="s">
        <v>15</v>
      </c>
      <c r="E44" s="8" t="s">
        <v>24</v>
      </c>
      <c r="F44" s="9">
        <v>15.8</v>
      </c>
      <c r="G44" s="13">
        <v>400</v>
      </c>
      <c r="H44" s="10">
        <f t="shared" si="0"/>
        <v>6320</v>
      </c>
    </row>
    <row r="45" spans="1:8" x14ac:dyDescent="0.3">
      <c r="A45" s="6">
        <v>44</v>
      </c>
      <c r="B45" s="7">
        <v>44942</v>
      </c>
      <c r="C45" s="6">
        <v>1014</v>
      </c>
      <c r="D45" s="11" t="s">
        <v>14</v>
      </c>
      <c r="E45" s="11" t="s">
        <v>23</v>
      </c>
      <c r="F45" s="12">
        <v>17</v>
      </c>
      <c r="G45" s="13">
        <v>500</v>
      </c>
      <c r="H45" s="10">
        <f t="shared" si="0"/>
        <v>8500</v>
      </c>
    </row>
    <row r="46" spans="1:8" x14ac:dyDescent="0.3">
      <c r="A46" s="6">
        <v>45</v>
      </c>
      <c r="B46" s="7">
        <v>44942</v>
      </c>
      <c r="C46" s="6">
        <v>1004</v>
      </c>
      <c r="D46" s="11" t="s">
        <v>4</v>
      </c>
      <c r="E46" s="11" t="s">
        <v>23</v>
      </c>
      <c r="F46" s="12">
        <v>15</v>
      </c>
      <c r="G46" s="13">
        <v>200</v>
      </c>
      <c r="H46" s="10">
        <f t="shared" si="0"/>
        <v>3000</v>
      </c>
    </row>
    <row r="47" spans="1:8" x14ac:dyDescent="0.3">
      <c r="A47" s="6">
        <v>46</v>
      </c>
      <c r="B47" s="7">
        <v>44946</v>
      </c>
      <c r="C47" s="6">
        <v>1019</v>
      </c>
      <c r="D47" s="8" t="s">
        <v>19</v>
      </c>
      <c r="E47" s="8" t="s">
        <v>24</v>
      </c>
      <c r="F47" s="9">
        <v>17.899999999999999</v>
      </c>
      <c r="G47" s="13">
        <v>400</v>
      </c>
      <c r="H47" s="10">
        <f t="shared" si="0"/>
        <v>7159.9999999999991</v>
      </c>
    </row>
    <row r="48" spans="1:8" x14ac:dyDescent="0.3">
      <c r="A48" s="6">
        <v>47</v>
      </c>
      <c r="B48" s="7">
        <v>44946</v>
      </c>
      <c r="C48" s="6">
        <v>1011</v>
      </c>
      <c r="D48" s="8" t="s">
        <v>11</v>
      </c>
      <c r="E48" s="8" t="s">
        <v>25</v>
      </c>
      <c r="F48" s="9">
        <v>13.8</v>
      </c>
      <c r="G48" s="13">
        <v>300</v>
      </c>
      <c r="H48" s="10">
        <f t="shared" si="0"/>
        <v>4140</v>
      </c>
    </row>
    <row r="49" spans="1:8" x14ac:dyDescent="0.3">
      <c r="A49" s="6">
        <v>48</v>
      </c>
      <c r="B49" s="7">
        <v>44946</v>
      </c>
      <c r="C49" s="6">
        <v>1002</v>
      </c>
      <c r="D49" s="11" t="s">
        <v>2</v>
      </c>
      <c r="E49" s="11" t="s">
        <v>24</v>
      </c>
      <c r="F49" s="12">
        <v>20</v>
      </c>
      <c r="G49" s="13">
        <v>500</v>
      </c>
      <c r="H49" s="10">
        <f t="shared" si="0"/>
        <v>10000</v>
      </c>
    </row>
    <row r="50" spans="1:8" x14ac:dyDescent="0.3">
      <c r="A50" s="6">
        <v>49</v>
      </c>
      <c r="B50" s="7">
        <v>44958</v>
      </c>
      <c r="C50" s="6">
        <v>1020</v>
      </c>
      <c r="D50" s="11" t="s">
        <v>20</v>
      </c>
      <c r="E50" s="11" t="s">
        <v>23</v>
      </c>
      <c r="F50" s="12">
        <v>19</v>
      </c>
      <c r="G50" s="13">
        <v>900</v>
      </c>
      <c r="H50" s="10">
        <f t="shared" si="0"/>
        <v>17100</v>
      </c>
    </row>
    <row r="51" spans="1:8" x14ac:dyDescent="0.3">
      <c r="A51" s="6">
        <v>50</v>
      </c>
      <c r="B51" s="7">
        <v>44958</v>
      </c>
      <c r="C51" s="6">
        <v>1017</v>
      </c>
      <c r="D51" s="8" t="s">
        <v>17</v>
      </c>
      <c r="E51" s="8" t="s">
        <v>26</v>
      </c>
      <c r="F51" s="9">
        <v>12.2</v>
      </c>
      <c r="G51" s="13">
        <v>600</v>
      </c>
      <c r="H51" s="10">
        <f t="shared" si="0"/>
        <v>7320</v>
      </c>
    </row>
    <row r="52" spans="1:8" x14ac:dyDescent="0.3">
      <c r="A52" s="6">
        <v>51</v>
      </c>
      <c r="B52" s="7">
        <v>44958</v>
      </c>
      <c r="C52" s="6">
        <v>1016</v>
      </c>
      <c r="D52" s="11" t="s">
        <v>16</v>
      </c>
      <c r="E52" s="11" t="s">
        <v>25</v>
      </c>
      <c r="F52" s="12">
        <v>14.3</v>
      </c>
      <c r="G52" s="13">
        <v>1200</v>
      </c>
      <c r="H52" s="10">
        <f t="shared" si="0"/>
        <v>17160</v>
      </c>
    </row>
    <row r="53" spans="1:8" x14ac:dyDescent="0.3">
      <c r="A53" s="6">
        <v>52</v>
      </c>
      <c r="B53" s="7">
        <v>44958</v>
      </c>
      <c r="C53" s="6">
        <v>1020</v>
      </c>
      <c r="D53" s="11" t="s">
        <v>20</v>
      </c>
      <c r="E53" s="11" t="s">
        <v>23</v>
      </c>
      <c r="F53" s="12">
        <v>19</v>
      </c>
      <c r="G53" s="13">
        <v>400</v>
      </c>
      <c r="H53" s="10">
        <f t="shared" si="0"/>
        <v>7600</v>
      </c>
    </row>
    <row r="54" spans="1:8" x14ac:dyDescent="0.3">
      <c r="A54" s="6">
        <v>53</v>
      </c>
      <c r="B54" s="7">
        <v>44962</v>
      </c>
      <c r="C54" s="6">
        <v>1005</v>
      </c>
      <c r="D54" s="8" t="s">
        <v>5</v>
      </c>
      <c r="E54" s="8" t="s">
        <v>23</v>
      </c>
      <c r="F54" s="9">
        <v>16.399999999999999</v>
      </c>
      <c r="G54" s="13">
        <v>300</v>
      </c>
      <c r="H54" s="10">
        <f t="shared" si="0"/>
        <v>4920</v>
      </c>
    </row>
    <row r="55" spans="1:8" x14ac:dyDescent="0.3">
      <c r="A55" s="6">
        <v>54</v>
      </c>
      <c r="B55" s="7">
        <v>44962</v>
      </c>
      <c r="C55" s="6">
        <v>1020</v>
      </c>
      <c r="D55" s="11" t="s">
        <v>20</v>
      </c>
      <c r="E55" s="11" t="s">
        <v>23</v>
      </c>
      <c r="F55" s="12">
        <v>19</v>
      </c>
      <c r="G55" s="13">
        <v>1200</v>
      </c>
      <c r="H55" s="10">
        <f t="shared" si="0"/>
        <v>22800</v>
      </c>
    </row>
    <row r="56" spans="1:8" x14ac:dyDescent="0.3">
      <c r="A56" s="6">
        <v>55</v>
      </c>
      <c r="B56" s="7">
        <v>44962</v>
      </c>
      <c r="C56" s="6">
        <v>1018</v>
      </c>
      <c r="D56" s="11" t="s">
        <v>18</v>
      </c>
      <c r="E56" s="11" t="s">
        <v>23</v>
      </c>
      <c r="F56" s="12">
        <v>16.8</v>
      </c>
      <c r="G56" s="13">
        <v>400</v>
      </c>
      <c r="H56" s="10">
        <f t="shared" si="0"/>
        <v>6720</v>
      </c>
    </row>
    <row r="57" spans="1:8" x14ac:dyDescent="0.3">
      <c r="A57" s="6">
        <v>56</v>
      </c>
      <c r="B57" s="7">
        <v>44962</v>
      </c>
      <c r="C57" s="6">
        <v>1009</v>
      </c>
      <c r="D57" s="8" t="s">
        <v>9</v>
      </c>
      <c r="E57" s="8" t="s">
        <v>24</v>
      </c>
      <c r="F57" s="9">
        <v>16</v>
      </c>
      <c r="G57" s="13">
        <v>1300</v>
      </c>
      <c r="H57" s="10">
        <f t="shared" si="0"/>
        <v>20800</v>
      </c>
    </row>
    <row r="58" spans="1:8" x14ac:dyDescent="0.3">
      <c r="A58" s="6">
        <v>57</v>
      </c>
      <c r="B58" s="7">
        <v>44962</v>
      </c>
      <c r="C58" s="6">
        <v>1019</v>
      </c>
      <c r="D58" s="8" t="s">
        <v>19</v>
      </c>
      <c r="E58" s="8" t="s">
        <v>24</v>
      </c>
      <c r="F58" s="9">
        <v>17.899999999999999</v>
      </c>
      <c r="G58" s="13">
        <v>500</v>
      </c>
      <c r="H58" s="10">
        <f t="shared" si="0"/>
        <v>8950</v>
      </c>
    </row>
    <row r="59" spans="1:8" x14ac:dyDescent="0.3">
      <c r="A59" s="6">
        <v>58</v>
      </c>
      <c r="B59" s="7">
        <v>44962</v>
      </c>
      <c r="C59" s="6">
        <v>1012</v>
      </c>
      <c r="D59" s="11" t="s">
        <v>12</v>
      </c>
      <c r="E59" s="11" t="s">
        <v>23</v>
      </c>
      <c r="F59" s="12">
        <v>35.5</v>
      </c>
      <c r="G59" s="13">
        <v>200</v>
      </c>
      <c r="H59" s="10">
        <f t="shared" si="0"/>
        <v>7100</v>
      </c>
    </row>
    <row r="60" spans="1:8" x14ac:dyDescent="0.3">
      <c r="A60" s="6">
        <v>59</v>
      </c>
      <c r="B60" s="7">
        <v>44962</v>
      </c>
      <c r="C60" s="6">
        <v>1020</v>
      </c>
      <c r="D60" s="11" t="s">
        <v>20</v>
      </c>
      <c r="E60" s="11" t="s">
        <v>23</v>
      </c>
      <c r="F60" s="12">
        <v>19</v>
      </c>
      <c r="G60" s="13">
        <v>200</v>
      </c>
      <c r="H60" s="10">
        <f t="shared" si="0"/>
        <v>3800</v>
      </c>
    </row>
    <row r="61" spans="1:8" x14ac:dyDescent="0.3">
      <c r="A61" s="6">
        <v>60</v>
      </c>
      <c r="B61" s="7">
        <v>44962</v>
      </c>
      <c r="C61" s="6">
        <v>1001</v>
      </c>
      <c r="D61" s="8" t="s">
        <v>1</v>
      </c>
      <c r="E61" s="8" t="s">
        <v>23</v>
      </c>
      <c r="F61" s="9">
        <v>10.5</v>
      </c>
      <c r="G61" s="13">
        <v>300</v>
      </c>
      <c r="H61" s="10">
        <f t="shared" si="0"/>
        <v>3150</v>
      </c>
    </row>
    <row r="62" spans="1:8" x14ac:dyDescent="0.3">
      <c r="A62" s="6">
        <v>61</v>
      </c>
      <c r="B62" s="7">
        <v>44962</v>
      </c>
      <c r="C62" s="6">
        <v>1014</v>
      </c>
      <c r="D62" s="11" t="s">
        <v>14</v>
      </c>
      <c r="E62" s="11" t="s">
        <v>23</v>
      </c>
      <c r="F62" s="12">
        <v>17</v>
      </c>
      <c r="G62" s="13">
        <v>400</v>
      </c>
      <c r="H62" s="10">
        <f t="shared" si="0"/>
        <v>6800</v>
      </c>
    </row>
    <row r="63" spans="1:8" x14ac:dyDescent="0.3">
      <c r="A63" s="6">
        <v>62</v>
      </c>
      <c r="B63" s="7">
        <v>44962</v>
      </c>
      <c r="C63" s="6">
        <v>1013</v>
      </c>
      <c r="D63" s="8" t="s">
        <v>13</v>
      </c>
      <c r="E63" s="8" t="s">
        <v>26</v>
      </c>
      <c r="F63" s="9">
        <v>42</v>
      </c>
      <c r="G63" s="13">
        <v>1500</v>
      </c>
      <c r="H63" s="10">
        <f t="shared" si="0"/>
        <v>63000</v>
      </c>
    </row>
    <row r="64" spans="1:8" x14ac:dyDescent="0.3">
      <c r="A64" s="6">
        <v>63</v>
      </c>
      <c r="B64" s="7">
        <v>44968</v>
      </c>
      <c r="C64" s="6">
        <v>1018</v>
      </c>
      <c r="D64" s="11" t="s">
        <v>18</v>
      </c>
      <c r="E64" s="11" t="s">
        <v>23</v>
      </c>
      <c r="F64" s="12">
        <v>16.8</v>
      </c>
      <c r="G64" s="13">
        <v>300</v>
      </c>
      <c r="H64" s="10">
        <f t="shared" si="0"/>
        <v>5040</v>
      </c>
    </row>
    <row r="65" spans="1:8" x14ac:dyDescent="0.3">
      <c r="A65" s="6">
        <v>64</v>
      </c>
      <c r="B65" s="7">
        <v>44968</v>
      </c>
      <c r="C65" s="6">
        <v>1006</v>
      </c>
      <c r="D65" s="11" t="s">
        <v>6</v>
      </c>
      <c r="E65" s="11" t="s">
        <v>26</v>
      </c>
      <c r="F65" s="12">
        <v>17.100000000000001</v>
      </c>
      <c r="G65" s="13">
        <v>1000</v>
      </c>
      <c r="H65" s="10">
        <f t="shared" si="0"/>
        <v>17100</v>
      </c>
    </row>
    <row r="66" spans="1:8" x14ac:dyDescent="0.3">
      <c r="A66" s="6">
        <v>65</v>
      </c>
      <c r="B66" s="7">
        <v>44968</v>
      </c>
      <c r="C66" s="6">
        <v>1016</v>
      </c>
      <c r="D66" s="11" t="s">
        <v>16</v>
      </c>
      <c r="E66" s="11" t="s">
        <v>25</v>
      </c>
      <c r="F66" s="12">
        <v>14.3</v>
      </c>
      <c r="G66" s="13">
        <v>700</v>
      </c>
      <c r="H66" s="10">
        <f t="shared" si="0"/>
        <v>10010</v>
      </c>
    </row>
    <row r="67" spans="1:8" x14ac:dyDescent="0.3">
      <c r="A67" s="6">
        <v>66</v>
      </c>
      <c r="B67" s="7">
        <v>44968</v>
      </c>
      <c r="C67" s="6">
        <v>1012</v>
      </c>
      <c r="D67" s="11" t="s">
        <v>12</v>
      </c>
      <c r="E67" s="11" t="s">
        <v>23</v>
      </c>
      <c r="F67" s="12">
        <v>35.5</v>
      </c>
      <c r="G67" s="13">
        <v>600</v>
      </c>
      <c r="H67" s="10">
        <f t="shared" ref="H67:H71" si="1">F67*G67</f>
        <v>21300</v>
      </c>
    </row>
    <row r="68" spans="1:8" x14ac:dyDescent="0.3">
      <c r="A68" s="6">
        <v>67</v>
      </c>
      <c r="B68" s="7">
        <v>44968</v>
      </c>
      <c r="C68" s="6">
        <v>1010</v>
      </c>
      <c r="D68" s="11" t="s">
        <v>10</v>
      </c>
      <c r="E68" s="11" t="s">
        <v>24</v>
      </c>
      <c r="F68" s="12">
        <v>11.5</v>
      </c>
      <c r="G68" s="13">
        <v>500</v>
      </c>
      <c r="H68" s="10">
        <f t="shared" si="1"/>
        <v>5750</v>
      </c>
    </row>
    <row r="69" spans="1:8" x14ac:dyDescent="0.3">
      <c r="A69" s="6">
        <v>68</v>
      </c>
      <c r="B69" s="7">
        <v>44968</v>
      </c>
      <c r="C69" s="6">
        <v>1008</v>
      </c>
      <c r="D69" s="11" t="s">
        <v>8</v>
      </c>
      <c r="E69" s="11" t="s">
        <v>23</v>
      </c>
      <c r="F69" s="12">
        <v>32.200000000000003</v>
      </c>
      <c r="G69" s="13">
        <v>400</v>
      </c>
      <c r="H69" s="10">
        <f t="shared" si="1"/>
        <v>12880.000000000002</v>
      </c>
    </row>
    <row r="70" spans="1:8" x14ac:dyDescent="0.3">
      <c r="A70" s="6">
        <v>69</v>
      </c>
      <c r="B70" s="7">
        <v>44983</v>
      </c>
      <c r="C70" s="6">
        <v>1005</v>
      </c>
      <c r="D70" s="8" t="s">
        <v>5</v>
      </c>
      <c r="E70" s="8" t="s">
        <v>23</v>
      </c>
      <c r="F70" s="9">
        <v>16.399999999999999</v>
      </c>
      <c r="G70" s="13">
        <v>300</v>
      </c>
      <c r="H70" s="10">
        <f t="shared" si="1"/>
        <v>4920</v>
      </c>
    </row>
    <row r="71" spans="1:8" x14ac:dyDescent="0.3">
      <c r="A71" s="6">
        <v>70</v>
      </c>
      <c r="B71" s="7">
        <v>44983</v>
      </c>
      <c r="C71" s="6">
        <v>1003</v>
      </c>
      <c r="D71" s="8" t="s">
        <v>3</v>
      </c>
      <c r="E71" s="8" t="s">
        <v>25</v>
      </c>
      <c r="F71" s="9">
        <v>30.2</v>
      </c>
      <c r="G71" s="13">
        <v>200</v>
      </c>
      <c r="H71" s="10">
        <f t="shared" si="1"/>
        <v>6040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A6FAB-8D0A-4CF6-B3DD-726B832FF33B}">
  <dimension ref="A1:H71"/>
  <sheetViews>
    <sheetView topLeftCell="A49" workbookViewId="0">
      <selection activeCell="B74" sqref="B74"/>
    </sheetView>
  </sheetViews>
  <sheetFormatPr defaultRowHeight="14.4" x14ac:dyDescent="0.3"/>
  <cols>
    <col min="1" max="1" width="16" customWidth="1"/>
    <col min="2" max="2" width="13.109375" customWidth="1"/>
    <col min="3" max="3" width="12.44140625" customWidth="1"/>
    <col min="4" max="4" width="12.109375" customWidth="1"/>
    <col min="5" max="5" width="16.109375" customWidth="1"/>
    <col min="6" max="6" width="17.44140625" customWidth="1"/>
    <col min="7" max="7" width="16.44140625" customWidth="1"/>
    <col min="8" max="8" width="18.21875" customWidth="1"/>
  </cols>
  <sheetData>
    <row r="1" spans="1:8" x14ac:dyDescent="0.3">
      <c r="A1" s="2" t="s">
        <v>31</v>
      </c>
      <c r="B1" s="2" t="s">
        <v>32</v>
      </c>
      <c r="C1" s="2" t="s">
        <v>34</v>
      </c>
      <c r="D1" s="2" t="s">
        <v>33</v>
      </c>
      <c r="E1" s="2" t="s">
        <v>22</v>
      </c>
      <c r="F1" s="2" t="s">
        <v>27</v>
      </c>
      <c r="G1" s="2" t="s">
        <v>37</v>
      </c>
      <c r="H1" s="2" t="s">
        <v>36</v>
      </c>
    </row>
    <row r="2" spans="1:8" x14ac:dyDescent="0.3">
      <c r="A2" s="6">
        <v>1</v>
      </c>
      <c r="B2" s="7">
        <v>44931</v>
      </c>
      <c r="C2" s="6">
        <v>1001</v>
      </c>
      <c r="D2" s="8" t="s">
        <v>1</v>
      </c>
      <c r="E2" s="8" t="s">
        <v>23</v>
      </c>
      <c r="F2" s="9">
        <v>10.5</v>
      </c>
      <c r="G2" s="13">
        <v>500</v>
      </c>
      <c r="H2" s="10">
        <f>F2*G2</f>
        <v>5250</v>
      </c>
    </row>
    <row r="3" spans="1:8" x14ac:dyDescent="0.3">
      <c r="A3" s="6">
        <v>2</v>
      </c>
      <c r="B3" s="7">
        <v>44932</v>
      </c>
      <c r="C3" s="6">
        <v>1002</v>
      </c>
      <c r="D3" s="11" t="s">
        <v>2</v>
      </c>
      <c r="E3" s="11" t="s">
        <v>24</v>
      </c>
      <c r="F3" s="12">
        <v>20</v>
      </c>
      <c r="G3" s="13">
        <v>800</v>
      </c>
      <c r="H3" s="10">
        <f t="shared" ref="H3:H66" si="0">F3*G3</f>
        <v>16000</v>
      </c>
    </row>
    <row r="4" spans="1:8" x14ac:dyDescent="0.3">
      <c r="A4" s="6">
        <v>3</v>
      </c>
      <c r="B4" s="7">
        <v>44932</v>
      </c>
      <c r="C4" s="6">
        <v>1003</v>
      </c>
      <c r="D4" s="8" t="s">
        <v>3</v>
      </c>
      <c r="E4" s="8" t="s">
        <v>25</v>
      </c>
      <c r="F4" s="9">
        <v>30.2</v>
      </c>
      <c r="G4" s="13">
        <v>600</v>
      </c>
      <c r="H4" s="10">
        <f t="shared" si="0"/>
        <v>18120</v>
      </c>
    </row>
    <row r="5" spans="1:8" x14ac:dyDescent="0.3">
      <c r="A5" s="6">
        <v>4</v>
      </c>
      <c r="B5" s="7">
        <v>44933</v>
      </c>
      <c r="C5" s="6">
        <v>1004</v>
      </c>
      <c r="D5" s="11" t="s">
        <v>4</v>
      </c>
      <c r="E5" s="11" t="s">
        <v>23</v>
      </c>
      <c r="F5" s="12">
        <v>15</v>
      </c>
      <c r="G5" s="13">
        <v>300</v>
      </c>
      <c r="H5" s="10">
        <f t="shared" si="0"/>
        <v>4500</v>
      </c>
    </row>
    <row r="6" spans="1:8" x14ac:dyDescent="0.3">
      <c r="A6" s="6">
        <v>5</v>
      </c>
      <c r="B6" s="7">
        <v>44934</v>
      </c>
      <c r="C6" s="6">
        <v>1005</v>
      </c>
      <c r="D6" s="8" t="s">
        <v>5</v>
      </c>
      <c r="E6" s="8" t="s">
        <v>23</v>
      </c>
      <c r="F6" s="9">
        <v>16.399999999999999</v>
      </c>
      <c r="G6" s="13">
        <v>400</v>
      </c>
      <c r="H6" s="10">
        <f t="shared" si="0"/>
        <v>6559.9999999999991</v>
      </c>
    </row>
    <row r="7" spans="1:8" x14ac:dyDescent="0.3">
      <c r="A7" s="6">
        <v>6</v>
      </c>
      <c r="B7" s="7">
        <v>44934</v>
      </c>
      <c r="C7" s="6">
        <v>1006</v>
      </c>
      <c r="D7" s="11" t="s">
        <v>6</v>
      </c>
      <c r="E7" s="11" t="s">
        <v>26</v>
      </c>
      <c r="F7" s="12">
        <v>17.100000000000001</v>
      </c>
      <c r="G7" s="13">
        <v>200</v>
      </c>
      <c r="H7" s="10">
        <f t="shared" si="0"/>
        <v>3420.0000000000005</v>
      </c>
    </row>
    <row r="8" spans="1:8" x14ac:dyDescent="0.3">
      <c r="A8" s="6">
        <v>7</v>
      </c>
      <c r="B8" s="7">
        <v>44934</v>
      </c>
      <c r="C8" s="6">
        <v>1007</v>
      </c>
      <c r="D8" s="8" t="s">
        <v>7</v>
      </c>
      <c r="E8" s="8" t="s">
        <v>26</v>
      </c>
      <c r="F8" s="9">
        <v>20.399999999999999</v>
      </c>
      <c r="G8" s="13">
        <v>400</v>
      </c>
      <c r="H8" s="10">
        <f t="shared" si="0"/>
        <v>8159.9999999999991</v>
      </c>
    </row>
    <row r="9" spans="1:8" x14ac:dyDescent="0.3">
      <c r="A9" s="6">
        <v>8</v>
      </c>
      <c r="B9" s="7">
        <v>44935</v>
      </c>
      <c r="C9" s="6">
        <v>1008</v>
      </c>
      <c r="D9" s="11" t="s">
        <v>8</v>
      </c>
      <c r="E9" s="11" t="s">
        <v>23</v>
      </c>
      <c r="F9" s="12">
        <v>32.200000000000003</v>
      </c>
      <c r="G9" s="13">
        <v>300</v>
      </c>
      <c r="H9" s="10">
        <f t="shared" si="0"/>
        <v>9660</v>
      </c>
    </row>
    <row r="10" spans="1:8" x14ac:dyDescent="0.3">
      <c r="A10" s="6">
        <v>9</v>
      </c>
      <c r="B10" s="7">
        <v>44936</v>
      </c>
      <c r="C10" s="6">
        <v>1009</v>
      </c>
      <c r="D10" s="8" t="s">
        <v>9</v>
      </c>
      <c r="E10" s="8" t="s">
        <v>24</v>
      </c>
      <c r="F10" s="9">
        <v>16</v>
      </c>
      <c r="G10" s="13">
        <v>300</v>
      </c>
      <c r="H10" s="10">
        <f t="shared" si="0"/>
        <v>4800</v>
      </c>
    </row>
    <row r="11" spans="1:8" x14ac:dyDescent="0.3">
      <c r="A11" s="6">
        <v>10</v>
      </c>
      <c r="B11" s="7">
        <v>44936</v>
      </c>
      <c r="C11" s="6">
        <v>1010</v>
      </c>
      <c r="D11" s="11" t="s">
        <v>10</v>
      </c>
      <c r="E11" s="11" t="s">
        <v>24</v>
      </c>
      <c r="F11" s="12">
        <v>11.5</v>
      </c>
      <c r="G11" s="13">
        <v>200</v>
      </c>
      <c r="H11" s="10">
        <f t="shared" si="0"/>
        <v>2300</v>
      </c>
    </row>
    <row r="12" spans="1:8" x14ac:dyDescent="0.3">
      <c r="A12" s="6">
        <v>11</v>
      </c>
      <c r="B12" s="7">
        <v>44937</v>
      </c>
      <c r="C12" s="6">
        <v>1011</v>
      </c>
      <c r="D12" s="8" t="s">
        <v>11</v>
      </c>
      <c r="E12" s="8" t="s">
        <v>25</v>
      </c>
      <c r="F12" s="9">
        <v>13.8</v>
      </c>
      <c r="G12" s="13">
        <v>400</v>
      </c>
      <c r="H12" s="10">
        <f t="shared" si="0"/>
        <v>5520</v>
      </c>
    </row>
    <row r="13" spans="1:8" x14ac:dyDescent="0.3">
      <c r="A13" s="6">
        <v>12</v>
      </c>
      <c r="B13" s="7">
        <v>44937</v>
      </c>
      <c r="C13" s="6">
        <v>1012</v>
      </c>
      <c r="D13" s="11" t="s">
        <v>12</v>
      </c>
      <c r="E13" s="11" t="s">
        <v>23</v>
      </c>
      <c r="F13" s="12">
        <v>35.5</v>
      </c>
      <c r="G13" s="13">
        <v>600</v>
      </c>
      <c r="H13" s="10">
        <f t="shared" si="0"/>
        <v>21300</v>
      </c>
    </row>
    <row r="14" spans="1:8" x14ac:dyDescent="0.3">
      <c r="A14" s="6">
        <v>13</v>
      </c>
      <c r="B14" s="7">
        <v>44938</v>
      </c>
      <c r="C14" s="6">
        <v>1013</v>
      </c>
      <c r="D14" s="8" t="s">
        <v>13</v>
      </c>
      <c r="E14" s="8" t="s">
        <v>26</v>
      </c>
      <c r="F14" s="9">
        <v>42</v>
      </c>
      <c r="G14" s="13">
        <v>500</v>
      </c>
      <c r="H14" s="10">
        <f t="shared" si="0"/>
        <v>21000</v>
      </c>
    </row>
    <row r="15" spans="1:8" x14ac:dyDescent="0.3">
      <c r="A15" s="6">
        <v>14</v>
      </c>
      <c r="B15" s="7">
        <v>44939</v>
      </c>
      <c r="C15" s="6">
        <v>1014</v>
      </c>
      <c r="D15" s="11" t="s">
        <v>14</v>
      </c>
      <c r="E15" s="11" t="s">
        <v>23</v>
      </c>
      <c r="F15" s="12">
        <v>17</v>
      </c>
      <c r="G15" s="13">
        <v>400</v>
      </c>
      <c r="H15" s="10">
        <f t="shared" si="0"/>
        <v>6800</v>
      </c>
    </row>
    <row r="16" spans="1:8" x14ac:dyDescent="0.3">
      <c r="A16" s="6">
        <v>15</v>
      </c>
      <c r="B16" s="7">
        <v>44939</v>
      </c>
      <c r="C16" s="6">
        <v>1015</v>
      </c>
      <c r="D16" s="8" t="s">
        <v>15</v>
      </c>
      <c r="E16" s="8" t="s">
        <v>24</v>
      </c>
      <c r="F16" s="9">
        <v>15.8</v>
      </c>
      <c r="G16" s="13">
        <v>700</v>
      </c>
      <c r="H16" s="10">
        <f t="shared" si="0"/>
        <v>11060</v>
      </c>
    </row>
    <row r="17" spans="1:8" x14ac:dyDescent="0.3">
      <c r="A17" s="6">
        <v>16</v>
      </c>
      <c r="B17" s="7">
        <v>44939</v>
      </c>
      <c r="C17" s="6">
        <v>1016</v>
      </c>
      <c r="D17" s="11" t="s">
        <v>16</v>
      </c>
      <c r="E17" s="11" t="s">
        <v>25</v>
      </c>
      <c r="F17" s="12">
        <v>14.3</v>
      </c>
      <c r="G17" s="13">
        <v>800</v>
      </c>
      <c r="H17" s="10">
        <f t="shared" si="0"/>
        <v>11440</v>
      </c>
    </row>
    <row r="18" spans="1:8" x14ac:dyDescent="0.3">
      <c r="A18" s="6">
        <v>17</v>
      </c>
      <c r="B18" s="7">
        <v>44941</v>
      </c>
      <c r="C18" s="6">
        <v>1017</v>
      </c>
      <c r="D18" s="8" t="s">
        <v>17</v>
      </c>
      <c r="E18" s="8" t="s">
        <v>26</v>
      </c>
      <c r="F18" s="9">
        <v>12.2</v>
      </c>
      <c r="G18" s="13">
        <v>500</v>
      </c>
      <c r="H18" s="10">
        <f t="shared" si="0"/>
        <v>6100</v>
      </c>
    </row>
    <row r="19" spans="1:8" x14ac:dyDescent="0.3">
      <c r="A19" s="6">
        <v>18</v>
      </c>
      <c r="B19" s="7">
        <v>44944</v>
      </c>
      <c r="C19" s="6">
        <v>1018</v>
      </c>
      <c r="D19" s="11" t="s">
        <v>18</v>
      </c>
      <c r="E19" s="11" t="s">
        <v>23</v>
      </c>
      <c r="F19" s="12">
        <v>16.8</v>
      </c>
      <c r="G19" s="13">
        <v>300</v>
      </c>
      <c r="H19" s="10">
        <f t="shared" si="0"/>
        <v>5040</v>
      </c>
    </row>
    <row r="20" spans="1:8" x14ac:dyDescent="0.3">
      <c r="A20" s="6">
        <v>19</v>
      </c>
      <c r="B20" s="7">
        <v>44945</v>
      </c>
      <c r="C20" s="6">
        <v>1019</v>
      </c>
      <c r="D20" s="8" t="s">
        <v>19</v>
      </c>
      <c r="E20" s="8" t="s">
        <v>24</v>
      </c>
      <c r="F20" s="9">
        <v>17.899999999999999</v>
      </c>
      <c r="G20" s="13">
        <v>300</v>
      </c>
      <c r="H20" s="10">
        <f t="shared" si="0"/>
        <v>5370</v>
      </c>
    </row>
    <row r="21" spans="1:8" x14ac:dyDescent="0.3">
      <c r="A21" s="6">
        <v>20</v>
      </c>
      <c r="B21" s="7">
        <v>44946</v>
      </c>
      <c r="C21" s="6">
        <v>1020</v>
      </c>
      <c r="D21" s="11" t="s">
        <v>20</v>
      </c>
      <c r="E21" s="11" t="s">
        <v>23</v>
      </c>
      <c r="F21" s="12">
        <v>19</v>
      </c>
      <c r="G21" s="13">
        <v>300</v>
      </c>
      <c r="H21" s="10">
        <f t="shared" si="0"/>
        <v>5700</v>
      </c>
    </row>
    <row r="22" spans="1:8" x14ac:dyDescent="0.3">
      <c r="A22" s="6">
        <v>21</v>
      </c>
      <c r="B22" s="7">
        <v>44946</v>
      </c>
      <c r="C22" s="6">
        <v>1001</v>
      </c>
      <c r="D22" s="8" t="s">
        <v>1</v>
      </c>
      <c r="E22" s="8" t="s">
        <v>23</v>
      </c>
      <c r="F22" s="9">
        <v>10.5</v>
      </c>
      <c r="G22" s="13">
        <v>400</v>
      </c>
      <c r="H22" s="10">
        <f t="shared" si="0"/>
        <v>4200</v>
      </c>
    </row>
    <row r="23" spans="1:8" x14ac:dyDescent="0.3">
      <c r="A23" s="6">
        <v>22</v>
      </c>
      <c r="B23" s="7">
        <v>44946</v>
      </c>
      <c r="C23" s="6">
        <v>1003</v>
      </c>
      <c r="D23" s="8" t="s">
        <v>3</v>
      </c>
      <c r="E23" s="8" t="s">
        <v>25</v>
      </c>
      <c r="F23" s="9">
        <v>30.2</v>
      </c>
      <c r="G23" s="13">
        <v>600</v>
      </c>
      <c r="H23" s="10">
        <f t="shared" si="0"/>
        <v>18120</v>
      </c>
    </row>
    <row r="24" spans="1:8" x14ac:dyDescent="0.3">
      <c r="A24" s="6">
        <v>23</v>
      </c>
      <c r="B24" s="7">
        <v>44946</v>
      </c>
      <c r="C24" s="6">
        <v>1006</v>
      </c>
      <c r="D24" s="11" t="s">
        <v>6</v>
      </c>
      <c r="E24" s="11" t="s">
        <v>26</v>
      </c>
      <c r="F24" s="12">
        <v>17.100000000000001</v>
      </c>
      <c r="G24" s="13">
        <v>800</v>
      </c>
      <c r="H24" s="10">
        <f t="shared" si="0"/>
        <v>13680.000000000002</v>
      </c>
    </row>
    <row r="25" spans="1:8" x14ac:dyDescent="0.3">
      <c r="A25" s="6">
        <v>24</v>
      </c>
      <c r="B25" s="7">
        <v>44947</v>
      </c>
      <c r="C25" s="6">
        <v>1008</v>
      </c>
      <c r="D25" s="11" t="s">
        <v>8</v>
      </c>
      <c r="E25" s="11" t="s">
        <v>23</v>
      </c>
      <c r="F25" s="12">
        <v>32.200000000000003</v>
      </c>
      <c r="G25" s="13">
        <v>300</v>
      </c>
      <c r="H25" s="10">
        <f t="shared" si="0"/>
        <v>9660</v>
      </c>
    </row>
    <row r="26" spans="1:8" x14ac:dyDescent="0.3">
      <c r="A26" s="6">
        <v>25</v>
      </c>
      <c r="B26" s="7">
        <v>44948</v>
      </c>
      <c r="C26" s="6">
        <v>1011</v>
      </c>
      <c r="D26" s="8" t="s">
        <v>11</v>
      </c>
      <c r="E26" s="8" t="s">
        <v>25</v>
      </c>
      <c r="F26" s="9">
        <v>13.8</v>
      </c>
      <c r="G26" s="13">
        <v>400</v>
      </c>
      <c r="H26" s="10">
        <f t="shared" si="0"/>
        <v>5520</v>
      </c>
    </row>
    <row r="27" spans="1:8" x14ac:dyDescent="0.3">
      <c r="A27" s="6">
        <v>26</v>
      </c>
      <c r="B27" s="7">
        <v>44950</v>
      </c>
      <c r="C27" s="6">
        <v>1004</v>
      </c>
      <c r="D27" s="11" t="s">
        <v>4</v>
      </c>
      <c r="E27" s="11" t="s">
        <v>23</v>
      </c>
      <c r="F27" s="12">
        <v>15</v>
      </c>
      <c r="G27" s="13">
        <v>200</v>
      </c>
      <c r="H27" s="10">
        <f t="shared" si="0"/>
        <v>3000</v>
      </c>
    </row>
    <row r="28" spans="1:8" x14ac:dyDescent="0.3">
      <c r="A28" s="6">
        <v>27</v>
      </c>
      <c r="B28" s="7">
        <v>44951</v>
      </c>
      <c r="C28" s="6">
        <v>1018</v>
      </c>
      <c r="D28" s="11" t="s">
        <v>18</v>
      </c>
      <c r="E28" s="11" t="s">
        <v>23</v>
      </c>
      <c r="F28" s="12">
        <v>16.8</v>
      </c>
      <c r="G28" s="13">
        <v>500</v>
      </c>
      <c r="H28" s="10">
        <f t="shared" si="0"/>
        <v>8400</v>
      </c>
    </row>
    <row r="29" spans="1:8" x14ac:dyDescent="0.3">
      <c r="A29" s="6">
        <v>28</v>
      </c>
      <c r="B29" s="7">
        <v>44952</v>
      </c>
      <c r="C29" s="6">
        <v>1009</v>
      </c>
      <c r="D29" s="8" t="s">
        <v>9</v>
      </c>
      <c r="E29" s="8" t="s">
        <v>24</v>
      </c>
      <c r="F29" s="9">
        <v>16</v>
      </c>
      <c r="G29" s="13">
        <v>300</v>
      </c>
      <c r="H29" s="10">
        <f t="shared" si="0"/>
        <v>4800</v>
      </c>
    </row>
    <row r="30" spans="1:8" x14ac:dyDescent="0.3">
      <c r="A30" s="6">
        <v>29</v>
      </c>
      <c r="B30" s="7">
        <v>44953</v>
      </c>
      <c r="C30" s="6">
        <v>1002</v>
      </c>
      <c r="D30" s="11" t="s">
        <v>2</v>
      </c>
      <c r="E30" s="11" t="s">
        <v>24</v>
      </c>
      <c r="F30" s="12">
        <v>20</v>
      </c>
      <c r="G30" s="13">
        <v>200</v>
      </c>
      <c r="H30" s="10">
        <f t="shared" si="0"/>
        <v>4000</v>
      </c>
    </row>
    <row r="31" spans="1:8" x14ac:dyDescent="0.3">
      <c r="A31" s="6">
        <v>30</v>
      </c>
      <c r="B31" s="7">
        <v>44954</v>
      </c>
      <c r="C31" s="6">
        <v>1014</v>
      </c>
      <c r="D31" s="11" t="s">
        <v>14</v>
      </c>
      <c r="E31" s="11" t="s">
        <v>23</v>
      </c>
      <c r="F31" s="12">
        <v>17</v>
      </c>
      <c r="G31" s="13">
        <v>100</v>
      </c>
      <c r="H31" s="10">
        <f t="shared" si="0"/>
        <v>1700</v>
      </c>
    </row>
    <row r="32" spans="1:8" x14ac:dyDescent="0.3">
      <c r="A32" s="6">
        <v>31</v>
      </c>
      <c r="B32" s="7">
        <v>44955</v>
      </c>
      <c r="C32" s="6">
        <v>1005</v>
      </c>
      <c r="D32" s="8" t="s">
        <v>5</v>
      </c>
      <c r="E32" s="8" t="s">
        <v>23</v>
      </c>
      <c r="F32" s="9">
        <v>16.399999999999999</v>
      </c>
      <c r="G32" s="13">
        <v>200</v>
      </c>
      <c r="H32" s="10">
        <f t="shared" si="0"/>
        <v>3279.9999999999995</v>
      </c>
    </row>
    <row r="33" spans="1:8" x14ac:dyDescent="0.3">
      <c r="A33" s="6">
        <v>32</v>
      </c>
      <c r="B33" s="7">
        <v>44956</v>
      </c>
      <c r="C33" s="6">
        <v>1019</v>
      </c>
      <c r="D33" s="8" t="s">
        <v>19</v>
      </c>
      <c r="E33" s="8" t="s">
        <v>24</v>
      </c>
      <c r="F33" s="9">
        <v>17.899999999999999</v>
      </c>
      <c r="G33" s="13">
        <v>800</v>
      </c>
      <c r="H33" s="10">
        <f t="shared" si="0"/>
        <v>14319.999999999998</v>
      </c>
    </row>
    <row r="34" spans="1:8" x14ac:dyDescent="0.3">
      <c r="A34" s="6">
        <v>33</v>
      </c>
      <c r="B34" s="7">
        <v>44956</v>
      </c>
      <c r="C34" s="6">
        <v>1017</v>
      </c>
      <c r="D34" s="8" t="s">
        <v>17</v>
      </c>
      <c r="E34" s="8" t="s">
        <v>26</v>
      </c>
      <c r="F34" s="9">
        <v>12.2</v>
      </c>
      <c r="G34" s="13">
        <v>1000</v>
      </c>
      <c r="H34" s="10">
        <f t="shared" si="0"/>
        <v>12200</v>
      </c>
    </row>
    <row r="35" spans="1:8" x14ac:dyDescent="0.3">
      <c r="A35" s="6">
        <v>34</v>
      </c>
      <c r="B35" s="7">
        <v>44956</v>
      </c>
      <c r="C35" s="6">
        <v>1001</v>
      </c>
      <c r="D35" s="8" t="s">
        <v>1</v>
      </c>
      <c r="E35" s="8" t="s">
        <v>23</v>
      </c>
      <c r="F35" s="9">
        <v>10.5</v>
      </c>
      <c r="G35" s="13">
        <v>600</v>
      </c>
      <c r="H35" s="10">
        <f t="shared" si="0"/>
        <v>6300</v>
      </c>
    </row>
    <row r="36" spans="1:8" x14ac:dyDescent="0.3">
      <c r="A36" s="6">
        <v>35</v>
      </c>
      <c r="B36" s="7">
        <v>44957</v>
      </c>
      <c r="C36" s="6">
        <v>1020</v>
      </c>
      <c r="D36" s="11" t="s">
        <v>20</v>
      </c>
      <c r="E36" s="11" t="s">
        <v>23</v>
      </c>
      <c r="F36" s="12">
        <v>19</v>
      </c>
      <c r="G36" s="13">
        <v>1100</v>
      </c>
      <c r="H36" s="10">
        <f t="shared" si="0"/>
        <v>20900</v>
      </c>
    </row>
    <row r="37" spans="1:8" x14ac:dyDescent="0.3">
      <c r="A37" s="6">
        <v>36</v>
      </c>
      <c r="B37" s="7">
        <v>44958</v>
      </c>
      <c r="C37" s="6">
        <v>1013</v>
      </c>
      <c r="D37" s="8" t="s">
        <v>13</v>
      </c>
      <c r="E37" s="8" t="s">
        <v>26</v>
      </c>
      <c r="F37" s="9">
        <v>42</v>
      </c>
      <c r="G37" s="13">
        <v>700</v>
      </c>
      <c r="H37" s="10">
        <f t="shared" si="0"/>
        <v>29400</v>
      </c>
    </row>
    <row r="38" spans="1:8" x14ac:dyDescent="0.3">
      <c r="A38" s="6">
        <v>37</v>
      </c>
      <c r="B38" s="7">
        <v>44958</v>
      </c>
      <c r="C38" s="6">
        <v>1006</v>
      </c>
      <c r="D38" s="11" t="s">
        <v>6</v>
      </c>
      <c r="E38" s="11" t="s">
        <v>26</v>
      </c>
      <c r="F38" s="12">
        <v>17.100000000000001</v>
      </c>
      <c r="G38" s="13">
        <v>300</v>
      </c>
      <c r="H38" s="10">
        <f t="shared" si="0"/>
        <v>5130</v>
      </c>
    </row>
    <row r="39" spans="1:8" x14ac:dyDescent="0.3">
      <c r="A39" s="6">
        <v>38</v>
      </c>
      <c r="B39" s="7">
        <v>44959</v>
      </c>
      <c r="C39" s="6">
        <v>1020</v>
      </c>
      <c r="D39" s="11" t="s">
        <v>20</v>
      </c>
      <c r="E39" s="11" t="s">
        <v>23</v>
      </c>
      <c r="F39" s="12">
        <v>19</v>
      </c>
      <c r="G39" s="13">
        <v>700</v>
      </c>
      <c r="H39" s="10">
        <f t="shared" si="0"/>
        <v>13300</v>
      </c>
    </row>
    <row r="40" spans="1:8" x14ac:dyDescent="0.3">
      <c r="A40" s="6">
        <v>39</v>
      </c>
      <c r="B40" s="7">
        <v>44959</v>
      </c>
      <c r="C40" s="6">
        <v>1010</v>
      </c>
      <c r="D40" s="11" t="s">
        <v>10</v>
      </c>
      <c r="E40" s="11" t="s">
        <v>24</v>
      </c>
      <c r="F40" s="12">
        <v>11.5</v>
      </c>
      <c r="G40" s="13">
        <v>500</v>
      </c>
      <c r="H40" s="10">
        <f t="shared" si="0"/>
        <v>5750</v>
      </c>
    </row>
    <row r="41" spans="1:8" x14ac:dyDescent="0.3">
      <c r="A41" s="6">
        <v>40</v>
      </c>
      <c r="B41" s="7">
        <v>44960</v>
      </c>
      <c r="C41" s="6">
        <v>1019</v>
      </c>
      <c r="D41" s="8" t="s">
        <v>19</v>
      </c>
      <c r="E41" s="8" t="s">
        <v>24</v>
      </c>
      <c r="F41" s="9">
        <v>17.899999999999999</v>
      </c>
      <c r="G41" s="13">
        <v>300</v>
      </c>
      <c r="H41" s="10">
        <f t="shared" si="0"/>
        <v>5370</v>
      </c>
    </row>
    <row r="42" spans="1:8" x14ac:dyDescent="0.3">
      <c r="A42" s="6">
        <v>41</v>
      </c>
      <c r="B42" s="7">
        <v>44960</v>
      </c>
      <c r="C42" s="6">
        <v>1007</v>
      </c>
      <c r="D42" s="8" t="s">
        <v>7</v>
      </c>
      <c r="E42" s="8" t="s">
        <v>26</v>
      </c>
      <c r="F42" s="9">
        <v>20.399999999999999</v>
      </c>
      <c r="G42" s="13">
        <v>200</v>
      </c>
      <c r="H42" s="10">
        <f t="shared" si="0"/>
        <v>4079.9999999999995</v>
      </c>
    </row>
    <row r="43" spans="1:8" x14ac:dyDescent="0.3">
      <c r="A43" s="6">
        <v>42</v>
      </c>
      <c r="B43" s="7">
        <v>44961</v>
      </c>
      <c r="C43" s="6">
        <v>1020</v>
      </c>
      <c r="D43" s="11" t="s">
        <v>20</v>
      </c>
      <c r="E43" s="11" t="s">
        <v>23</v>
      </c>
      <c r="F43" s="12">
        <v>19</v>
      </c>
      <c r="G43" s="13">
        <v>700</v>
      </c>
      <c r="H43" s="10">
        <f t="shared" si="0"/>
        <v>13300</v>
      </c>
    </row>
    <row r="44" spans="1:8" x14ac:dyDescent="0.3">
      <c r="A44" s="6">
        <v>43</v>
      </c>
      <c r="B44" s="7">
        <v>44961</v>
      </c>
      <c r="C44" s="6">
        <v>1015</v>
      </c>
      <c r="D44" s="8" t="s">
        <v>15</v>
      </c>
      <c r="E44" s="8" t="s">
        <v>24</v>
      </c>
      <c r="F44" s="9">
        <v>15.8</v>
      </c>
      <c r="G44" s="13">
        <v>700</v>
      </c>
      <c r="H44" s="10">
        <f t="shared" si="0"/>
        <v>11060</v>
      </c>
    </row>
    <row r="45" spans="1:8" x14ac:dyDescent="0.3">
      <c r="A45" s="6">
        <v>44</v>
      </c>
      <c r="B45" s="7">
        <v>44963</v>
      </c>
      <c r="C45" s="6">
        <v>1014</v>
      </c>
      <c r="D45" s="11" t="s">
        <v>14</v>
      </c>
      <c r="E45" s="11" t="s">
        <v>23</v>
      </c>
      <c r="F45" s="12">
        <v>17</v>
      </c>
      <c r="G45" s="13">
        <v>700</v>
      </c>
      <c r="H45" s="10">
        <f t="shared" si="0"/>
        <v>11900</v>
      </c>
    </row>
    <row r="46" spans="1:8" x14ac:dyDescent="0.3">
      <c r="A46" s="6">
        <v>45</v>
      </c>
      <c r="B46" s="7">
        <v>44964</v>
      </c>
      <c r="C46" s="6">
        <v>1004</v>
      </c>
      <c r="D46" s="11" t="s">
        <v>4</v>
      </c>
      <c r="E46" s="11" t="s">
        <v>23</v>
      </c>
      <c r="F46" s="12">
        <v>15</v>
      </c>
      <c r="G46" s="13">
        <v>1200</v>
      </c>
      <c r="H46" s="10">
        <f t="shared" si="0"/>
        <v>18000</v>
      </c>
    </row>
    <row r="47" spans="1:8" x14ac:dyDescent="0.3">
      <c r="A47" s="6">
        <v>46</v>
      </c>
      <c r="B47" s="7">
        <v>44964</v>
      </c>
      <c r="C47" s="6">
        <v>1019</v>
      </c>
      <c r="D47" s="8" t="s">
        <v>19</v>
      </c>
      <c r="E47" s="8" t="s">
        <v>24</v>
      </c>
      <c r="F47" s="9">
        <v>17.899999999999999</v>
      </c>
      <c r="G47" s="13">
        <v>500</v>
      </c>
      <c r="H47" s="10">
        <f t="shared" si="0"/>
        <v>8950</v>
      </c>
    </row>
    <row r="48" spans="1:8" x14ac:dyDescent="0.3">
      <c r="A48" s="6">
        <v>47</v>
      </c>
      <c r="B48" s="7">
        <v>44966</v>
      </c>
      <c r="C48" s="6">
        <v>1011</v>
      </c>
      <c r="D48" s="8" t="s">
        <v>11</v>
      </c>
      <c r="E48" s="8" t="s">
        <v>25</v>
      </c>
      <c r="F48" s="9">
        <v>13.8</v>
      </c>
      <c r="G48" s="13">
        <v>1200</v>
      </c>
      <c r="H48" s="10">
        <f t="shared" si="0"/>
        <v>16560</v>
      </c>
    </row>
    <row r="49" spans="1:8" x14ac:dyDescent="0.3">
      <c r="A49" s="6">
        <v>48</v>
      </c>
      <c r="B49" s="7">
        <v>44967</v>
      </c>
      <c r="C49" s="6">
        <v>1002</v>
      </c>
      <c r="D49" s="11" t="s">
        <v>2</v>
      </c>
      <c r="E49" s="11" t="s">
        <v>24</v>
      </c>
      <c r="F49" s="12">
        <v>20</v>
      </c>
      <c r="G49" s="13">
        <v>300</v>
      </c>
      <c r="H49" s="10">
        <f t="shared" si="0"/>
        <v>6000</v>
      </c>
    </row>
    <row r="50" spans="1:8" x14ac:dyDescent="0.3">
      <c r="A50" s="6">
        <v>49</v>
      </c>
      <c r="B50" s="7">
        <v>44967</v>
      </c>
      <c r="C50" s="6">
        <v>1020</v>
      </c>
      <c r="D50" s="11" t="s">
        <v>20</v>
      </c>
      <c r="E50" s="11" t="s">
        <v>23</v>
      </c>
      <c r="F50" s="12">
        <v>19</v>
      </c>
      <c r="G50" s="13">
        <v>200</v>
      </c>
      <c r="H50" s="10">
        <f t="shared" si="0"/>
        <v>3800</v>
      </c>
    </row>
    <row r="51" spans="1:8" x14ac:dyDescent="0.3">
      <c r="A51" s="6">
        <v>50</v>
      </c>
      <c r="B51" s="7">
        <v>44968</v>
      </c>
      <c r="C51" s="6">
        <v>1017</v>
      </c>
      <c r="D51" s="8" t="s">
        <v>17</v>
      </c>
      <c r="E51" s="8" t="s">
        <v>26</v>
      </c>
      <c r="F51" s="9">
        <v>12.2</v>
      </c>
      <c r="G51" s="13">
        <v>200</v>
      </c>
      <c r="H51" s="10">
        <f t="shared" si="0"/>
        <v>2440</v>
      </c>
    </row>
    <row r="52" spans="1:8" x14ac:dyDescent="0.3">
      <c r="A52" s="6">
        <v>51</v>
      </c>
      <c r="B52" s="7">
        <v>44969</v>
      </c>
      <c r="C52" s="6">
        <v>1016</v>
      </c>
      <c r="D52" s="11" t="s">
        <v>16</v>
      </c>
      <c r="E52" s="11" t="s">
        <v>25</v>
      </c>
      <c r="F52" s="12">
        <v>14.3</v>
      </c>
      <c r="G52" s="6">
        <v>400</v>
      </c>
      <c r="H52" s="10">
        <f t="shared" si="0"/>
        <v>5720</v>
      </c>
    </row>
    <row r="53" spans="1:8" x14ac:dyDescent="0.3">
      <c r="A53" s="6">
        <v>52</v>
      </c>
      <c r="B53" s="7">
        <v>44971</v>
      </c>
      <c r="C53" s="6">
        <v>1020</v>
      </c>
      <c r="D53" s="11" t="s">
        <v>20</v>
      </c>
      <c r="E53" s="11" t="s">
        <v>23</v>
      </c>
      <c r="F53" s="12">
        <v>19</v>
      </c>
      <c r="G53" s="6">
        <v>900</v>
      </c>
      <c r="H53" s="10">
        <f t="shared" si="0"/>
        <v>17100</v>
      </c>
    </row>
    <row r="54" spans="1:8" x14ac:dyDescent="0.3">
      <c r="A54" s="6">
        <v>53</v>
      </c>
      <c r="B54" s="7">
        <v>44971</v>
      </c>
      <c r="C54" s="6">
        <v>1005</v>
      </c>
      <c r="D54" s="8" t="s">
        <v>5</v>
      </c>
      <c r="E54" s="8" t="s">
        <v>23</v>
      </c>
      <c r="F54" s="9">
        <v>16.399999999999999</v>
      </c>
      <c r="G54" s="6">
        <v>400</v>
      </c>
      <c r="H54" s="10">
        <f t="shared" si="0"/>
        <v>6559.9999999999991</v>
      </c>
    </row>
    <row r="55" spans="1:8" x14ac:dyDescent="0.3">
      <c r="A55" s="6">
        <v>54</v>
      </c>
      <c r="B55" s="7">
        <v>44971</v>
      </c>
      <c r="C55" s="6">
        <v>1020</v>
      </c>
      <c r="D55" s="11" t="s">
        <v>20</v>
      </c>
      <c r="E55" s="11" t="s">
        <v>23</v>
      </c>
      <c r="F55" s="12">
        <v>19</v>
      </c>
      <c r="G55" s="6">
        <v>1100</v>
      </c>
      <c r="H55" s="10">
        <f t="shared" si="0"/>
        <v>20900</v>
      </c>
    </row>
    <row r="56" spans="1:8" x14ac:dyDescent="0.3">
      <c r="A56" s="6">
        <v>55</v>
      </c>
      <c r="B56" s="7">
        <v>44974</v>
      </c>
      <c r="C56" s="6">
        <v>1018</v>
      </c>
      <c r="D56" s="11" t="s">
        <v>18</v>
      </c>
      <c r="E56" s="11" t="s">
        <v>23</v>
      </c>
      <c r="F56" s="12">
        <v>16.8</v>
      </c>
      <c r="G56" s="6">
        <v>600</v>
      </c>
      <c r="H56" s="10">
        <f t="shared" si="0"/>
        <v>10080</v>
      </c>
    </row>
    <row r="57" spans="1:8" x14ac:dyDescent="0.3">
      <c r="A57" s="6">
        <v>56</v>
      </c>
      <c r="B57" s="7">
        <v>44974</v>
      </c>
      <c r="C57" s="6">
        <v>1009</v>
      </c>
      <c r="D57" s="8" t="s">
        <v>9</v>
      </c>
      <c r="E57" s="8" t="s">
        <v>24</v>
      </c>
      <c r="F57" s="9">
        <v>16</v>
      </c>
      <c r="G57" s="6">
        <v>1750</v>
      </c>
      <c r="H57" s="10">
        <f t="shared" si="0"/>
        <v>28000</v>
      </c>
    </row>
    <row r="58" spans="1:8" x14ac:dyDescent="0.3">
      <c r="A58" s="6">
        <v>57</v>
      </c>
      <c r="B58" s="7">
        <v>44975</v>
      </c>
      <c r="C58" s="6">
        <v>1019</v>
      </c>
      <c r="D58" s="8" t="s">
        <v>19</v>
      </c>
      <c r="E58" s="8" t="s">
        <v>24</v>
      </c>
      <c r="F58" s="9">
        <v>17.899999999999999</v>
      </c>
      <c r="G58" s="6">
        <v>400</v>
      </c>
      <c r="H58" s="10">
        <f t="shared" si="0"/>
        <v>7159.9999999999991</v>
      </c>
    </row>
    <row r="59" spans="1:8" x14ac:dyDescent="0.3">
      <c r="A59" s="6">
        <v>58</v>
      </c>
      <c r="B59" s="7">
        <v>44975</v>
      </c>
      <c r="C59" s="6">
        <v>1012</v>
      </c>
      <c r="D59" s="11" t="s">
        <v>12</v>
      </c>
      <c r="E59" s="11" t="s">
        <v>23</v>
      </c>
      <c r="F59" s="12">
        <v>35.5</v>
      </c>
      <c r="G59" s="6">
        <v>300</v>
      </c>
      <c r="H59" s="10">
        <f t="shared" si="0"/>
        <v>10650</v>
      </c>
    </row>
    <row r="60" spans="1:8" x14ac:dyDescent="0.3">
      <c r="A60" s="6">
        <v>59</v>
      </c>
      <c r="B60" s="7">
        <v>44977</v>
      </c>
      <c r="C60" s="6">
        <v>1020</v>
      </c>
      <c r="D60" s="11" t="s">
        <v>20</v>
      </c>
      <c r="E60" s="11" t="s">
        <v>23</v>
      </c>
      <c r="F60" s="12">
        <v>19</v>
      </c>
      <c r="G60" s="6">
        <v>700</v>
      </c>
      <c r="H60" s="10">
        <f t="shared" si="0"/>
        <v>13300</v>
      </c>
    </row>
    <row r="61" spans="1:8" x14ac:dyDescent="0.3">
      <c r="A61" s="6">
        <v>60</v>
      </c>
      <c r="B61" s="7">
        <v>44977</v>
      </c>
      <c r="C61" s="6">
        <v>1001</v>
      </c>
      <c r="D61" s="8" t="s">
        <v>1</v>
      </c>
      <c r="E61" s="8" t="s">
        <v>23</v>
      </c>
      <c r="F61" s="9">
        <v>10.5</v>
      </c>
      <c r="G61" s="6">
        <v>500</v>
      </c>
      <c r="H61" s="10">
        <f t="shared" si="0"/>
        <v>5250</v>
      </c>
    </row>
    <row r="62" spans="1:8" x14ac:dyDescent="0.3">
      <c r="A62" s="6">
        <v>61</v>
      </c>
      <c r="B62" s="7">
        <v>44978</v>
      </c>
      <c r="C62" s="6">
        <v>1014</v>
      </c>
      <c r="D62" s="11" t="s">
        <v>14</v>
      </c>
      <c r="E62" s="11" t="s">
        <v>23</v>
      </c>
      <c r="F62" s="12">
        <v>17</v>
      </c>
      <c r="G62" s="6">
        <v>600</v>
      </c>
      <c r="H62" s="10">
        <f t="shared" si="0"/>
        <v>10200</v>
      </c>
    </row>
    <row r="63" spans="1:8" x14ac:dyDescent="0.3">
      <c r="A63" s="6">
        <v>62</v>
      </c>
      <c r="B63" s="7">
        <v>44978</v>
      </c>
      <c r="C63" s="6">
        <v>1013</v>
      </c>
      <c r="D63" s="8" t="s">
        <v>13</v>
      </c>
      <c r="E63" s="8" t="s">
        <v>26</v>
      </c>
      <c r="F63" s="9">
        <v>42</v>
      </c>
      <c r="G63" s="6">
        <v>1600</v>
      </c>
      <c r="H63" s="10">
        <f t="shared" si="0"/>
        <v>67200</v>
      </c>
    </row>
    <row r="64" spans="1:8" x14ac:dyDescent="0.3">
      <c r="A64" s="6">
        <v>63</v>
      </c>
      <c r="B64" s="7">
        <v>44981</v>
      </c>
      <c r="C64" s="6">
        <v>1018</v>
      </c>
      <c r="D64" s="11" t="s">
        <v>18</v>
      </c>
      <c r="E64" s="11" t="s">
        <v>23</v>
      </c>
      <c r="F64" s="12">
        <v>16.8</v>
      </c>
      <c r="G64" s="6">
        <v>400</v>
      </c>
      <c r="H64" s="10">
        <f t="shared" si="0"/>
        <v>6720</v>
      </c>
    </row>
    <row r="65" spans="1:8" x14ac:dyDescent="0.3">
      <c r="A65" s="6">
        <v>64</v>
      </c>
      <c r="B65" s="7">
        <v>44981</v>
      </c>
      <c r="C65" s="6">
        <v>1006</v>
      </c>
      <c r="D65" s="11" t="s">
        <v>6</v>
      </c>
      <c r="E65" s="11" t="s">
        <v>26</v>
      </c>
      <c r="F65" s="12">
        <v>17.100000000000001</v>
      </c>
      <c r="G65" s="6">
        <v>800</v>
      </c>
      <c r="H65" s="10">
        <f t="shared" si="0"/>
        <v>13680.000000000002</v>
      </c>
    </row>
    <row r="66" spans="1:8" x14ac:dyDescent="0.3">
      <c r="A66" s="6">
        <v>65</v>
      </c>
      <c r="B66" s="7">
        <v>44981</v>
      </c>
      <c r="C66" s="6">
        <v>1016</v>
      </c>
      <c r="D66" s="11" t="s">
        <v>16</v>
      </c>
      <c r="E66" s="11" t="s">
        <v>25</v>
      </c>
      <c r="F66" s="12">
        <v>14.3</v>
      </c>
      <c r="G66" s="6">
        <v>900</v>
      </c>
      <c r="H66" s="10">
        <f t="shared" si="0"/>
        <v>12870</v>
      </c>
    </row>
    <row r="67" spans="1:8" x14ac:dyDescent="0.3">
      <c r="A67" s="6">
        <v>66</v>
      </c>
      <c r="B67" s="7">
        <v>44982</v>
      </c>
      <c r="C67" s="6">
        <v>1012</v>
      </c>
      <c r="D67" s="11" t="s">
        <v>12</v>
      </c>
      <c r="E67" s="11" t="s">
        <v>23</v>
      </c>
      <c r="F67" s="12">
        <v>35.5</v>
      </c>
      <c r="G67" s="6">
        <v>800</v>
      </c>
      <c r="H67" s="10">
        <f t="shared" ref="H67:H71" si="1">F67*G67</f>
        <v>28400</v>
      </c>
    </row>
    <row r="68" spans="1:8" x14ac:dyDescent="0.3">
      <c r="A68" s="6">
        <v>67</v>
      </c>
      <c r="B68" s="7">
        <v>44983</v>
      </c>
      <c r="C68" s="6">
        <v>1010</v>
      </c>
      <c r="D68" s="11" t="s">
        <v>10</v>
      </c>
      <c r="E68" s="11" t="s">
        <v>24</v>
      </c>
      <c r="F68" s="12">
        <v>11.5</v>
      </c>
      <c r="G68" s="6">
        <v>700</v>
      </c>
      <c r="H68" s="10">
        <f t="shared" si="1"/>
        <v>8050</v>
      </c>
    </row>
    <row r="69" spans="1:8" x14ac:dyDescent="0.3">
      <c r="A69" s="6">
        <v>68</v>
      </c>
      <c r="B69" s="7">
        <v>44984</v>
      </c>
      <c r="C69" s="6">
        <v>1008</v>
      </c>
      <c r="D69" s="11" t="s">
        <v>8</v>
      </c>
      <c r="E69" s="11" t="s">
        <v>23</v>
      </c>
      <c r="F69" s="12">
        <v>32.200000000000003</v>
      </c>
      <c r="G69" s="6">
        <v>600</v>
      </c>
      <c r="H69" s="10">
        <f t="shared" si="1"/>
        <v>19320</v>
      </c>
    </row>
    <row r="70" spans="1:8" x14ac:dyDescent="0.3">
      <c r="A70" s="6">
        <v>69</v>
      </c>
      <c r="B70" s="7">
        <v>44984</v>
      </c>
      <c r="C70" s="6">
        <v>1005</v>
      </c>
      <c r="D70" s="8" t="s">
        <v>5</v>
      </c>
      <c r="E70" s="8" t="s">
        <v>23</v>
      </c>
      <c r="F70" s="9">
        <v>16.399999999999999</v>
      </c>
      <c r="G70" s="6">
        <v>600</v>
      </c>
      <c r="H70" s="10">
        <f t="shared" si="1"/>
        <v>9840</v>
      </c>
    </row>
    <row r="71" spans="1:8" x14ac:dyDescent="0.3">
      <c r="A71" s="6">
        <v>70</v>
      </c>
      <c r="B71" s="7">
        <v>44984</v>
      </c>
      <c r="C71" s="6">
        <v>1003</v>
      </c>
      <c r="D71" s="8" t="s">
        <v>3</v>
      </c>
      <c r="E71" s="8" t="s">
        <v>25</v>
      </c>
      <c r="F71" s="9">
        <v>30.2</v>
      </c>
      <c r="G71" s="6">
        <v>700</v>
      </c>
      <c r="H71" s="10">
        <f t="shared" si="1"/>
        <v>21140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E8809-6CF9-4676-85E9-9B200822E2E2}">
  <dimension ref="A1:K60"/>
  <sheetViews>
    <sheetView zoomScale="85" zoomScaleNormal="85" workbookViewId="0">
      <selection activeCell="D26" sqref="D26"/>
    </sheetView>
  </sheetViews>
  <sheetFormatPr defaultRowHeight="13.8" x14ac:dyDescent="0.3"/>
  <cols>
    <col min="1" max="1" width="38.5546875" style="2" customWidth="1"/>
    <col min="2" max="2" width="32" style="2" customWidth="1"/>
    <col min="3" max="3" width="20.6640625" style="2" customWidth="1"/>
    <col min="4" max="4" width="32.44140625" style="2" customWidth="1"/>
    <col min="5" max="5" width="16.88671875" style="2" customWidth="1"/>
    <col min="6" max="6" width="18.6640625" style="2" customWidth="1"/>
    <col min="7" max="7" width="15.21875" style="2" customWidth="1"/>
    <col min="8" max="8" width="14.5546875" style="2" customWidth="1"/>
    <col min="9" max="9" width="14.88671875" style="2" customWidth="1"/>
    <col min="10" max="10" width="18.44140625" style="2" customWidth="1"/>
    <col min="11" max="11" width="21.77734375" style="2" customWidth="1"/>
    <col min="12" max="16384" width="8.88671875" style="2"/>
  </cols>
  <sheetData>
    <row r="1" spans="1:6" x14ac:dyDescent="0.3">
      <c r="A1" s="14" t="s">
        <v>39</v>
      </c>
      <c r="F1" s="14" t="s">
        <v>62</v>
      </c>
    </row>
    <row r="2" spans="1:6" x14ac:dyDescent="0.3">
      <c r="A2" s="13">
        <f>SUM(Products[Current Stock])</f>
        <v>8650</v>
      </c>
      <c r="F2" s="15">
        <v>44927</v>
      </c>
    </row>
    <row r="3" spans="1:6" x14ac:dyDescent="0.3">
      <c r="F3" s="15">
        <v>44958</v>
      </c>
    </row>
    <row r="4" spans="1:6" x14ac:dyDescent="0.3">
      <c r="F4" s="15"/>
    </row>
    <row r="5" spans="1:6" x14ac:dyDescent="0.25">
      <c r="A5" s="14" t="s">
        <v>40</v>
      </c>
      <c r="C5" s="18" t="s">
        <v>45</v>
      </c>
      <c r="D5" s="19" t="s">
        <v>40</v>
      </c>
      <c r="E5" s="1"/>
      <c r="F5" s="15"/>
    </row>
    <row r="6" spans="1:6" x14ac:dyDescent="0.25">
      <c r="A6" s="10">
        <f>SUM(Products[Stock Value])</f>
        <v>173880</v>
      </c>
      <c r="C6" s="30" t="s">
        <v>23</v>
      </c>
      <c r="D6" s="28">
        <f>SUMIF(Products[Product Group], Calc!$C6,Products[Stock Value])</f>
        <v>48920</v>
      </c>
      <c r="E6" s="1"/>
      <c r="F6" s="15"/>
    </row>
    <row r="7" spans="1:6" x14ac:dyDescent="0.25">
      <c r="C7" s="30" t="s">
        <v>24</v>
      </c>
      <c r="D7" s="28">
        <f>SUMIF(Products[Product Group], Calc!$C7,Products[Stock Value])</f>
        <v>39920</v>
      </c>
      <c r="E7" s="1"/>
      <c r="F7" s="15"/>
    </row>
    <row r="8" spans="1:6" x14ac:dyDescent="0.25">
      <c r="C8" s="30" t="s">
        <v>25</v>
      </c>
      <c r="D8" s="28">
        <f>SUMIF(Products[Product Group], Calc!$C8,Products[Stock Value])</f>
        <v>18600</v>
      </c>
      <c r="E8" s="1"/>
      <c r="F8" s="15"/>
    </row>
    <row r="9" spans="1:6" x14ac:dyDescent="0.25">
      <c r="C9" s="30" t="s">
        <v>26</v>
      </c>
      <c r="D9" s="28">
        <f>SUMIF(Products[Product Group], Calc!$C9,Products[Stock Value])</f>
        <v>66440</v>
      </c>
      <c r="E9" s="1"/>
      <c r="F9" s="15"/>
    </row>
    <row r="10" spans="1:6" ht="14.4" x14ac:dyDescent="0.3">
      <c r="C10" s="31"/>
      <c r="D10" s="29">
        <f>SUM(D6:D9)</f>
        <v>173880</v>
      </c>
      <c r="E10" s="1"/>
      <c r="F10" s="15"/>
    </row>
    <row r="11" spans="1:6" x14ac:dyDescent="0.25">
      <c r="C11" s="1"/>
      <c r="D11" s="1"/>
      <c r="E11" s="1"/>
      <c r="F11" s="15"/>
    </row>
    <row r="12" spans="1:6" x14ac:dyDescent="0.25">
      <c r="C12" s="18" t="s">
        <v>45</v>
      </c>
      <c r="D12" s="19" t="s">
        <v>46</v>
      </c>
      <c r="E12" s="1"/>
      <c r="F12" s="15"/>
    </row>
    <row r="13" spans="1:6" x14ac:dyDescent="0.25">
      <c r="A13" s="14" t="s">
        <v>41</v>
      </c>
      <c r="B13" s="2" t="s">
        <v>44</v>
      </c>
      <c r="C13" s="17" t="s">
        <v>23</v>
      </c>
      <c r="D13" s="1">
        <f>SUMIFS(Input[Units Received], Input[Date], "&gt;="&amp;Calc!$A$17, Input[Date], "&lt;="&amp;Calc!$A$20, Input[Product Group], Calc!$C$13)</f>
        <v>5800</v>
      </c>
      <c r="E13" s="1"/>
      <c r="F13" s="15"/>
    </row>
    <row r="14" spans="1:6" x14ac:dyDescent="0.25">
      <c r="A14" s="15">
        <f>DASHBOARD!E5</f>
        <v>44927</v>
      </c>
      <c r="B14" s="2">
        <f>_xlfn.SWITCH(MONTH($A$14), 1, 31, 2, IF(YEAR($A$14)=2024,29,28), 3, 31, 4, 30, 5, 31, 6, 30, 7, 31, 8, 31, 9, 30, 10, 31, 11, 30, 12, 31)</f>
        <v>31</v>
      </c>
      <c r="C14" s="17" t="s">
        <v>24</v>
      </c>
      <c r="D14" s="1">
        <f>SUMIFS(Input[Units Received], Input[Date], "&gt;="&amp;Calc!$A$17, Input[Date], "&lt;="&amp;Calc!$A$20, Input[Product Group], Calc!$C$14)</f>
        <v>4000</v>
      </c>
      <c r="E14" s="1"/>
      <c r="F14" s="15"/>
    </row>
    <row r="15" spans="1:6" x14ac:dyDescent="0.25">
      <c r="C15" s="17" t="s">
        <v>25</v>
      </c>
      <c r="D15" s="1">
        <f>SUMIFS(Input[Units Received], Input[Date], "&gt;="&amp;Calc!$A$17, Input[Date], "&lt;="&amp;Calc!$A$20, Input[Product Group], Calc!$C$15)</f>
        <v>2100</v>
      </c>
      <c r="E15" s="1"/>
    </row>
    <row r="16" spans="1:6" x14ac:dyDescent="0.25">
      <c r="A16" s="16" t="s">
        <v>42</v>
      </c>
      <c r="C16" s="17" t="s">
        <v>26</v>
      </c>
      <c r="D16" s="1">
        <f>SUMIFS(Input[Units Received], Input[Date], "&gt;="&amp;Calc!$A$17, Input[Date], "&lt;="&amp;Calc!$A$20, Input[Product Group], Calc!$C$16)</f>
        <v>2800</v>
      </c>
      <c r="E16" s="1"/>
    </row>
    <row r="17" spans="1:5" x14ac:dyDescent="0.25">
      <c r="A17" s="7">
        <f>A14</f>
        <v>44927</v>
      </c>
      <c r="C17" s="1"/>
      <c r="D17" s="1"/>
      <c r="E17" s="1"/>
    </row>
    <row r="18" spans="1:5" x14ac:dyDescent="0.25">
      <c r="C18" s="18" t="s">
        <v>45</v>
      </c>
      <c r="D18" s="19" t="s">
        <v>63</v>
      </c>
      <c r="E18" s="1"/>
    </row>
    <row r="19" spans="1:5" x14ac:dyDescent="0.25">
      <c r="A19" s="16" t="s">
        <v>43</v>
      </c>
      <c r="C19" s="17" t="s">
        <v>23</v>
      </c>
      <c r="D19" s="1">
        <f>SUMIFS(Output[Units Sold], Input[Date], "&gt;="&amp;Calc!$A$17, Output[Date], "&lt;="&amp;Calc!$A$20, Output[Product Group], Calc!$C$19)</f>
        <v>3400</v>
      </c>
      <c r="E19" s="1"/>
    </row>
    <row r="20" spans="1:5" x14ac:dyDescent="0.25">
      <c r="A20" s="7">
        <f>A17+B14-1</f>
        <v>44957</v>
      </c>
      <c r="C20" s="17" t="s">
        <v>24</v>
      </c>
      <c r="D20" s="1">
        <f>SUMIFS(Output[Units Sold], Input[Date], "&gt;="&amp;Calc!$A$17, Output[Date], "&lt;="&amp;Calc!$A$20, Output[Product Group], Calc!$C$20)</f>
        <v>1300</v>
      </c>
      <c r="E20" s="1"/>
    </row>
    <row r="21" spans="1:5" x14ac:dyDescent="0.25">
      <c r="C21" s="17" t="s">
        <v>25</v>
      </c>
      <c r="D21" s="1">
        <f>SUMIFS(Output[Units Sold], Input[Date], "&gt;="&amp;Calc!$A$17, Output[Date], "&lt;="&amp;Calc!$A$20, Output[Product Group], Calc!$C$21)</f>
        <v>1000</v>
      </c>
      <c r="E21" s="1"/>
    </row>
    <row r="22" spans="1:5" x14ac:dyDescent="0.25">
      <c r="C22" s="17" t="s">
        <v>26</v>
      </c>
      <c r="D22" s="1">
        <f>SUMIFS(Output[Units Sold], Input[Date], "&gt;="&amp;Calc!$A$17, Output[Date], "&lt;="&amp;Calc!$A$20, Output[Product Group], Calc!$C$22)</f>
        <v>1800</v>
      </c>
      <c r="E22" s="1"/>
    </row>
    <row r="26" spans="1:5" x14ac:dyDescent="0.3">
      <c r="A26" s="14" t="s">
        <v>47</v>
      </c>
      <c r="C26" s="14" t="s">
        <v>65</v>
      </c>
    </row>
    <row r="27" spans="1:5" x14ac:dyDescent="0.3">
      <c r="A27" s="15" t="str">
        <f>DASHBOARD!E10</f>
        <v>Article 08</v>
      </c>
      <c r="C27" s="47">
        <f>INDEX(Products[#Data], MATCH(Calc!$A$27,Products[Product Description],0),11)</f>
        <v>0.875</v>
      </c>
    </row>
    <row r="29" spans="1:5" x14ac:dyDescent="0.3">
      <c r="A29" s="14" t="s">
        <v>51</v>
      </c>
      <c r="B29" s="14" t="s">
        <v>68</v>
      </c>
      <c r="C29" s="14" t="s">
        <v>66</v>
      </c>
    </row>
    <row r="30" spans="1:5" x14ac:dyDescent="0.3">
      <c r="A30" s="13">
        <f>INDEX(Products[#Data], MATCH(Calc!$A$27,Products[Product Description],0),7)</f>
        <v>700</v>
      </c>
      <c r="B30" s="13">
        <f>IF((A30-C36)&gt;0, 0, A30-C36)</f>
        <v>-100</v>
      </c>
      <c r="C30" s="13">
        <f>INDEX(Products[#Data], MATCH(Calc!$A$27,Products[Product Description],0),9)</f>
        <v>100</v>
      </c>
    </row>
    <row r="32" spans="1:5" x14ac:dyDescent="0.3">
      <c r="A32" s="14" t="s">
        <v>52</v>
      </c>
      <c r="C32" s="14" t="s">
        <v>55</v>
      </c>
    </row>
    <row r="33" spans="1:11" x14ac:dyDescent="0.3">
      <c r="A33" s="22">
        <f>SUMIF(Output[Product], Calc!$A$27, Output[Units Sold])/(MAX(Output[Date])-MIN(Output[Date]))</f>
        <v>22.641509433962263</v>
      </c>
      <c r="C33" s="48" t="str">
        <f>INDEX(Products[#Data], MATCH(Calc!$A$27,Products[Product Description],0),10)</f>
        <v>BELOW OPTIMAL</v>
      </c>
    </row>
    <row r="35" spans="1:11" x14ac:dyDescent="0.3">
      <c r="A35" s="14" t="s">
        <v>53</v>
      </c>
      <c r="C35" s="14" t="s">
        <v>67</v>
      </c>
      <c r="D35" s="49"/>
    </row>
    <row r="36" spans="1:11" x14ac:dyDescent="0.3">
      <c r="A36" s="22">
        <f>A30/A33</f>
        <v>30.916666666666668</v>
      </c>
      <c r="C36" s="13">
        <f>INDEX(Products[#Data], MATCH(Calc!$A$27,Products[Product Description],0),5)</f>
        <v>800</v>
      </c>
      <c r="D36" s="20"/>
    </row>
    <row r="37" spans="1:11" x14ac:dyDescent="0.3">
      <c r="A37" s="26"/>
    </row>
    <row r="38" spans="1:11" x14ac:dyDescent="0.3">
      <c r="A38" s="26"/>
    </row>
    <row r="39" spans="1:11" x14ac:dyDescent="0.3">
      <c r="A39" s="26"/>
    </row>
    <row r="40" spans="1:11" x14ac:dyDescent="0.3">
      <c r="A40" s="14" t="s">
        <v>54</v>
      </c>
    </row>
    <row r="42" spans="1:11" x14ac:dyDescent="0.3">
      <c r="A42" s="14" t="s">
        <v>0</v>
      </c>
      <c r="B42" s="14" t="s">
        <v>21</v>
      </c>
      <c r="C42" s="14" t="s">
        <v>22</v>
      </c>
      <c r="D42" s="14" t="s">
        <v>27</v>
      </c>
      <c r="E42" s="14" t="s">
        <v>38</v>
      </c>
      <c r="F42" s="14" t="s">
        <v>28</v>
      </c>
      <c r="G42" s="14" t="s">
        <v>29</v>
      </c>
      <c r="H42" s="14" t="s">
        <v>30</v>
      </c>
      <c r="I42" s="14" t="s">
        <v>48</v>
      </c>
      <c r="J42" s="14" t="s">
        <v>49</v>
      </c>
      <c r="K42" s="14" t="s">
        <v>50</v>
      </c>
    </row>
    <row r="43" spans="1:11" x14ac:dyDescent="0.3">
      <c r="A43" s="23">
        <f t="array" ref="A43">IFERROR(INDEX(Products[#Data], SMALL(IF((INDEX(Products[#Data], ,10)="REORDER NOW")*(INDEX(Products[#Data], ,10)="REORDER NOW"), MATCH(ROW(Products[#Data]), ROW(Products[#Data])), ""), ROWS(A$2:$A2)), COLUMNS($A$1:A1)),"")</f>
        <v>1003</v>
      </c>
      <c r="B43" s="4" t="str">
        <f t="array" ref="B43">IFERROR(INDEX(Products[#Data], SMALL(IF((INDEX(Products[#Data], ,10)="REORDER NOW")*(INDEX(Products[#Data], ,10)="REORDER NOW"), MATCH(ROW(Products[#Data]), ROW(Products[#Data])), ""), ROWS($A$2:B2)), COLUMNS($A$1:B1)),"")</f>
        <v>Article 03</v>
      </c>
      <c r="C43" s="4" t="str">
        <f t="array" ref="C43">IFERROR(INDEX(Products[#Data], SMALL(IF((INDEX(Products[#Data], ,10)="REORDER NOW")*(INDEX(Products[#Data], ,10)="REORDER NOW"), MATCH(ROW(Products[#Data]), ROW(Products[#Data])), ""), ROWS($A$2:C2)), COLUMNS($A$1:C1)),"")</f>
        <v>Group 3</v>
      </c>
      <c r="D43" s="5">
        <f t="array" ref="D43">IFERROR(INDEX(Products[#Data], SMALL(IF((INDEX(Products[#Data], ,10)="REORDER NOW")*(INDEX(Products[#Data], ,10)="REORDER NOW"), MATCH(ROW(Products[#Data]), ROW(Products[#Data])), ""), ROWS($A$2:D2)), COLUMNS($A$1:D1)),"")</f>
        <v>30.2</v>
      </c>
      <c r="E43" s="24">
        <f t="array" ref="E43">IFERROR(INDEX(Products[#Data], SMALL(IF((INDEX(Products[#Data], ,10)="REORDER NOW")*(INDEX(Products[#Data], ,10)="REORDER NOW"), MATCH(ROW(Products[#Data]), ROW(Products[#Data])), ""), ROWS($A$2:E2)), COLUMNS($A$1:E1)),"")</f>
        <v>400</v>
      </c>
      <c r="F43" s="24">
        <f t="array" ref="F43">IFERROR(INDEX(Products[#Data], SMALL(IF((INDEX(Products[#Data], ,10)="REORDER NOW")*(INDEX(Products[#Data], ,10)="REORDER NOW"), MATCH(ROW(Products[#Data]), ROW(Products[#Data])), ""), ROWS($A$2:F2)), COLUMNS($A$1:F1)),"")</f>
        <v>300</v>
      </c>
      <c r="G43" s="24">
        <f t="array" ref="G43">IFERROR(INDEX(Products[#Data], SMALL(IF((INDEX(Products[#Data], ,10)="REORDER NOW")*(INDEX(Products[#Data], ,10)="REORDER NOW"), MATCH(ROW(Products[#Data]), ROW(Products[#Data])), ""), ROWS($A$2:G2)), COLUMNS($A$1:G1)),"")</f>
        <v>100</v>
      </c>
      <c r="H43" s="5">
        <f t="array" ref="H43">IFERROR(INDEX(Products[#Data], SMALL(IF((INDEX(Products[#Data], ,10)="REORDER NOW")*(INDEX(Products[#Data], ,10)="REORDER NOW"), MATCH(ROW(Products[#Data]), ROW(Products[#Data])), ""), ROWS($A$2:H2)), COLUMNS($A$1:H1)),"")</f>
        <v>3020</v>
      </c>
      <c r="I43" s="24">
        <f t="array" ref="I43">IFERROR(INDEX(Products[#Data], SMALL(IF((INDEX(Products[#Data], ,10)="REORDER NOW")*(INDEX(Products[#Data], ,10)="REORDER NOW"), MATCH(ROW(Products[#Data]), ROW(Products[#Data])), ""), ROWS($A$2:I2)), COLUMNS($A$1:I1)),"")</f>
        <v>300</v>
      </c>
      <c r="J43" s="24" t="str">
        <f t="array" ref="J43">IFERROR(INDEX(Products[#Data], SMALL(IF((INDEX(Products[#Data], ,10)="REORDER NOW")*(INDEX(Products[#Data], ,10)="REORDER NOW"), MATCH(ROW(Products[#Data]), ROW(Products[#Data])), ""), ROWS($A$2:J2)), COLUMNS($A$1:J1)),"")</f>
        <v>REORDER NOW</v>
      </c>
      <c r="K43" s="25">
        <f t="array" ref="K43">IFERROR(INDEX(Products[#Data], SMALL(IF((INDEX(Products[#Data], ,10)="REORDER NOW")*(INDEX(Products[#Data], ,10)="REORDER NOW"), MATCH(ROW(Products[#Data]), ROW(Products[#Data])), ""), ROWS($A$2:K2)), COLUMNS($A$1:K1)),"")</f>
        <v>0.25</v>
      </c>
    </row>
    <row r="44" spans="1:11" x14ac:dyDescent="0.3">
      <c r="A44" s="23">
        <f t="array" ref="A44">IFERROR(INDEX(Products[#Data], SMALL(IF((INDEX(Products[#Data], ,10)="REORDER NOW")*(INDEX(Products[#Data], ,10)="REORDER NOW"), MATCH(ROW(Products[#Data]), ROW(Products[#Data])), ""), ROWS(A$2:$A3)), COLUMNS($A$1:A2)),"")</f>
        <v>1011</v>
      </c>
      <c r="B44" s="4" t="str">
        <f t="array" ref="B44">IFERROR(INDEX(Products[#Data], SMALL(IF((INDEX(Products[#Data], ,10)="REORDER NOW")*(INDEX(Products[#Data], ,10)="REORDER NOW"), MATCH(ROW(Products[#Data]), ROW(Products[#Data])), ""), ROWS($A$2:B3)), COLUMNS($A$1:B2)),"")</f>
        <v>Article 11</v>
      </c>
      <c r="C44" s="4" t="str">
        <f t="array" ref="C44">IFERROR(INDEX(Products[#Data], SMALL(IF((INDEX(Products[#Data], ,10)="REORDER NOW")*(INDEX(Products[#Data], ,10)="REORDER NOW"), MATCH(ROW(Products[#Data]), ROW(Products[#Data])), ""), ROWS($A$2:C3)), COLUMNS($A$1:C2)),"")</f>
        <v>Group 3</v>
      </c>
      <c r="D44" s="5">
        <f t="array" ref="D44">IFERROR(INDEX(Products[#Data], SMALL(IF((INDEX(Products[#Data], ,10)="REORDER NOW")*(INDEX(Products[#Data], ,10)="REORDER NOW"), MATCH(ROW(Products[#Data]), ROW(Products[#Data])), ""), ROWS($A$2:D3)), COLUMNS($A$1:D2)),"")</f>
        <v>13.8</v>
      </c>
      <c r="E44" s="24">
        <f t="array" ref="E44">IFERROR(INDEX(Products[#Data], SMALL(IF((INDEX(Products[#Data], ,10)="REORDER NOW")*(INDEX(Products[#Data], ,10)="REORDER NOW"), MATCH(ROW(Products[#Data]), ROW(Products[#Data])), ""), ROWS($A$2:E3)), COLUMNS($A$1:E2)),"")</f>
        <v>500</v>
      </c>
      <c r="F44" s="24">
        <f t="array" ref="F44">IFERROR(INDEX(Products[#Data], SMALL(IF((INDEX(Products[#Data], ,10)="REORDER NOW")*(INDEX(Products[#Data], ,10)="REORDER NOW"), MATCH(ROW(Products[#Data]), ROW(Products[#Data])), ""), ROWS($A$2:F3)), COLUMNS($A$1:F2)),"")</f>
        <v>400</v>
      </c>
      <c r="G44" s="24">
        <f t="array" ref="G44">IFERROR(INDEX(Products[#Data], SMALL(IF((INDEX(Products[#Data], ,10)="REORDER NOW")*(INDEX(Products[#Data], ,10)="REORDER NOW"), MATCH(ROW(Products[#Data]), ROW(Products[#Data])), ""), ROWS($A$2:G3)), COLUMNS($A$1:G2)),"")</f>
        <v>300</v>
      </c>
      <c r="H44" s="5">
        <f t="array" ref="H44">IFERROR(INDEX(Products[#Data], SMALL(IF((INDEX(Products[#Data], ,10)="REORDER NOW")*(INDEX(Products[#Data], ,10)="REORDER NOW"), MATCH(ROW(Products[#Data]), ROW(Products[#Data])), ""), ROWS($A$2:H3)), COLUMNS($A$1:H2)),"")</f>
        <v>4140</v>
      </c>
      <c r="I44" s="24">
        <f t="array" ref="I44">IFERROR(INDEX(Products[#Data], SMALL(IF((INDEX(Products[#Data], ,10)="REORDER NOW")*(INDEX(Products[#Data], ,10)="REORDER NOW"), MATCH(ROW(Products[#Data]), ROW(Products[#Data])), ""), ROWS($A$2:I3)), COLUMNS($A$1:I2)),"")</f>
        <v>200</v>
      </c>
      <c r="J44" s="24" t="str">
        <f t="array" ref="J44">IFERROR(INDEX(Products[#Data], SMALL(IF((INDEX(Products[#Data], ,10)="REORDER NOW")*(INDEX(Products[#Data], ,10)="REORDER NOW"), MATCH(ROW(Products[#Data]), ROW(Products[#Data])), ""), ROWS($A$2:J3)), COLUMNS($A$1:J2)),"")</f>
        <v>REORDER NOW</v>
      </c>
      <c r="K44" s="25">
        <f t="array" ref="K44">IFERROR(INDEX(Products[#Data], SMALL(IF((INDEX(Products[#Data], ,10)="REORDER NOW")*(INDEX(Products[#Data], ,10)="REORDER NOW"), MATCH(ROW(Products[#Data]), ROW(Products[#Data])), ""), ROWS($A$2:K3)), COLUMNS($A$1:K2)),"")</f>
        <v>0.6</v>
      </c>
    </row>
    <row r="45" spans="1:11" x14ac:dyDescent="0.3">
      <c r="A45" s="23">
        <f t="array" ref="A45">IFERROR(INDEX(Products[#Data], SMALL(IF((INDEX(Products[#Data], ,10)="REORDER NOW")*(INDEX(Products[#Data], ,10)="REORDER NOW"), MATCH(ROW(Products[#Data]), ROW(Products[#Data])), ""), ROWS(A$2:$A4)), COLUMNS($A$1:A3)),"")</f>
        <v>1012</v>
      </c>
      <c r="B45" s="4" t="str">
        <f t="array" ref="B45">IFERROR(INDEX(Products[#Data], SMALL(IF((INDEX(Products[#Data], ,10)="REORDER NOW")*(INDEX(Products[#Data], ,10)="REORDER NOW"), MATCH(ROW(Products[#Data]), ROW(Products[#Data])), ""), ROWS($A$2:B4)), COLUMNS($A$1:B3)),"")</f>
        <v>Article 12</v>
      </c>
      <c r="C45" s="4" t="str">
        <f t="array" ref="C45">IFERROR(INDEX(Products[#Data], SMALL(IF((INDEX(Products[#Data], ,10)="REORDER NOW")*(INDEX(Products[#Data], ,10)="REORDER NOW"), MATCH(ROW(Products[#Data]), ROW(Products[#Data])), ""), ROWS($A$2:C4)), COLUMNS($A$1:C3)),"")</f>
        <v>Group 1</v>
      </c>
      <c r="D45" s="5">
        <f t="array" ref="D45">IFERROR(INDEX(Products[#Data], SMALL(IF((INDEX(Products[#Data], ,10)="REORDER NOW")*(INDEX(Products[#Data], ,10)="REORDER NOW"), MATCH(ROW(Products[#Data]), ROW(Products[#Data])), ""), ROWS($A$2:D4)), COLUMNS($A$1:D3)),"")</f>
        <v>35.5</v>
      </c>
      <c r="E45" s="24">
        <f t="array" ref="E45">IFERROR(INDEX(Products[#Data], SMALL(IF((INDEX(Products[#Data], ,10)="REORDER NOW")*(INDEX(Products[#Data], ,10)="REORDER NOW"), MATCH(ROW(Products[#Data]), ROW(Products[#Data])), ""), ROWS($A$2:E4)), COLUMNS($A$1:E3)),"")</f>
        <v>300</v>
      </c>
      <c r="F45" s="24">
        <f t="array" ref="F45">IFERROR(INDEX(Products[#Data], SMALL(IF((INDEX(Products[#Data], ,10)="REORDER NOW")*(INDEX(Products[#Data], ,10)="REORDER NOW"), MATCH(ROW(Products[#Data]), ROW(Products[#Data])), ""), ROWS($A$2:F4)), COLUMNS($A$1:F3)),"")</f>
        <v>200</v>
      </c>
      <c r="G45" s="24">
        <f t="array" ref="G45">IFERROR(INDEX(Products[#Data], SMALL(IF((INDEX(Products[#Data], ,10)="REORDER NOW")*(INDEX(Products[#Data], ,10)="REORDER NOW"), MATCH(ROW(Products[#Data]), ROW(Products[#Data])), ""), ROWS($A$2:G4)), COLUMNS($A$1:G3)),"")</f>
        <v>100</v>
      </c>
      <c r="H45" s="5">
        <f t="array" ref="H45">IFERROR(INDEX(Products[#Data], SMALL(IF((INDEX(Products[#Data], ,10)="REORDER NOW")*(INDEX(Products[#Data], ,10)="REORDER NOW"), MATCH(ROW(Products[#Data]), ROW(Products[#Data])), ""), ROWS($A$2:H4)), COLUMNS($A$1:H3)),"")</f>
        <v>3550</v>
      </c>
      <c r="I45" s="24">
        <f t="array" ref="I45">IFERROR(INDEX(Products[#Data], SMALL(IF((INDEX(Products[#Data], ,10)="REORDER NOW")*(INDEX(Products[#Data], ,10)="REORDER NOW"), MATCH(ROW(Products[#Data]), ROW(Products[#Data])), ""), ROWS($A$2:I4)), COLUMNS($A$1:I3)),"")</f>
        <v>200</v>
      </c>
      <c r="J45" s="24" t="str">
        <f t="array" ref="J45">IFERROR(INDEX(Products[#Data], SMALL(IF((INDEX(Products[#Data], ,10)="REORDER NOW")*(INDEX(Products[#Data], ,10)="REORDER NOW"), MATCH(ROW(Products[#Data]), ROW(Products[#Data])), ""), ROWS($A$2:J4)), COLUMNS($A$1:J3)),"")</f>
        <v>REORDER NOW</v>
      </c>
      <c r="K45" s="25">
        <f t="array" ref="K45">IFERROR(INDEX(Products[#Data], SMALL(IF((INDEX(Products[#Data], ,10)="REORDER NOW")*(INDEX(Products[#Data], ,10)="REORDER NOW"), MATCH(ROW(Products[#Data]), ROW(Products[#Data])), ""), ROWS($A$2:K4)), COLUMNS($A$1:K3)),"")</f>
        <v>0.33333333333333331</v>
      </c>
    </row>
    <row r="46" spans="1:11" x14ac:dyDescent="0.3">
      <c r="A46" s="23">
        <f t="array" ref="A46">IFERROR(INDEX(Products[#Data], SMALL(IF((INDEX(Products[#Data], ,10)="REORDER NOW")*(INDEX(Products[#Data], ,10)="REORDER NOW"), MATCH(ROW(Products[#Data]), ROW(Products[#Data])), ""), ROWS(A$2:$A5)), COLUMNS($A$1:A4)),"")</f>
        <v>1015</v>
      </c>
      <c r="B46" s="4" t="str">
        <f t="array" ref="B46">IFERROR(INDEX(Products[#Data], SMALL(IF((INDEX(Products[#Data], ,10)="REORDER NOW")*(INDEX(Products[#Data], ,10)="REORDER NOW"), MATCH(ROW(Products[#Data]), ROW(Products[#Data])), ""), ROWS($A$2:B5)), COLUMNS($A$1:B4)),"")</f>
        <v>Article 15</v>
      </c>
      <c r="C46" s="4" t="str">
        <f t="array" ref="C46">IFERROR(INDEX(Products[#Data], SMALL(IF((INDEX(Products[#Data], ,10)="REORDER NOW")*(INDEX(Products[#Data], ,10)="REORDER NOW"), MATCH(ROW(Products[#Data]), ROW(Products[#Data])), ""), ROWS($A$2:C5)), COLUMNS($A$1:C4)),"")</f>
        <v>Group 2</v>
      </c>
      <c r="D46" s="5">
        <f t="array" ref="D46">IFERROR(INDEX(Products[#Data], SMALL(IF((INDEX(Products[#Data], ,10)="REORDER NOW")*(INDEX(Products[#Data], ,10)="REORDER NOW"), MATCH(ROW(Products[#Data]), ROW(Products[#Data])), ""), ROWS($A$2:D5)), COLUMNS($A$1:D4)),"")</f>
        <v>15.8</v>
      </c>
      <c r="E46" s="24">
        <f t="array" ref="E46">IFERROR(INDEX(Products[#Data], SMALL(IF((INDEX(Products[#Data], ,10)="REORDER NOW")*(INDEX(Products[#Data], ,10)="REORDER NOW"), MATCH(ROW(Products[#Data]), ROW(Products[#Data])), ""), ROWS($A$2:E5)), COLUMNS($A$1:E4)),"")</f>
        <v>300</v>
      </c>
      <c r="F46" s="24">
        <f t="array" ref="F46">IFERROR(INDEX(Products[#Data], SMALL(IF((INDEX(Products[#Data], ,10)="REORDER NOW")*(INDEX(Products[#Data], ,10)="REORDER NOW"), MATCH(ROW(Products[#Data]), ROW(Products[#Data])), ""), ROWS($A$2:F5)), COLUMNS($A$1:F4)),"")</f>
        <v>200</v>
      </c>
      <c r="G46" s="24">
        <f t="array" ref="G46">IFERROR(INDEX(Products[#Data], SMALL(IF((INDEX(Products[#Data], ,10)="REORDER NOW")*(INDEX(Products[#Data], ,10)="REORDER NOW"), MATCH(ROW(Products[#Data]), ROW(Products[#Data])), ""), ROWS($A$2:G5)), COLUMNS($A$1:G4)),"")</f>
        <v>0</v>
      </c>
      <c r="H46" s="5">
        <f t="array" ref="H46">IFERROR(INDEX(Products[#Data], SMALL(IF((INDEX(Products[#Data], ,10)="REORDER NOW")*(INDEX(Products[#Data], ,10)="REORDER NOW"), MATCH(ROW(Products[#Data]), ROW(Products[#Data])), ""), ROWS($A$2:H5)), COLUMNS($A$1:H4)),"")</f>
        <v>0</v>
      </c>
      <c r="I46" s="24">
        <f t="array" ref="I46">IFERROR(INDEX(Products[#Data], SMALL(IF((INDEX(Products[#Data], ,10)="REORDER NOW")*(INDEX(Products[#Data], ,10)="REORDER NOW"), MATCH(ROW(Products[#Data]), ROW(Products[#Data])), ""), ROWS($A$2:I5)), COLUMNS($A$1:I4)),"")</f>
        <v>300</v>
      </c>
      <c r="J46" s="24" t="str">
        <f t="array" ref="J46">IFERROR(INDEX(Products[#Data], SMALL(IF((INDEX(Products[#Data], ,10)="REORDER NOW")*(INDEX(Products[#Data], ,10)="REORDER NOW"), MATCH(ROW(Products[#Data]), ROW(Products[#Data])), ""), ROWS($A$2:J5)), COLUMNS($A$1:J4)),"")</f>
        <v>REORDER NOW</v>
      </c>
      <c r="K46" s="25">
        <f t="array" ref="K46">IFERROR(INDEX(Products[#Data], SMALL(IF((INDEX(Products[#Data], ,10)="REORDER NOW")*(INDEX(Products[#Data], ,10)="REORDER NOW"), MATCH(ROW(Products[#Data]), ROW(Products[#Data])), ""), ROWS($A$2:K5)), COLUMNS($A$1:K4)),"")</f>
        <v>0</v>
      </c>
    </row>
    <row r="47" spans="1:11" x14ac:dyDescent="0.3">
      <c r="A47" s="23">
        <f t="array" ref="A47">IFERROR(INDEX(Products[#Data], SMALL(IF((INDEX(Products[#Data], ,10)="REORDER NOW")*(INDEX(Products[#Data], ,10)="REORDER NOW"), MATCH(ROW(Products[#Data]), ROW(Products[#Data])), ""), ROWS(A$2:$A6)), COLUMNS($A$1:A5)),"")</f>
        <v>1020</v>
      </c>
      <c r="B47" s="4" t="str">
        <f t="array" ref="B47">IFERROR(INDEX(Products[#Data], SMALL(IF((INDEX(Products[#Data], ,10)="REORDER NOW")*(INDEX(Products[#Data], ,10)="REORDER NOW"), MATCH(ROW(Products[#Data]), ROW(Products[#Data])), ""), ROWS($A$2:B6)), COLUMNS($A$1:B5)),"")</f>
        <v>Article 20</v>
      </c>
      <c r="C47" s="4" t="str">
        <f t="array" ref="C47">IFERROR(INDEX(Products[#Data], SMALL(IF((INDEX(Products[#Data], ,10)="REORDER NOW")*(INDEX(Products[#Data], ,10)="REORDER NOW"), MATCH(ROW(Products[#Data]), ROW(Products[#Data])), ""), ROWS($A$2:C6)), COLUMNS($A$1:C5)),"")</f>
        <v>Group 1</v>
      </c>
      <c r="D47" s="5">
        <f t="array" ref="D47">IFERROR(INDEX(Products[#Data], SMALL(IF((INDEX(Products[#Data], ,10)="REORDER NOW")*(INDEX(Products[#Data], ,10)="REORDER NOW"), MATCH(ROW(Products[#Data]), ROW(Products[#Data])), ""), ROWS($A$2:D6)), COLUMNS($A$1:D5)),"")</f>
        <v>19</v>
      </c>
      <c r="E47" s="24">
        <f t="array" ref="E47">IFERROR(INDEX(Products[#Data], SMALL(IF((INDEX(Products[#Data], ,10)="REORDER NOW")*(INDEX(Products[#Data], ,10)="REORDER NOW"), MATCH(ROW(Products[#Data]), ROW(Products[#Data])), ""), ROWS($A$2:E6)), COLUMNS($A$1:E5)),"")</f>
        <v>750</v>
      </c>
      <c r="F47" s="24">
        <f t="array" ref="F47">IFERROR(INDEX(Products[#Data], SMALL(IF((INDEX(Products[#Data], ,10)="REORDER NOW")*(INDEX(Products[#Data], ,10)="REORDER NOW"), MATCH(ROW(Products[#Data]), ROW(Products[#Data])), ""), ROWS($A$2:F6)), COLUMNS($A$1:F5)),"")</f>
        <v>500</v>
      </c>
      <c r="G47" s="24">
        <f t="array" ref="G47">IFERROR(INDEX(Products[#Data], SMALL(IF((INDEX(Products[#Data], ,10)="REORDER NOW")*(INDEX(Products[#Data], ,10)="REORDER NOW"), MATCH(ROW(Products[#Data]), ROW(Products[#Data])), ""), ROWS($A$2:G6)), COLUMNS($A$1:G5)),"")</f>
        <v>100</v>
      </c>
      <c r="H47" s="5">
        <f t="array" ref="H47">IFERROR(INDEX(Products[#Data], SMALL(IF((INDEX(Products[#Data], ,10)="REORDER NOW")*(INDEX(Products[#Data], ,10)="REORDER NOW"), MATCH(ROW(Products[#Data]), ROW(Products[#Data])), ""), ROWS($A$2:H6)), COLUMNS($A$1:H5)),"")</f>
        <v>1900</v>
      </c>
      <c r="I47" s="24">
        <f t="array" ref="I47">IFERROR(INDEX(Products[#Data], SMALL(IF((INDEX(Products[#Data], ,10)="REORDER NOW")*(INDEX(Products[#Data], ,10)="REORDER NOW"), MATCH(ROW(Products[#Data]), ROW(Products[#Data])), ""), ROWS($A$2:I6)), COLUMNS($A$1:I5)),"")</f>
        <v>650</v>
      </c>
      <c r="J47" s="24" t="str">
        <f t="array" ref="J47">IFERROR(INDEX(Products[#Data], SMALL(IF((INDEX(Products[#Data], ,10)="REORDER NOW")*(INDEX(Products[#Data], ,10)="REORDER NOW"), MATCH(ROW(Products[#Data]), ROW(Products[#Data])), ""), ROWS($A$2:J6)), COLUMNS($A$1:J5)),"")</f>
        <v>REORDER NOW</v>
      </c>
      <c r="K47" s="25">
        <f t="array" ref="K47">IFERROR(INDEX(Products[#Data], SMALL(IF((INDEX(Products[#Data], ,10)="REORDER NOW")*(INDEX(Products[#Data], ,10)="REORDER NOW"), MATCH(ROW(Products[#Data]), ROW(Products[#Data])), ""), ROWS($A$2:K6)), COLUMNS($A$1:K5)),"")</f>
        <v>0.13333333333333333</v>
      </c>
    </row>
    <row r="48" spans="1:11" x14ac:dyDescent="0.3">
      <c r="A48" s="23" t="str">
        <f t="array" ref="A48">IFERROR(INDEX(Products[#Data], SMALL(IF((INDEX(Products[#Data], ,10)="REORDER NOW")*(INDEX(Products[#Data], ,10)="REORDER NOW"), MATCH(ROW(Products[#Data]), ROW(Products[#Data])), ""), ROWS(A$2:$A7)), COLUMNS($A$1:A6)),"")</f>
        <v/>
      </c>
      <c r="B48" s="4" t="str">
        <f t="array" ref="B48">IFERROR(INDEX(Products[#Data], SMALL(IF((INDEX(Products[#Data], ,10)="REORDER NOW")*(INDEX(Products[#Data], ,10)="REORDER NOW"), MATCH(ROW(Products[#Data]), ROW(Products[#Data])), ""), ROWS($A$2:B7)), COLUMNS($A$1:B6)),"")</f>
        <v/>
      </c>
      <c r="C48" s="4" t="str">
        <f t="array" ref="C48">IFERROR(INDEX(Products[#Data], SMALL(IF((INDEX(Products[#Data], ,10)="REORDER NOW")*(INDEX(Products[#Data], ,10)="REORDER NOW"), MATCH(ROW(Products[#Data]), ROW(Products[#Data])), ""), ROWS($A$2:C7)), COLUMNS($A$1:C6)),"")</f>
        <v/>
      </c>
      <c r="D48" s="5" t="str">
        <f t="array" ref="D48">IFERROR(INDEX(Products[#Data], SMALL(IF((INDEX(Products[#Data], ,10)="REORDER NOW")*(INDEX(Products[#Data], ,10)="REORDER NOW"), MATCH(ROW(Products[#Data]), ROW(Products[#Data])), ""), ROWS($A$2:D7)), COLUMNS($A$1:D6)),"")</f>
        <v/>
      </c>
      <c r="E48" s="24" t="str">
        <f t="array" ref="E48">IFERROR(INDEX(Products[#Data], SMALL(IF((INDEX(Products[#Data], ,10)="REORDER NOW")*(INDEX(Products[#Data], ,10)="REORDER NOW"), MATCH(ROW(Products[#Data]), ROW(Products[#Data])), ""), ROWS($A$2:E7)), COLUMNS($A$1:E6)),"")</f>
        <v/>
      </c>
      <c r="F48" s="24" t="str">
        <f t="array" ref="F48">IFERROR(INDEX(Products[#Data], SMALL(IF((INDEX(Products[#Data], ,10)="REORDER NOW")*(INDEX(Products[#Data], ,10)="REORDER NOW"), MATCH(ROW(Products[#Data]), ROW(Products[#Data])), ""), ROWS($A$2:F7)), COLUMNS($A$1:F6)),"")</f>
        <v/>
      </c>
      <c r="G48" s="24" t="str">
        <f t="array" ref="G48">IFERROR(INDEX(Products[#Data], SMALL(IF((INDEX(Products[#Data], ,10)="REORDER NOW")*(INDEX(Products[#Data], ,10)="REORDER NOW"), MATCH(ROW(Products[#Data]), ROW(Products[#Data])), ""), ROWS($A$2:G7)), COLUMNS($A$1:G6)),"")</f>
        <v/>
      </c>
      <c r="H48" s="5" t="str">
        <f t="array" ref="H48">IFERROR(INDEX(Products[#Data], SMALL(IF((INDEX(Products[#Data], ,10)="REORDER NOW")*(INDEX(Products[#Data], ,10)="REORDER NOW"), MATCH(ROW(Products[#Data]), ROW(Products[#Data])), ""), ROWS($A$2:H7)), COLUMNS($A$1:H6)),"")</f>
        <v/>
      </c>
      <c r="I48" s="24" t="str">
        <f t="array" ref="I48">IFERROR(INDEX(Products[#Data], SMALL(IF((INDEX(Products[#Data], ,10)="REORDER NOW")*(INDEX(Products[#Data], ,10)="REORDER NOW"), MATCH(ROW(Products[#Data]), ROW(Products[#Data])), ""), ROWS($A$2:I7)), COLUMNS($A$1:I6)),"")</f>
        <v/>
      </c>
      <c r="J48" s="24" t="str">
        <f t="array" ref="J48">IFERROR(INDEX(Products[#Data], SMALL(IF((INDEX(Products[#Data], ,10)="REORDER NOW")*(INDEX(Products[#Data], ,10)="REORDER NOW"), MATCH(ROW(Products[#Data]), ROW(Products[#Data])), ""), ROWS($A$2:J7)), COLUMNS($A$1:J6)),"")</f>
        <v/>
      </c>
      <c r="K48" s="25" t="str">
        <f t="array" ref="K48">IFERROR(INDEX(Products[#Data], SMALL(IF((INDEX(Products[#Data], ,10)="REORDER NOW")*(INDEX(Products[#Data], ,10)="REORDER NOW"), MATCH(ROW(Products[#Data]), ROW(Products[#Data])), ""), ROWS($A$2:K7)), COLUMNS($A$1:K6)),"")</f>
        <v/>
      </c>
    </row>
    <row r="49" spans="1:11" x14ac:dyDescent="0.3">
      <c r="A49" s="23" t="str">
        <f t="array" ref="A49">IFERROR(INDEX(Products[#Data], SMALL(IF((INDEX(Products[#Data], ,10)="REORDER NOW")*(INDEX(Products[#Data], ,10)="REORDER NOW"), MATCH(ROW(Products[#Data]), ROW(Products[#Data])), ""), ROWS(A$2:$A8)), COLUMNS($A$1:A7)),"")</f>
        <v/>
      </c>
      <c r="B49" s="4" t="str">
        <f t="array" ref="B49">IFERROR(INDEX(Products[#Data], SMALL(IF((INDEX(Products[#Data], ,10)="REORDER NOW")*(INDEX(Products[#Data], ,10)="REORDER NOW"), MATCH(ROW(Products[#Data]), ROW(Products[#Data])), ""), ROWS($A$2:B8)), COLUMNS($A$1:B7)),"")</f>
        <v/>
      </c>
      <c r="C49" s="4" t="str">
        <f t="array" ref="C49">IFERROR(INDEX(Products[#Data], SMALL(IF((INDEX(Products[#Data], ,10)="REORDER NOW")*(INDEX(Products[#Data], ,10)="REORDER NOW"), MATCH(ROW(Products[#Data]), ROW(Products[#Data])), ""), ROWS($A$2:C8)), COLUMNS($A$1:C7)),"")</f>
        <v/>
      </c>
      <c r="D49" s="5" t="str">
        <f t="array" ref="D49">IFERROR(INDEX(Products[#Data], SMALL(IF((INDEX(Products[#Data], ,10)="REORDER NOW")*(INDEX(Products[#Data], ,10)="REORDER NOW"), MATCH(ROW(Products[#Data]), ROW(Products[#Data])), ""), ROWS($A$2:D8)), COLUMNS($A$1:D7)),"")</f>
        <v/>
      </c>
      <c r="E49" s="24" t="str">
        <f t="array" ref="E49">IFERROR(INDEX(Products[#Data], SMALL(IF((INDEX(Products[#Data], ,10)="REORDER NOW")*(INDEX(Products[#Data], ,10)="REORDER NOW"), MATCH(ROW(Products[#Data]), ROW(Products[#Data])), ""), ROWS($A$2:E8)), COLUMNS($A$1:E7)),"")</f>
        <v/>
      </c>
      <c r="F49" s="24" t="str">
        <f t="array" ref="F49">IFERROR(INDEX(Products[#Data], SMALL(IF((INDEX(Products[#Data], ,10)="REORDER NOW")*(INDEX(Products[#Data], ,10)="REORDER NOW"), MATCH(ROW(Products[#Data]), ROW(Products[#Data])), ""), ROWS($A$2:F8)), COLUMNS($A$1:F7)),"")</f>
        <v/>
      </c>
      <c r="G49" s="24" t="str">
        <f t="array" ref="G49">IFERROR(INDEX(Products[#Data], SMALL(IF((INDEX(Products[#Data], ,10)="REORDER NOW")*(INDEX(Products[#Data], ,10)="REORDER NOW"), MATCH(ROW(Products[#Data]), ROW(Products[#Data])), ""), ROWS($A$2:G8)), COLUMNS($A$1:G7)),"")</f>
        <v/>
      </c>
      <c r="H49" s="5" t="str">
        <f t="array" ref="H49">IFERROR(INDEX(Products[#Data], SMALL(IF((INDEX(Products[#Data], ,10)="REORDER NOW")*(INDEX(Products[#Data], ,10)="REORDER NOW"), MATCH(ROW(Products[#Data]), ROW(Products[#Data])), ""), ROWS($A$2:H8)), COLUMNS($A$1:H7)),"")</f>
        <v/>
      </c>
      <c r="I49" s="24" t="str">
        <f t="array" ref="I49">IFERROR(INDEX(Products[#Data], SMALL(IF((INDEX(Products[#Data], ,10)="REORDER NOW")*(INDEX(Products[#Data], ,10)="REORDER NOW"), MATCH(ROW(Products[#Data]), ROW(Products[#Data])), ""), ROWS($A$2:I8)), COLUMNS($A$1:I7)),"")</f>
        <v/>
      </c>
      <c r="J49" s="24" t="str">
        <f t="array" ref="J49">IFERROR(INDEX(Products[#Data], SMALL(IF((INDEX(Products[#Data], ,10)="REORDER NOW")*(INDEX(Products[#Data], ,10)="REORDER NOW"), MATCH(ROW(Products[#Data]), ROW(Products[#Data])), ""), ROWS($A$2:J8)), COLUMNS($A$1:J7)),"")</f>
        <v/>
      </c>
      <c r="K49" s="25" t="str">
        <f t="array" ref="K49">IFERROR(INDEX(Products[#Data], SMALL(IF((INDEX(Products[#Data], ,10)="REORDER NOW")*(INDEX(Products[#Data], ,10)="REORDER NOW"), MATCH(ROW(Products[#Data]), ROW(Products[#Data])), ""), ROWS($A$2:K8)), COLUMNS($A$1:K7)),"")</f>
        <v/>
      </c>
    </row>
    <row r="50" spans="1:11" x14ac:dyDescent="0.3">
      <c r="A50" s="23" t="str">
        <f t="array" ref="A50">IFERROR(INDEX(Products[#Data], SMALL(IF((INDEX(Products[#Data], ,10)="REORDER NOW")*(INDEX(Products[#Data], ,10)="REORDER NOW"), MATCH(ROW(Products[#Data]), ROW(Products[#Data])), ""), ROWS(A$2:$A9)), COLUMNS($A$1:A8)),"")</f>
        <v/>
      </c>
      <c r="B50" s="4" t="str">
        <f t="array" ref="B50">IFERROR(INDEX(Products[#Data], SMALL(IF((INDEX(Products[#Data], ,10)="REORDER NOW")*(INDEX(Products[#Data], ,10)="REORDER NOW"), MATCH(ROW(Products[#Data]), ROW(Products[#Data])), ""), ROWS($A$2:B9)), COLUMNS($A$1:B8)),"")</f>
        <v/>
      </c>
      <c r="C50" s="4" t="str">
        <f t="array" ref="C50">IFERROR(INDEX(Products[#Data], SMALL(IF((INDEX(Products[#Data], ,10)="REORDER NOW")*(INDEX(Products[#Data], ,10)="REORDER NOW"), MATCH(ROW(Products[#Data]), ROW(Products[#Data])), ""), ROWS($A$2:C9)), COLUMNS($A$1:C8)),"")</f>
        <v/>
      </c>
      <c r="D50" s="5" t="str">
        <f t="array" ref="D50">IFERROR(INDEX(Products[#Data], SMALL(IF((INDEX(Products[#Data], ,10)="REORDER NOW")*(INDEX(Products[#Data], ,10)="REORDER NOW"), MATCH(ROW(Products[#Data]), ROW(Products[#Data])), ""), ROWS($A$2:D9)), COLUMNS($A$1:D8)),"")</f>
        <v/>
      </c>
      <c r="E50" s="24" t="str">
        <f t="array" ref="E50">IFERROR(INDEX(Products[#Data], SMALL(IF((INDEX(Products[#Data], ,10)="REORDER NOW")*(INDEX(Products[#Data], ,10)="REORDER NOW"), MATCH(ROW(Products[#Data]), ROW(Products[#Data])), ""), ROWS($A$2:E9)), COLUMNS($A$1:E8)),"")</f>
        <v/>
      </c>
      <c r="F50" s="24" t="str">
        <f t="array" ref="F50">IFERROR(INDEX(Products[#Data], SMALL(IF((INDEX(Products[#Data], ,10)="REORDER NOW")*(INDEX(Products[#Data], ,10)="REORDER NOW"), MATCH(ROW(Products[#Data]), ROW(Products[#Data])), ""), ROWS($A$2:F9)), COLUMNS($A$1:F8)),"")</f>
        <v/>
      </c>
      <c r="G50" s="24" t="str">
        <f t="array" ref="G50">IFERROR(INDEX(Products[#Data], SMALL(IF((INDEX(Products[#Data], ,10)="REORDER NOW")*(INDEX(Products[#Data], ,10)="REORDER NOW"), MATCH(ROW(Products[#Data]), ROW(Products[#Data])), ""), ROWS($A$2:G9)), COLUMNS($A$1:G8)),"")</f>
        <v/>
      </c>
      <c r="H50" s="5" t="str">
        <f t="array" ref="H50">IFERROR(INDEX(Products[#Data], SMALL(IF((INDEX(Products[#Data], ,10)="REORDER NOW")*(INDEX(Products[#Data], ,10)="REORDER NOW"), MATCH(ROW(Products[#Data]), ROW(Products[#Data])), ""), ROWS($A$2:H9)), COLUMNS($A$1:H8)),"")</f>
        <v/>
      </c>
      <c r="I50" s="24" t="str">
        <f t="array" ref="I50">IFERROR(INDEX(Products[#Data], SMALL(IF((INDEX(Products[#Data], ,10)="REORDER NOW")*(INDEX(Products[#Data], ,10)="REORDER NOW"), MATCH(ROW(Products[#Data]), ROW(Products[#Data])), ""), ROWS($A$2:I9)), COLUMNS($A$1:I8)),"")</f>
        <v/>
      </c>
      <c r="J50" s="24" t="str">
        <f t="array" ref="J50">IFERROR(INDEX(Products[#Data], SMALL(IF((INDEX(Products[#Data], ,10)="REORDER NOW")*(INDEX(Products[#Data], ,10)="REORDER NOW"), MATCH(ROW(Products[#Data]), ROW(Products[#Data])), ""), ROWS($A$2:J9)), COLUMNS($A$1:J8)),"")</f>
        <v/>
      </c>
      <c r="K50" s="25" t="str">
        <f t="array" ref="K50">IFERROR(INDEX(Products[#Data], SMALL(IF((INDEX(Products[#Data], ,10)="REORDER NOW")*(INDEX(Products[#Data], ,10)="REORDER NOW"), MATCH(ROW(Products[#Data]), ROW(Products[#Data])), ""), ROWS($A$2:K9)), COLUMNS($A$1:K8)),"")</f>
        <v/>
      </c>
    </row>
    <row r="51" spans="1:11" x14ac:dyDescent="0.3">
      <c r="A51" s="23" t="str">
        <f t="array" ref="A51">IFERROR(INDEX(Products[#Data], SMALL(IF((INDEX(Products[#Data], ,10)="REORDER NOW")*(INDEX(Products[#Data], ,10)="REORDER NOW"), MATCH(ROW(Products[#Data]), ROW(Products[#Data])), ""), ROWS(A$2:$A10)), COLUMNS($A$1:A9)),"")</f>
        <v/>
      </c>
      <c r="B51" s="4" t="str">
        <f t="array" ref="B51">IFERROR(INDEX(Products[#Data], SMALL(IF((INDEX(Products[#Data], ,10)="REORDER NOW")*(INDEX(Products[#Data], ,10)="REORDER NOW"), MATCH(ROW(Products[#Data]), ROW(Products[#Data])), ""), ROWS($A$2:B10)), COLUMNS($A$1:B9)),"")</f>
        <v/>
      </c>
      <c r="C51" s="4" t="str">
        <f t="array" ref="C51">IFERROR(INDEX(Products[#Data], SMALL(IF((INDEX(Products[#Data], ,10)="REORDER NOW")*(INDEX(Products[#Data], ,10)="REORDER NOW"), MATCH(ROW(Products[#Data]), ROW(Products[#Data])), ""), ROWS($A$2:C10)), COLUMNS($A$1:C9)),"")</f>
        <v/>
      </c>
      <c r="D51" s="5" t="str">
        <f t="array" ref="D51">IFERROR(INDEX(Products[#Data], SMALL(IF((INDEX(Products[#Data], ,10)="REORDER NOW")*(INDEX(Products[#Data], ,10)="REORDER NOW"), MATCH(ROW(Products[#Data]), ROW(Products[#Data])), ""), ROWS($A$2:D10)), COLUMNS($A$1:D9)),"")</f>
        <v/>
      </c>
      <c r="E51" s="24" t="str">
        <f t="array" ref="E51">IFERROR(INDEX(Products[#Data], SMALL(IF((INDEX(Products[#Data], ,10)="REORDER NOW")*(INDEX(Products[#Data], ,10)="REORDER NOW"), MATCH(ROW(Products[#Data]), ROW(Products[#Data])), ""), ROWS($A$2:E10)), COLUMNS($A$1:E9)),"")</f>
        <v/>
      </c>
      <c r="F51" s="24" t="str">
        <f t="array" ref="F51">IFERROR(INDEX(Products[#Data], SMALL(IF((INDEX(Products[#Data], ,10)="REORDER NOW")*(INDEX(Products[#Data], ,10)="REORDER NOW"), MATCH(ROW(Products[#Data]), ROW(Products[#Data])), ""), ROWS($A$2:F10)), COLUMNS($A$1:F9)),"")</f>
        <v/>
      </c>
      <c r="G51" s="24" t="str">
        <f t="array" ref="G51">IFERROR(INDEX(Products[#Data], SMALL(IF((INDEX(Products[#Data], ,10)="REORDER NOW")*(INDEX(Products[#Data], ,10)="REORDER NOW"), MATCH(ROW(Products[#Data]), ROW(Products[#Data])), ""), ROWS($A$2:G10)), COLUMNS($A$1:G9)),"")</f>
        <v/>
      </c>
      <c r="H51" s="5" t="str">
        <f t="array" ref="H51">IFERROR(INDEX(Products[#Data], SMALL(IF((INDEX(Products[#Data], ,10)="REORDER NOW")*(INDEX(Products[#Data], ,10)="REORDER NOW"), MATCH(ROW(Products[#Data]), ROW(Products[#Data])), ""), ROWS($A$2:H10)), COLUMNS($A$1:H9)),"")</f>
        <v/>
      </c>
      <c r="I51" s="24" t="str">
        <f t="array" ref="I51">IFERROR(INDEX(Products[#Data], SMALL(IF((INDEX(Products[#Data], ,10)="REORDER NOW")*(INDEX(Products[#Data], ,10)="REORDER NOW"), MATCH(ROW(Products[#Data]), ROW(Products[#Data])), ""), ROWS($A$2:I10)), COLUMNS($A$1:I9)),"")</f>
        <v/>
      </c>
      <c r="J51" s="24" t="str">
        <f t="array" ref="J51">IFERROR(INDEX(Products[#Data], SMALL(IF((INDEX(Products[#Data], ,10)="REORDER NOW")*(INDEX(Products[#Data], ,10)="REORDER NOW"), MATCH(ROW(Products[#Data]), ROW(Products[#Data])), ""), ROWS($A$2:J10)), COLUMNS($A$1:J9)),"")</f>
        <v/>
      </c>
      <c r="K51" s="25" t="str">
        <f t="array" ref="K51">IFERROR(INDEX(Products[#Data], SMALL(IF((INDEX(Products[#Data], ,10)="REORDER NOW")*(INDEX(Products[#Data], ,10)="REORDER NOW"), MATCH(ROW(Products[#Data]), ROW(Products[#Data])), ""), ROWS($A$2:K10)), COLUMNS($A$1:K9)),"")</f>
        <v/>
      </c>
    </row>
    <row r="52" spans="1:11" x14ac:dyDescent="0.3">
      <c r="A52" s="23" t="str">
        <f t="array" ref="A52">IFERROR(INDEX(Products[#Data], SMALL(IF((INDEX(Products[#Data], ,10)="REORDER NOW")*(INDEX(Products[#Data], ,10)="REORDER NOW"), MATCH(ROW(Products[#Data]), ROW(Products[#Data])), ""), ROWS(A$2:$A11)), COLUMNS($A$1:A10)),"")</f>
        <v/>
      </c>
      <c r="B52" s="4" t="str">
        <f t="array" ref="B52">IFERROR(INDEX(Products[#Data], SMALL(IF((INDEX(Products[#Data], ,10)="REORDER NOW")*(INDEX(Products[#Data], ,10)="REORDER NOW"), MATCH(ROW(Products[#Data]), ROW(Products[#Data])), ""), ROWS($A$2:B11)), COLUMNS($A$1:B10)),"")</f>
        <v/>
      </c>
      <c r="C52" s="4" t="str">
        <f t="array" ref="C52">IFERROR(INDEX(Products[#Data], SMALL(IF((INDEX(Products[#Data], ,10)="REORDER NOW")*(INDEX(Products[#Data], ,10)="REORDER NOW"), MATCH(ROW(Products[#Data]), ROW(Products[#Data])), ""), ROWS($A$2:C11)), COLUMNS($A$1:C10)),"")</f>
        <v/>
      </c>
      <c r="D52" s="5" t="str">
        <f t="array" ref="D52">IFERROR(INDEX(Products[#Data], SMALL(IF((INDEX(Products[#Data], ,10)="REORDER NOW")*(INDEX(Products[#Data], ,10)="REORDER NOW"), MATCH(ROW(Products[#Data]), ROW(Products[#Data])), ""), ROWS($A$2:D11)), COLUMNS($A$1:D10)),"")</f>
        <v/>
      </c>
      <c r="E52" s="24" t="str">
        <f t="array" ref="E52">IFERROR(INDEX(Products[#Data], SMALL(IF((INDEX(Products[#Data], ,10)="REORDER NOW")*(INDEX(Products[#Data], ,10)="REORDER NOW"), MATCH(ROW(Products[#Data]), ROW(Products[#Data])), ""), ROWS($A$2:E11)), COLUMNS($A$1:E10)),"")</f>
        <v/>
      </c>
      <c r="F52" s="24" t="str">
        <f t="array" ref="F52">IFERROR(INDEX(Products[#Data], SMALL(IF((INDEX(Products[#Data], ,10)="REORDER NOW")*(INDEX(Products[#Data], ,10)="REORDER NOW"), MATCH(ROW(Products[#Data]), ROW(Products[#Data])), ""), ROWS($A$2:F11)), COLUMNS($A$1:F10)),"")</f>
        <v/>
      </c>
      <c r="G52" s="24" t="str">
        <f t="array" ref="G52">IFERROR(INDEX(Products[#Data], SMALL(IF((INDEX(Products[#Data], ,10)="REORDER NOW")*(INDEX(Products[#Data], ,10)="REORDER NOW"), MATCH(ROW(Products[#Data]), ROW(Products[#Data])), ""), ROWS($A$2:G11)), COLUMNS($A$1:G10)),"")</f>
        <v/>
      </c>
      <c r="H52" s="5" t="str">
        <f t="array" ref="H52">IFERROR(INDEX(Products[#Data], SMALL(IF((INDEX(Products[#Data], ,10)="REORDER NOW")*(INDEX(Products[#Data], ,10)="REORDER NOW"), MATCH(ROW(Products[#Data]), ROW(Products[#Data])), ""), ROWS($A$2:H11)), COLUMNS($A$1:H10)),"")</f>
        <v/>
      </c>
      <c r="I52" s="24" t="str">
        <f t="array" ref="I52">IFERROR(INDEX(Products[#Data], SMALL(IF((INDEX(Products[#Data], ,10)="REORDER NOW")*(INDEX(Products[#Data], ,10)="REORDER NOW"), MATCH(ROW(Products[#Data]), ROW(Products[#Data])), ""), ROWS($A$2:I11)), COLUMNS($A$1:I10)),"")</f>
        <v/>
      </c>
      <c r="J52" s="24" t="str">
        <f t="array" ref="J52">IFERROR(INDEX(Products[#Data], SMALL(IF((INDEX(Products[#Data], ,10)="REORDER NOW")*(INDEX(Products[#Data], ,10)="REORDER NOW"), MATCH(ROW(Products[#Data]), ROW(Products[#Data])), ""), ROWS($A$2:J11)), COLUMNS($A$1:J10)),"")</f>
        <v/>
      </c>
      <c r="K52" s="25" t="str">
        <f t="array" ref="K52">IFERROR(INDEX(Products[#Data], SMALL(IF((INDEX(Products[#Data], ,10)="REORDER NOW")*(INDEX(Products[#Data], ,10)="REORDER NOW"), MATCH(ROW(Products[#Data]), ROW(Products[#Data])), ""), ROWS($A$2:K11)), COLUMNS($A$1:K10)),"")</f>
        <v/>
      </c>
    </row>
    <row r="55" spans="1:11" x14ac:dyDescent="0.3">
      <c r="A55" s="14" t="s">
        <v>55</v>
      </c>
    </row>
    <row r="57" spans="1:11" x14ac:dyDescent="0.3">
      <c r="A57" s="2" t="s">
        <v>56</v>
      </c>
      <c r="B57" s="2">
        <f>COUNTIF(Products[Status],Calc!$A57)</f>
        <v>10</v>
      </c>
      <c r="C57" s="2">
        <f>$B$60-B57</f>
        <v>10</v>
      </c>
    </row>
    <row r="58" spans="1:11" x14ac:dyDescent="0.3">
      <c r="A58" s="2" t="s">
        <v>57</v>
      </c>
      <c r="B58" s="2">
        <f>COUNTIF(Products[Status],Calc!$A58)</f>
        <v>5</v>
      </c>
      <c r="C58" s="2">
        <f>$B$60-B58</f>
        <v>15</v>
      </c>
    </row>
    <row r="59" spans="1:11" x14ac:dyDescent="0.3">
      <c r="A59" s="2" t="s">
        <v>58</v>
      </c>
      <c r="B59" s="2">
        <f>COUNTIF(Products[Status],Calc!$A59)</f>
        <v>5</v>
      </c>
      <c r="C59" s="2">
        <f>$B$60-B59</f>
        <v>15</v>
      </c>
    </row>
    <row r="60" spans="1:11" x14ac:dyDescent="0.3">
      <c r="B60" s="27">
        <f>SUM(B57:B59)</f>
        <v>20</v>
      </c>
    </row>
  </sheetData>
  <phoneticPr fontId="4" type="noConversion"/>
  <conditionalFormatting sqref="J43:J52">
    <cfRule type="expression" dxfId="5" priority="4">
      <formula>$J43="REORDER NOW"</formula>
    </cfRule>
    <cfRule type="expression" dxfId="4" priority="5">
      <formula>$J43="STOCK OK"</formula>
    </cfRule>
    <cfRule type="expression" dxfId="3" priority="6">
      <formula>$J43="BELOW OPTIMAL"</formula>
    </cfRule>
  </conditionalFormatting>
  <conditionalFormatting sqref="C33">
    <cfRule type="expression" dxfId="2" priority="1">
      <formula>C33="REORDER NOW"</formula>
    </cfRule>
    <cfRule type="expression" dxfId="1" priority="2">
      <formula>C33="STOCK OK"</formula>
    </cfRule>
    <cfRule type="expression" dxfId="0" priority="3">
      <formula>C33="BELOW OPTIMAL"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B8ABC-AC35-41CF-AE05-9758E00E25D3}">
  <dimension ref="A1:O27"/>
  <sheetViews>
    <sheetView tabSelected="1" zoomScale="85" zoomScaleNormal="85" workbookViewId="0">
      <selection activeCell="E5" sqref="E5:G5"/>
    </sheetView>
  </sheetViews>
  <sheetFormatPr defaultRowHeight="13.2" x14ac:dyDescent="0.25"/>
  <cols>
    <col min="1" max="1" width="2.6640625" style="32" customWidth="1"/>
    <col min="2" max="2" width="7.44140625" style="32" customWidth="1"/>
    <col min="3" max="3" width="15" style="32" customWidth="1"/>
    <col min="4" max="5" width="8.88671875" style="32"/>
    <col min="6" max="6" width="8.88671875" style="32" customWidth="1"/>
    <col min="7" max="7" width="15.33203125" style="32" customWidth="1"/>
    <col min="8" max="11" width="8.88671875" style="32"/>
    <col min="12" max="12" width="2.44140625" style="32" customWidth="1"/>
    <col min="13" max="14" width="50.88671875" style="32" customWidth="1"/>
    <col min="15" max="15" width="37" style="32" customWidth="1"/>
    <col min="16" max="16384" width="8.88671875" style="32"/>
  </cols>
  <sheetData>
    <row r="1" spans="1:15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129" customHeight="1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3" spans="1:15" x14ac:dyDescent="0.2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</row>
    <row r="4" spans="1:15" ht="19.8" customHeight="1" x14ac:dyDescent="0.25">
      <c r="A4" s="33"/>
      <c r="B4" s="33"/>
      <c r="C4" s="33"/>
      <c r="D4" s="33"/>
      <c r="E4" s="52" t="s">
        <v>62</v>
      </c>
      <c r="F4" s="52"/>
      <c r="G4" s="52"/>
      <c r="H4" s="33"/>
      <c r="I4" s="33"/>
      <c r="J4" s="33"/>
      <c r="K4" s="33"/>
      <c r="L4" s="33"/>
      <c r="M4" s="33"/>
      <c r="N4" s="33"/>
      <c r="O4" s="33"/>
    </row>
    <row r="5" spans="1:15" ht="29.4" customHeight="1" x14ac:dyDescent="0.25">
      <c r="A5" s="33"/>
      <c r="B5" s="33"/>
      <c r="C5" s="33"/>
      <c r="D5" s="33"/>
      <c r="E5" s="51">
        <v>44927</v>
      </c>
      <c r="F5" s="51"/>
      <c r="G5" s="51"/>
      <c r="H5" s="33"/>
      <c r="I5" s="33"/>
      <c r="J5" s="33"/>
      <c r="K5" s="33"/>
      <c r="L5" s="33"/>
      <c r="M5" s="33"/>
      <c r="N5" s="33"/>
      <c r="O5" s="33"/>
    </row>
    <row r="6" spans="1:15" x14ac:dyDescent="0.25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</row>
    <row r="7" spans="1:15" ht="200.4" customHeight="1" x14ac:dyDescent="0.25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</row>
    <row r="8" spans="1:15" ht="11.4" customHeight="1" x14ac:dyDescent="0.25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pans="1:15" x14ac:dyDescent="0.25">
      <c r="A9" s="33"/>
      <c r="B9" s="33"/>
      <c r="C9" s="33"/>
      <c r="D9" s="33"/>
      <c r="E9" s="52" t="s">
        <v>64</v>
      </c>
      <c r="F9" s="52"/>
      <c r="G9" s="52"/>
      <c r="H9" s="33"/>
      <c r="I9" s="33"/>
      <c r="J9" s="33"/>
      <c r="K9" s="33"/>
      <c r="L9" s="33"/>
      <c r="M9" s="33"/>
      <c r="N9" s="33"/>
      <c r="O9" s="33"/>
    </row>
    <row r="10" spans="1:15" ht="22.2" x14ac:dyDescent="0.25">
      <c r="A10" s="33"/>
      <c r="B10" s="33"/>
      <c r="C10" s="33"/>
      <c r="D10" s="33"/>
      <c r="E10" s="53" t="s">
        <v>8</v>
      </c>
      <c r="F10" s="53"/>
      <c r="G10" s="53"/>
      <c r="H10" s="33"/>
      <c r="I10" s="33"/>
      <c r="J10" s="33"/>
      <c r="K10" s="33"/>
      <c r="L10" s="33"/>
      <c r="M10" s="33"/>
      <c r="N10" s="33"/>
      <c r="O10" s="33"/>
    </row>
    <row r="11" spans="1:15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</row>
    <row r="12" spans="1:15" ht="172.8" customHeight="1" x14ac:dyDescent="0.2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</row>
    <row r="13" spans="1:15" ht="22.8" customHeight="1" x14ac:dyDescent="0.25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</row>
    <row r="14" spans="1:15" x14ac:dyDescent="0.25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5" x14ac:dyDescent="0.25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ht="27" customHeight="1" thickBot="1" x14ac:dyDescent="0.3">
      <c r="A16" s="33"/>
      <c r="B16" s="42" t="s">
        <v>0</v>
      </c>
      <c r="C16" s="42" t="s">
        <v>33</v>
      </c>
      <c r="D16" s="43" t="s">
        <v>59</v>
      </c>
      <c r="E16" s="43" t="s">
        <v>60</v>
      </c>
      <c r="F16" s="43" t="s">
        <v>61</v>
      </c>
      <c r="G16" s="42" t="s">
        <v>49</v>
      </c>
      <c r="H16" s="33"/>
      <c r="I16" s="33"/>
      <c r="J16" s="33"/>
      <c r="K16" s="33"/>
      <c r="L16" s="33"/>
      <c r="M16" s="33"/>
      <c r="N16" s="33"/>
      <c r="O16" s="33"/>
    </row>
    <row r="17" spans="1:15" ht="6.6" customHeight="1" thickTop="1" x14ac:dyDescent="0.25">
      <c r="A17" s="33"/>
      <c r="B17" s="34"/>
      <c r="C17" s="34"/>
      <c r="D17" s="35"/>
      <c r="E17" s="35"/>
      <c r="F17" s="35"/>
      <c r="G17" s="34"/>
      <c r="H17" s="33"/>
      <c r="I17" s="33"/>
      <c r="J17" s="33"/>
      <c r="K17" s="33"/>
      <c r="L17" s="33"/>
      <c r="M17" s="33"/>
      <c r="N17" s="33"/>
      <c r="O17" s="33"/>
    </row>
    <row r="18" spans="1:15" x14ac:dyDescent="0.25">
      <c r="A18" s="33"/>
      <c r="B18" s="36">
        <f>Calc!A43</f>
        <v>1003</v>
      </c>
      <c r="C18" s="36" t="str">
        <f>Calc!B43</f>
        <v>Article 03</v>
      </c>
      <c r="D18" s="37">
        <f>Calc!E43</f>
        <v>400</v>
      </c>
      <c r="E18" s="37">
        <f>Calc!G43</f>
        <v>100</v>
      </c>
      <c r="F18" s="37">
        <f>Calc!I43</f>
        <v>300</v>
      </c>
      <c r="G18" s="44" t="str">
        <f>Calc!J43</f>
        <v>REORDER NOW</v>
      </c>
      <c r="H18" s="33"/>
      <c r="I18" s="33"/>
      <c r="J18" s="33"/>
      <c r="K18" s="33"/>
      <c r="L18" s="33"/>
      <c r="M18" s="33"/>
      <c r="N18" s="33"/>
      <c r="O18" s="33"/>
    </row>
    <row r="19" spans="1:15" x14ac:dyDescent="0.25">
      <c r="A19" s="33"/>
      <c r="B19" s="38">
        <f>Calc!A44</f>
        <v>1011</v>
      </c>
      <c r="C19" s="38" t="str">
        <f>Calc!B44</f>
        <v>Article 11</v>
      </c>
      <c r="D19" s="39">
        <f>Calc!E44</f>
        <v>500</v>
      </c>
      <c r="E19" s="39">
        <f>Calc!G44</f>
        <v>300</v>
      </c>
      <c r="F19" s="39">
        <f>Calc!I44</f>
        <v>200</v>
      </c>
      <c r="G19" s="45" t="str">
        <f>Calc!J44</f>
        <v>REORDER NOW</v>
      </c>
      <c r="H19" s="33"/>
      <c r="I19" s="33"/>
      <c r="J19" s="33"/>
      <c r="K19" s="33"/>
      <c r="L19" s="33"/>
      <c r="M19" s="33"/>
      <c r="N19" s="33"/>
      <c r="O19" s="33"/>
    </row>
    <row r="20" spans="1:15" x14ac:dyDescent="0.25">
      <c r="A20" s="33"/>
      <c r="B20" s="38">
        <f>Calc!A45</f>
        <v>1012</v>
      </c>
      <c r="C20" s="38" t="str">
        <f>Calc!B45</f>
        <v>Article 12</v>
      </c>
      <c r="D20" s="39">
        <f>Calc!E45</f>
        <v>300</v>
      </c>
      <c r="E20" s="39">
        <f>Calc!G45</f>
        <v>100</v>
      </c>
      <c r="F20" s="39">
        <f>Calc!I45</f>
        <v>200</v>
      </c>
      <c r="G20" s="45" t="str">
        <f>Calc!J45</f>
        <v>REORDER NOW</v>
      </c>
      <c r="H20" s="33"/>
      <c r="I20" s="33"/>
      <c r="J20" s="33"/>
      <c r="K20" s="33"/>
      <c r="L20" s="33"/>
      <c r="M20" s="33"/>
      <c r="N20" s="33"/>
      <c r="O20" s="33"/>
    </row>
    <row r="21" spans="1:15" x14ac:dyDescent="0.25">
      <c r="A21" s="33"/>
      <c r="B21" s="38">
        <f>Calc!A46</f>
        <v>1015</v>
      </c>
      <c r="C21" s="38" t="str">
        <f>Calc!B46</f>
        <v>Article 15</v>
      </c>
      <c r="D21" s="39">
        <f>Calc!E46</f>
        <v>300</v>
      </c>
      <c r="E21" s="39">
        <f>Calc!G46</f>
        <v>0</v>
      </c>
      <c r="F21" s="39">
        <f>Calc!I46</f>
        <v>300</v>
      </c>
      <c r="G21" s="45" t="str">
        <f>Calc!J46</f>
        <v>REORDER NOW</v>
      </c>
      <c r="H21" s="33"/>
      <c r="I21" s="33"/>
      <c r="J21" s="33"/>
      <c r="K21" s="33"/>
      <c r="L21" s="33"/>
      <c r="M21" s="33"/>
      <c r="N21" s="33"/>
      <c r="O21" s="33"/>
    </row>
    <row r="22" spans="1:15" ht="13.8" thickBot="1" x14ac:dyDescent="0.3">
      <c r="A22" s="33"/>
      <c r="B22" s="40">
        <f>Calc!A47</f>
        <v>1020</v>
      </c>
      <c r="C22" s="40" t="str">
        <f>Calc!B47</f>
        <v>Article 20</v>
      </c>
      <c r="D22" s="41">
        <f>Calc!E47</f>
        <v>750</v>
      </c>
      <c r="E22" s="41">
        <f>Calc!G47</f>
        <v>100</v>
      </c>
      <c r="F22" s="41">
        <f>Calc!I47</f>
        <v>650</v>
      </c>
      <c r="G22" s="46" t="str">
        <f>Calc!J47</f>
        <v>REORDER NOW</v>
      </c>
      <c r="H22" s="33"/>
      <c r="I22" s="33"/>
      <c r="J22" s="33"/>
      <c r="K22" s="33"/>
      <c r="L22" s="33"/>
      <c r="M22" s="33"/>
      <c r="N22" s="33"/>
      <c r="O22" s="33"/>
    </row>
    <row r="23" spans="1:15" ht="13.8" thickTop="1" x14ac:dyDescent="0.25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</row>
    <row r="24" spans="1:15" x14ac:dyDescent="0.25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</row>
    <row r="25" spans="1:15" ht="6" customHeight="1" x14ac:dyDescent="0.25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pans="1:15" ht="409.2" customHeight="1" x14ac:dyDescent="0.25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</row>
    <row r="27" spans="1:15" ht="328.2" customHeight="1" x14ac:dyDescent="0.25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</row>
  </sheetData>
  <mergeCells count="4">
    <mergeCell ref="E5:G5"/>
    <mergeCell ref="E4:G4"/>
    <mergeCell ref="E9:G9"/>
    <mergeCell ref="E10:G10"/>
  </mergeCells>
  <pageMargins left="0" right="0" top="0" bottom="0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ED306A3-189D-47B9-AA4E-D6D9B6A59973}">
          <x14:formula1>
            <xm:f>Calc!$F$2:$F$13</xm:f>
          </x14:formula1>
          <xm:sqref>E5:G5</xm:sqref>
        </x14:dataValidation>
        <x14:dataValidation type="list" allowBlank="1" showInputMessage="1" showErrorMessage="1" xr:uid="{2B2ADE20-CDCD-49A5-A30E-4DC04A238FD5}">
          <x14:formula1>
            <xm:f>'Product Data'!$B$2:$B$21</xm:f>
          </x14:formula1>
          <xm:sqref>E10:G10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1461C-550C-4D19-88D7-F3D7EF853012}">
  <dimension ref="B6"/>
  <sheetViews>
    <sheetView workbookViewId="0">
      <selection activeCell="B15" sqref="B15"/>
    </sheetView>
  </sheetViews>
  <sheetFormatPr defaultRowHeight="14.4" x14ac:dyDescent="0.3"/>
  <cols>
    <col min="2" max="2" width="31.88671875" customWidth="1"/>
  </cols>
  <sheetData>
    <row r="6" spans="2:2" x14ac:dyDescent="0.3">
      <c r="B6" s="50" t="s">
        <v>69</v>
      </c>
    </row>
  </sheetData>
  <hyperlinks>
    <hyperlink ref="B6" r:id="rId1" xr:uid="{34994AF2-5DA7-4AB2-9CB5-84822512861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Product Data</vt:lpstr>
      <vt:lpstr>Input</vt:lpstr>
      <vt:lpstr>Output</vt:lpstr>
      <vt:lpstr>Calc</vt:lpstr>
      <vt:lpstr>DASHBOARD</vt:lpstr>
      <vt:lpstr>©</vt:lpstr>
    </vt:vector>
  </TitlesOfParts>
  <Company/>
  <LinksUpToDate>false</LinksUpToDate>
  <SharedDoc>false</SharedDoc>
  <HyperlinksChanged>false</HyperlinksChanged>
  <AppVersion>16.0300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