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png" Extension="png"/>
  <Default ContentType="application/vnd.openxmlformats-package.relationships+xml" Extension="rels"/>
  <Default ContentType="image/svg+xml" Extension="svg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style+xml" PartName="/xl/charts/style1.xml"/>
  <Override ContentType="application/vnd.ms-office.chartstyle+xml" PartName="/xl/charts/style2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heetMetadata+xml" PartName="/xl/metadata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table+xml" PartName="/xl/tables/table3.xml"/>
  <Override ContentType="application/vnd.openxmlformats-officedocument.spreadsheetml.table+xml" PartName="/xl/tables/table4.xml"/>
  <Override ContentType="application/vnd.openxmlformats-officedocument.spreadsheetml.table+xml" PartName="/xl/tables/table5.xml"/>
  <Override ContentType="application/vnd.openxmlformats-officedocument.spreadsheetml.table+xml" PartName="/xl/tables/table6.xml"/>
  <Override ContentType="application/vnd.openxmlformats-officedocument.spreadsheetml.table+xml" PartName="/xl/tables/table7.xml"/>
  <Override ContentType="application/vnd.openxmlformats-officedocument.spreadsheetml.table+xml" PartName="/xl/tables/table8.xml"/>
  <Override ContentType="application/vnd.openxmlformats-officedocument.spreadsheetml.table+xml" PartName="/xl/tables/table9.xml"/>
  <Override ContentType="application/vnd.openxmlformats-officedocument.spreadsheetml.table+xml" PartName="/xl/tables/table10.xml"/>
  <Override ContentType="application/vnd.openxmlformats-officedocument.spreadsheetml.table+xml" PartName="/xl/tables/table11.xml"/>
  <Override ContentType="application/vnd.openxmlformats-officedocument.spreadsheetml.table+xml" PartName="/xl/tables/table12.xml"/>
  <Override ContentType="application/vnd.openxmlformats-officedocument.spreadsheetml.table+xml" PartName="/xl/tables/table13.xml"/>
  <Override ContentType="application/vnd.openxmlformats-officedocument.spreadsheetml.table+xml" PartName="/xl/tables/table14.xml"/>
  <Override ContentType="application/vnd.openxmlformats-officedocument.spreadsheetml.table+xml" PartName="/xl/tables/table15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PWORK 2024\Alexey Nikolayev - Dashboards\SEO\"/>
    </mc:Choice>
  </mc:AlternateContent>
  <xr:revisionPtr revIDLastSave="0" documentId="13_ncr:1_{0BA28C6D-A2F0-49C8-922D-10B132BAF9C7}" xr6:coauthVersionLast="47" xr6:coauthVersionMax="47" xr10:uidLastSave="{00000000-0000-0000-0000-000000000000}"/>
  <bookViews>
    <workbookView xWindow="-108" yWindow="-108" windowWidth="23256" windowHeight="13896" activeTab="3" xr2:uid="{52F4A9BD-9C13-4700-A72D-72128D1430E6}"/>
  </bookViews>
  <sheets>
    <sheet name="Data" sheetId="1" r:id="rId1"/>
    <sheet name="Helper Sheet" sheetId="5" r:id="rId2"/>
    <sheet name="Keywords" sheetId="4" r:id="rId3"/>
    <sheet name="Dashboard" sheetId="2" r:id="rId4"/>
    <sheet name="©" sheetId="3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" i="5" l="1"/>
  <c r="L4" i="5"/>
  <c r="B2" i="5"/>
  <c r="A2" i="5"/>
  <c r="C17" i="2"/>
  <c r="C18" i="2"/>
  <c r="C19" i="2"/>
  <c r="D19" i="5"/>
  <c r="D18" i="5"/>
  <c r="D17" i="5"/>
  <c r="D13" i="5"/>
  <c r="C25" i="2" s="1"/>
  <c r="D12" i="5"/>
  <c r="C24" i="2" s="1"/>
  <c r="D11" i="5"/>
  <c r="C23" i="2" s="1"/>
  <c r="D10" i="5"/>
  <c r="C22" i="2" s="1"/>
  <c r="D9" i="5"/>
  <c r="C21" i="2" s="1"/>
  <c r="D8" i="5"/>
  <c r="C20" i="2" s="1"/>
  <c r="D7" i="5"/>
  <c r="D6" i="5"/>
  <c r="D5" i="5"/>
  <c r="D4" i="5"/>
  <c r="C16" i="2" s="1"/>
  <c r="BE7" i="4"/>
  <c r="BE8" i="4"/>
  <c r="BE9" i="4"/>
  <c r="BE10" i="4"/>
  <c r="BE11" i="4"/>
  <c r="BE12" i="4"/>
  <c r="BE13" i="4"/>
  <c r="BE14" i="4"/>
  <c r="BE15" i="4"/>
  <c r="BE16" i="4"/>
  <c r="BE17" i="4"/>
  <c r="BE18" i="4"/>
  <c r="BE19" i="4"/>
  <c r="BE20" i="4"/>
  <c r="BE21" i="4"/>
  <c r="BE22" i="4"/>
  <c r="BE23" i="4"/>
  <c r="BE24" i="4"/>
  <c r="BE25" i="4"/>
  <c r="BE26" i="4"/>
  <c r="BE27" i="4"/>
  <c r="BE28" i="4"/>
  <c r="BE29" i="4"/>
  <c r="BE6" i="4"/>
  <c r="T16" i="5" l="1" a="1"/>
  <c r="T16" i="5" s="1"/>
  <c r="O11" i="5" a="1"/>
  <c r="O11" i="5" s="1"/>
  <c r="S13" i="5" a="1"/>
  <c r="S13" i="5" s="1"/>
  <c r="P5" i="5" a="1"/>
  <c r="P5" i="5" s="1"/>
  <c r="P6" i="5" a="1"/>
  <c r="P6" i="5" s="1"/>
  <c r="P14" i="5" a="1"/>
  <c r="P14" i="5" s="1"/>
  <c r="N5" i="5" a="1"/>
  <c r="N5" i="5" s="1"/>
  <c r="P15" i="5" a="1"/>
  <c r="P15" i="5" s="1"/>
  <c r="N6" i="5" a="1"/>
  <c r="N6" i="5" s="1"/>
  <c r="R12" i="5" a="1"/>
  <c r="R12" i="5" s="1"/>
  <c r="N13" i="5" a="1"/>
  <c r="N13" i="5" s="1"/>
  <c r="R13" i="5" a="1"/>
  <c r="R13" i="5" s="1"/>
  <c r="N14" i="5" a="1"/>
  <c r="N14" i="5" s="1"/>
  <c r="R14" i="5" a="1"/>
  <c r="R14" i="5" s="1"/>
  <c r="O10" i="5" a="1"/>
  <c r="O10" i="5" s="1"/>
  <c r="S11" i="5" a="1"/>
  <c r="S11" i="5" s="1"/>
  <c r="S12" i="5" a="1"/>
  <c r="S12" i="5" s="1"/>
  <c r="T9" i="5" a="1"/>
  <c r="T9" i="5" s="1"/>
  <c r="T10" i="5" a="1"/>
  <c r="T10" i="5" s="1"/>
  <c r="S14" i="5" a="1"/>
  <c r="S14" i="5" s="1"/>
  <c r="R16" i="5" a="1"/>
  <c r="R16" i="5" s="1"/>
  <c r="N15" i="5" a="1"/>
  <c r="N15" i="5" s="1"/>
  <c r="P16" i="5" a="1"/>
  <c r="P16" i="5" s="1"/>
  <c r="R15" i="5" a="1"/>
  <c r="R15" i="5" s="1"/>
  <c r="T11" i="5" a="1"/>
  <c r="T11" i="5" s="1"/>
  <c r="N16" i="5" a="1"/>
  <c r="N16" i="5" s="1"/>
  <c r="O12" i="5" a="1"/>
  <c r="O12" i="5" s="1"/>
  <c r="R4" i="5" a="1"/>
  <c r="R4" i="5" s="1"/>
  <c r="S15" i="5" a="1"/>
  <c r="S15" i="5" s="1"/>
  <c r="N7" i="5" a="1"/>
  <c r="N7" i="5" s="1"/>
  <c r="O4" i="5" a="1"/>
  <c r="O4" i="5" s="1"/>
  <c r="P8" i="5" a="1"/>
  <c r="P8" i="5" s="1"/>
  <c r="R5" i="5" a="1"/>
  <c r="R5" i="5" s="1"/>
  <c r="S4" i="5" a="1"/>
  <c r="S4" i="5" s="1"/>
  <c r="S16" i="5" a="1"/>
  <c r="S16" i="5" s="1"/>
  <c r="T12" i="5" a="1"/>
  <c r="T12" i="5" s="1"/>
  <c r="N8" i="5" a="1"/>
  <c r="N8" i="5" s="1"/>
  <c r="O5" i="5" a="1"/>
  <c r="O5" i="5" s="1"/>
  <c r="O13" i="5" a="1"/>
  <c r="O13" i="5" s="1"/>
  <c r="P9" i="5" a="1"/>
  <c r="P9" i="5" s="1"/>
  <c r="R6" i="5" a="1"/>
  <c r="R6" i="5" s="1"/>
  <c r="S5" i="5" a="1"/>
  <c r="S5" i="5" s="1"/>
  <c r="T4" i="5" a="1"/>
  <c r="T4" i="5" s="1"/>
  <c r="N9" i="5" a="1"/>
  <c r="N9" i="5" s="1"/>
  <c r="O6" i="5" a="1"/>
  <c r="O6" i="5" s="1"/>
  <c r="O14" i="5" a="1"/>
  <c r="O14" i="5" s="1"/>
  <c r="P10" i="5" a="1"/>
  <c r="P10" i="5" s="1"/>
  <c r="R7" i="5" a="1"/>
  <c r="R7" i="5" s="1"/>
  <c r="S6" i="5" a="1"/>
  <c r="S6" i="5" s="1"/>
  <c r="T5" i="5" a="1"/>
  <c r="T5" i="5" s="1"/>
  <c r="T13" i="5" a="1"/>
  <c r="T13" i="5" s="1"/>
  <c r="O15" i="5" a="1"/>
  <c r="O15" i="5" s="1"/>
  <c r="R8" i="5" a="1"/>
  <c r="R8" i="5" s="1"/>
  <c r="T6" i="5" a="1"/>
  <c r="T6" i="5" s="1"/>
  <c r="N11" i="5" a="1"/>
  <c r="N11" i="5" s="1"/>
  <c r="O16" i="5" a="1"/>
  <c r="O16" i="5" s="1"/>
  <c r="R9" i="5" a="1"/>
  <c r="R9" i="5" s="1"/>
  <c r="T7" i="5" a="1"/>
  <c r="T7" i="5" s="1"/>
  <c r="T15" i="5" a="1"/>
  <c r="T15" i="5" s="1"/>
  <c r="O8" i="5" a="1"/>
  <c r="O8" i="5" s="1"/>
  <c r="P13" i="5" a="1"/>
  <c r="P13" i="5" s="1"/>
  <c r="R10" i="5" a="1"/>
  <c r="R10" i="5" s="1"/>
  <c r="S9" i="5" a="1"/>
  <c r="S9" i="5" s="1"/>
  <c r="T8" i="5" a="1"/>
  <c r="T8" i="5" s="1"/>
  <c r="P7" i="5" a="1"/>
  <c r="P7" i="5" s="1"/>
  <c r="N10" i="5" a="1"/>
  <c r="N10" i="5" s="1"/>
  <c r="P11" i="5" a="1"/>
  <c r="P11" i="5" s="1"/>
  <c r="S7" i="5" a="1"/>
  <c r="S7" i="5" s="1"/>
  <c r="T14" i="5" a="1"/>
  <c r="T14" i="5" s="1"/>
  <c r="O7" i="5" a="1"/>
  <c r="O7" i="5" s="1"/>
  <c r="P12" i="5" a="1"/>
  <c r="P12" i="5" s="1"/>
  <c r="S8" i="5" a="1"/>
  <c r="S8" i="5" s="1"/>
  <c r="N4" i="5" a="1"/>
  <c r="N4" i="5" s="1"/>
  <c r="N12" i="5" a="1"/>
  <c r="N12" i="5" s="1"/>
  <c r="O9" i="5" a="1"/>
  <c r="O9" i="5" s="1"/>
  <c r="P4" i="5" a="1"/>
  <c r="P4" i="5" s="1"/>
  <c r="R11" i="5" a="1"/>
  <c r="R11" i="5" s="1"/>
  <c r="S10" i="5" a="1"/>
  <c r="S10" i="5" s="1"/>
  <c r="I8" i="5" a="1"/>
  <c r="I8" i="5" s="1"/>
  <c r="I7" i="5" a="1"/>
  <c r="I7" i="5" s="1"/>
  <c r="D1" i="5"/>
  <c r="E19" i="5" a="1"/>
  <c r="E19" i="5" s="1"/>
  <c r="E5" i="2" s="1"/>
  <c r="E20" i="5" a="1"/>
  <c r="E20" i="5" s="1"/>
  <c r="I5" i="5" a="1"/>
  <c r="I5" i="5" s="1"/>
  <c r="I4" i="5" a="1"/>
  <c r="I4" i="5" s="1"/>
  <c r="E17" i="5" a="1"/>
  <c r="E17" i="5" s="1"/>
  <c r="E7" i="2" s="1"/>
  <c r="E18" i="5" a="1"/>
  <c r="E18" i="5" s="1"/>
  <c r="E9" i="2" s="1"/>
  <c r="I6" i="5" a="1"/>
  <c r="I6" i="5" s="1"/>
  <c r="F10" i="5" a="1"/>
  <c r="F10" i="5" s="1"/>
  <c r="F22" i="2" s="1"/>
  <c r="E10" i="5" a="1"/>
  <c r="E10" i="5" s="1"/>
  <c r="E22" i="2" s="1"/>
  <c r="F13" i="5" a="1"/>
  <c r="F13" i="5" s="1"/>
  <c r="F25" i="2" s="1"/>
  <c r="F8" i="5" a="1"/>
  <c r="F8" i="5" s="1"/>
  <c r="F20" i="2" s="1"/>
  <c r="E9" i="5" a="1"/>
  <c r="E9" i="5" s="1"/>
  <c r="E21" i="2" s="1"/>
  <c r="E5" i="5" a="1"/>
  <c r="E5" i="5" s="1"/>
  <c r="E17" i="2" s="1"/>
  <c r="E7" i="5" a="1"/>
  <c r="E7" i="5" s="1"/>
  <c r="E19" i="2" s="1"/>
  <c r="E4" i="5" a="1"/>
  <c r="E4" i="5" s="1"/>
  <c r="E16" i="2" s="1"/>
  <c r="F9" i="5" a="1"/>
  <c r="F9" i="5" s="1"/>
  <c r="F21" i="2" s="1"/>
  <c r="F4" i="5" a="1"/>
  <c r="F4" i="5" s="1"/>
  <c r="F16" i="2" s="1"/>
  <c r="F11" i="5" a="1"/>
  <c r="F11" i="5" s="1"/>
  <c r="F23" i="2" s="1"/>
  <c r="F5" i="5" a="1"/>
  <c r="F5" i="5" s="1"/>
  <c r="F17" i="2" s="1"/>
  <c r="E11" i="5" a="1"/>
  <c r="E11" i="5" s="1"/>
  <c r="E23" i="2" s="1"/>
  <c r="E6" i="5" a="1"/>
  <c r="E6" i="5" s="1"/>
  <c r="E18" i="2" s="1"/>
  <c r="F12" i="5" a="1"/>
  <c r="F12" i="5" s="1"/>
  <c r="F24" i="2" s="1"/>
  <c r="F6" i="5" a="1"/>
  <c r="F6" i="5" s="1"/>
  <c r="F18" i="2" s="1"/>
  <c r="E12" i="5" a="1"/>
  <c r="E12" i="5" s="1"/>
  <c r="E24" i="2" s="1"/>
  <c r="F7" i="5" a="1"/>
  <c r="F7" i="5" s="1"/>
  <c r="F19" i="2" s="1"/>
  <c r="E13" i="5" a="1"/>
  <c r="E13" i="5" s="1"/>
  <c r="E25" i="2" s="1"/>
  <c r="E8" i="5" a="1"/>
  <c r="E8" i="5" s="1"/>
  <c r="E20" i="2" s="1"/>
  <c r="T17" i="5" l="1"/>
  <c r="P17" i="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<sst xmlns="http://schemas.openxmlformats.org/spreadsheetml/2006/main" count="485" uniqueCount="57">
  <si>
    <t>© TemplateLab.com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</si>
  <si>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</si>
  <si>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</si>
  <si>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</si>
  <si>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</si>
  <si>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</si>
  <si>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</si>
  <si>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</si>
  <si>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</si>
  <si>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</si>
  <si>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</si>
  <si>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</si>
  <si>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</si>
  <si>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MONTH</t>
  </si>
  <si>
    <t>YEAR</t>
  </si>
  <si>
    <t>SESSIONS</t>
  </si>
  <si>
    <t>RANKING</t>
  </si>
  <si>
    <t>SaaS Solutions</t>
  </si>
  <si>
    <t>API Integration</t>
  </si>
  <si>
    <t>Open Source Software</t>
  </si>
  <si>
    <t>Mobile App Development</t>
  </si>
  <si>
    <t>Artificial Intelligence</t>
  </si>
  <si>
    <t>DevOps Practices</t>
  </si>
  <si>
    <t>Cybersecurity</t>
  </si>
  <si>
    <t>User Experience</t>
  </si>
  <si>
    <t>Agile Development</t>
  </si>
  <si>
    <t>Cloud Computing</t>
  </si>
  <si>
    <t>SESSIONS BY DEVICES</t>
  </si>
  <si>
    <t>MOBILE</t>
  </si>
  <si>
    <t>DESKTOP</t>
  </si>
  <si>
    <t>TABLET</t>
  </si>
  <si>
    <t>Sessions</t>
  </si>
  <si>
    <t>Keyword</t>
  </si>
  <si>
    <t>Ranking</t>
  </si>
  <si>
    <t>Device</t>
  </si>
  <si>
    <t>TOTAL</t>
  </si>
  <si>
    <t>TOP ORGANIC KEYWORDS</t>
  </si>
  <si>
    <t>ORGANIC SESSIONS BY DEVICES</t>
  </si>
  <si>
    <t>SEO DASHBOARD</t>
  </si>
  <si>
    <t>*PLEASE SELECT</t>
  </si>
  <si>
    <t>SEARCH VISIBILITY</t>
  </si>
  <si>
    <t>VISIBILITY</t>
  </si>
  <si>
    <t>Parameter</t>
  </si>
  <si>
    <t>Value</t>
  </si>
  <si>
    <t>Search Visibility</t>
  </si>
  <si>
    <t>Click-Through Rate (CTR)</t>
  </si>
  <si>
    <t>Bounce Rate</t>
  </si>
  <si>
    <t>CTR</t>
  </si>
  <si>
    <t>BOUNCE RATE</t>
  </si>
  <si>
    <t>CPA</t>
  </si>
  <si>
    <t>AVG Value</t>
  </si>
  <si>
    <t>Cost Per Acquisition (CPA)</t>
  </si>
  <si>
    <t>Total Sessions</t>
  </si>
  <si>
    <t>Month</t>
  </si>
  <si>
    <t>AVG</t>
  </si>
  <si>
    <t>SESSIONS PAST 12 MONTHS</t>
  </si>
  <si>
    <t>CPA PAST 12 MONTHS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</si>
</sst>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8" formatCode="0.0%"/>
    <numFmt numFmtId="169" formatCode="&quot;$&quot;#,##0"/>
  </numFmts>
  <fonts count="21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Bahnschrift"/>
      <family val="2"/>
    </font>
    <font>
      <sz val="10"/>
      <color theme="1"/>
      <name val="Bahnschrift"/>
      <family val="2"/>
    </font>
    <font>
      <b/>
      <sz val="12"/>
      <color theme="0"/>
      <name val="Bahnschrift"/>
      <family val="2"/>
    </font>
    <font>
      <sz val="10"/>
      <color theme="0"/>
      <name val="Bahnschrift"/>
      <family val="2"/>
    </font>
    <font>
      <b/>
      <sz val="10"/>
      <color theme="1"/>
      <name val="Bahnschrift"/>
      <family val="2"/>
    </font>
    <font>
      <sz val="11"/>
      <color theme="0"/>
      <name val="Bahnschrift"/>
      <family val="2"/>
    </font>
    <font>
      <b/>
      <sz val="9"/>
      <color theme="0"/>
      <name val="Bahnschrift"/>
      <family val="2"/>
    </font>
    <font>
      <b/>
      <sz val="30"/>
      <color theme="0"/>
      <name val="Bahnschrift"/>
      <family val="2"/>
    </font>
    <font>
      <b/>
      <sz val="16"/>
      <color theme="1"/>
      <name val="Bahnschrift"/>
      <family val="2"/>
    </font>
    <font>
      <b/>
      <sz val="28"/>
      <color theme="1"/>
      <name val="Bahnschrift"/>
      <family val="2"/>
    </font>
    <font>
      <sz val="8"/>
      <color theme="0" tint="-0.249977111117893"/>
      <name val="Bahnschrift"/>
      <family val="2"/>
    </font>
    <font>
      <b/>
      <sz val="16"/>
      <color theme="1" tint="0.249977111117893"/>
      <name val="Bahnschrift"/>
      <family val="2"/>
    </font>
    <font>
      <sz val="11"/>
      <color theme="1" tint="0.249977111117893"/>
      <name val="Bahnschrift"/>
      <family val="2"/>
    </font>
    <font>
      <b/>
      <sz val="10"/>
      <color theme="1" tint="0.249977111117893"/>
      <name val="Bahnschrift"/>
      <family val="2"/>
    </font>
    <font>
      <sz val="10"/>
      <color theme="1" tint="0.249977111117893"/>
      <name val="Bahnschrift"/>
      <family val="2"/>
    </font>
    <font>
      <b/>
      <sz val="30"/>
      <color theme="1" tint="0.249977111117893"/>
      <name val="Bahnschrift"/>
      <family val="2"/>
    </font>
    <font>
      <sz val="10"/>
      <color rgb="FF111111"/>
      <name val="Bahnschrift"/>
      <family val="2"/>
    </font>
    <font>
      <b/>
      <sz val="10"/>
      <color rgb="FF111111"/>
      <name val="Bahnschrift"/>
      <family val="2"/>
    </font>
  </fonts>
  <fills count="12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7B60E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1787"/>
        <bgColor indexed="64"/>
      </patternFill>
    </fill>
    <fill>
      <patternFill patternType="solid">
        <fgColor rgb="FF00A7E3"/>
        <bgColor indexed="64"/>
      </patternFill>
    </fill>
    <fill>
      <patternFill patternType="solid">
        <fgColor rgb="FF0065B0"/>
        <bgColor indexed="64"/>
      </patternFill>
    </fill>
  </fills>
  <borders count="30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/>
      <right/>
      <top/>
      <bottom style="thin">
        <color theme="0" tint="-0.14999847407452621"/>
      </bottom>
      <diagonal/>
    </border>
    <border>
      <left/>
      <right/>
      <top/>
      <bottom style="thin">
        <color theme="0"/>
      </bottom>
      <diagonal/>
    </border>
    <border>
      <left style="medium">
        <color rgb="FF441EE6"/>
      </left>
      <right/>
      <top style="medium">
        <color rgb="FF441EE6"/>
      </top>
      <bottom/>
      <diagonal/>
    </border>
    <border>
      <left/>
      <right/>
      <top style="medium">
        <color rgb="FF441EE6"/>
      </top>
      <bottom/>
      <diagonal/>
    </border>
    <border>
      <left/>
      <right style="medium">
        <color rgb="FF441EE6"/>
      </right>
      <top style="medium">
        <color rgb="FF441EE6"/>
      </top>
      <bottom/>
      <diagonal/>
    </border>
    <border>
      <left style="medium">
        <color rgb="FF441EE6"/>
      </left>
      <right/>
      <top/>
      <bottom/>
      <diagonal/>
    </border>
    <border>
      <left/>
      <right style="medium">
        <color rgb="FF441EE6"/>
      </right>
      <top/>
      <bottom/>
      <diagonal/>
    </border>
    <border>
      <left style="medium">
        <color rgb="FF441EE6"/>
      </left>
      <right/>
      <top/>
      <bottom style="medium">
        <color rgb="FF441EE6"/>
      </bottom>
      <diagonal/>
    </border>
    <border>
      <left/>
      <right/>
      <top/>
      <bottom style="medium">
        <color rgb="FF441EE6"/>
      </bottom>
      <diagonal/>
    </border>
    <border>
      <left/>
      <right style="medium">
        <color rgb="FF441EE6"/>
      </right>
      <top/>
      <bottom style="medium">
        <color rgb="FF441EE6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 style="medium">
        <color theme="0" tint="-0.249977111117893"/>
      </left>
      <right/>
      <top style="medium">
        <color theme="0" tint="-0.249977111117893"/>
      </top>
      <bottom/>
      <diagonal/>
    </border>
    <border>
      <left/>
      <right/>
      <top style="medium">
        <color theme="0" tint="-0.249977111117893"/>
      </top>
      <bottom/>
      <diagonal/>
    </border>
    <border>
      <left/>
      <right style="medium">
        <color theme="0" tint="-0.249977111117893"/>
      </right>
      <top style="medium">
        <color theme="0" tint="-0.249977111117893"/>
      </top>
      <bottom/>
      <diagonal/>
    </border>
    <border>
      <left style="medium">
        <color theme="0" tint="-0.249977111117893"/>
      </left>
      <right/>
      <top/>
      <bottom/>
      <diagonal/>
    </border>
    <border>
      <left/>
      <right style="medium">
        <color theme="0" tint="-0.249977111117893"/>
      </right>
      <top/>
      <bottom/>
      <diagonal/>
    </border>
    <border>
      <left style="medium">
        <color theme="0" tint="-0.249977111117893"/>
      </left>
      <right/>
      <top/>
      <bottom style="medium">
        <color theme="0" tint="-0.249977111117893"/>
      </bottom>
      <diagonal/>
    </border>
    <border>
      <left/>
      <right/>
      <top/>
      <bottom style="medium">
        <color theme="0" tint="-0.249977111117893"/>
      </bottom>
      <diagonal/>
    </border>
    <border>
      <left/>
      <right style="medium">
        <color theme="0" tint="-0.249977111117893"/>
      </right>
      <top/>
      <bottom style="medium">
        <color theme="0" tint="-0.249977111117893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84">
    <xf numFmtId="0" fontId="0" fillId="0" borderId="0" xfId="0"/>
    <xf numFmtId="0" fontId="1" fillId="0" borderId="0" xfId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4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left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left" vertical="center"/>
    </xf>
    <xf numFmtId="0" fontId="4" fillId="4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left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left" vertical="center"/>
    </xf>
    <xf numFmtId="0" fontId="4" fillId="4" borderId="8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5" fillId="5" borderId="0" xfId="0" applyFont="1" applyFill="1" applyAlignment="1">
      <alignment horizontal="left" vertical="center"/>
    </xf>
    <xf numFmtId="0" fontId="6" fillId="5" borderId="0" xfId="0" applyFont="1" applyFill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5" borderId="0" xfId="0" applyFont="1" applyFill="1" applyAlignment="1">
      <alignment horizontal="left" vertical="center"/>
    </xf>
    <xf numFmtId="0" fontId="6" fillId="5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3" fontId="4" fillId="4" borderId="1" xfId="0" applyNumberFormat="1" applyFont="1" applyFill="1" applyBorder="1" applyAlignment="1">
      <alignment horizontal="center" vertical="center"/>
    </xf>
    <xf numFmtId="3" fontId="6" fillId="5" borderId="1" xfId="0" applyNumberFormat="1" applyFont="1" applyFill="1" applyBorder="1" applyAlignment="1">
      <alignment horizontal="center" vertical="center"/>
    </xf>
    <xf numFmtId="3" fontId="4" fillId="4" borderId="8" xfId="0" applyNumberFormat="1" applyFont="1" applyFill="1" applyBorder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6" borderId="0" xfId="0" applyFont="1" applyFill="1" applyBorder="1" applyAlignment="1">
      <alignment horizontal="center" vertical="center"/>
    </xf>
    <xf numFmtId="0" fontId="3" fillId="7" borderId="0" xfId="0" applyFont="1" applyFill="1" applyBorder="1" applyAlignment="1">
      <alignment horizontal="left" vertical="center"/>
    </xf>
    <xf numFmtId="0" fontId="8" fillId="7" borderId="11" xfId="0" applyFont="1" applyFill="1" applyBorder="1" applyAlignment="1">
      <alignment horizontal="left" vertical="center"/>
    </xf>
    <xf numFmtId="0" fontId="3" fillId="7" borderId="0" xfId="0" applyFont="1" applyFill="1" applyBorder="1" applyAlignment="1">
      <alignment horizontal="center" vertical="center"/>
    </xf>
    <xf numFmtId="0" fontId="9" fillId="7" borderId="0" xfId="0" applyFont="1" applyFill="1" applyBorder="1" applyAlignment="1">
      <alignment horizontal="center" vertical="center" textRotation="90"/>
    </xf>
    <xf numFmtId="3" fontId="10" fillId="7" borderId="0" xfId="0" applyNumberFormat="1" applyFont="1" applyFill="1" applyBorder="1" applyAlignment="1">
      <alignment horizontal="center" vertical="center"/>
    </xf>
    <xf numFmtId="0" fontId="10" fillId="7" borderId="0" xfId="0" applyFont="1" applyFill="1" applyBorder="1" applyAlignment="1">
      <alignment horizontal="center" vertical="center"/>
    </xf>
    <xf numFmtId="0" fontId="8" fillId="7" borderId="0" xfId="0" applyFont="1" applyFill="1" applyBorder="1" applyAlignment="1">
      <alignment horizontal="center" vertical="center"/>
    </xf>
    <xf numFmtId="0" fontId="3" fillId="7" borderId="12" xfId="0" applyFont="1" applyFill="1" applyBorder="1" applyAlignment="1">
      <alignment horizontal="center" vertical="center"/>
    </xf>
    <xf numFmtId="0" fontId="3" fillId="7" borderId="13" xfId="0" applyFont="1" applyFill="1" applyBorder="1" applyAlignment="1">
      <alignment horizontal="center" vertical="center"/>
    </xf>
    <xf numFmtId="0" fontId="3" fillId="7" borderId="14" xfId="0" applyFont="1" applyFill="1" applyBorder="1" applyAlignment="1">
      <alignment horizontal="center" vertical="center"/>
    </xf>
    <xf numFmtId="0" fontId="3" fillId="7" borderId="15" xfId="0" applyFont="1" applyFill="1" applyBorder="1" applyAlignment="1">
      <alignment horizontal="center" vertical="center"/>
    </xf>
    <xf numFmtId="0" fontId="3" fillId="7" borderId="16" xfId="0" applyFont="1" applyFill="1" applyBorder="1" applyAlignment="1">
      <alignment horizontal="center" vertical="center"/>
    </xf>
    <xf numFmtId="0" fontId="3" fillId="7" borderId="17" xfId="0" applyFont="1" applyFill="1" applyBorder="1" applyAlignment="1">
      <alignment horizontal="center" vertical="center"/>
    </xf>
    <xf numFmtId="0" fontId="3" fillId="7" borderId="18" xfId="0" applyFont="1" applyFill="1" applyBorder="1" applyAlignment="1">
      <alignment horizontal="center" vertical="center"/>
    </xf>
    <xf numFmtId="0" fontId="3" fillId="7" borderId="19" xfId="0" applyFont="1" applyFill="1" applyBorder="1" applyAlignment="1">
      <alignment horizontal="center" vertical="center"/>
    </xf>
    <xf numFmtId="0" fontId="11" fillId="6" borderId="0" xfId="0" applyFont="1" applyFill="1" applyBorder="1" applyAlignment="1">
      <alignment horizontal="center" vertical="center"/>
    </xf>
    <xf numFmtId="0" fontId="13" fillId="6" borderId="0" xfId="0" applyFont="1" applyFill="1" applyAlignment="1">
      <alignment horizontal="center" vertical="center"/>
    </xf>
    <xf numFmtId="0" fontId="12" fillId="6" borderId="0" xfId="0" applyFont="1" applyFill="1" applyBorder="1" applyAlignment="1">
      <alignment horizontal="left" vertical="center"/>
    </xf>
    <xf numFmtId="0" fontId="14" fillId="8" borderId="0" xfId="0" applyFont="1" applyFill="1" applyBorder="1" applyAlignment="1">
      <alignment horizontal="center" vertical="center"/>
    </xf>
    <xf numFmtId="0" fontId="15" fillId="4" borderId="10" xfId="0" applyFont="1" applyFill="1" applyBorder="1" applyAlignment="1">
      <alignment vertical="center"/>
    </xf>
    <xf numFmtId="0" fontId="15" fillId="4" borderId="0" xfId="0" applyFont="1" applyFill="1" applyBorder="1" applyAlignment="1">
      <alignment horizontal="center" vertical="center"/>
    </xf>
    <xf numFmtId="0" fontId="16" fillId="4" borderId="0" xfId="0" applyFont="1" applyFill="1" applyBorder="1" applyAlignment="1">
      <alignment horizontal="left" vertical="center"/>
    </xf>
    <xf numFmtId="0" fontId="16" fillId="4" borderId="0" xfId="0" applyFont="1" applyFill="1" applyBorder="1" applyAlignment="1">
      <alignment horizontal="center" vertical="center"/>
    </xf>
    <xf numFmtId="0" fontId="17" fillId="6" borderId="0" xfId="0" applyFont="1" applyFill="1" applyBorder="1" applyAlignment="1">
      <alignment horizontal="left" vertical="center"/>
    </xf>
    <xf numFmtId="3" fontId="17" fillId="6" borderId="0" xfId="0" applyNumberFormat="1" applyFont="1" applyFill="1" applyBorder="1" applyAlignment="1">
      <alignment horizontal="center" vertical="center"/>
    </xf>
    <xf numFmtId="0" fontId="17" fillId="6" borderId="0" xfId="0" applyFont="1" applyFill="1" applyBorder="1" applyAlignment="1">
      <alignment horizontal="center" vertical="center"/>
    </xf>
    <xf numFmtId="0" fontId="17" fillId="4" borderId="0" xfId="0" applyFont="1" applyFill="1" applyBorder="1" applyAlignment="1">
      <alignment horizontal="left" vertical="center"/>
    </xf>
    <xf numFmtId="3" fontId="17" fillId="4" borderId="0" xfId="0" applyNumberFormat="1" applyFont="1" applyFill="1" applyBorder="1" applyAlignment="1">
      <alignment horizontal="center" vertical="center"/>
    </xf>
    <xf numFmtId="0" fontId="17" fillId="4" borderId="0" xfId="0" applyFont="1" applyFill="1" applyBorder="1" applyAlignment="1">
      <alignment horizontal="center" vertical="center"/>
    </xf>
    <xf numFmtId="0" fontId="5" fillId="9" borderId="0" xfId="0" applyFont="1" applyFill="1" applyAlignment="1">
      <alignment horizontal="left" vertical="center"/>
    </xf>
    <xf numFmtId="9" fontId="4" fillId="4" borderId="1" xfId="0" applyNumberFormat="1" applyFont="1" applyFill="1" applyBorder="1" applyAlignment="1">
      <alignment horizontal="center" vertical="center"/>
    </xf>
    <xf numFmtId="0" fontId="18" fillId="6" borderId="0" xfId="0" applyFont="1" applyFill="1" applyBorder="1" applyAlignment="1">
      <alignment horizontal="left" vertical="center"/>
    </xf>
    <xf numFmtId="168" fontId="4" fillId="4" borderId="1" xfId="0" applyNumberFormat="1" applyFont="1" applyFill="1" applyBorder="1" applyAlignment="1">
      <alignment horizontal="center" vertical="center"/>
    </xf>
    <xf numFmtId="0" fontId="5" fillId="10" borderId="0" xfId="0" applyFont="1" applyFill="1" applyAlignment="1">
      <alignment horizontal="left" vertical="center"/>
    </xf>
    <xf numFmtId="0" fontId="5" fillId="11" borderId="0" xfId="0" applyFont="1" applyFill="1" applyAlignment="1">
      <alignment horizontal="left" vertical="center"/>
    </xf>
    <xf numFmtId="169" fontId="4" fillId="4" borderId="1" xfId="0" applyNumberFormat="1" applyFont="1" applyFill="1" applyBorder="1" applyAlignment="1">
      <alignment horizontal="center" vertical="center"/>
    </xf>
    <xf numFmtId="0" fontId="6" fillId="5" borderId="20" xfId="0" applyFont="1" applyFill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3" fontId="19" fillId="0" borderId="20" xfId="0" applyNumberFormat="1" applyFont="1" applyBorder="1" applyAlignment="1">
      <alignment horizontal="center" vertical="center"/>
    </xf>
    <xf numFmtId="0" fontId="4" fillId="4" borderId="21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right" vertical="center"/>
    </xf>
    <xf numFmtId="169" fontId="19" fillId="0" borderId="20" xfId="0" applyNumberFormat="1" applyFont="1" applyBorder="1" applyAlignment="1">
      <alignment horizontal="center" vertical="center"/>
    </xf>
    <xf numFmtId="17" fontId="4" fillId="0" borderId="20" xfId="0" applyNumberFormat="1" applyFont="1" applyBorder="1" applyAlignment="1">
      <alignment horizontal="center" vertical="center"/>
    </xf>
    <xf numFmtId="0" fontId="15" fillId="4" borderId="22" xfId="0" applyFont="1" applyFill="1" applyBorder="1" applyAlignment="1">
      <alignment horizontal="center" vertical="center"/>
    </xf>
    <xf numFmtId="0" fontId="15" fillId="4" borderId="23" xfId="0" applyFont="1" applyFill="1" applyBorder="1" applyAlignment="1">
      <alignment horizontal="center" vertical="center"/>
    </xf>
    <xf numFmtId="0" fontId="15" fillId="4" borderId="24" xfId="0" applyFont="1" applyFill="1" applyBorder="1" applyAlignment="1">
      <alignment horizontal="center" vertical="center"/>
    </xf>
    <xf numFmtId="0" fontId="15" fillId="4" borderId="25" xfId="0" applyFont="1" applyFill="1" applyBorder="1" applyAlignment="1">
      <alignment horizontal="center" vertical="center"/>
    </xf>
    <xf numFmtId="0" fontId="15" fillId="4" borderId="26" xfId="0" applyFont="1" applyFill="1" applyBorder="1" applyAlignment="1">
      <alignment horizontal="center" vertical="center"/>
    </xf>
    <xf numFmtId="0" fontId="15" fillId="4" borderId="27" xfId="0" applyFont="1" applyFill="1" applyBorder="1" applyAlignment="1">
      <alignment horizontal="center" vertical="center"/>
    </xf>
    <xf numFmtId="0" fontId="15" fillId="4" borderId="28" xfId="0" applyFont="1" applyFill="1" applyBorder="1" applyAlignment="1">
      <alignment horizontal="center" vertical="center"/>
    </xf>
    <xf numFmtId="0" fontId="15" fillId="4" borderId="29" xfId="0" applyFont="1" applyFill="1" applyBorder="1" applyAlignment="1">
      <alignment horizontal="center" vertical="center"/>
    </xf>
    <xf numFmtId="3" fontId="20" fillId="6" borderId="20" xfId="0" applyNumberFormat="1" applyFont="1" applyFill="1" applyBorder="1" applyAlignment="1">
      <alignment horizontal="center" vertical="center"/>
    </xf>
    <xf numFmtId="169" fontId="20" fillId="6" borderId="20" xfId="0" applyNumberFormat="1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122">
    <dxf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numFmt numFmtId="169" formatCode="&quot;$&quot;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 outline="0">
        <left/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 outline="0">
        <left/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numFmt numFmtId="168" formatCode="0.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 outline="0">
        <left/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 outline="0">
        <left/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border outline="0">
        <top style="thin">
          <color theme="0" tint="-0.14999847407452621"/>
        </top>
      </border>
    </dxf>
    <dxf>
      <border outline="0">
        <bottom style="thin">
          <color theme="0" tint="-0.14999847407452621"/>
        </bottom>
      </border>
    </dxf>
    <dxf>
      <border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</dxf>
    <dxf>
      <border outline="0">
        <top style="thin">
          <color theme="0" tint="-0.14999847407452621"/>
        </top>
      </border>
    </dxf>
    <dxf>
      <border outline="0">
        <bottom style="thin">
          <color theme="0" tint="-0.14999847407452621"/>
        </bottom>
      </border>
    </dxf>
    <dxf>
      <border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</dxf>
    <dxf>
      <border outline="0">
        <top style="thin">
          <color theme="0" tint="-0.14999847407452621"/>
        </top>
      </border>
    </dxf>
    <dxf>
      <border outline="0">
        <bottom style="thin">
          <color theme="0" tint="-0.14999847407452621"/>
        </bottom>
      </border>
    </dxf>
    <dxf>
      <border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</dxf>
    <dxf>
      <border outline="0">
        <top style="thin">
          <color theme="0" tint="-0.14999847407452621"/>
        </top>
      </border>
    </dxf>
    <dxf>
      <border outline="0">
        <bottom style="thin">
          <color theme="0" tint="-0.14999847407452621"/>
        </bottom>
      </border>
    </dxf>
    <dxf>
      <border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border outline="0">
        <top style="thin">
          <color theme="0" tint="-0.14999847407452621"/>
        </top>
      </border>
    </dxf>
    <dxf>
      <border outline="0">
        <bottom style="thin">
          <color theme="0" tint="-0.14999847407452621"/>
        </bottom>
      </border>
    </dxf>
    <dxf>
      <border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14999847407452621"/>
        </left>
        <right/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border outline="0">
        <top style="thin">
          <color theme="0" tint="-0.14999847407452621"/>
        </top>
      </border>
    </dxf>
    <dxf>
      <border outline="0">
        <bottom style="thin">
          <color theme="0" tint="-0.14999847407452621"/>
        </bottom>
      </border>
    </dxf>
    <dxf>
      <border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14999847407452621"/>
        </left>
        <right/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border outline="0">
        <top style="thin">
          <color theme="0" tint="-0.14999847407452621"/>
        </top>
      </border>
    </dxf>
    <dxf>
      <border outline="0">
        <bottom style="thin">
          <color theme="0" tint="-0.14999847407452621"/>
        </bottom>
      </border>
    </dxf>
    <dxf>
      <border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14999847407452621"/>
        </left>
        <right/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border outline="0">
        <top style="thin">
          <color theme="0" tint="-0.14999847407452621"/>
        </top>
      </border>
    </dxf>
    <dxf>
      <border outline="0">
        <bottom style="thin">
          <color theme="0" tint="-0.14999847407452621"/>
        </bottom>
      </border>
    </dxf>
    <dxf>
      <border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14999847407452621"/>
        </left>
        <right/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border outline="0">
        <top style="thin">
          <color theme="0" tint="-0.14999847407452621"/>
        </top>
      </border>
    </dxf>
    <dxf>
      <border outline="0">
        <bottom style="thin">
          <color theme="0" tint="-0.14999847407452621"/>
        </bottom>
      </border>
    </dxf>
    <dxf>
      <border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14999847407452621"/>
        </left>
        <right/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border outline="0">
        <top style="thin">
          <color theme="0" tint="-0.14999847407452621"/>
        </top>
      </border>
    </dxf>
    <dxf>
      <border outline="0">
        <bottom style="thin">
          <color theme="0" tint="-0.14999847407452621"/>
        </bottom>
      </border>
    </dxf>
    <dxf>
      <border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14999847407452621"/>
        </left>
        <right/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border outline="0">
        <top style="thin">
          <color theme="0" tint="-0.14999847407452621"/>
        </top>
      </border>
    </dxf>
    <dxf>
      <border outline="0">
        <bottom style="thin">
          <color theme="0" tint="-0.14999847407452621"/>
        </bottom>
      </border>
    </dxf>
    <dxf>
      <border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14999847407452621"/>
        </left>
        <right/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border outline="0">
        <top style="thin">
          <color theme="0" tint="-0.14999847407452621"/>
        </top>
      </border>
    </dxf>
    <dxf>
      <border outline="0">
        <bottom style="thin">
          <color theme="0" tint="-0.14999847407452621"/>
        </bottom>
      </border>
    </dxf>
    <dxf>
      <border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14999847407452621"/>
        </left>
        <right/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border outline="0">
        <top style="thin">
          <color theme="0" tint="-0.14999847407452621"/>
        </top>
      </border>
    </dxf>
    <dxf>
      <border outline="0">
        <bottom style="thin">
          <color theme="0" tint="-0.14999847407452621"/>
        </bottom>
      </border>
    </dxf>
    <dxf>
      <border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14999847407452621"/>
        </left>
        <right/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border outline="0">
        <top style="thin">
          <color theme="0" tint="-0.14999847407452621"/>
        </top>
      </border>
    </dxf>
    <dxf>
      <border outline="0">
        <bottom style="thin">
          <color theme="0" tint="-0.14999847407452621"/>
        </bottom>
      </border>
    </dxf>
    <dxf>
      <border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14999847407452621"/>
        </left>
        <right/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</dxf>
    <dxf>
      <border outline="0">
        <top style="thin">
          <color theme="0" tint="-0.14999847407452621"/>
        </top>
      </border>
    </dxf>
    <dxf>
      <border outline="0">
        <bottom style="thin">
          <color theme="0" tint="-0.14999847407452621"/>
        </bottom>
      </border>
    </dxf>
    <dxf>
      <border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</dxfs>
  <tableStyles count="0" defaultTableStyle="TableStyleMedium2" defaultPivotStyle="PivotStyleLight16"/>
  <colors>
    <mruColors>
      <color rgb="FFFA1787"/>
      <color rgb="FF7B60ED"/>
      <color rgb="FF0065B0"/>
      <color rgb="FF004274"/>
      <color rgb="FF441EE6"/>
      <color rgb="FF0078A2"/>
      <color rgb="FF00A7E3"/>
      <color rgb="FFC804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
<Relationships xmlns="http://schemas.openxmlformats.org/package/2006/relationships">
<Relationship Id="rId1" Target="worksheets/sheet1.xml" Type="http://schemas.openxmlformats.org/officeDocument/2006/relationships/worksheet"/>
<Relationship Id="rId10" Target="calcChain.xml" Type="http://schemas.openxmlformats.org/officeDocument/2006/relationships/calcChain"/>
<Relationship Id="rId2" Target="worksheets/sheet2.xml" Type="http://schemas.openxmlformats.org/officeDocument/2006/relationships/worksheet"/>
<Relationship Id="rId3" Target="worksheets/sheet3.xml" Type="http://schemas.openxmlformats.org/officeDocument/2006/relationships/worksheet"/>
<Relationship Id="rId4" Target="worksheets/sheet4.xml" Type="http://schemas.openxmlformats.org/officeDocument/2006/relationships/worksheet"/>
<Relationship Id="rId5" Target="worksheets/sheet5.xml" Type="http://schemas.openxmlformats.org/officeDocument/2006/relationships/worksheet"/>
<Relationship Id="rId6" Target="theme/theme1.xml" Type="http://schemas.openxmlformats.org/officeDocument/2006/relationships/theme"/>
<Relationship Id="rId7" Target="styles.xml" Type="http://schemas.openxmlformats.org/officeDocument/2006/relationships/styles"/>
<Relationship Id="rId8" Target="sharedStrings.xml" Type="http://schemas.openxmlformats.org/officeDocument/2006/relationships/sharedStrings"/>
<Relationship Id="rId9" Target="metadata.xml" Type="http://schemas.openxmlformats.org/officeDocument/2006/relationships/sheetMetadata"/>
</Relationships>

</file>

<file path=xl/charts/_rels/chart1.xml.rels><?xml version="1.0" encoding="UTF-8" standalone="no"?>
<Relationships xmlns="http://schemas.openxmlformats.org/package/2006/relationships">
<Relationship Id="rId1" Target="style1.xml" Type="http://schemas.microsoft.com/office/2011/relationships/chartStyle"/>
<Relationship Id="rId2" Target="colors1.xml" Type="http://schemas.microsoft.com/office/2011/relationships/chartColorStyle"/>
</Relationships>

</file>

<file path=xl/charts/_rels/chart2.xml.rels><?xml version="1.0" encoding="UTF-8" standalone="no"?>
<Relationships xmlns="http://schemas.openxmlformats.org/package/2006/relationships">
<Relationship Id="rId1" Target="style2.xml" Type="http://schemas.microsoft.com/office/2011/relationships/chartStyle"/>
<Relationship Id="rId2" Target="colors2.xml" Type="http://schemas.microsoft.com/office/2011/relationships/chartColorStyle"/>
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036551112750687"/>
          <c:y val="0.19993276924943257"/>
          <c:w val="0.78649424855585681"/>
          <c:h val="0.51076293937286499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rgbClr val="7B60ED"/>
              </a:solidFill>
              <a:round/>
            </a:ln>
            <a:effectLst/>
          </c:spPr>
          <c:marker>
            <c:symbol val="none"/>
          </c:marker>
          <c:cat>
            <c:strRef>
              <c:f>'Helper Sheet'!$N$4:$N$16</c:f>
              <c:strCache>
                <c:ptCount val="13"/>
                <c:pt idx="0">
                  <c:v>August</c:v>
                </c:pt>
                <c:pt idx="1">
                  <c:v>July</c:v>
                </c:pt>
                <c:pt idx="2">
                  <c:v>June</c:v>
                </c:pt>
                <c:pt idx="3">
                  <c:v>May</c:v>
                </c:pt>
                <c:pt idx="4">
                  <c:v>April</c:v>
                </c:pt>
                <c:pt idx="5">
                  <c:v>March</c:v>
                </c:pt>
                <c:pt idx="6">
                  <c:v>February</c:v>
                </c:pt>
                <c:pt idx="7">
                  <c:v>January</c:v>
                </c:pt>
                <c:pt idx="8">
                  <c:v>December</c:v>
                </c:pt>
                <c:pt idx="9">
                  <c:v>November</c:v>
                </c:pt>
                <c:pt idx="10">
                  <c:v>October</c:v>
                </c:pt>
                <c:pt idx="11">
                  <c:v>September</c:v>
                </c:pt>
                <c:pt idx="12">
                  <c:v>August</c:v>
                </c:pt>
              </c:strCache>
            </c:strRef>
          </c:cat>
          <c:val>
            <c:numRef>
              <c:f>'Helper Sheet'!$P$4:$P$16</c:f>
              <c:numCache>
                <c:formatCode>#,##0</c:formatCode>
                <c:ptCount val="13"/>
                <c:pt idx="0">
                  <c:v>47965</c:v>
                </c:pt>
                <c:pt idx="1">
                  <c:v>56189</c:v>
                </c:pt>
                <c:pt idx="2">
                  <c:v>39157</c:v>
                </c:pt>
                <c:pt idx="3">
                  <c:v>51116</c:v>
                </c:pt>
                <c:pt idx="4">
                  <c:v>48271</c:v>
                </c:pt>
                <c:pt idx="5">
                  <c:v>48053</c:v>
                </c:pt>
                <c:pt idx="6">
                  <c:v>38680</c:v>
                </c:pt>
                <c:pt idx="7">
                  <c:v>38563</c:v>
                </c:pt>
                <c:pt idx="8">
                  <c:v>43179</c:v>
                </c:pt>
                <c:pt idx="9">
                  <c:v>44442</c:v>
                </c:pt>
                <c:pt idx="10">
                  <c:v>52936</c:v>
                </c:pt>
                <c:pt idx="11">
                  <c:v>43615</c:v>
                </c:pt>
                <c:pt idx="12">
                  <c:v>30785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A028-4C04-A85A-475489B0E0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04162112"/>
        <c:axId val="904157312"/>
      </c:lineChart>
      <c:catAx>
        <c:axId val="904162112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en-US"/>
          </a:p>
        </c:txPr>
        <c:crossAx val="904157312"/>
        <c:crosses val="autoZero"/>
        <c:auto val="1"/>
        <c:lblAlgn val="ctr"/>
        <c:lblOffset val="100"/>
        <c:tickLblSkip val="3"/>
        <c:tickMarkSkip val="1"/>
        <c:noMultiLvlLbl val="0"/>
      </c:catAx>
      <c:valAx>
        <c:axId val="904157312"/>
        <c:scaling>
          <c:orientation val="minMax"/>
        </c:scaling>
        <c:delete val="0"/>
        <c:axPos val="r"/>
        <c:numFmt formatCode="#,##0" sourceLinked="1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en-US"/>
          </a:p>
        </c:txPr>
        <c:crossAx val="904162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2700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07541876140198"/>
          <c:y val="0.18808886766745223"/>
          <c:w val="0.79307443328806648"/>
          <c:h val="0.51076293937286499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rgbClr val="FA1787"/>
              </a:solidFill>
              <a:round/>
            </a:ln>
            <a:effectLst/>
          </c:spPr>
          <c:marker>
            <c:symbol val="none"/>
          </c:marker>
          <c:cat>
            <c:strRef>
              <c:f>'Helper Sheet'!$R$4:$R$16</c:f>
              <c:strCache>
                <c:ptCount val="13"/>
                <c:pt idx="0">
                  <c:v>August</c:v>
                </c:pt>
                <c:pt idx="1">
                  <c:v>July</c:v>
                </c:pt>
                <c:pt idx="2">
                  <c:v>June</c:v>
                </c:pt>
                <c:pt idx="3">
                  <c:v>May</c:v>
                </c:pt>
                <c:pt idx="4">
                  <c:v>April</c:v>
                </c:pt>
                <c:pt idx="5">
                  <c:v>March</c:v>
                </c:pt>
                <c:pt idx="6">
                  <c:v>February</c:v>
                </c:pt>
                <c:pt idx="7">
                  <c:v>January</c:v>
                </c:pt>
                <c:pt idx="8">
                  <c:v>December</c:v>
                </c:pt>
                <c:pt idx="9">
                  <c:v>November</c:v>
                </c:pt>
                <c:pt idx="10">
                  <c:v>October</c:v>
                </c:pt>
                <c:pt idx="11">
                  <c:v>September</c:v>
                </c:pt>
                <c:pt idx="12">
                  <c:v>August</c:v>
                </c:pt>
              </c:strCache>
            </c:strRef>
          </c:cat>
          <c:val>
            <c:numRef>
              <c:f>'Helper Sheet'!$T$4:$T$16</c:f>
              <c:numCache>
                <c:formatCode>"$"#,##0</c:formatCode>
                <c:ptCount val="13"/>
                <c:pt idx="0">
                  <c:v>20</c:v>
                </c:pt>
                <c:pt idx="1">
                  <c:v>21</c:v>
                </c:pt>
                <c:pt idx="2">
                  <c:v>23</c:v>
                </c:pt>
                <c:pt idx="3">
                  <c:v>25</c:v>
                </c:pt>
                <c:pt idx="4">
                  <c:v>30</c:v>
                </c:pt>
                <c:pt idx="5">
                  <c:v>31</c:v>
                </c:pt>
                <c:pt idx="6">
                  <c:v>27</c:v>
                </c:pt>
                <c:pt idx="7">
                  <c:v>24</c:v>
                </c:pt>
                <c:pt idx="8">
                  <c:v>22</c:v>
                </c:pt>
                <c:pt idx="9">
                  <c:v>21</c:v>
                </c:pt>
                <c:pt idx="10">
                  <c:v>18</c:v>
                </c:pt>
                <c:pt idx="11">
                  <c:v>19</c:v>
                </c:pt>
                <c:pt idx="12">
                  <c:v>23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46BB-45AC-97B4-9C000E07AE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04162112"/>
        <c:axId val="904157312"/>
      </c:lineChart>
      <c:catAx>
        <c:axId val="904162112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en-US"/>
          </a:p>
        </c:txPr>
        <c:crossAx val="904157312"/>
        <c:crosses val="autoZero"/>
        <c:auto val="1"/>
        <c:lblAlgn val="ctr"/>
        <c:lblOffset val="100"/>
        <c:tickLblSkip val="3"/>
        <c:tickMarkSkip val="1"/>
        <c:noMultiLvlLbl val="0"/>
      </c:catAx>
      <c:valAx>
        <c:axId val="904157312"/>
        <c:scaling>
          <c:orientation val="minMax"/>
        </c:scaling>
        <c:delete val="0"/>
        <c:axPos val="r"/>
        <c:numFmt formatCode="&quot;$&quot;#,##0" sourceLinked="1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" panose="020B0502040204020203" pitchFamily="34" charset="0"/>
                <a:ea typeface="+mn-ea"/>
                <a:cs typeface="+mn-cs"/>
              </a:defRPr>
            </a:pPr>
            <a:endParaRPr lang="en-US"/>
          </a:p>
        </c:txPr>
        <c:crossAx val="904162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2700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
<Relationships xmlns="http://schemas.openxmlformats.org/package/2006/relationships">
<Relationship Id="rId1" Target="../media/image1.png" Type="http://schemas.openxmlformats.org/officeDocument/2006/relationships/image"/>
<Relationship Id="rId10" Target="../media/image10.svg" Type="http://schemas.openxmlformats.org/officeDocument/2006/relationships/image"/>
<Relationship Id="rId11" Target="../media/image11.png" Type="http://schemas.openxmlformats.org/officeDocument/2006/relationships/image"/>
<Relationship Id="rId12" Target="../media/image12.svg" Type="http://schemas.openxmlformats.org/officeDocument/2006/relationships/image"/>
<Relationship Id="rId13" Target="../charts/chart1.xml" Type="http://schemas.openxmlformats.org/officeDocument/2006/relationships/chart"/>
<Relationship Id="rId14" Target="../charts/chart2.xml" Type="http://schemas.openxmlformats.org/officeDocument/2006/relationships/chart"/>
<Relationship Id="rId15" Target="../media/image13.png" Type="http://schemas.openxmlformats.org/officeDocument/2006/relationships/image"/>
<Relationship Id="rId16" Target="../media/image14.svg" Type="http://schemas.openxmlformats.org/officeDocument/2006/relationships/image"/>
<Relationship Id="rId17" Target="../media/image15.png" Type="http://schemas.openxmlformats.org/officeDocument/2006/relationships/image"/>
<Relationship Id="rId18" Target="../media/image16.svg" Type="http://schemas.openxmlformats.org/officeDocument/2006/relationships/image"/>
<Relationship Id="rId2" Target="../media/image2.svg" Type="http://schemas.openxmlformats.org/officeDocument/2006/relationships/image"/>
<Relationship Id="rId3" Target="../media/image3.png" Type="http://schemas.openxmlformats.org/officeDocument/2006/relationships/image"/>
<Relationship Id="rId4" Target="../media/image4.svg" Type="http://schemas.openxmlformats.org/officeDocument/2006/relationships/image"/>
<Relationship Id="rId5" Target="../media/image5.png" Type="http://schemas.openxmlformats.org/officeDocument/2006/relationships/image"/>
<Relationship Id="rId6" Target="../media/image6.svg" Type="http://schemas.openxmlformats.org/officeDocument/2006/relationships/image"/>
<Relationship Id="rId7" Target="../media/image7.png" Type="http://schemas.openxmlformats.org/officeDocument/2006/relationships/image"/>
<Relationship Id="rId8" Target="../media/image8.svg" Type="http://schemas.openxmlformats.org/officeDocument/2006/relationships/image"/>
<Relationship Id="rId9" Target="../media/image9.png" Type="http://schemas.openxmlformats.org/officeDocument/2006/relationships/image"/>
</Relationships>

</file>

<file path=xl/drawings/_rels/drawing2.xml.rels><?xml version="1.0" encoding="UTF-8" standalone="no"?>
<Relationships xmlns="http://schemas.openxmlformats.org/package/2006/relationships">
<Relationship Id="rId1" Target="https://templatelab.com/" TargetMode="External" Type="http://schemas.openxmlformats.org/officeDocument/2006/relationships/hyperlink"/>
<Relationship Id="rId2" Target="../media/image17.png" Type="http://schemas.openxmlformats.org/officeDocument/2006/relationships/image"/>
</Relationships>
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113211</xdr:colOff>
      <xdr:row>4</xdr:row>
      <xdr:rowOff>60012</xdr:rowOff>
    </xdr:from>
    <xdr:to>
      <xdr:col>3</xdr:col>
      <xdr:colOff>1029399</xdr:colOff>
      <xdr:row>4</xdr:row>
      <xdr:rowOff>636012</xdr:rowOff>
    </xdr:to>
    <xdr:pic>
      <xdr:nvPicPr>
        <xdr:cNvPr id="7" name="Graphic 6">
          <a:extLst>
            <a:ext uri="{FF2B5EF4-FFF2-40B4-BE49-F238E27FC236}">
              <a16:creationId xmlns:a16="http://schemas.microsoft.com/office/drawing/2014/main" id="{C14415D5-765E-2D47-C962-B85DE29ED7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953588" y="948286"/>
          <a:ext cx="916188" cy="576000"/>
        </a:xfrm>
        <a:prstGeom prst="rect">
          <a:avLst/>
        </a:prstGeom>
      </xdr:spPr>
    </xdr:pic>
    <xdr:clientData/>
  </xdr:twoCellAnchor>
  <xdr:twoCellAnchor editAs="oneCell">
    <xdr:from>
      <xdr:col>3</xdr:col>
      <xdr:colOff>435429</xdr:colOff>
      <xdr:row>6</xdr:row>
      <xdr:rowOff>134983</xdr:rowOff>
    </xdr:from>
    <xdr:to>
      <xdr:col>3</xdr:col>
      <xdr:colOff>689080</xdr:colOff>
      <xdr:row>6</xdr:row>
      <xdr:rowOff>566983</xdr:rowOff>
    </xdr:to>
    <xdr:pic>
      <xdr:nvPicPr>
        <xdr:cNvPr id="8" name="Graphic 7">
          <a:extLst>
            <a:ext uri="{FF2B5EF4-FFF2-40B4-BE49-F238E27FC236}">
              <a16:creationId xmlns:a16="http://schemas.microsoft.com/office/drawing/2014/main" id="{868A3152-552E-ADD7-5EEA-AB56035A6B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1275806" y="1907177"/>
          <a:ext cx="253651" cy="432000"/>
        </a:xfrm>
        <a:prstGeom prst="rect">
          <a:avLst/>
        </a:prstGeom>
      </xdr:spPr>
    </xdr:pic>
    <xdr:clientData/>
  </xdr:twoCellAnchor>
  <xdr:twoCellAnchor editAs="oneCell">
    <xdr:from>
      <xdr:col>3</xdr:col>
      <xdr:colOff>365760</xdr:colOff>
      <xdr:row>8</xdr:row>
      <xdr:rowOff>56607</xdr:rowOff>
    </xdr:from>
    <xdr:to>
      <xdr:col>3</xdr:col>
      <xdr:colOff>773919</xdr:colOff>
      <xdr:row>8</xdr:row>
      <xdr:rowOff>632607</xdr:rowOff>
    </xdr:to>
    <xdr:pic>
      <xdr:nvPicPr>
        <xdr:cNvPr id="9" name="Graphic 8">
          <a:extLst>
            <a:ext uri="{FF2B5EF4-FFF2-40B4-BE49-F238E27FC236}">
              <a16:creationId xmlns:a16="http://schemas.microsoft.com/office/drawing/2014/main" id="{399B47B4-94BC-5B47-DD54-CAA98ADB03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1206137" y="2712721"/>
          <a:ext cx="408159" cy="576000"/>
        </a:xfrm>
        <a:prstGeom prst="rect">
          <a:avLst/>
        </a:prstGeom>
      </xdr:spPr>
    </xdr:pic>
    <xdr:clientData/>
  </xdr:twoCellAnchor>
  <xdr:twoCellAnchor>
    <xdr:from>
      <xdr:col>8</xdr:col>
      <xdr:colOff>76200</xdr:colOff>
      <xdr:row>4</xdr:row>
      <xdr:rowOff>304800</xdr:rowOff>
    </xdr:from>
    <xdr:to>
      <xdr:col>8</xdr:col>
      <xdr:colOff>1859280</xdr:colOff>
      <xdr:row>6</xdr:row>
      <xdr:rowOff>502920</xdr:rowOff>
    </xdr:to>
    <xdr:grpSp>
      <xdr:nvGrpSpPr>
        <xdr:cNvPr id="21" name="Group 20">
          <a:extLst>
            <a:ext uri="{FF2B5EF4-FFF2-40B4-BE49-F238E27FC236}">
              <a16:creationId xmlns:a16="http://schemas.microsoft.com/office/drawing/2014/main" id="{C8505C3A-4B30-39BA-20AE-74F5EC6D55F0}"/>
            </a:ext>
          </a:extLst>
        </xdr:cNvPr>
        <xdr:cNvGrpSpPr/>
      </xdr:nvGrpSpPr>
      <xdr:grpSpPr>
        <a:xfrm>
          <a:off x="3985260" y="1188720"/>
          <a:ext cx="1783080" cy="1082040"/>
          <a:chOff x="3985260" y="1143000"/>
          <a:chExt cx="1783080" cy="1082040"/>
        </a:xfrm>
      </xdr:grpSpPr>
      <xdr:sp macro="" textlink="">
        <xdr:nvSpPr>
          <xdr:cNvPr id="10" name="Rectangle 9">
            <a:extLst>
              <a:ext uri="{FF2B5EF4-FFF2-40B4-BE49-F238E27FC236}">
                <a16:creationId xmlns:a16="http://schemas.microsoft.com/office/drawing/2014/main" id="{475875B1-25C0-228F-CBE4-9D278D794724}"/>
              </a:ext>
            </a:extLst>
          </xdr:cNvPr>
          <xdr:cNvSpPr/>
        </xdr:nvSpPr>
        <xdr:spPr>
          <a:xfrm>
            <a:off x="3985260" y="1143000"/>
            <a:ext cx="1783080" cy="1082040"/>
          </a:xfrm>
          <a:prstGeom prst="rect">
            <a:avLst/>
          </a:prstGeom>
          <a:solidFill>
            <a:srgbClr val="FA1787"/>
          </a:solidFill>
          <a:ln>
            <a:solidFill>
              <a:srgbClr val="C80466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pic>
        <xdr:nvPicPr>
          <xdr:cNvPr id="18" name="Graphic 17">
            <a:extLst>
              <a:ext uri="{FF2B5EF4-FFF2-40B4-BE49-F238E27FC236}">
                <a16:creationId xmlns:a16="http://schemas.microsoft.com/office/drawing/2014/main" id="{6A6A45C0-69FD-746A-A8BE-E16FF20B6AD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7">
            <a:extLst>
              <a:ext uri="{96DAC541-7B7A-43D3-8B79-37D633B846F1}">
                <asvg:svgBlip xmlns:asvg="http://schemas.microsoft.com/office/drawing/2016/SVG/main" r:embed="rId8"/>
              </a:ext>
            </a:extLst>
          </a:blip>
          <a:stretch>
            <a:fillRect/>
          </a:stretch>
        </xdr:blipFill>
        <xdr:spPr>
          <a:xfrm>
            <a:off x="5159402" y="1242060"/>
            <a:ext cx="474498" cy="322814"/>
          </a:xfrm>
          <a:prstGeom prst="rect">
            <a:avLst/>
          </a:prstGeom>
        </xdr:spPr>
      </xdr:pic>
      <xdr:sp macro="" textlink="">
        <xdr:nvSpPr>
          <xdr:cNvPr id="19" name="TextBox 18">
            <a:extLst>
              <a:ext uri="{FF2B5EF4-FFF2-40B4-BE49-F238E27FC236}">
                <a16:creationId xmlns:a16="http://schemas.microsoft.com/office/drawing/2014/main" id="{201C763B-5977-D54D-D716-703EC8610915}"/>
              </a:ext>
            </a:extLst>
          </xdr:cNvPr>
          <xdr:cNvSpPr txBox="1"/>
        </xdr:nvSpPr>
        <xdr:spPr>
          <a:xfrm>
            <a:off x="4015740" y="1950720"/>
            <a:ext cx="1263038" cy="2133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l"/>
            <a:r>
              <a:rPr lang="sr-Latn-RS" sz="900" b="1">
                <a:solidFill>
                  <a:schemeClr val="bg1"/>
                </a:solidFill>
                <a:latin typeface="Bahnschrift" panose="020B0502040204020203" pitchFamily="34" charset="0"/>
              </a:rPr>
              <a:t>SEARCH VISIBILITY</a:t>
            </a:r>
            <a:endParaRPr lang="en-US" sz="900" b="1">
              <a:solidFill>
                <a:schemeClr val="bg1"/>
              </a:solidFill>
              <a:latin typeface="Bahnschrift" panose="020B0502040204020203" pitchFamily="34" charset="0"/>
            </a:endParaRPr>
          </a:p>
        </xdr:txBody>
      </xdr:sp>
      <xdr:sp macro="" textlink="'Helper Sheet'!I4">
        <xdr:nvSpPr>
          <xdr:cNvPr id="20" name="TextBox 19">
            <a:extLst>
              <a:ext uri="{FF2B5EF4-FFF2-40B4-BE49-F238E27FC236}">
                <a16:creationId xmlns:a16="http://schemas.microsoft.com/office/drawing/2014/main" id="{5B143827-2845-4C6F-B56C-3D51195305A4}"/>
              </a:ext>
            </a:extLst>
          </xdr:cNvPr>
          <xdr:cNvSpPr txBox="1"/>
        </xdr:nvSpPr>
        <xdr:spPr>
          <a:xfrm>
            <a:off x="4061460" y="1394460"/>
            <a:ext cx="1263038" cy="5181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lIns="36000" tIns="36000" rIns="36000" bIns="36000" rtlCol="0" anchor="ctr">
            <a:noAutofit/>
          </a:bodyPr>
          <a:lstStyle/>
          <a:p>
            <a:pPr algn="l"/>
            <a:fld id="{7C57935A-A03B-4D75-816F-E204B15B77E9}" type="TxLink">
              <a:rPr lang="en-US" sz="2800" b="1" i="0" u="none" strike="noStrike">
                <a:solidFill>
                  <a:schemeClr val="bg1"/>
                </a:solidFill>
                <a:latin typeface="Bahnschrift"/>
              </a:rPr>
              <a:t>92%</a:t>
            </a:fld>
            <a:endParaRPr lang="en-US" sz="7200" b="1">
              <a:solidFill>
                <a:schemeClr val="bg1"/>
              </a:solidFill>
              <a:latin typeface="Bahnschrift" panose="020B0502040204020203" pitchFamily="34" charset="0"/>
            </a:endParaRPr>
          </a:p>
        </xdr:txBody>
      </xdr:sp>
    </xdr:grpSp>
    <xdr:clientData/>
  </xdr:twoCellAnchor>
  <xdr:twoCellAnchor>
    <xdr:from>
      <xdr:col>8</xdr:col>
      <xdr:colOff>2156460</xdr:colOff>
      <xdr:row>4</xdr:row>
      <xdr:rowOff>304800</xdr:rowOff>
    </xdr:from>
    <xdr:to>
      <xdr:col>10</xdr:col>
      <xdr:colOff>350520</xdr:colOff>
      <xdr:row>6</xdr:row>
      <xdr:rowOff>502920</xdr:rowOff>
    </xdr:to>
    <xdr:grpSp>
      <xdr:nvGrpSpPr>
        <xdr:cNvPr id="33" name="Group 32">
          <a:extLst>
            <a:ext uri="{FF2B5EF4-FFF2-40B4-BE49-F238E27FC236}">
              <a16:creationId xmlns:a16="http://schemas.microsoft.com/office/drawing/2014/main" id="{D1B841AA-9146-4BC9-3443-2EC09A8FA350}"/>
            </a:ext>
          </a:extLst>
        </xdr:cNvPr>
        <xdr:cNvGrpSpPr/>
      </xdr:nvGrpSpPr>
      <xdr:grpSpPr>
        <a:xfrm>
          <a:off x="6065520" y="1188720"/>
          <a:ext cx="1783080" cy="1082040"/>
          <a:chOff x="6065520" y="1188720"/>
          <a:chExt cx="1783080" cy="1082040"/>
        </a:xfrm>
      </xdr:grpSpPr>
      <xdr:sp macro="" textlink="">
        <xdr:nvSpPr>
          <xdr:cNvPr id="23" name="Rectangle 22">
            <a:extLst>
              <a:ext uri="{FF2B5EF4-FFF2-40B4-BE49-F238E27FC236}">
                <a16:creationId xmlns:a16="http://schemas.microsoft.com/office/drawing/2014/main" id="{1B090893-C5D9-4AB0-59CA-6B62D1E80640}"/>
              </a:ext>
            </a:extLst>
          </xdr:cNvPr>
          <xdr:cNvSpPr/>
        </xdr:nvSpPr>
        <xdr:spPr>
          <a:xfrm>
            <a:off x="6065520" y="1188720"/>
            <a:ext cx="1783080" cy="1082040"/>
          </a:xfrm>
          <a:prstGeom prst="rect">
            <a:avLst/>
          </a:prstGeom>
          <a:solidFill>
            <a:srgbClr val="00A7E3"/>
          </a:solidFill>
          <a:ln>
            <a:solidFill>
              <a:srgbClr val="0078A2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25" name="TextBox 24">
            <a:extLst>
              <a:ext uri="{FF2B5EF4-FFF2-40B4-BE49-F238E27FC236}">
                <a16:creationId xmlns:a16="http://schemas.microsoft.com/office/drawing/2014/main" id="{1E0E2C78-5ACC-96FA-0530-001589EA50B4}"/>
              </a:ext>
            </a:extLst>
          </xdr:cNvPr>
          <xdr:cNvSpPr txBox="1"/>
        </xdr:nvSpPr>
        <xdr:spPr>
          <a:xfrm>
            <a:off x="6096000" y="1996440"/>
            <a:ext cx="1701138" cy="2133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l"/>
            <a:r>
              <a:rPr lang="sr-Latn-RS" sz="900" b="1">
                <a:solidFill>
                  <a:schemeClr val="bg1"/>
                </a:solidFill>
                <a:latin typeface="Bahnschrift" panose="020B0502040204020203" pitchFamily="34" charset="0"/>
              </a:rPr>
              <a:t>CLICK-THROUGH RATE (CTR)</a:t>
            </a:r>
            <a:endParaRPr lang="en-US" sz="900" b="1">
              <a:solidFill>
                <a:schemeClr val="bg1"/>
              </a:solidFill>
              <a:latin typeface="Bahnschrift" panose="020B0502040204020203" pitchFamily="34" charset="0"/>
            </a:endParaRPr>
          </a:p>
        </xdr:txBody>
      </xdr:sp>
      <xdr:sp macro="" textlink="'Helper Sheet'!I5">
        <xdr:nvSpPr>
          <xdr:cNvPr id="26" name="TextBox 25">
            <a:extLst>
              <a:ext uri="{FF2B5EF4-FFF2-40B4-BE49-F238E27FC236}">
                <a16:creationId xmlns:a16="http://schemas.microsoft.com/office/drawing/2014/main" id="{60203B4D-E4B3-C633-0C36-B18A5EE87576}"/>
              </a:ext>
            </a:extLst>
          </xdr:cNvPr>
          <xdr:cNvSpPr txBox="1"/>
        </xdr:nvSpPr>
        <xdr:spPr>
          <a:xfrm>
            <a:off x="6141720" y="1440180"/>
            <a:ext cx="1263038" cy="5181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lIns="36000" tIns="36000" rIns="36000" bIns="36000" rtlCol="0" anchor="ctr">
            <a:noAutofit/>
          </a:bodyPr>
          <a:lstStyle/>
          <a:p>
            <a:pPr algn="l"/>
            <a:fld id="{2BEF0880-FAD1-4804-ABF7-6BD41DF06E6C}" type="TxLink">
              <a:rPr lang="en-US" sz="2800" b="1" i="0" u="none" strike="noStrike">
                <a:solidFill>
                  <a:schemeClr val="bg1"/>
                </a:solidFill>
                <a:latin typeface="Bahnschrift"/>
              </a:rPr>
              <a:t>3.6%</a:t>
            </a:fld>
            <a:endParaRPr lang="en-US" sz="28700" b="1">
              <a:solidFill>
                <a:schemeClr val="bg1"/>
              </a:solidFill>
              <a:latin typeface="Bahnschrift" panose="020B0502040204020203" pitchFamily="34" charset="0"/>
            </a:endParaRPr>
          </a:p>
        </xdr:txBody>
      </xdr:sp>
      <xdr:pic>
        <xdr:nvPicPr>
          <xdr:cNvPr id="32" name="Graphic 31">
            <a:extLst>
              <a:ext uri="{FF2B5EF4-FFF2-40B4-BE49-F238E27FC236}">
                <a16:creationId xmlns:a16="http://schemas.microsoft.com/office/drawing/2014/main" id="{FE644223-B6F5-D2EE-2879-01D84FAB740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9">
            <a:extLst>
              <a:ext uri="{96DAC541-7B7A-43D3-8B79-37D633B846F1}">
                <asvg:svgBlip xmlns:asvg="http://schemas.microsoft.com/office/drawing/2016/SVG/main" r:embed="rId10"/>
              </a:ext>
            </a:extLst>
          </a:blip>
          <a:stretch>
            <a:fillRect/>
          </a:stretch>
        </xdr:blipFill>
        <xdr:spPr>
          <a:xfrm>
            <a:off x="7290133" y="1279141"/>
            <a:ext cx="394550" cy="394551"/>
          </a:xfrm>
          <a:prstGeom prst="rect">
            <a:avLst/>
          </a:prstGeom>
        </xdr:spPr>
      </xdr:pic>
    </xdr:grpSp>
    <xdr:clientData/>
  </xdr:twoCellAnchor>
  <xdr:twoCellAnchor>
    <xdr:from>
      <xdr:col>10</xdr:col>
      <xdr:colOff>647700</xdr:colOff>
      <xdr:row>4</xdr:row>
      <xdr:rowOff>304800</xdr:rowOff>
    </xdr:from>
    <xdr:to>
      <xdr:col>12</xdr:col>
      <xdr:colOff>967740</xdr:colOff>
      <xdr:row>6</xdr:row>
      <xdr:rowOff>502920</xdr:rowOff>
    </xdr:to>
    <xdr:grpSp>
      <xdr:nvGrpSpPr>
        <xdr:cNvPr id="35" name="Group 34">
          <a:extLst>
            <a:ext uri="{FF2B5EF4-FFF2-40B4-BE49-F238E27FC236}">
              <a16:creationId xmlns:a16="http://schemas.microsoft.com/office/drawing/2014/main" id="{B74AF6C7-CC39-50FC-1BAD-C05BE4285A5F}"/>
            </a:ext>
          </a:extLst>
        </xdr:cNvPr>
        <xdr:cNvGrpSpPr/>
      </xdr:nvGrpSpPr>
      <xdr:grpSpPr>
        <a:xfrm>
          <a:off x="8145780" y="1188720"/>
          <a:ext cx="1783080" cy="1082040"/>
          <a:chOff x="8141804" y="1192696"/>
          <a:chExt cx="1784406" cy="1086015"/>
        </a:xfrm>
      </xdr:grpSpPr>
      <xdr:sp macro="" textlink="">
        <xdr:nvSpPr>
          <xdr:cNvPr id="28" name="Rectangle 27">
            <a:extLst>
              <a:ext uri="{FF2B5EF4-FFF2-40B4-BE49-F238E27FC236}">
                <a16:creationId xmlns:a16="http://schemas.microsoft.com/office/drawing/2014/main" id="{2EA6BC12-5EC6-2143-9E90-3A2F953C2EFC}"/>
              </a:ext>
            </a:extLst>
          </xdr:cNvPr>
          <xdr:cNvSpPr/>
        </xdr:nvSpPr>
        <xdr:spPr>
          <a:xfrm>
            <a:off x="8141804" y="1192696"/>
            <a:ext cx="1784406" cy="1086015"/>
          </a:xfrm>
          <a:prstGeom prst="rect">
            <a:avLst/>
          </a:prstGeom>
          <a:solidFill>
            <a:srgbClr val="0065B0"/>
          </a:solidFill>
          <a:ln>
            <a:solidFill>
              <a:srgbClr val="004274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30" name="TextBox 29">
            <a:extLst>
              <a:ext uri="{FF2B5EF4-FFF2-40B4-BE49-F238E27FC236}">
                <a16:creationId xmlns:a16="http://schemas.microsoft.com/office/drawing/2014/main" id="{EF7F1374-9E80-351D-6883-899C02A8B882}"/>
              </a:ext>
            </a:extLst>
          </xdr:cNvPr>
          <xdr:cNvSpPr txBox="1"/>
        </xdr:nvSpPr>
        <xdr:spPr>
          <a:xfrm>
            <a:off x="8172284" y="2004391"/>
            <a:ext cx="1264364" cy="2133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l"/>
            <a:r>
              <a:rPr lang="sr-Latn-RS" sz="900" b="1">
                <a:solidFill>
                  <a:schemeClr val="bg1"/>
                </a:solidFill>
                <a:latin typeface="Bahnschrift" panose="020B0502040204020203" pitchFamily="34" charset="0"/>
              </a:rPr>
              <a:t>BOUNCE RATE</a:t>
            </a:r>
            <a:endParaRPr lang="en-US" sz="900" b="1">
              <a:solidFill>
                <a:schemeClr val="bg1"/>
              </a:solidFill>
              <a:latin typeface="Bahnschrift" panose="020B0502040204020203" pitchFamily="34" charset="0"/>
            </a:endParaRPr>
          </a:p>
        </xdr:txBody>
      </xdr:sp>
      <xdr:sp macro="" textlink="'Helper Sheet'!I6">
        <xdr:nvSpPr>
          <xdr:cNvPr id="31" name="TextBox 30">
            <a:extLst>
              <a:ext uri="{FF2B5EF4-FFF2-40B4-BE49-F238E27FC236}">
                <a16:creationId xmlns:a16="http://schemas.microsoft.com/office/drawing/2014/main" id="{38F61D1D-4F9B-9DEE-2199-DAF50818189F}"/>
              </a:ext>
            </a:extLst>
          </xdr:cNvPr>
          <xdr:cNvSpPr txBox="1"/>
        </xdr:nvSpPr>
        <xdr:spPr>
          <a:xfrm>
            <a:off x="8218004" y="1444156"/>
            <a:ext cx="1264364" cy="52213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lIns="36000" tIns="36000" rIns="36000" bIns="36000" rtlCol="0" anchor="ctr">
            <a:noAutofit/>
          </a:bodyPr>
          <a:lstStyle/>
          <a:p>
            <a:pPr algn="l"/>
            <a:fld id="{F04107FD-06D0-496D-9CBA-6FCBA6A7E198}" type="TxLink">
              <a:rPr lang="en-US" sz="2800" b="1" i="0" u="none" strike="noStrike">
                <a:solidFill>
                  <a:schemeClr val="bg1"/>
                </a:solidFill>
                <a:latin typeface="Bahnschrift"/>
              </a:rPr>
              <a:t>34%</a:t>
            </a:fld>
            <a:endParaRPr lang="en-US" sz="28700" b="1">
              <a:solidFill>
                <a:schemeClr val="bg1"/>
              </a:solidFill>
              <a:latin typeface="Bahnschrift" panose="020B0502040204020203" pitchFamily="34" charset="0"/>
            </a:endParaRPr>
          </a:p>
        </xdr:txBody>
      </xdr:sp>
      <xdr:pic>
        <xdr:nvPicPr>
          <xdr:cNvPr id="34" name="Graphic 33">
            <a:extLst>
              <a:ext uri="{FF2B5EF4-FFF2-40B4-BE49-F238E27FC236}">
                <a16:creationId xmlns:a16="http://schemas.microsoft.com/office/drawing/2014/main" id="{9A562A4D-BEE9-3BC8-8A58-AEBCF862DA07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1">
            <a:extLst>
              <a:ext uri="{96DAC541-7B7A-43D3-8B79-37D633B846F1}">
                <asvg:svgBlip xmlns:asvg="http://schemas.microsoft.com/office/drawing/2016/SVG/main" r:embed="rId12"/>
              </a:ext>
            </a:extLst>
          </a:blip>
          <a:stretch>
            <a:fillRect/>
          </a:stretch>
        </xdr:blipFill>
        <xdr:spPr>
          <a:xfrm>
            <a:off x="9362306" y="1295401"/>
            <a:ext cx="440640" cy="324000"/>
          </a:xfrm>
          <a:prstGeom prst="rect">
            <a:avLst/>
          </a:prstGeom>
        </xdr:spPr>
      </xdr:pic>
    </xdr:grpSp>
    <xdr:clientData/>
  </xdr:twoCellAnchor>
  <xdr:twoCellAnchor>
    <xdr:from>
      <xdr:col>8</xdr:col>
      <xdr:colOff>76200</xdr:colOff>
      <xdr:row>7</xdr:row>
      <xdr:rowOff>105591</xdr:rowOff>
    </xdr:from>
    <xdr:to>
      <xdr:col>10</xdr:col>
      <xdr:colOff>347254</xdr:colOff>
      <xdr:row>15</xdr:row>
      <xdr:rowOff>78377</xdr:rowOff>
    </xdr:to>
    <xdr:grpSp>
      <xdr:nvGrpSpPr>
        <xdr:cNvPr id="45" name="Group 44">
          <a:extLst>
            <a:ext uri="{FF2B5EF4-FFF2-40B4-BE49-F238E27FC236}">
              <a16:creationId xmlns:a16="http://schemas.microsoft.com/office/drawing/2014/main" id="{4D7380D8-CA33-FD6D-F572-22934C9F777A}"/>
            </a:ext>
          </a:extLst>
        </xdr:cNvPr>
        <xdr:cNvGrpSpPr/>
      </xdr:nvGrpSpPr>
      <xdr:grpSpPr>
        <a:xfrm>
          <a:off x="3985260" y="2566851"/>
          <a:ext cx="3860074" cy="2159726"/>
          <a:chOff x="4013564" y="2677885"/>
          <a:chExt cx="3863340" cy="2166258"/>
        </a:xfrm>
      </xdr:grpSpPr>
      <xdr:graphicFrame macro="">
        <xdr:nvGraphicFramePr>
          <xdr:cNvPr id="36" name="Chart 35">
            <a:extLst>
              <a:ext uri="{FF2B5EF4-FFF2-40B4-BE49-F238E27FC236}">
                <a16:creationId xmlns:a16="http://schemas.microsoft.com/office/drawing/2014/main" id="{C0B04F45-E6A6-47E9-925A-E1AFC790031A}"/>
              </a:ext>
            </a:extLst>
          </xdr:cNvPr>
          <xdr:cNvGraphicFramePr>
            <a:graphicFrameLocks/>
          </xdr:cNvGraphicFramePr>
        </xdr:nvGraphicFramePr>
        <xdr:xfrm>
          <a:off x="4013564" y="2677885"/>
          <a:ext cx="3863340" cy="216625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3"/>
          </a:graphicData>
        </a:graphic>
      </xdr:graphicFrame>
      <xdr:grpSp>
        <xdr:nvGrpSpPr>
          <xdr:cNvPr id="44" name="Group 43">
            <a:extLst>
              <a:ext uri="{FF2B5EF4-FFF2-40B4-BE49-F238E27FC236}">
                <a16:creationId xmlns:a16="http://schemas.microsoft.com/office/drawing/2014/main" id="{D445D500-605C-42A8-449B-B6404DB0B9A5}"/>
              </a:ext>
            </a:extLst>
          </xdr:cNvPr>
          <xdr:cNvGrpSpPr/>
        </xdr:nvGrpSpPr>
        <xdr:grpSpPr>
          <a:xfrm>
            <a:off x="4051662" y="2732314"/>
            <a:ext cx="3390961" cy="2008918"/>
            <a:chOff x="4051662" y="2732314"/>
            <a:chExt cx="3390961" cy="2008918"/>
          </a:xfrm>
        </xdr:grpSpPr>
        <xdr:grpSp>
          <xdr:nvGrpSpPr>
            <xdr:cNvPr id="42" name="Group 41">
              <a:extLst>
                <a:ext uri="{FF2B5EF4-FFF2-40B4-BE49-F238E27FC236}">
                  <a16:creationId xmlns:a16="http://schemas.microsoft.com/office/drawing/2014/main" id="{7E016782-4B73-B741-9EEE-820F10B32EAC}"/>
                </a:ext>
              </a:extLst>
            </xdr:cNvPr>
            <xdr:cNvGrpSpPr/>
          </xdr:nvGrpSpPr>
          <xdr:grpSpPr>
            <a:xfrm>
              <a:off x="4464985" y="4545624"/>
              <a:ext cx="2977638" cy="195608"/>
              <a:chOff x="4113796" y="4554332"/>
              <a:chExt cx="2979336" cy="195608"/>
            </a:xfrm>
          </xdr:grpSpPr>
          <xdr:sp macro="" textlink="">
            <xdr:nvSpPr>
              <xdr:cNvPr id="40" name="Rectangle 39">
                <a:extLst>
                  <a:ext uri="{FF2B5EF4-FFF2-40B4-BE49-F238E27FC236}">
                    <a16:creationId xmlns:a16="http://schemas.microsoft.com/office/drawing/2014/main" id="{B0FBCE1D-31AC-7319-8E08-F7BD7C3BC20A}"/>
                  </a:ext>
                </a:extLst>
              </xdr:cNvPr>
              <xdr:cNvSpPr/>
            </xdr:nvSpPr>
            <xdr:spPr>
              <a:xfrm>
                <a:off x="4113796" y="4554332"/>
                <a:ext cx="2979336" cy="195608"/>
              </a:xfrm>
              <a:prstGeom prst="rect">
                <a:avLst/>
              </a:prstGeom>
              <a:solidFill>
                <a:srgbClr val="7B60ED"/>
              </a:solidFill>
              <a:ln>
                <a:noFill/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en-US" sz="1100"/>
              </a:p>
            </xdr:txBody>
          </xdr:sp>
          <xdr:grpSp>
            <xdr:nvGrpSpPr>
              <xdr:cNvPr id="41" name="Group 40">
                <a:extLst>
                  <a:ext uri="{FF2B5EF4-FFF2-40B4-BE49-F238E27FC236}">
                    <a16:creationId xmlns:a16="http://schemas.microsoft.com/office/drawing/2014/main" id="{1C2BF59D-2338-1905-4D26-E00C90EB2E31}"/>
                  </a:ext>
                </a:extLst>
              </xdr:cNvPr>
              <xdr:cNvGrpSpPr/>
            </xdr:nvGrpSpPr>
            <xdr:grpSpPr>
              <a:xfrm>
                <a:off x="4189408" y="4555797"/>
                <a:ext cx="2872074" cy="192678"/>
                <a:chOff x="4189408" y="4560193"/>
                <a:chExt cx="2872074" cy="192678"/>
              </a:xfrm>
            </xdr:grpSpPr>
            <xdr:sp macro="" textlink="">
              <xdr:nvSpPr>
                <xdr:cNvPr id="38" name="TextBox 37">
                  <a:extLst>
                    <a:ext uri="{FF2B5EF4-FFF2-40B4-BE49-F238E27FC236}">
                      <a16:creationId xmlns:a16="http://schemas.microsoft.com/office/drawing/2014/main" id="{9F21A914-186A-49B1-99EE-85A1A114F742}"/>
                    </a:ext>
                  </a:extLst>
                </xdr:cNvPr>
                <xdr:cNvSpPr txBox="1"/>
              </xdr:nvSpPr>
              <xdr:spPr>
                <a:xfrm>
                  <a:off x="4189408" y="4560193"/>
                  <a:ext cx="2444849" cy="192678"/>
                </a:xfrm>
                <a:prstGeom prst="rect">
                  <a:avLst/>
                </a:prstGeom>
                <a:noFill/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tx1"/>
                </a:fontRef>
              </xdr:style>
              <xdr:txBody>
                <a:bodyPr vertOverflow="clip" horzOverflow="clip" wrap="none" lIns="0" tIns="36000" rIns="36000" bIns="36000" rtlCol="0" anchor="ctr">
                  <a:noAutofit/>
                </a:bodyPr>
                <a:lstStyle/>
                <a:p>
                  <a:pPr algn="l"/>
                  <a:r>
                    <a:rPr lang="sr-Latn-RS" sz="900" b="0">
                      <a:solidFill>
                        <a:schemeClr val="bg1"/>
                      </a:solidFill>
                      <a:latin typeface="Bahnschrift" panose="020B0502040204020203" pitchFamily="34" charset="0"/>
                    </a:rPr>
                    <a:t>AVERAGE MONTHLY NUMBER OF SESSIONS:</a:t>
                  </a:r>
                  <a:endParaRPr lang="en-US" sz="900" b="0">
                    <a:solidFill>
                      <a:schemeClr val="bg1"/>
                    </a:solidFill>
                    <a:latin typeface="Bahnschrift" panose="020B0502040204020203" pitchFamily="34" charset="0"/>
                  </a:endParaRPr>
                </a:p>
              </xdr:txBody>
            </xdr:sp>
            <xdr:sp macro="" textlink="'Helper Sheet'!P17">
              <xdr:nvSpPr>
                <xdr:cNvPr id="39" name="TextBox 38">
                  <a:extLst>
                    <a:ext uri="{FF2B5EF4-FFF2-40B4-BE49-F238E27FC236}">
                      <a16:creationId xmlns:a16="http://schemas.microsoft.com/office/drawing/2014/main" id="{B9970CBD-CFE4-4419-B3C8-5C4B5088F83E}"/>
                    </a:ext>
                  </a:extLst>
                </xdr:cNvPr>
                <xdr:cNvSpPr txBox="1"/>
              </xdr:nvSpPr>
              <xdr:spPr>
                <a:xfrm>
                  <a:off x="6534024" y="4567898"/>
                  <a:ext cx="527458" cy="177269"/>
                </a:xfrm>
                <a:prstGeom prst="rect">
                  <a:avLst/>
                </a:prstGeom>
                <a:noFill/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tx1"/>
                </a:fontRef>
              </xdr:style>
              <xdr:txBody>
                <a:bodyPr vertOverflow="clip" horzOverflow="clip" wrap="none" lIns="0" tIns="36000" rIns="36000" bIns="36000" rtlCol="0" anchor="ctr">
                  <a:noAutofit/>
                </a:bodyPr>
                <a:lstStyle/>
                <a:p>
                  <a:pPr algn="l"/>
                  <a:fld id="{D27A3025-0057-4E78-A724-34ED44361464}" type="TxLink">
                    <a:rPr lang="en-US" sz="1000" b="1" i="0" u="none" strike="noStrike">
                      <a:solidFill>
                        <a:schemeClr val="bg1"/>
                      </a:solidFill>
                      <a:latin typeface="Bahnschrift"/>
                    </a:rPr>
                    <a:pPr algn="l"/>
                    <a:t>44,842</a:t>
                  </a:fld>
                  <a:endParaRPr lang="en-US" sz="900" b="1">
                    <a:solidFill>
                      <a:schemeClr val="bg1"/>
                    </a:solidFill>
                    <a:latin typeface="Bahnschrift" panose="020B0502040204020203" pitchFamily="34" charset="0"/>
                  </a:endParaRPr>
                </a:p>
              </xdr:txBody>
            </xdr:sp>
          </xdr:grpSp>
        </xdr:grpSp>
        <xdr:sp macro="" textlink="">
          <xdr:nvSpPr>
            <xdr:cNvPr id="37" name="TextBox 36">
              <a:extLst>
                <a:ext uri="{FF2B5EF4-FFF2-40B4-BE49-F238E27FC236}">
                  <a16:creationId xmlns:a16="http://schemas.microsoft.com/office/drawing/2014/main" id="{B13CF394-21C6-477F-A86A-58AC4E0C13F8}"/>
                </a:ext>
              </a:extLst>
            </xdr:cNvPr>
            <xdr:cNvSpPr txBox="1"/>
          </xdr:nvSpPr>
          <xdr:spPr>
            <a:xfrm>
              <a:off x="4051662" y="2732314"/>
              <a:ext cx="3256671" cy="2133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ctr">
              <a:noAutofit/>
            </a:bodyPr>
            <a:lstStyle/>
            <a:p>
              <a:pPr algn="l"/>
              <a:r>
                <a:rPr lang="sr-Latn-RS" sz="900" b="1">
                  <a:solidFill>
                    <a:schemeClr val="tx1">
                      <a:lumMod val="75000"/>
                      <a:lumOff val="25000"/>
                    </a:schemeClr>
                  </a:solidFill>
                  <a:latin typeface="Bahnschrift" panose="020B0502040204020203" pitchFamily="34" charset="0"/>
                </a:rPr>
                <a:t>TOTAL ORGANIC SESSIONS (12</a:t>
              </a:r>
              <a:r>
                <a:rPr lang="sr-Latn-RS" sz="900" b="1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Bahnschrift" panose="020B0502040204020203" pitchFamily="34" charset="0"/>
                </a:rPr>
                <a:t> MONTHS)</a:t>
              </a:r>
              <a:endParaRPr lang="en-US" sz="900" b="1">
                <a:solidFill>
                  <a:schemeClr val="tx1">
                    <a:lumMod val="75000"/>
                    <a:lumOff val="25000"/>
                  </a:schemeClr>
                </a:solidFill>
                <a:latin typeface="Bahnschrift" panose="020B0502040204020203" pitchFamily="34" charset="0"/>
              </a:endParaRPr>
            </a:p>
          </xdr:txBody>
        </xdr:sp>
      </xdr:grpSp>
    </xdr:grpSp>
    <xdr:clientData/>
  </xdr:twoCellAnchor>
  <xdr:twoCellAnchor>
    <xdr:from>
      <xdr:col>8</xdr:col>
      <xdr:colOff>76200</xdr:colOff>
      <xdr:row>16</xdr:row>
      <xdr:rowOff>82731</xdr:rowOff>
    </xdr:from>
    <xdr:to>
      <xdr:col>10</xdr:col>
      <xdr:colOff>347254</xdr:colOff>
      <xdr:row>25</xdr:row>
      <xdr:rowOff>169913</xdr:rowOff>
    </xdr:to>
    <xdr:graphicFrame macro="">
      <xdr:nvGraphicFramePr>
        <xdr:cNvPr id="47" name="Chart 46">
          <a:extLst>
            <a:ext uri="{FF2B5EF4-FFF2-40B4-BE49-F238E27FC236}">
              <a16:creationId xmlns:a16="http://schemas.microsoft.com/office/drawing/2014/main" id="{93A0FFAA-535B-B138-668E-1BC86625F9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8</xdr:col>
      <xdr:colOff>536028</xdr:colOff>
      <xdr:row>24</xdr:row>
      <xdr:rowOff>113141</xdr:rowOff>
    </xdr:from>
    <xdr:to>
      <xdr:col>9</xdr:col>
      <xdr:colOff>110358</xdr:colOff>
      <xdr:row>25</xdr:row>
      <xdr:rowOff>78830</xdr:rowOff>
    </xdr:to>
    <xdr:grpSp>
      <xdr:nvGrpSpPr>
        <xdr:cNvPr id="49" name="Group 48">
          <a:extLst>
            <a:ext uri="{FF2B5EF4-FFF2-40B4-BE49-F238E27FC236}">
              <a16:creationId xmlns:a16="http://schemas.microsoft.com/office/drawing/2014/main" id="{39C03292-094A-1906-7706-A3B0A02BD514}"/>
            </a:ext>
          </a:extLst>
        </xdr:cNvPr>
        <xdr:cNvGrpSpPr/>
      </xdr:nvGrpSpPr>
      <xdr:grpSpPr>
        <a:xfrm>
          <a:off x="4445088" y="6818741"/>
          <a:ext cx="2972850" cy="194289"/>
          <a:chOff x="3964704" y="4554332"/>
          <a:chExt cx="2978439" cy="195608"/>
        </a:xfrm>
      </xdr:grpSpPr>
      <xdr:sp macro="" textlink="">
        <xdr:nvSpPr>
          <xdr:cNvPr id="51" name="Rectangle 50">
            <a:extLst>
              <a:ext uri="{FF2B5EF4-FFF2-40B4-BE49-F238E27FC236}">
                <a16:creationId xmlns:a16="http://schemas.microsoft.com/office/drawing/2014/main" id="{6FE62C82-BED3-F8E7-2E9E-6ADDAD6BD961}"/>
              </a:ext>
            </a:extLst>
          </xdr:cNvPr>
          <xdr:cNvSpPr/>
        </xdr:nvSpPr>
        <xdr:spPr>
          <a:xfrm>
            <a:off x="3964704" y="4554332"/>
            <a:ext cx="2978439" cy="195608"/>
          </a:xfrm>
          <a:prstGeom prst="rect">
            <a:avLst/>
          </a:prstGeom>
          <a:solidFill>
            <a:srgbClr val="FA1787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grpSp>
        <xdr:nvGrpSpPr>
          <xdr:cNvPr id="52" name="Group 51">
            <a:extLst>
              <a:ext uri="{FF2B5EF4-FFF2-40B4-BE49-F238E27FC236}">
                <a16:creationId xmlns:a16="http://schemas.microsoft.com/office/drawing/2014/main" id="{99F92987-3A19-96C8-3749-190FC8DF742C}"/>
              </a:ext>
            </a:extLst>
          </xdr:cNvPr>
          <xdr:cNvGrpSpPr/>
        </xdr:nvGrpSpPr>
        <xdr:grpSpPr>
          <a:xfrm>
            <a:off x="4126264" y="4555797"/>
            <a:ext cx="2685316" cy="192678"/>
            <a:chOff x="4126264" y="4560193"/>
            <a:chExt cx="2685316" cy="192678"/>
          </a:xfrm>
        </xdr:grpSpPr>
        <xdr:sp macro="" textlink="">
          <xdr:nvSpPr>
            <xdr:cNvPr id="53" name="TextBox 52">
              <a:extLst>
                <a:ext uri="{FF2B5EF4-FFF2-40B4-BE49-F238E27FC236}">
                  <a16:creationId xmlns:a16="http://schemas.microsoft.com/office/drawing/2014/main" id="{419D4CB3-2749-D2FD-4B91-4D41144CB99B}"/>
                </a:ext>
              </a:extLst>
            </xdr:cNvPr>
            <xdr:cNvSpPr txBox="1"/>
          </xdr:nvSpPr>
          <xdr:spPr>
            <a:xfrm>
              <a:off x="4126264" y="4560193"/>
              <a:ext cx="2444849" cy="1926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>
              <a:noAutofit/>
            </a:bodyPr>
            <a:lstStyle/>
            <a:p>
              <a:pPr algn="l"/>
              <a:r>
                <a:rPr lang="sr-Latn-RS" sz="900" b="0">
                  <a:solidFill>
                    <a:schemeClr val="bg1"/>
                  </a:solidFill>
                  <a:latin typeface="Bahnschrift" panose="020B0502040204020203" pitchFamily="34" charset="0"/>
                </a:rPr>
                <a:t>AVERAGE MONTHLY COST PER ACQUISITION :</a:t>
              </a:r>
              <a:endParaRPr lang="en-US" sz="900" b="0">
                <a:solidFill>
                  <a:schemeClr val="bg1"/>
                </a:solidFill>
                <a:latin typeface="Bahnschrift" panose="020B0502040204020203" pitchFamily="34" charset="0"/>
              </a:endParaRPr>
            </a:p>
          </xdr:txBody>
        </xdr:sp>
        <xdr:sp macro="" textlink="'Helper Sheet'!L4">
          <xdr:nvSpPr>
            <xdr:cNvPr id="54" name="TextBox 53">
              <a:extLst>
                <a:ext uri="{FF2B5EF4-FFF2-40B4-BE49-F238E27FC236}">
                  <a16:creationId xmlns:a16="http://schemas.microsoft.com/office/drawing/2014/main" id="{547DB2CE-B636-C67A-C0B5-79C89FAFABB6}"/>
                </a:ext>
              </a:extLst>
            </xdr:cNvPr>
            <xdr:cNvSpPr txBox="1"/>
          </xdr:nvSpPr>
          <xdr:spPr>
            <a:xfrm>
              <a:off x="6502448" y="4567898"/>
              <a:ext cx="309132" cy="1772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36000" rIns="36000" bIns="36000" rtlCol="0" anchor="ctr">
              <a:noAutofit/>
            </a:bodyPr>
            <a:lstStyle/>
            <a:p>
              <a:pPr algn="l"/>
              <a:fld id="{D0807CAE-831F-42FF-B3B4-73EF0B81BE94}" type="TxLink">
                <a:rPr lang="en-US" sz="1000" b="1" i="0" u="none" strike="noStrike">
                  <a:solidFill>
                    <a:schemeClr val="bg1"/>
                  </a:solidFill>
                  <a:latin typeface="Bahnschrift"/>
                </a:rPr>
                <a:t>$23</a:t>
              </a:fld>
              <a:endParaRPr lang="en-US" sz="900" b="1">
                <a:solidFill>
                  <a:schemeClr val="bg1"/>
                </a:solidFill>
                <a:latin typeface="Bahnschrift" panose="020B0502040204020203" pitchFamily="34" charset="0"/>
              </a:endParaRPr>
            </a:p>
          </xdr:txBody>
        </xdr:sp>
      </xdr:grpSp>
    </xdr:grpSp>
    <xdr:clientData/>
  </xdr:twoCellAnchor>
  <xdr:twoCellAnchor>
    <xdr:from>
      <xdr:col>8</xdr:col>
      <xdr:colOff>114268</xdr:colOff>
      <xdr:row>16</xdr:row>
      <xdr:rowOff>137524</xdr:rowOff>
    </xdr:from>
    <xdr:to>
      <xdr:col>8</xdr:col>
      <xdr:colOff>3368408</xdr:colOff>
      <xdr:row>17</xdr:row>
      <xdr:rowOff>121083</xdr:rowOff>
    </xdr:to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173831C0-9D7C-00AB-9BF4-3EA29586BA7D}"/>
            </a:ext>
          </a:extLst>
        </xdr:cNvPr>
        <xdr:cNvSpPr txBox="1"/>
      </xdr:nvSpPr>
      <xdr:spPr>
        <a:xfrm>
          <a:off x="4018861" y="5014324"/>
          <a:ext cx="3254140" cy="21478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l"/>
          <a:r>
            <a:rPr lang="sr-Latn-RS" sz="900" b="1">
              <a:solidFill>
                <a:schemeClr val="tx1">
                  <a:lumMod val="75000"/>
                  <a:lumOff val="25000"/>
                </a:schemeClr>
              </a:solidFill>
              <a:latin typeface="Bahnschrift" panose="020B0502040204020203" pitchFamily="34" charset="0"/>
            </a:rPr>
            <a:t>COST PER ACQUISITION - CPA (12</a:t>
          </a:r>
          <a:r>
            <a:rPr lang="sr-Latn-RS" sz="900" b="1" baseline="0">
              <a:solidFill>
                <a:schemeClr val="tx1">
                  <a:lumMod val="75000"/>
                  <a:lumOff val="25000"/>
                </a:schemeClr>
              </a:solidFill>
              <a:latin typeface="Bahnschrift" panose="020B0502040204020203" pitchFamily="34" charset="0"/>
            </a:rPr>
            <a:t> MONTHS)</a:t>
          </a:r>
          <a:endParaRPr lang="en-US" sz="900" b="1">
            <a:solidFill>
              <a:schemeClr val="tx1">
                <a:lumMod val="75000"/>
                <a:lumOff val="25000"/>
              </a:schemeClr>
            </a:solidFill>
            <a:latin typeface="Bahnschrift" panose="020B0502040204020203" pitchFamily="34" charset="0"/>
          </a:endParaRPr>
        </a:p>
      </xdr:txBody>
    </xdr:sp>
    <xdr:clientData/>
  </xdr:twoCellAnchor>
  <xdr:twoCellAnchor>
    <xdr:from>
      <xdr:col>10</xdr:col>
      <xdr:colOff>648780</xdr:colOff>
      <xdr:row>7</xdr:row>
      <xdr:rowOff>106680</xdr:rowOff>
    </xdr:from>
    <xdr:to>
      <xdr:col>12</xdr:col>
      <xdr:colOff>967740</xdr:colOff>
      <xdr:row>15</xdr:row>
      <xdr:rowOff>79740</xdr:rowOff>
    </xdr:to>
    <xdr:grpSp>
      <xdr:nvGrpSpPr>
        <xdr:cNvPr id="62" name="Group 61">
          <a:extLst>
            <a:ext uri="{FF2B5EF4-FFF2-40B4-BE49-F238E27FC236}">
              <a16:creationId xmlns:a16="http://schemas.microsoft.com/office/drawing/2014/main" id="{16DFC36C-3E38-FA46-3F68-F82AC9B19728}"/>
            </a:ext>
          </a:extLst>
        </xdr:cNvPr>
        <xdr:cNvGrpSpPr/>
      </xdr:nvGrpSpPr>
      <xdr:grpSpPr>
        <a:xfrm>
          <a:off x="8146860" y="2567940"/>
          <a:ext cx="1782000" cy="2160000"/>
          <a:chOff x="8161204" y="2563009"/>
          <a:chExt cx="1780207" cy="2160449"/>
        </a:xfrm>
      </xdr:grpSpPr>
      <xdr:sp macro="" textlink="">
        <xdr:nvSpPr>
          <xdr:cNvPr id="55" name="Rectangle 54">
            <a:extLst>
              <a:ext uri="{FF2B5EF4-FFF2-40B4-BE49-F238E27FC236}">
                <a16:creationId xmlns:a16="http://schemas.microsoft.com/office/drawing/2014/main" id="{8AB12C75-685A-44CB-A1D9-25EDFDD5460E}"/>
              </a:ext>
            </a:extLst>
          </xdr:cNvPr>
          <xdr:cNvSpPr/>
        </xdr:nvSpPr>
        <xdr:spPr>
          <a:xfrm>
            <a:off x="8161204" y="2563009"/>
            <a:ext cx="1780207" cy="2160449"/>
          </a:xfrm>
          <a:prstGeom prst="rect">
            <a:avLst/>
          </a:prstGeom>
          <a:solidFill>
            <a:schemeClr val="bg1"/>
          </a:solidFill>
          <a:ln>
            <a:solidFill>
              <a:schemeClr val="bg1">
                <a:lumMod val="75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grpSp>
        <xdr:nvGrpSpPr>
          <xdr:cNvPr id="58" name="Group 57">
            <a:extLst>
              <a:ext uri="{FF2B5EF4-FFF2-40B4-BE49-F238E27FC236}">
                <a16:creationId xmlns:a16="http://schemas.microsoft.com/office/drawing/2014/main" id="{C1C9224F-F2F5-2A9D-4F81-45E364211C5E}"/>
              </a:ext>
            </a:extLst>
          </xdr:cNvPr>
          <xdr:cNvGrpSpPr/>
        </xdr:nvGrpSpPr>
        <xdr:grpSpPr>
          <a:xfrm>
            <a:off x="8335384" y="3109408"/>
            <a:ext cx="1438207" cy="1438207"/>
            <a:chOff x="8321040" y="3116580"/>
            <a:chExt cx="1440000" cy="1440000"/>
          </a:xfrm>
        </xdr:grpSpPr>
        <xdr:pic>
          <xdr:nvPicPr>
            <xdr:cNvPr id="56" name="Graphic 55">
              <a:extLst>
                <a:ext uri="{FF2B5EF4-FFF2-40B4-BE49-F238E27FC236}">
                  <a16:creationId xmlns:a16="http://schemas.microsoft.com/office/drawing/2014/main" id="{FD580B08-AE9B-5CDE-F269-91AD3C5DE841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5">
              <a:extLst>
                <a:ext uri="{96DAC541-7B7A-43D3-8B79-37D633B846F1}">
                  <asvg:svgBlip xmlns:asvg="http://schemas.microsoft.com/office/drawing/2016/SVG/main" r:embed="rId16"/>
                </a:ext>
              </a:extLst>
            </a:blip>
            <a:stretch>
              <a:fillRect/>
            </a:stretch>
          </xdr:blipFill>
          <xdr:spPr>
            <a:xfrm>
              <a:off x="8321040" y="3116580"/>
              <a:ext cx="1440000" cy="1440000"/>
            </a:xfrm>
            <a:prstGeom prst="rect">
              <a:avLst/>
            </a:prstGeom>
          </xdr:spPr>
        </xdr:pic>
        <xdr:sp macro="" textlink="'Helper Sheet'!I8">
          <xdr:nvSpPr>
            <xdr:cNvPr id="57" name="Oval 56">
              <a:extLst>
                <a:ext uri="{FF2B5EF4-FFF2-40B4-BE49-F238E27FC236}">
                  <a16:creationId xmlns:a16="http://schemas.microsoft.com/office/drawing/2014/main" id="{14345647-2527-9D2E-8C4F-37FA27225268}"/>
                </a:ext>
              </a:extLst>
            </xdr:cNvPr>
            <xdr:cNvSpPr/>
          </xdr:nvSpPr>
          <xdr:spPr>
            <a:xfrm>
              <a:off x="8537040" y="3332580"/>
              <a:ext cx="1008000" cy="1008000"/>
            </a:xfrm>
            <a:prstGeom prst="ellipse">
              <a:avLst/>
            </a:prstGeom>
            <a:solidFill>
              <a:schemeClr val="bg1"/>
            </a:solidFill>
            <a:ln>
              <a:noFill/>
            </a:ln>
            <a:effectLst>
              <a:outerShdw blurRad="101600" dist="1143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none" lIns="0" tIns="0" rIns="0" bIns="0" rtlCol="0" anchor="ctr"/>
            <a:lstStyle/>
            <a:p>
              <a:pPr algn="ctr"/>
              <a:fld id="{2BBF4692-31E2-4540-B00E-B8F366902B98}" type="TxLink">
                <a:rPr lang="en-US" sz="1800" b="1" i="0" u="none" strike="noStrike">
                  <a:solidFill>
                    <a:srgbClr val="7B60ED"/>
                  </a:solidFill>
                  <a:latin typeface="Bahnschrift"/>
                </a:rPr>
                <a:pPr algn="ctr"/>
                <a:t>47,965</a:t>
              </a:fld>
              <a:endParaRPr lang="en-US" sz="2400" b="1">
                <a:solidFill>
                  <a:srgbClr val="7B60ED"/>
                </a:solidFill>
              </a:endParaRPr>
            </a:p>
          </xdr:txBody>
        </xdr:sp>
      </xdr:grpSp>
      <xdr:grpSp>
        <xdr:nvGrpSpPr>
          <xdr:cNvPr id="61" name="Group 60">
            <a:extLst>
              <a:ext uri="{FF2B5EF4-FFF2-40B4-BE49-F238E27FC236}">
                <a16:creationId xmlns:a16="http://schemas.microsoft.com/office/drawing/2014/main" id="{4A0F20B2-3D92-5E9C-4429-815607E0B62E}"/>
              </a:ext>
            </a:extLst>
          </xdr:cNvPr>
          <xdr:cNvGrpSpPr/>
        </xdr:nvGrpSpPr>
        <xdr:grpSpPr>
          <a:xfrm>
            <a:off x="8211477" y="2652208"/>
            <a:ext cx="1679907" cy="399905"/>
            <a:chOff x="8193157" y="2671307"/>
            <a:chExt cx="1683026" cy="399905"/>
          </a:xfrm>
        </xdr:grpSpPr>
        <xdr:sp macro="" textlink="">
          <xdr:nvSpPr>
            <xdr:cNvPr id="59" name="TextBox 58">
              <a:extLst>
                <a:ext uri="{FF2B5EF4-FFF2-40B4-BE49-F238E27FC236}">
                  <a16:creationId xmlns:a16="http://schemas.microsoft.com/office/drawing/2014/main" id="{73A3210B-4B26-4ED7-98F5-F5ECDC97A2E1}"/>
                </a:ext>
              </a:extLst>
            </xdr:cNvPr>
            <xdr:cNvSpPr txBox="1"/>
          </xdr:nvSpPr>
          <xdr:spPr>
            <a:xfrm>
              <a:off x="8193157" y="2671307"/>
              <a:ext cx="1683026" cy="21437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ctr">
              <a:noAutofit/>
            </a:bodyPr>
            <a:lstStyle/>
            <a:p>
              <a:pPr algn="ctr"/>
              <a:r>
                <a:rPr lang="sr-Latn-RS" sz="900" b="1">
                  <a:solidFill>
                    <a:schemeClr val="tx1">
                      <a:lumMod val="75000"/>
                      <a:lumOff val="25000"/>
                    </a:schemeClr>
                  </a:solidFill>
                  <a:latin typeface="Bahnschrift" panose="020B0502040204020203" pitchFamily="34" charset="0"/>
                </a:rPr>
                <a:t>TOTAL ORGANIC SESSIONS</a:t>
              </a:r>
              <a:endParaRPr lang="en-US" sz="900" b="1">
                <a:solidFill>
                  <a:schemeClr val="tx1">
                    <a:lumMod val="75000"/>
                    <a:lumOff val="25000"/>
                  </a:schemeClr>
                </a:solidFill>
                <a:latin typeface="Bahnschrift" panose="020B0502040204020203" pitchFamily="34" charset="0"/>
              </a:endParaRPr>
            </a:p>
          </xdr:txBody>
        </xdr:sp>
        <xdr:sp macro="" textlink="'Helper Sheet'!D1">
          <xdr:nvSpPr>
            <xdr:cNvPr id="60" name="TextBox 59">
              <a:extLst>
                <a:ext uri="{FF2B5EF4-FFF2-40B4-BE49-F238E27FC236}">
                  <a16:creationId xmlns:a16="http://schemas.microsoft.com/office/drawing/2014/main" id="{30435DF3-71F8-442B-980C-0AD65F6FC558}"/>
                </a:ext>
              </a:extLst>
            </xdr:cNvPr>
            <xdr:cNvSpPr txBox="1"/>
          </xdr:nvSpPr>
          <xdr:spPr>
            <a:xfrm>
              <a:off x="8193157" y="2856838"/>
              <a:ext cx="1683026" cy="21437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ctr">
              <a:noAutofit/>
            </a:bodyPr>
            <a:lstStyle/>
            <a:p>
              <a:pPr algn="ctr"/>
              <a:fld id="{529D1D4C-6C77-48C0-ADB0-92F9981BE8A9}" type="TxLink">
                <a:rPr lang="en-US" sz="1000" b="1" i="0" u="none" strike="noStrike">
                  <a:solidFill>
                    <a:srgbClr val="7B60ED"/>
                  </a:solidFill>
                  <a:latin typeface="Bahnschrift"/>
                </a:rPr>
                <a:t>August 2024</a:t>
              </a:fld>
              <a:endParaRPr lang="en-US" sz="700" b="1">
                <a:solidFill>
                  <a:srgbClr val="7B60ED"/>
                </a:solidFill>
                <a:latin typeface="Bahnschrift" panose="020B0502040204020203" pitchFamily="34" charset="0"/>
              </a:endParaRPr>
            </a:p>
          </xdr:txBody>
        </xdr:sp>
      </xdr:grpSp>
    </xdr:grpSp>
    <xdr:clientData/>
  </xdr:twoCellAnchor>
  <xdr:twoCellAnchor>
    <xdr:from>
      <xdr:col>10</xdr:col>
      <xdr:colOff>648780</xdr:colOff>
      <xdr:row>16</xdr:row>
      <xdr:rowOff>82731</xdr:rowOff>
    </xdr:from>
    <xdr:to>
      <xdr:col>12</xdr:col>
      <xdr:colOff>964621</xdr:colOff>
      <xdr:row>25</xdr:row>
      <xdr:rowOff>169913</xdr:rowOff>
    </xdr:to>
    <xdr:grpSp>
      <xdr:nvGrpSpPr>
        <xdr:cNvPr id="74" name="Group 73">
          <a:extLst>
            <a:ext uri="{FF2B5EF4-FFF2-40B4-BE49-F238E27FC236}">
              <a16:creationId xmlns:a16="http://schemas.microsoft.com/office/drawing/2014/main" id="{1C5DB5F6-7B74-D13B-B2C1-0FE87B99B1E8}"/>
            </a:ext>
          </a:extLst>
        </xdr:cNvPr>
        <xdr:cNvGrpSpPr/>
      </xdr:nvGrpSpPr>
      <xdr:grpSpPr>
        <a:xfrm>
          <a:off x="8146860" y="4959531"/>
          <a:ext cx="1778881" cy="2144582"/>
          <a:chOff x="8149718" y="4969056"/>
          <a:chExt cx="1777928" cy="2144582"/>
        </a:xfrm>
      </xdr:grpSpPr>
      <xdr:sp macro="" textlink="">
        <xdr:nvSpPr>
          <xdr:cNvPr id="64" name="Rectangle 63">
            <a:extLst>
              <a:ext uri="{FF2B5EF4-FFF2-40B4-BE49-F238E27FC236}">
                <a16:creationId xmlns:a16="http://schemas.microsoft.com/office/drawing/2014/main" id="{384E7F17-084E-E5CF-E4BD-319FDD61D4F4}"/>
              </a:ext>
            </a:extLst>
          </xdr:cNvPr>
          <xdr:cNvSpPr/>
        </xdr:nvSpPr>
        <xdr:spPr>
          <a:xfrm>
            <a:off x="8149718" y="4969056"/>
            <a:ext cx="1777928" cy="2144582"/>
          </a:xfrm>
          <a:prstGeom prst="rect">
            <a:avLst/>
          </a:prstGeom>
          <a:solidFill>
            <a:schemeClr val="bg1"/>
          </a:solidFill>
          <a:ln>
            <a:solidFill>
              <a:schemeClr val="bg1">
                <a:lumMod val="75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grpSp>
        <xdr:nvGrpSpPr>
          <xdr:cNvPr id="73" name="Group 72">
            <a:extLst>
              <a:ext uri="{FF2B5EF4-FFF2-40B4-BE49-F238E27FC236}">
                <a16:creationId xmlns:a16="http://schemas.microsoft.com/office/drawing/2014/main" id="{73AA18BC-DB0B-A7D4-8AA3-23E9BD0EACD2}"/>
              </a:ext>
            </a:extLst>
          </xdr:cNvPr>
          <xdr:cNvGrpSpPr/>
        </xdr:nvGrpSpPr>
        <xdr:grpSpPr>
          <a:xfrm>
            <a:off x="8322945" y="5503543"/>
            <a:ext cx="1428247" cy="1431105"/>
            <a:chOff x="8322945" y="5503543"/>
            <a:chExt cx="1428247" cy="1431105"/>
          </a:xfrm>
        </xdr:grpSpPr>
        <xdr:pic>
          <xdr:nvPicPr>
            <xdr:cNvPr id="72" name="Graphic 71">
              <a:extLst>
                <a:ext uri="{FF2B5EF4-FFF2-40B4-BE49-F238E27FC236}">
                  <a16:creationId xmlns:a16="http://schemas.microsoft.com/office/drawing/2014/main" id="{F47A7A19-0A2B-8B73-FEA3-D5F325DFCF0A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7">
              <a:extLst>
                <a:ext uri="{96DAC541-7B7A-43D3-8B79-37D633B846F1}">
                  <asvg:svgBlip xmlns:asvg="http://schemas.microsoft.com/office/drawing/2016/SVG/main" r:embed="rId18"/>
                </a:ext>
              </a:extLst>
            </a:blip>
            <a:stretch>
              <a:fillRect/>
            </a:stretch>
          </xdr:blipFill>
          <xdr:spPr>
            <a:xfrm>
              <a:off x="8322945" y="5503543"/>
              <a:ext cx="1428247" cy="1431105"/>
            </a:xfrm>
            <a:prstGeom prst="rect">
              <a:avLst/>
            </a:prstGeom>
          </xdr:spPr>
        </xdr:pic>
        <xdr:sp macro="" textlink="'Helper Sheet'!I7">
          <xdr:nvSpPr>
            <xdr:cNvPr id="70" name="Oval 69">
              <a:extLst>
                <a:ext uri="{FF2B5EF4-FFF2-40B4-BE49-F238E27FC236}">
                  <a16:creationId xmlns:a16="http://schemas.microsoft.com/office/drawing/2014/main" id="{03F747F8-C381-6A7D-6CE5-B1FB24B9F863}"/>
                </a:ext>
              </a:extLst>
            </xdr:cNvPr>
            <xdr:cNvSpPr/>
          </xdr:nvSpPr>
          <xdr:spPr>
            <a:xfrm>
              <a:off x="8534547" y="5719420"/>
              <a:ext cx="1005042" cy="999351"/>
            </a:xfrm>
            <a:prstGeom prst="ellipse">
              <a:avLst/>
            </a:prstGeom>
            <a:solidFill>
              <a:schemeClr val="bg1"/>
            </a:solidFill>
            <a:ln>
              <a:noFill/>
            </a:ln>
            <a:effectLst>
              <a:outerShdw blurRad="101600" dist="1143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none" lIns="0" tIns="0" rIns="0" bIns="0" rtlCol="0" anchor="ctr"/>
            <a:lstStyle/>
            <a:p>
              <a:pPr algn="ctr"/>
              <a:fld id="{A07BC938-3884-482E-8FBB-0886443AD703}" type="TxLink">
                <a:rPr lang="en-US" sz="2800" b="1" i="0" u="none" strike="noStrike">
                  <a:solidFill>
                    <a:srgbClr val="FA1787"/>
                  </a:solidFill>
                  <a:latin typeface="Bahnschrift"/>
                </a:rPr>
                <a:t>$20</a:t>
              </a:fld>
              <a:endParaRPr lang="en-US" sz="6600" b="1">
                <a:solidFill>
                  <a:srgbClr val="FA1787"/>
                </a:solidFill>
              </a:endParaRPr>
            </a:p>
          </xdr:txBody>
        </xdr:sp>
      </xdr:grpSp>
      <xdr:grpSp>
        <xdr:nvGrpSpPr>
          <xdr:cNvPr id="66" name="Group 65">
            <a:extLst>
              <a:ext uri="{FF2B5EF4-FFF2-40B4-BE49-F238E27FC236}">
                <a16:creationId xmlns:a16="http://schemas.microsoft.com/office/drawing/2014/main" id="{DDF9AF19-5DC9-EE2F-0C3F-7FA1F22460EF}"/>
              </a:ext>
            </a:extLst>
          </xdr:cNvPr>
          <xdr:cNvGrpSpPr/>
        </xdr:nvGrpSpPr>
        <xdr:grpSpPr>
          <a:xfrm>
            <a:off x="8199954" y="5057600"/>
            <a:ext cx="1677703" cy="396968"/>
            <a:chOff x="8193157" y="2671307"/>
            <a:chExt cx="1683026" cy="399905"/>
          </a:xfrm>
        </xdr:grpSpPr>
        <xdr:sp macro="" textlink="">
          <xdr:nvSpPr>
            <xdr:cNvPr id="67" name="TextBox 66">
              <a:extLst>
                <a:ext uri="{FF2B5EF4-FFF2-40B4-BE49-F238E27FC236}">
                  <a16:creationId xmlns:a16="http://schemas.microsoft.com/office/drawing/2014/main" id="{37E54A90-C08E-F01F-12FF-A0E9B4F788DF}"/>
                </a:ext>
              </a:extLst>
            </xdr:cNvPr>
            <xdr:cNvSpPr txBox="1"/>
          </xdr:nvSpPr>
          <xdr:spPr>
            <a:xfrm>
              <a:off x="8193157" y="2671307"/>
              <a:ext cx="1683026" cy="21437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ctr">
              <a:noAutofit/>
            </a:bodyPr>
            <a:lstStyle/>
            <a:p>
              <a:pPr algn="ctr"/>
              <a:r>
                <a:rPr lang="sr-Latn-RS" sz="900" b="1">
                  <a:solidFill>
                    <a:schemeClr val="tx1">
                      <a:lumMod val="75000"/>
                      <a:lumOff val="25000"/>
                    </a:schemeClr>
                  </a:solidFill>
                  <a:latin typeface="Bahnschrift" panose="020B0502040204020203" pitchFamily="34" charset="0"/>
                </a:rPr>
                <a:t>COST PER ACQUISITION</a:t>
              </a:r>
              <a:endParaRPr lang="en-US" sz="900" b="1">
                <a:solidFill>
                  <a:schemeClr val="tx1">
                    <a:lumMod val="75000"/>
                    <a:lumOff val="25000"/>
                  </a:schemeClr>
                </a:solidFill>
                <a:latin typeface="Bahnschrift" panose="020B0502040204020203" pitchFamily="34" charset="0"/>
              </a:endParaRPr>
            </a:p>
          </xdr:txBody>
        </xdr:sp>
        <xdr:sp macro="" textlink="'Helper Sheet'!D1">
          <xdr:nvSpPr>
            <xdr:cNvPr id="68" name="TextBox 67">
              <a:extLst>
                <a:ext uri="{FF2B5EF4-FFF2-40B4-BE49-F238E27FC236}">
                  <a16:creationId xmlns:a16="http://schemas.microsoft.com/office/drawing/2014/main" id="{944CBC84-B8B2-69E8-7632-085AF0505703}"/>
                </a:ext>
              </a:extLst>
            </xdr:cNvPr>
            <xdr:cNvSpPr txBox="1"/>
          </xdr:nvSpPr>
          <xdr:spPr>
            <a:xfrm>
              <a:off x="8193157" y="2856838"/>
              <a:ext cx="1683026" cy="21437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ctr">
              <a:noAutofit/>
            </a:bodyPr>
            <a:lstStyle/>
            <a:p>
              <a:pPr algn="ctr"/>
              <a:fld id="{529D1D4C-6C77-48C0-ADB0-92F9981BE8A9}" type="TxLink">
                <a:rPr lang="en-US" sz="1000" b="1" i="0" u="none" strike="noStrike">
                  <a:solidFill>
                    <a:srgbClr val="FA1787"/>
                  </a:solidFill>
                  <a:latin typeface="Bahnschrift"/>
                </a:rPr>
                <a:t>August 2024</a:t>
              </a:fld>
              <a:endParaRPr lang="en-US" sz="700" b="1">
                <a:solidFill>
                  <a:srgbClr val="FA1787"/>
                </a:solidFill>
                <a:latin typeface="Bahnschrift" panose="020B0502040204020203" pitchFamily="34" charset="0"/>
              </a:endParaRPr>
            </a:p>
          </xdr:txBody>
        </xdr:sp>
      </xdr:grp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14287</xdr:rowOff>
    </xdr:from>
    <xdr:to>
      <xdr:col>1</xdr:col>
      <xdr:colOff>2160027</xdr:colOff>
      <xdr:row>4</xdr:row>
      <xdr:rowOff>104775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CDC42F4-ACC6-44EF-BB2B-8C0C874C3F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380047"/>
          <a:ext cx="2160027" cy="456248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1FCA2788-DDD9-404B-A00F-2913CA6798F1}" name="Visibility" displayName="Visibility" ref="B4:D28" totalsRowShown="0" headerRowDxfId="31" dataDxfId="12" headerRowBorderDxfId="29" tableBorderDxfId="30" totalsRowBorderDxfId="28">
  <tableColumns count="3">
    <tableColumn id="1" xr3:uid="{7A7C58DE-A1B0-46E4-9559-CED814D7C7BB}" name="MONTH" dataDxfId="15"/>
    <tableColumn id="2" xr3:uid="{D106FF51-7509-46E9-A63F-0EE38AB49699}" name="YEAR" dataDxfId="14"/>
    <tableColumn id="3" xr3:uid="{6814E186-64BE-4146-851A-17C1FFE05FA5}" name="VISIBILITY" dataDxfId="13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07711C3-49D3-4E7F-ADCC-24AC82EA77B1}" name="Keyword6" displayName="Keyword6" ref="AA5:AD29" totalsRowShown="0" headerRowDxfId="93" headerRowBorderDxfId="91" tableBorderDxfId="92" totalsRowBorderDxfId="90">
  <tableColumns count="4">
    <tableColumn id="1" xr3:uid="{E18341F1-28AE-406F-9C33-D73A0E8B15EB}" name="MONTH" dataDxfId="89"/>
    <tableColumn id="2" xr3:uid="{1429F59D-6D43-4DEE-9518-314049462315}" name="YEAR" dataDxfId="88"/>
    <tableColumn id="3" xr3:uid="{A9CB8BF4-3595-44C3-9EDD-94C86BEBD515}" name="SESSIONS" dataDxfId="37"/>
    <tableColumn id="4" xr3:uid="{7EC97D2C-3A96-47D7-93D2-2F4CB24B29E1}" name="RANKING" dataDxfId="87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7AA76368-D199-4262-87F0-2F09B81F4925}" name="Keyword7" displayName="Keyword7" ref="AF5:AI29" totalsRowShown="0" headerRowDxfId="86" headerRowBorderDxfId="84" tableBorderDxfId="85" totalsRowBorderDxfId="83">
  <tableColumns count="4">
    <tableColumn id="1" xr3:uid="{3F162F67-3CAA-4424-B540-2E571C1FD4DD}" name="MONTH" dataDxfId="82"/>
    <tableColumn id="2" xr3:uid="{584E1D5A-5FFD-43D5-B19A-35FC598D9576}" name="YEAR" dataDxfId="81"/>
    <tableColumn id="3" xr3:uid="{DC523206-D507-4EFB-A463-0E1B1B787483}" name="SESSIONS" dataDxfId="38"/>
    <tableColumn id="4" xr3:uid="{59BAC611-2CF4-4BD3-AB45-458EAC3C9192}" name="RANKING" dataDxfId="80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73CFEDE7-6F38-41AE-A71F-DE875F000EE7}" name="Keyword8" displayName="Keyword8" ref="AK5:AN29" totalsRowShown="0" headerRowDxfId="79" headerRowBorderDxfId="77" tableBorderDxfId="78" totalsRowBorderDxfId="76">
  <tableColumns count="4">
    <tableColumn id="1" xr3:uid="{20241125-F12F-4074-908D-BBD23EBEB3E0}" name="MONTH" dataDxfId="75"/>
    <tableColumn id="2" xr3:uid="{B0265C7E-B197-4E90-9BAF-D9B8E7C53561}" name="YEAR" dataDxfId="74"/>
    <tableColumn id="3" xr3:uid="{D42A908A-7891-47FC-BFAE-99C00945AB49}" name="SESSIONS" dataDxfId="39"/>
    <tableColumn id="4" xr3:uid="{80B4624A-6875-41B5-859A-6A886B9F6A08}" name="RANKING" dataDxfId="73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76D2AF7A-F887-4878-9F0E-F9EC1387F078}" name="Keyword9" displayName="Keyword9" ref="AP5:AS29" totalsRowShown="0" headerRowDxfId="72" headerRowBorderDxfId="70" tableBorderDxfId="71" totalsRowBorderDxfId="69">
  <tableColumns count="4">
    <tableColumn id="1" xr3:uid="{154F6457-1B0A-4A78-BAB7-53D156A45C0A}" name="MONTH" dataDxfId="68"/>
    <tableColumn id="2" xr3:uid="{EFC96E72-B41E-481B-B741-730742CB948A}" name="YEAR" dataDxfId="67"/>
    <tableColumn id="3" xr3:uid="{A6151CA8-656D-4C2A-B6B7-469BE8987E41}" name="SESSIONS" dataDxfId="40"/>
    <tableColumn id="4" xr3:uid="{EC2856C6-35FD-46EF-A418-7A46C13B175E}" name="RANKING" dataDxfId="66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B3A770A8-6DF1-4FE7-B264-685CF639B3F4}" name="Keyword10" displayName="Keyword10" ref="AU5:AX29" totalsRowShown="0" headerRowDxfId="65" headerRowBorderDxfId="63" tableBorderDxfId="64" totalsRowBorderDxfId="62">
  <tableColumns count="4">
    <tableColumn id="1" xr3:uid="{20D35D03-8F0A-4EEE-BD3C-514F2056EE5E}" name="MONTH" dataDxfId="61"/>
    <tableColumn id="2" xr3:uid="{07AA3883-055A-43AA-821B-A8743CBF1F66}" name="YEAR" dataDxfId="60"/>
    <tableColumn id="3" xr3:uid="{118B5210-CEC5-4F43-8572-CB8BBE67B985}" name="SESSIONS" dataDxfId="41"/>
    <tableColumn id="4" xr3:uid="{22DC3E94-1718-424B-BE9D-1F7EE0949106}" name="RANKING" dataDxfId="59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EF15395F-A1FC-4064-B6A3-EB28E36B3543}" name="Sessions_By_Devices" displayName="Sessions_By_Devices" ref="AZ5:BE29" totalsRowShown="0" headerRowDxfId="51" headerRowBorderDxfId="49" tableBorderDxfId="50" totalsRowBorderDxfId="48">
  <tableColumns count="6">
    <tableColumn id="1" xr3:uid="{2F5386FD-14F5-49D8-978D-F412391B07F3}" name="MONTH" dataDxfId="47"/>
    <tableColumn id="2" xr3:uid="{9175F2A3-F9E0-4340-A238-A61B060D96BA}" name="YEAR" dataDxfId="46"/>
    <tableColumn id="7" xr3:uid="{6D9B2783-86E2-42FD-A1BF-463485CCDEB3}" name="MOBILE" dataDxfId="45"/>
    <tableColumn id="6" xr3:uid="{83B9C00F-41D2-41C8-BB33-9D69889F2B1E}" name="TABLET" dataDxfId="44"/>
    <tableColumn id="5" xr3:uid="{08163E28-D71E-4EEB-A691-D189B969DCC5}" name="DESKTOP" dataDxfId="43"/>
    <tableColumn id="3" xr3:uid="{5B80C468-3B7D-4D29-8309-038DCC0EFFFE}" name="SESSIONS" dataDxfId="42">
      <calculatedColumnFormula>SUM(Sessions_By_Devices[[#This Row],[MOBILE]:[DESKTOP]])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82FD0DE5-0577-4761-9675-E5F2EE7F4225}" name="CTR" displayName="CTR" ref="F4:H28" totalsRowShown="0" headerRowDxfId="27" dataDxfId="8" headerRowBorderDxfId="25" tableBorderDxfId="26" totalsRowBorderDxfId="24">
  <tableColumns count="3">
    <tableColumn id="1" xr3:uid="{F5E6D66A-E083-439F-A68D-F73D89373517}" name="MONTH" dataDxfId="11"/>
    <tableColumn id="2" xr3:uid="{D814CF46-9A66-42EF-8490-C2A975EDCC6B}" name="YEAR" dataDxfId="10"/>
    <tableColumn id="3" xr3:uid="{3BF9BB0D-469F-4833-82F1-02716DCE5974}" name="CTR" dataDxfId="9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5907623C-9B1C-42E0-92AB-E2B21697CE7C}" name="BOUNCE_RATE" displayName="BOUNCE_RATE" ref="J4:L28" totalsRowShown="0" headerRowDxfId="23" dataDxfId="4" headerRowBorderDxfId="21" tableBorderDxfId="22" totalsRowBorderDxfId="20">
  <tableColumns count="3">
    <tableColumn id="1" xr3:uid="{EB87C478-F40A-46E4-84B4-AB256923180E}" name="MONTH" dataDxfId="7"/>
    <tableColumn id="2" xr3:uid="{418D2D9A-117A-4DC6-9E99-009173B10E20}" name="YEAR" dataDxfId="6"/>
    <tableColumn id="3" xr3:uid="{B12447C4-D3FF-44CF-BFE6-618DC6E14742}" name="BOUNCE RATE" dataDxfId="5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D711EFE9-013D-49E2-A09F-9264A58A355F}" name="CPA" displayName="CPA" ref="N4:P28" totalsRowShown="0" headerRowDxfId="19" dataDxfId="0" headerRowBorderDxfId="17" tableBorderDxfId="18" totalsRowBorderDxfId="16">
  <tableColumns count="3">
    <tableColumn id="1" xr3:uid="{BC6392F3-C2BD-4D8F-8745-2752CB86FD22}" name="MONTH" dataDxfId="3"/>
    <tableColumn id="2" xr3:uid="{75EE6021-1A96-4A37-9305-0B0B08F29964}" name="YEAR" dataDxfId="2"/>
    <tableColumn id="3" xr3:uid="{60A9CCF3-FE91-4523-838D-DA6C1D471179}" name="CPA" dataDxfId="1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C256E1F-6318-4E04-B1E0-ED805F10A3EF}" name="Keyword1" displayName="Keyword1" ref="B5:E29" totalsRowShown="0" headerRowDxfId="115" headerRowBorderDxfId="120" tableBorderDxfId="121" totalsRowBorderDxfId="119">
  <tableColumns count="4">
    <tableColumn id="1" xr3:uid="{BE9D6F09-C82F-4873-8627-CA805FA26298}" name="MONTH" dataDxfId="118"/>
    <tableColumn id="2" xr3:uid="{4360A949-C8F0-4745-B63D-6F30B50F9A07}" name="YEAR" dataDxfId="117"/>
    <tableColumn id="3" xr3:uid="{88B65767-AAA5-4F1F-8A36-238617083AAB}" name="SESSIONS" dataDxfId="32"/>
    <tableColumn id="4" xr3:uid="{0783BD43-F215-4299-B5C0-AEBB6AAE9ED3}" name="RANKING" dataDxfId="116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4D719F7-D41C-45F1-A4EF-7BEEBFB0ACD1}" name="Keyword2" displayName="Keyword2" ref="G5:J29" totalsRowShown="0" headerRowDxfId="58" headerRowBorderDxfId="56" tableBorderDxfId="57" totalsRowBorderDxfId="55">
  <tableColumns count="4">
    <tableColumn id="1" xr3:uid="{9A57F757-3F1E-4029-8341-B03E9AE38BC6}" name="MONTH" dataDxfId="54"/>
    <tableColumn id="2" xr3:uid="{5905094F-55AB-4A97-BEE2-35409223F637}" name="YEAR" dataDxfId="53"/>
    <tableColumn id="3" xr3:uid="{82E4158E-D56E-477C-9C3C-4DD72C4AD263}" name="SESSIONS" dataDxfId="33"/>
    <tableColumn id="4" xr3:uid="{6F5DABAA-5CF9-4610-B678-99EC141B3340}" name="RANKING" dataDxfId="5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7F256FF-986F-4500-BBF2-928E86C8272A}" name="Keyword3" displayName="Keyword3" ref="L5:O29" totalsRowShown="0" headerRowDxfId="114" headerRowBorderDxfId="112" tableBorderDxfId="113" totalsRowBorderDxfId="111">
  <tableColumns count="4">
    <tableColumn id="1" xr3:uid="{079A7E20-0A3F-4239-99A2-A3C5AAD5CB76}" name="MONTH" dataDxfId="110"/>
    <tableColumn id="2" xr3:uid="{1E689F85-AAC7-4F00-B591-09A6205591F6}" name="YEAR" dataDxfId="109"/>
    <tableColumn id="3" xr3:uid="{7D394D19-5EA0-469C-97E8-DC70A9E11ED0}" name="SESSIONS" dataDxfId="34"/>
    <tableColumn id="4" xr3:uid="{2D66C059-F7AC-479C-9645-BB744838B78C}" name="RANKING" dataDxfId="108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193E904-BCF6-4AAB-9176-480D487C8E07}" name="Keyword4" displayName="Keyword4" ref="Q5:T29" totalsRowShown="0" headerRowDxfId="107" headerRowBorderDxfId="105" tableBorderDxfId="106" totalsRowBorderDxfId="104">
  <tableColumns count="4">
    <tableColumn id="1" xr3:uid="{9F856B6B-C1D7-4168-9B7E-6B1AD0E32C24}" name="MONTH" dataDxfId="103"/>
    <tableColumn id="2" xr3:uid="{84453EAB-ACE8-433E-8568-BE3F4C0CB1D7}" name="YEAR" dataDxfId="102"/>
    <tableColumn id="3" xr3:uid="{8FD7CDF2-F922-46CD-ABE3-6659511F2E41}" name="SESSIONS" dataDxfId="35"/>
    <tableColumn id="4" xr3:uid="{0CEDF1C7-3DB6-419A-A2A0-ADEBC4F7BF92}" name="RANKING" dataDxfId="101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CE9BBAF-7E9B-4B88-BCFC-F6A592C6F41B}" name="Keyword5" displayName="Keyword5" ref="V5:Y29" totalsRowShown="0" headerRowDxfId="100" headerRowBorderDxfId="98" tableBorderDxfId="99" totalsRowBorderDxfId="97">
  <tableColumns count="4">
    <tableColumn id="1" xr3:uid="{72FC9C11-8A3B-422B-825B-F8B185E23F9D}" name="MONTH" dataDxfId="96"/>
    <tableColumn id="2" xr3:uid="{BDB8BA62-E9AD-4B6D-92B8-78433B241D8A}" name="YEAR" dataDxfId="95"/>
    <tableColumn id="3" xr3:uid="{F3BD1E97-9360-4732-BACF-A765DE2457E1}" name="SESSIONS" dataDxfId="36"/>
    <tableColumn id="4" xr3:uid="{A9C32C66-1A3B-4504-B91A-45ACCEE5BDA2}" name="RANKING" dataDxfId="9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no"?>
<Relationships xmlns="http://schemas.openxmlformats.org/package/2006/relationships">
<Relationship Id="rId1" Target="../tables/table1.xml" Type="http://schemas.openxmlformats.org/officeDocument/2006/relationships/table"/>
<Relationship Id="rId2" Target="../tables/table2.xml" Type="http://schemas.openxmlformats.org/officeDocument/2006/relationships/table"/>
<Relationship Id="rId3" Target="../tables/table3.xml" Type="http://schemas.openxmlformats.org/officeDocument/2006/relationships/table"/>
<Relationship Id="rId4" Target="../tables/table4.xml" Type="http://schemas.openxmlformats.org/officeDocument/2006/relationships/table"/>
</Relationships>

</file>

<file path=xl/worksheets/_rels/sheet3.xml.rels><?xml version="1.0" encoding="UTF-8" standalone="no"?>
<Relationships xmlns="http://schemas.openxmlformats.org/package/2006/relationships">
<Relationship Id="rId1" Target="../tables/table5.xml" Type="http://schemas.openxmlformats.org/officeDocument/2006/relationships/table"/>
<Relationship Id="rId10" Target="../tables/table14.xml" Type="http://schemas.openxmlformats.org/officeDocument/2006/relationships/table"/>
<Relationship Id="rId11" Target="../tables/table15.xml" Type="http://schemas.openxmlformats.org/officeDocument/2006/relationships/table"/>
<Relationship Id="rId2" Target="../tables/table6.xml" Type="http://schemas.openxmlformats.org/officeDocument/2006/relationships/table"/>
<Relationship Id="rId3" Target="../tables/table7.xml" Type="http://schemas.openxmlformats.org/officeDocument/2006/relationships/table"/>
<Relationship Id="rId4" Target="../tables/table8.xml" Type="http://schemas.openxmlformats.org/officeDocument/2006/relationships/table"/>
<Relationship Id="rId5" Target="../tables/table9.xml" Type="http://schemas.openxmlformats.org/officeDocument/2006/relationships/table"/>
<Relationship Id="rId6" Target="../tables/table10.xml" Type="http://schemas.openxmlformats.org/officeDocument/2006/relationships/table"/>
<Relationship Id="rId7" Target="../tables/table11.xml" Type="http://schemas.openxmlformats.org/officeDocument/2006/relationships/table"/>
<Relationship Id="rId8" Target="../tables/table12.xml" Type="http://schemas.openxmlformats.org/officeDocument/2006/relationships/table"/>
<Relationship Id="rId9" Target="../tables/table13.xml" Type="http://schemas.openxmlformats.org/officeDocument/2006/relationships/table"/>
</Relationships>

</file>

<file path=xl/worksheets/_rels/sheet4.xml.rels><?xml version="1.0" encoding="UTF-8" standalone="no"?>
<Relationships xmlns="http://schemas.openxmlformats.org/package/2006/relationships">
<Relationship Id="rId1" Target="../printerSettings/printerSettings1.bin" Type="http://schemas.openxmlformats.org/officeDocument/2006/relationships/printerSettings"/>
<Relationship Id="rId2" Target="../drawings/drawing1.xml" Type="http://schemas.openxmlformats.org/officeDocument/2006/relationships/drawing"/>
</Relationships>

</file>

<file path=xl/worksheets/_rels/sheet5.xml.rels><?xml version="1.0" encoding="UTF-8" standalone="no"?>
<Relationships xmlns="http://schemas.openxmlformats.org/package/2006/relationships">
<Relationship Id="rId1" Target="https://templatelab.com/" TargetMode="External" Type="http://schemas.openxmlformats.org/officeDocument/2006/relationships/hyperlink"/>
<Relationship Id="rId2" Target="../drawings/drawing2.xml" Type="http://schemas.openxmlformats.org/officeDocument/2006/relationships/drawing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8BBD28-790E-4B52-B733-DB6D2ED66A2E}">
  <dimension ref="A1:Q34"/>
  <sheetViews>
    <sheetView zoomScale="85" zoomScaleNormal="85" workbookViewId="0">
      <selection activeCell="A34" sqref="A34"/>
    </sheetView>
  </sheetViews>
  <sheetFormatPr defaultRowHeight="13.2" x14ac:dyDescent="0.3"/>
  <cols>
    <col min="1" max="1" width="8.88671875" style="2"/>
    <col min="2" max="2" width="12.21875" style="2" customWidth="1"/>
    <col min="3" max="3" width="8.88671875" style="2"/>
    <col min="4" max="4" width="13.21875" style="2" customWidth="1"/>
    <col min="5" max="5" width="8.88671875" style="2"/>
    <col min="6" max="6" width="16.109375" style="2" customWidth="1"/>
    <col min="7" max="7" width="8.88671875" style="2"/>
    <col min="8" max="8" width="11.77734375" style="3" customWidth="1"/>
    <col min="9" max="9" width="8.88671875" style="2"/>
    <col min="10" max="10" width="16.109375" style="2" customWidth="1"/>
    <col min="11" max="11" width="8.88671875" style="2"/>
    <col min="12" max="12" width="15.6640625" style="3" customWidth="1"/>
    <col min="13" max="13" width="8.88671875" style="2"/>
    <col min="14" max="14" width="16.109375" style="2" customWidth="1"/>
    <col min="15" max="15" width="8.88671875" style="2"/>
    <col min="16" max="16" width="15.6640625" style="3" customWidth="1"/>
    <col min="17" max="16384" width="8.88671875" style="2"/>
  </cols>
  <sheetData>
    <row r="1" spans="1:17" x14ac:dyDescent="0.3">
      <c r="A1" s="5"/>
      <c r="B1" s="5"/>
      <c r="C1" s="5"/>
      <c r="D1" s="5"/>
      <c r="E1" s="5"/>
      <c r="F1" s="5"/>
      <c r="G1" s="5"/>
      <c r="H1" s="6"/>
      <c r="I1" s="5"/>
      <c r="J1" s="5"/>
      <c r="K1" s="5"/>
      <c r="L1" s="6"/>
      <c r="M1" s="5"/>
      <c r="N1" s="5"/>
      <c r="O1" s="5"/>
      <c r="P1" s="6"/>
      <c r="Q1" s="5"/>
    </row>
    <row r="2" spans="1:17" x14ac:dyDescent="0.3">
      <c r="A2" s="5"/>
      <c r="B2" s="5"/>
      <c r="C2" s="5"/>
      <c r="D2" s="5"/>
      <c r="E2" s="5"/>
      <c r="F2" s="5"/>
      <c r="G2" s="5"/>
      <c r="H2" s="6"/>
      <c r="I2" s="5"/>
      <c r="J2" s="5"/>
      <c r="K2" s="5"/>
      <c r="L2" s="6"/>
      <c r="M2" s="5"/>
      <c r="N2" s="5"/>
      <c r="O2" s="5"/>
      <c r="P2" s="6"/>
      <c r="Q2" s="5"/>
    </row>
    <row r="3" spans="1:17" ht="22.8" customHeight="1" x14ac:dyDescent="0.3">
      <c r="A3" s="5"/>
      <c r="B3" s="60" t="s">
        <v>40</v>
      </c>
      <c r="C3" s="60"/>
      <c r="D3" s="60"/>
      <c r="E3" s="5"/>
      <c r="F3" s="64" t="s">
        <v>47</v>
      </c>
      <c r="G3" s="64"/>
      <c r="H3" s="64"/>
      <c r="I3" s="5"/>
      <c r="J3" s="65" t="s">
        <v>48</v>
      </c>
      <c r="K3" s="65"/>
      <c r="L3" s="65"/>
      <c r="M3" s="5"/>
      <c r="N3" s="65" t="s">
        <v>49</v>
      </c>
      <c r="O3" s="65"/>
      <c r="P3" s="65"/>
      <c r="Q3" s="5"/>
    </row>
    <row r="4" spans="1:17" x14ac:dyDescent="0.3">
      <c r="A4" s="5"/>
      <c r="B4" s="10" t="s">
        <v>13</v>
      </c>
      <c r="C4" s="11" t="s">
        <v>14</v>
      </c>
      <c r="D4" s="11" t="s">
        <v>41</v>
      </c>
      <c r="E4" s="5"/>
      <c r="F4" s="10" t="s">
        <v>13</v>
      </c>
      <c r="G4" s="11" t="s">
        <v>14</v>
      </c>
      <c r="H4" s="11" t="s">
        <v>47</v>
      </c>
      <c r="I4" s="5"/>
      <c r="J4" s="10" t="s">
        <v>13</v>
      </c>
      <c r="K4" s="11" t="s">
        <v>14</v>
      </c>
      <c r="L4" s="11" t="s">
        <v>48</v>
      </c>
      <c r="M4" s="5"/>
      <c r="N4" s="10" t="s">
        <v>13</v>
      </c>
      <c r="O4" s="11" t="s">
        <v>14</v>
      </c>
      <c r="P4" s="11" t="s">
        <v>49</v>
      </c>
      <c r="Q4" s="5"/>
    </row>
    <row r="5" spans="1:17" x14ac:dyDescent="0.3">
      <c r="A5" s="5"/>
      <c r="B5" s="8" t="s">
        <v>1</v>
      </c>
      <c r="C5" s="7">
        <v>2023</v>
      </c>
      <c r="D5" s="61">
        <v>0.89</v>
      </c>
      <c r="E5" s="5"/>
      <c r="F5" s="8" t="s">
        <v>1</v>
      </c>
      <c r="G5" s="7">
        <v>2023</v>
      </c>
      <c r="H5" s="63">
        <v>4.2000000000000003E-2</v>
      </c>
      <c r="I5" s="5"/>
      <c r="J5" s="8" t="s">
        <v>1</v>
      </c>
      <c r="K5" s="7">
        <v>2023</v>
      </c>
      <c r="L5" s="61">
        <v>0.45</v>
      </c>
      <c r="M5" s="5"/>
      <c r="N5" s="8" t="s">
        <v>1</v>
      </c>
      <c r="O5" s="7">
        <v>2023</v>
      </c>
      <c r="P5" s="66">
        <v>20</v>
      </c>
      <c r="Q5" s="5"/>
    </row>
    <row r="6" spans="1:17" x14ac:dyDescent="0.3">
      <c r="A6" s="5"/>
      <c r="B6" s="8" t="s">
        <v>2</v>
      </c>
      <c r="C6" s="7">
        <v>2023</v>
      </c>
      <c r="D6" s="61">
        <v>0.91</v>
      </c>
      <c r="E6" s="5"/>
      <c r="F6" s="8" t="s">
        <v>2</v>
      </c>
      <c r="G6" s="7">
        <v>2023</v>
      </c>
      <c r="H6" s="63">
        <v>5.0999999999999997E-2</v>
      </c>
      <c r="I6" s="5"/>
      <c r="J6" s="8" t="s">
        <v>2</v>
      </c>
      <c r="K6" s="7">
        <v>2023</v>
      </c>
      <c r="L6" s="61">
        <v>0.44</v>
      </c>
      <c r="M6" s="5"/>
      <c r="N6" s="8" t="s">
        <v>2</v>
      </c>
      <c r="O6" s="7">
        <v>2023</v>
      </c>
      <c r="P6" s="66">
        <v>22</v>
      </c>
      <c r="Q6" s="5"/>
    </row>
    <row r="7" spans="1:17" x14ac:dyDescent="0.3">
      <c r="A7" s="5"/>
      <c r="B7" s="8" t="s">
        <v>3</v>
      </c>
      <c r="C7" s="7">
        <v>2023</v>
      </c>
      <c r="D7" s="61">
        <v>0.9</v>
      </c>
      <c r="E7" s="5"/>
      <c r="F7" s="8" t="s">
        <v>3</v>
      </c>
      <c r="G7" s="7">
        <v>2023</v>
      </c>
      <c r="H7" s="63">
        <v>4.8000000000000001E-2</v>
      </c>
      <c r="I7" s="5"/>
      <c r="J7" s="8" t="s">
        <v>3</v>
      </c>
      <c r="K7" s="7">
        <v>2023</v>
      </c>
      <c r="L7" s="61">
        <v>0.43</v>
      </c>
      <c r="M7" s="5"/>
      <c r="N7" s="8" t="s">
        <v>3</v>
      </c>
      <c r="O7" s="7">
        <v>2023</v>
      </c>
      <c r="P7" s="66">
        <v>24</v>
      </c>
      <c r="Q7" s="5"/>
    </row>
    <row r="8" spans="1:17" x14ac:dyDescent="0.3">
      <c r="A8" s="5"/>
      <c r="B8" s="8" t="s">
        <v>4</v>
      </c>
      <c r="C8" s="7">
        <v>2023</v>
      </c>
      <c r="D8" s="61">
        <v>0.92</v>
      </c>
      <c r="E8" s="5"/>
      <c r="F8" s="8" t="s">
        <v>4</v>
      </c>
      <c r="G8" s="7">
        <v>2023</v>
      </c>
      <c r="H8" s="63">
        <v>4.7E-2</v>
      </c>
      <c r="I8" s="5"/>
      <c r="J8" s="8" t="s">
        <v>4</v>
      </c>
      <c r="K8" s="7">
        <v>2023</v>
      </c>
      <c r="L8" s="61">
        <v>0.42</v>
      </c>
      <c r="M8" s="5"/>
      <c r="N8" s="8" t="s">
        <v>4</v>
      </c>
      <c r="O8" s="7">
        <v>2023</v>
      </c>
      <c r="P8" s="66">
        <v>25</v>
      </c>
      <c r="Q8" s="5"/>
    </row>
    <row r="9" spans="1:17" x14ac:dyDescent="0.3">
      <c r="A9" s="5"/>
      <c r="B9" s="8" t="s">
        <v>5</v>
      </c>
      <c r="C9" s="7">
        <v>2023</v>
      </c>
      <c r="D9" s="61">
        <v>0.89</v>
      </c>
      <c r="E9" s="5"/>
      <c r="F9" s="8" t="s">
        <v>5</v>
      </c>
      <c r="G9" s="7">
        <v>2023</v>
      </c>
      <c r="H9" s="63">
        <v>4.3999999999999997E-2</v>
      </c>
      <c r="I9" s="5"/>
      <c r="J9" s="8" t="s">
        <v>5</v>
      </c>
      <c r="K9" s="7">
        <v>2023</v>
      </c>
      <c r="L9" s="61">
        <v>0.41</v>
      </c>
      <c r="M9" s="5"/>
      <c r="N9" s="8" t="s">
        <v>5</v>
      </c>
      <c r="O9" s="7">
        <v>2023</v>
      </c>
      <c r="P9" s="66">
        <v>27</v>
      </c>
      <c r="Q9" s="5"/>
    </row>
    <row r="10" spans="1:17" x14ac:dyDescent="0.3">
      <c r="A10" s="5"/>
      <c r="B10" s="8" t="s">
        <v>6</v>
      </c>
      <c r="C10" s="7">
        <v>2023</v>
      </c>
      <c r="D10" s="61">
        <v>0.88</v>
      </c>
      <c r="E10" s="5"/>
      <c r="F10" s="8" t="s">
        <v>6</v>
      </c>
      <c r="G10" s="7">
        <v>2023</v>
      </c>
      <c r="H10" s="63">
        <v>3.9E-2</v>
      </c>
      <c r="I10" s="5"/>
      <c r="J10" s="8" t="s">
        <v>6</v>
      </c>
      <c r="K10" s="7">
        <v>2023</v>
      </c>
      <c r="L10" s="61">
        <v>0.39</v>
      </c>
      <c r="M10" s="5"/>
      <c r="N10" s="8" t="s">
        <v>6</v>
      </c>
      <c r="O10" s="7">
        <v>2023</v>
      </c>
      <c r="P10" s="66">
        <v>26</v>
      </c>
      <c r="Q10" s="5"/>
    </row>
    <row r="11" spans="1:17" x14ac:dyDescent="0.3">
      <c r="A11" s="5"/>
      <c r="B11" s="8" t="s">
        <v>7</v>
      </c>
      <c r="C11" s="7">
        <v>2023</v>
      </c>
      <c r="D11" s="61">
        <v>0.87</v>
      </c>
      <c r="E11" s="5"/>
      <c r="F11" s="8" t="s">
        <v>7</v>
      </c>
      <c r="G11" s="7">
        <v>2023</v>
      </c>
      <c r="H11" s="63">
        <v>3.6999999999999998E-2</v>
      </c>
      <c r="I11" s="5"/>
      <c r="J11" s="8" t="s">
        <v>7</v>
      </c>
      <c r="K11" s="7">
        <v>2023</v>
      </c>
      <c r="L11" s="61">
        <v>0.42</v>
      </c>
      <c r="M11" s="5"/>
      <c r="N11" s="8" t="s">
        <v>7</v>
      </c>
      <c r="O11" s="7">
        <v>2023</v>
      </c>
      <c r="P11" s="66">
        <v>24</v>
      </c>
      <c r="Q11" s="5"/>
    </row>
    <row r="12" spans="1:17" x14ac:dyDescent="0.3">
      <c r="A12" s="5"/>
      <c r="B12" s="8" t="s">
        <v>8</v>
      </c>
      <c r="C12" s="7">
        <v>2023</v>
      </c>
      <c r="D12" s="61">
        <v>0.89</v>
      </c>
      <c r="E12" s="5"/>
      <c r="F12" s="8" t="s">
        <v>8</v>
      </c>
      <c r="G12" s="7">
        <v>2023</v>
      </c>
      <c r="H12" s="63">
        <v>3.5999999999999997E-2</v>
      </c>
      <c r="I12" s="5"/>
      <c r="J12" s="8" t="s">
        <v>8</v>
      </c>
      <c r="K12" s="7">
        <v>2023</v>
      </c>
      <c r="L12" s="61">
        <v>0.43</v>
      </c>
      <c r="M12" s="5"/>
      <c r="N12" s="8" t="s">
        <v>8</v>
      </c>
      <c r="O12" s="7">
        <v>2023</v>
      </c>
      <c r="P12" s="66">
        <v>23</v>
      </c>
      <c r="Q12" s="5"/>
    </row>
    <row r="13" spans="1:17" x14ac:dyDescent="0.3">
      <c r="A13" s="5"/>
      <c r="B13" s="8" t="s">
        <v>9</v>
      </c>
      <c r="C13" s="7">
        <v>2023</v>
      </c>
      <c r="D13" s="61">
        <v>0.9</v>
      </c>
      <c r="E13" s="5"/>
      <c r="F13" s="8" t="s">
        <v>9</v>
      </c>
      <c r="G13" s="7">
        <v>2023</v>
      </c>
      <c r="H13" s="63">
        <v>3.7999999999999999E-2</v>
      </c>
      <c r="I13" s="5"/>
      <c r="J13" s="8" t="s">
        <v>9</v>
      </c>
      <c r="K13" s="7">
        <v>2023</v>
      </c>
      <c r="L13" s="61">
        <v>0.41</v>
      </c>
      <c r="M13" s="5"/>
      <c r="N13" s="8" t="s">
        <v>9</v>
      </c>
      <c r="O13" s="7">
        <v>2023</v>
      </c>
      <c r="P13" s="66">
        <v>19</v>
      </c>
      <c r="Q13" s="5"/>
    </row>
    <row r="14" spans="1:17" x14ac:dyDescent="0.3">
      <c r="A14" s="5"/>
      <c r="B14" s="8" t="s">
        <v>10</v>
      </c>
      <c r="C14" s="7">
        <v>2023</v>
      </c>
      <c r="D14" s="61">
        <v>0.91</v>
      </c>
      <c r="E14" s="5"/>
      <c r="F14" s="8" t="s">
        <v>10</v>
      </c>
      <c r="G14" s="7">
        <v>2023</v>
      </c>
      <c r="H14" s="63">
        <v>0.04</v>
      </c>
      <c r="I14" s="5"/>
      <c r="J14" s="8" t="s">
        <v>10</v>
      </c>
      <c r="K14" s="7">
        <v>2023</v>
      </c>
      <c r="L14" s="61">
        <v>0.44</v>
      </c>
      <c r="M14" s="5"/>
      <c r="N14" s="8" t="s">
        <v>10</v>
      </c>
      <c r="O14" s="7">
        <v>2023</v>
      </c>
      <c r="P14" s="66">
        <v>18</v>
      </c>
      <c r="Q14" s="5"/>
    </row>
    <row r="15" spans="1:17" x14ac:dyDescent="0.3">
      <c r="A15" s="5"/>
      <c r="B15" s="8" t="s">
        <v>11</v>
      </c>
      <c r="C15" s="7">
        <v>2023</v>
      </c>
      <c r="D15" s="61">
        <v>0.92</v>
      </c>
      <c r="E15" s="5"/>
      <c r="F15" s="8" t="s">
        <v>11</v>
      </c>
      <c r="G15" s="7">
        <v>2023</v>
      </c>
      <c r="H15" s="63">
        <v>4.2000000000000003E-2</v>
      </c>
      <c r="I15" s="5"/>
      <c r="J15" s="8" t="s">
        <v>11</v>
      </c>
      <c r="K15" s="7">
        <v>2023</v>
      </c>
      <c r="L15" s="61">
        <v>0.39</v>
      </c>
      <c r="M15" s="5"/>
      <c r="N15" s="8" t="s">
        <v>11</v>
      </c>
      <c r="O15" s="7">
        <v>2023</v>
      </c>
      <c r="P15" s="66">
        <v>21</v>
      </c>
      <c r="Q15" s="5"/>
    </row>
    <row r="16" spans="1:17" x14ac:dyDescent="0.3">
      <c r="A16" s="5"/>
      <c r="B16" s="8" t="s">
        <v>12</v>
      </c>
      <c r="C16" s="7">
        <v>2023</v>
      </c>
      <c r="D16" s="61">
        <v>0.93</v>
      </c>
      <c r="E16" s="5"/>
      <c r="F16" s="8" t="s">
        <v>12</v>
      </c>
      <c r="G16" s="7">
        <v>2023</v>
      </c>
      <c r="H16" s="63">
        <v>3.6999999999999998E-2</v>
      </c>
      <c r="I16" s="5"/>
      <c r="J16" s="8" t="s">
        <v>12</v>
      </c>
      <c r="K16" s="7">
        <v>2023</v>
      </c>
      <c r="L16" s="61">
        <v>0.38</v>
      </c>
      <c r="M16" s="5"/>
      <c r="N16" s="8" t="s">
        <v>12</v>
      </c>
      <c r="O16" s="7">
        <v>2023</v>
      </c>
      <c r="P16" s="66">
        <v>22</v>
      </c>
      <c r="Q16" s="5"/>
    </row>
    <row r="17" spans="1:17" x14ac:dyDescent="0.3">
      <c r="A17" s="5"/>
      <c r="B17" s="8" t="s">
        <v>1</v>
      </c>
      <c r="C17" s="7">
        <v>2024</v>
      </c>
      <c r="D17" s="61">
        <v>0.92</v>
      </c>
      <c r="E17" s="5"/>
      <c r="F17" s="8" t="s">
        <v>1</v>
      </c>
      <c r="G17" s="7">
        <v>2024</v>
      </c>
      <c r="H17" s="63">
        <v>3.4000000000000002E-2</v>
      </c>
      <c r="I17" s="5"/>
      <c r="J17" s="8" t="s">
        <v>1</v>
      </c>
      <c r="K17" s="7">
        <v>2024</v>
      </c>
      <c r="L17" s="61">
        <v>0.37</v>
      </c>
      <c r="M17" s="5"/>
      <c r="N17" s="8" t="s">
        <v>1</v>
      </c>
      <c r="O17" s="7">
        <v>2024</v>
      </c>
      <c r="P17" s="66">
        <v>24</v>
      </c>
      <c r="Q17" s="5"/>
    </row>
    <row r="18" spans="1:17" x14ac:dyDescent="0.3">
      <c r="A18" s="5"/>
      <c r="B18" s="8" t="s">
        <v>2</v>
      </c>
      <c r="C18" s="7">
        <v>2024</v>
      </c>
      <c r="D18" s="61">
        <v>0.91</v>
      </c>
      <c r="E18" s="5"/>
      <c r="F18" s="8" t="s">
        <v>2</v>
      </c>
      <c r="G18" s="7">
        <v>2024</v>
      </c>
      <c r="H18" s="63">
        <v>3.5999999999999997E-2</v>
      </c>
      <c r="I18" s="5"/>
      <c r="J18" s="8" t="s">
        <v>2</v>
      </c>
      <c r="K18" s="7">
        <v>2024</v>
      </c>
      <c r="L18" s="61">
        <v>0.35</v>
      </c>
      <c r="M18" s="5"/>
      <c r="N18" s="8" t="s">
        <v>2</v>
      </c>
      <c r="O18" s="7">
        <v>2024</v>
      </c>
      <c r="P18" s="66">
        <v>27</v>
      </c>
      <c r="Q18" s="5"/>
    </row>
    <row r="19" spans="1:17" x14ac:dyDescent="0.3">
      <c r="A19" s="5"/>
      <c r="B19" s="8" t="s">
        <v>3</v>
      </c>
      <c r="C19" s="7">
        <v>2024</v>
      </c>
      <c r="D19" s="61">
        <v>0.9</v>
      </c>
      <c r="E19" s="5"/>
      <c r="F19" s="8" t="s">
        <v>3</v>
      </c>
      <c r="G19" s="7">
        <v>2024</v>
      </c>
      <c r="H19" s="63">
        <v>3.5000000000000003E-2</v>
      </c>
      <c r="I19" s="5"/>
      <c r="J19" s="8" t="s">
        <v>3</v>
      </c>
      <c r="K19" s="7">
        <v>2024</v>
      </c>
      <c r="L19" s="61">
        <v>0.34</v>
      </c>
      <c r="M19" s="5"/>
      <c r="N19" s="8" t="s">
        <v>3</v>
      </c>
      <c r="O19" s="7">
        <v>2024</v>
      </c>
      <c r="P19" s="66">
        <v>31</v>
      </c>
      <c r="Q19" s="5"/>
    </row>
    <row r="20" spans="1:17" x14ac:dyDescent="0.3">
      <c r="A20" s="5"/>
      <c r="B20" s="8" t="s">
        <v>4</v>
      </c>
      <c r="C20" s="7">
        <v>2024</v>
      </c>
      <c r="D20" s="61">
        <v>0.89</v>
      </c>
      <c r="E20" s="5"/>
      <c r="F20" s="8" t="s">
        <v>4</v>
      </c>
      <c r="G20" s="7">
        <v>2024</v>
      </c>
      <c r="H20" s="63">
        <v>3.3000000000000002E-2</v>
      </c>
      <c r="I20" s="5"/>
      <c r="J20" s="8" t="s">
        <v>4</v>
      </c>
      <c r="K20" s="7">
        <v>2024</v>
      </c>
      <c r="L20" s="61">
        <v>0.35</v>
      </c>
      <c r="M20" s="5"/>
      <c r="N20" s="8" t="s">
        <v>4</v>
      </c>
      <c r="O20" s="7">
        <v>2024</v>
      </c>
      <c r="P20" s="66">
        <v>30</v>
      </c>
      <c r="Q20" s="5"/>
    </row>
    <row r="21" spans="1:17" x14ac:dyDescent="0.3">
      <c r="A21" s="5"/>
      <c r="B21" s="8" t="s">
        <v>5</v>
      </c>
      <c r="C21" s="7">
        <v>2024</v>
      </c>
      <c r="D21" s="61">
        <v>0.9</v>
      </c>
      <c r="E21" s="5"/>
      <c r="F21" s="8" t="s">
        <v>5</v>
      </c>
      <c r="G21" s="7">
        <v>2024</v>
      </c>
      <c r="H21" s="63">
        <v>3.2000000000000001E-2</v>
      </c>
      <c r="I21" s="5"/>
      <c r="J21" s="8" t="s">
        <v>5</v>
      </c>
      <c r="K21" s="7">
        <v>2024</v>
      </c>
      <c r="L21" s="61">
        <v>0.36</v>
      </c>
      <c r="M21" s="5"/>
      <c r="N21" s="8" t="s">
        <v>5</v>
      </c>
      <c r="O21" s="7">
        <v>2024</v>
      </c>
      <c r="P21" s="66">
        <v>25</v>
      </c>
      <c r="Q21" s="5"/>
    </row>
    <row r="22" spans="1:17" x14ac:dyDescent="0.3">
      <c r="A22" s="5"/>
      <c r="B22" s="8" t="s">
        <v>6</v>
      </c>
      <c r="C22" s="7">
        <v>2024</v>
      </c>
      <c r="D22" s="61">
        <v>0.91</v>
      </c>
      <c r="E22" s="5"/>
      <c r="F22" s="8" t="s">
        <v>6</v>
      </c>
      <c r="G22" s="7">
        <v>2024</v>
      </c>
      <c r="H22" s="63">
        <v>3.4000000000000002E-2</v>
      </c>
      <c r="I22" s="5"/>
      <c r="J22" s="8" t="s">
        <v>6</v>
      </c>
      <c r="K22" s="7">
        <v>2024</v>
      </c>
      <c r="L22" s="61">
        <v>0.33</v>
      </c>
      <c r="M22" s="5"/>
      <c r="N22" s="8" t="s">
        <v>6</v>
      </c>
      <c r="O22" s="7">
        <v>2024</v>
      </c>
      <c r="P22" s="66">
        <v>23</v>
      </c>
      <c r="Q22" s="5"/>
    </row>
    <row r="23" spans="1:17" x14ac:dyDescent="0.3">
      <c r="A23" s="5"/>
      <c r="B23" s="8" t="s">
        <v>7</v>
      </c>
      <c r="C23" s="7">
        <v>2024</v>
      </c>
      <c r="D23" s="61">
        <v>0.91</v>
      </c>
      <c r="E23" s="5"/>
      <c r="F23" s="8" t="s">
        <v>7</v>
      </c>
      <c r="G23" s="7">
        <v>2024</v>
      </c>
      <c r="H23" s="63">
        <v>3.6999999999999998E-2</v>
      </c>
      <c r="I23" s="5"/>
      <c r="J23" s="8" t="s">
        <v>7</v>
      </c>
      <c r="K23" s="7">
        <v>2024</v>
      </c>
      <c r="L23" s="61">
        <v>0.32</v>
      </c>
      <c r="M23" s="5"/>
      <c r="N23" s="8" t="s">
        <v>7</v>
      </c>
      <c r="O23" s="7">
        <v>2024</v>
      </c>
      <c r="P23" s="66">
        <v>21</v>
      </c>
      <c r="Q23" s="5"/>
    </row>
    <row r="24" spans="1:17" x14ac:dyDescent="0.3">
      <c r="A24" s="5"/>
      <c r="B24" s="8" t="s">
        <v>8</v>
      </c>
      <c r="C24" s="7">
        <v>2024</v>
      </c>
      <c r="D24" s="61">
        <v>0.92</v>
      </c>
      <c r="E24" s="5"/>
      <c r="F24" s="8" t="s">
        <v>8</v>
      </c>
      <c r="G24" s="7">
        <v>2024</v>
      </c>
      <c r="H24" s="63">
        <v>3.5999999999999997E-2</v>
      </c>
      <c r="I24" s="5"/>
      <c r="J24" s="8" t="s">
        <v>8</v>
      </c>
      <c r="K24" s="7">
        <v>2024</v>
      </c>
      <c r="L24" s="61">
        <v>0.34</v>
      </c>
      <c r="M24" s="5"/>
      <c r="N24" s="8" t="s">
        <v>8</v>
      </c>
      <c r="O24" s="7">
        <v>2024</v>
      </c>
      <c r="P24" s="66">
        <v>20</v>
      </c>
      <c r="Q24" s="5"/>
    </row>
    <row r="25" spans="1:17" x14ac:dyDescent="0.3">
      <c r="A25" s="5"/>
      <c r="B25" s="8" t="s">
        <v>9</v>
      </c>
      <c r="C25" s="7">
        <v>2024</v>
      </c>
      <c r="D25" s="61">
        <v>0.9</v>
      </c>
      <c r="E25" s="5"/>
      <c r="F25" s="8" t="s">
        <v>9</v>
      </c>
      <c r="G25" s="7">
        <v>2024</v>
      </c>
      <c r="H25" s="63">
        <v>3.7999999999999999E-2</v>
      </c>
      <c r="I25" s="5"/>
      <c r="J25" s="8" t="s">
        <v>9</v>
      </c>
      <c r="K25" s="7">
        <v>2024</v>
      </c>
      <c r="L25" s="61">
        <v>0.36</v>
      </c>
      <c r="M25" s="5"/>
      <c r="N25" s="8" t="s">
        <v>9</v>
      </c>
      <c r="O25" s="7">
        <v>2024</v>
      </c>
      <c r="P25" s="66">
        <v>19</v>
      </c>
      <c r="Q25" s="5"/>
    </row>
    <row r="26" spans="1:17" x14ac:dyDescent="0.3">
      <c r="A26" s="5"/>
      <c r="B26" s="8" t="s">
        <v>10</v>
      </c>
      <c r="C26" s="7">
        <v>2024</v>
      </c>
      <c r="D26" s="61">
        <v>0.89</v>
      </c>
      <c r="E26" s="5"/>
      <c r="F26" s="8" t="s">
        <v>10</v>
      </c>
      <c r="G26" s="7">
        <v>2024</v>
      </c>
      <c r="H26" s="63">
        <v>3.9E-2</v>
      </c>
      <c r="I26" s="5"/>
      <c r="J26" s="8" t="s">
        <v>10</v>
      </c>
      <c r="K26" s="7">
        <v>2024</v>
      </c>
      <c r="L26" s="61">
        <v>0.38</v>
      </c>
      <c r="M26" s="5"/>
      <c r="N26" s="8" t="s">
        <v>10</v>
      </c>
      <c r="O26" s="7">
        <v>2024</v>
      </c>
      <c r="P26" s="66">
        <v>18</v>
      </c>
      <c r="Q26" s="5"/>
    </row>
    <row r="27" spans="1:17" x14ac:dyDescent="0.3">
      <c r="A27" s="5"/>
      <c r="B27" s="8" t="s">
        <v>11</v>
      </c>
      <c r="C27" s="7">
        <v>2024</v>
      </c>
      <c r="D27" s="61">
        <v>0.87</v>
      </c>
      <c r="E27" s="5"/>
      <c r="F27" s="8" t="s">
        <v>11</v>
      </c>
      <c r="G27" s="7">
        <v>2024</v>
      </c>
      <c r="H27" s="63">
        <v>4.1000000000000002E-2</v>
      </c>
      <c r="I27" s="5"/>
      <c r="J27" s="8" t="s">
        <v>11</v>
      </c>
      <c r="K27" s="7">
        <v>2024</v>
      </c>
      <c r="L27" s="61">
        <v>0.39</v>
      </c>
      <c r="M27" s="5"/>
      <c r="N27" s="8" t="s">
        <v>11</v>
      </c>
      <c r="O27" s="7">
        <v>2024</v>
      </c>
      <c r="P27" s="66">
        <v>18</v>
      </c>
      <c r="Q27" s="5"/>
    </row>
    <row r="28" spans="1:17" x14ac:dyDescent="0.3">
      <c r="A28" s="5"/>
      <c r="B28" s="13" t="s">
        <v>12</v>
      </c>
      <c r="C28" s="14">
        <v>2024</v>
      </c>
      <c r="D28" s="61">
        <v>0.88</v>
      </c>
      <c r="E28" s="5"/>
      <c r="F28" s="13" t="s">
        <v>12</v>
      </c>
      <c r="G28" s="14">
        <v>2024</v>
      </c>
      <c r="H28" s="63">
        <v>4.2999999999999997E-2</v>
      </c>
      <c r="I28" s="5"/>
      <c r="J28" s="13" t="s">
        <v>12</v>
      </c>
      <c r="K28" s="14">
        <v>2024</v>
      </c>
      <c r="L28" s="61">
        <v>0.41</v>
      </c>
      <c r="M28" s="5"/>
      <c r="N28" s="13" t="s">
        <v>12</v>
      </c>
      <c r="O28" s="14">
        <v>2024</v>
      </c>
      <c r="P28" s="66">
        <v>17</v>
      </c>
      <c r="Q28" s="5"/>
    </row>
    <row r="29" spans="1:17" x14ac:dyDescent="0.3">
      <c r="A29" s="5"/>
      <c r="B29" s="5"/>
      <c r="C29" s="5"/>
      <c r="D29" s="5"/>
      <c r="E29" s="5"/>
      <c r="F29" s="5"/>
      <c r="G29" s="5"/>
      <c r="H29" s="6"/>
      <c r="I29" s="5"/>
      <c r="J29" s="5"/>
      <c r="K29" s="5"/>
      <c r="L29" s="6"/>
      <c r="M29" s="5"/>
      <c r="N29" s="5"/>
      <c r="O29" s="5"/>
      <c r="P29" s="6"/>
      <c r="Q29" s="5"/>
    </row>
    <row r="30" spans="1:17" x14ac:dyDescent="0.3">
      <c r="A30" s="5"/>
      <c r="B30" s="5"/>
      <c r="C30" s="5"/>
      <c r="D30" s="5"/>
      <c r="E30" s="5"/>
      <c r="F30" s="5"/>
      <c r="G30" s="5"/>
      <c r="H30" s="6"/>
      <c r="I30" s="5"/>
      <c r="J30" s="5"/>
      <c r="K30" s="5"/>
      <c r="L30" s="6"/>
      <c r="M30" s="5"/>
      <c r="N30" s="5"/>
      <c r="O30" s="5"/>
      <c r="P30" s="6"/>
      <c r="Q30" s="5"/>
    </row>
    <row r="31" spans="1:17" x14ac:dyDescent="0.3">
      <c r="A31" s="5"/>
      <c r="B31" s="5"/>
      <c r="C31" s="5"/>
      <c r="D31" s="5"/>
      <c r="E31" s="5"/>
      <c r="F31" s="5"/>
      <c r="G31" s="5"/>
      <c r="H31" s="6"/>
      <c r="I31" s="5"/>
      <c r="J31" s="5"/>
      <c r="K31" s="5"/>
      <c r="L31" s="6"/>
      <c r="M31" s="5"/>
      <c r="N31" s="5"/>
      <c r="O31" s="5"/>
      <c r="P31" s="6"/>
      <c r="Q31" s="5"/>
    </row>
    <row r="32" spans="1:17" x14ac:dyDescent="0.3">
      <c r="A32" s="5"/>
      <c r="B32" s="5"/>
      <c r="C32" s="5"/>
      <c r="D32" s="5"/>
      <c r="E32" s="5"/>
      <c r="F32" s="5"/>
      <c r="G32" s="5"/>
      <c r="H32" s="6"/>
      <c r="I32" s="5"/>
      <c r="J32" s="5"/>
      <c r="K32" s="5"/>
      <c r="L32" s="6"/>
      <c r="M32" s="5"/>
      <c r="N32" s="5"/>
      <c r="O32" s="5"/>
      <c r="P32" s="6"/>
      <c r="Q32" s="5"/>
    </row>
    <row r="33" spans="1:17" x14ac:dyDescent="0.3">
      <c r="A33" s="5"/>
      <c r="B33" s="5"/>
      <c r="C33" s="5"/>
      <c r="D33" s="5"/>
      <c r="E33" s="5"/>
      <c r="F33" s="5"/>
      <c r="G33" s="5"/>
      <c r="H33" s="6"/>
      <c r="I33" s="5"/>
      <c r="J33" s="5"/>
      <c r="K33" s="5"/>
      <c r="L33" s="6"/>
      <c r="M33" s="5"/>
      <c r="N33" s="5"/>
      <c r="O33" s="5"/>
      <c r="P33" s="6"/>
      <c r="Q33" s="5"/>
    </row>
    <row r="34" spans="1:17" x14ac:dyDescent="0.3">
      <c r="A34" s="5"/>
      <c r="B34" s="5"/>
      <c r="C34" s="5"/>
      <c r="D34" s="5"/>
      <c r="E34" s="5"/>
      <c r="F34" s="5"/>
      <c r="G34" s="5"/>
      <c r="H34" s="6"/>
      <c r="I34" s="5"/>
      <c r="J34" s="5"/>
      <c r="K34" s="5"/>
      <c r="L34" s="6"/>
      <c r="M34" s="5"/>
      <c r="N34" s="5"/>
      <c r="O34" s="5"/>
      <c r="P34" s="6"/>
      <c r="Q34" s="5"/>
    </row>
  </sheetData>
  <mergeCells count="4">
    <mergeCell ref="B3:D3"/>
    <mergeCell ref="F3:H3"/>
    <mergeCell ref="J3:L3"/>
    <mergeCell ref="N3:P3"/>
  </mergeCells>
  <phoneticPr fontId="2" type="noConversion"/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9110B0-97C2-4296-B9A0-72CDFF1A6D2B}">
  <dimension ref="A1:V25"/>
  <sheetViews>
    <sheetView zoomScale="70" zoomScaleNormal="70" workbookViewId="0">
      <selection activeCell="P17" sqref="P17"/>
    </sheetView>
  </sheetViews>
  <sheetFormatPr defaultRowHeight="13.2" x14ac:dyDescent="0.3"/>
  <cols>
    <col min="1" max="1" width="8.88671875" style="2"/>
    <col min="2" max="2" width="14.77734375" style="2" customWidth="1"/>
    <col min="3" max="3" width="8.88671875" style="2"/>
    <col min="4" max="4" width="22" style="2" customWidth="1"/>
    <col min="5" max="5" width="13.33203125" style="2" customWidth="1"/>
    <col min="6" max="6" width="11.21875" style="2" customWidth="1"/>
    <col min="7" max="7" width="8.88671875" style="2"/>
    <col min="8" max="8" width="25.88671875" style="2" customWidth="1"/>
    <col min="9" max="9" width="16.33203125" style="2" customWidth="1"/>
    <col min="10" max="10" width="8.88671875" style="2"/>
    <col min="11" max="11" width="28.109375" style="2" customWidth="1"/>
    <col min="12" max="12" width="17.33203125" style="2" customWidth="1"/>
    <col min="13" max="13" width="8.88671875" style="2"/>
    <col min="14" max="15" width="14.88671875" style="2" customWidth="1"/>
    <col min="16" max="16" width="13.88671875" style="2" customWidth="1"/>
    <col min="17" max="17" width="8.88671875" style="2"/>
    <col min="18" max="18" width="13.88671875" style="2" customWidth="1"/>
    <col min="19" max="19" width="13.6640625" style="2" customWidth="1"/>
    <col min="20" max="20" width="13.88671875" style="2" customWidth="1"/>
    <col min="21" max="16384" width="8.88671875" style="2"/>
  </cols>
  <sheetData>
    <row r="1" spans="1:22" ht="13.8" x14ac:dyDescent="0.3">
      <c r="A1" s="17" t="s">
        <v>14</v>
      </c>
      <c r="B1" s="17" t="s">
        <v>13</v>
      </c>
      <c r="C1" s="5"/>
      <c r="D1" s="29" t="str">
        <f>B2&amp;" "&amp;TEXT(A2,"0")</f>
        <v>August 2024</v>
      </c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spans="1:22" x14ac:dyDescent="0.3">
      <c r="A2" s="18">
        <f>Dashboard!M2</f>
        <v>2024</v>
      </c>
      <c r="B2" s="18" t="str">
        <f>Dashboard!K2</f>
        <v>August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70" t="s">
        <v>55</v>
      </c>
      <c r="O2" s="70"/>
      <c r="P2" s="70"/>
      <c r="Q2" s="5"/>
      <c r="R2" s="70" t="s">
        <v>56</v>
      </c>
      <c r="S2" s="70"/>
      <c r="T2" s="70"/>
      <c r="U2" s="5"/>
      <c r="V2" s="5"/>
    </row>
    <row r="3" spans="1:22" x14ac:dyDescent="0.3">
      <c r="A3" s="5"/>
      <c r="B3" s="5"/>
      <c r="C3" s="5"/>
      <c r="D3" s="20" t="s">
        <v>32</v>
      </c>
      <c r="E3" s="17" t="s">
        <v>31</v>
      </c>
      <c r="F3" s="17" t="s">
        <v>33</v>
      </c>
      <c r="G3" s="5"/>
      <c r="H3" s="22" t="s">
        <v>42</v>
      </c>
      <c r="I3" s="21" t="s">
        <v>43</v>
      </c>
      <c r="J3" s="5"/>
      <c r="K3" s="22" t="s">
        <v>42</v>
      </c>
      <c r="L3" s="21" t="s">
        <v>50</v>
      </c>
      <c r="M3" s="5"/>
      <c r="N3" s="67" t="s">
        <v>53</v>
      </c>
      <c r="O3" s="67"/>
      <c r="P3" s="67" t="s">
        <v>31</v>
      </c>
      <c r="Q3" s="5"/>
      <c r="R3" s="67" t="s">
        <v>53</v>
      </c>
      <c r="S3" s="67"/>
      <c r="T3" s="67" t="s">
        <v>49</v>
      </c>
      <c r="U3" s="5"/>
      <c r="V3" s="5"/>
    </row>
    <row r="4" spans="1:22" x14ac:dyDescent="0.3">
      <c r="A4" s="18">
        <v>2023</v>
      </c>
      <c r="B4" s="18" t="s">
        <v>1</v>
      </c>
      <c r="D4" s="19" t="str">
        <f>Keywords!B4</f>
        <v>SaaS Solutions</v>
      </c>
      <c r="E4" s="24" cm="1">
        <f t="array" ref="E4">INDEX(Keyword1[SESSIONS], MATCH(1, (Keyword1[YEAR]=$A$2)*(Keyword1[MONTH]=$B$2), 0))</f>
        <v>5120</v>
      </c>
      <c r="F4" s="7" cm="1">
        <f t="array" ref="F4">INDEX(Keyword1[RANKING], MATCH(1, (Keyword1[YEAR]=$A$2)*(Keyword1[MONTH]=$B$2), 0))</f>
        <v>11</v>
      </c>
      <c r="G4" s="5"/>
      <c r="H4" s="23" t="s">
        <v>44</v>
      </c>
      <c r="I4" s="61" cm="1">
        <f t="array" ref="I4">INDEX(Visibility[VISIBILITY], MATCH(1, (Visibility[YEAR]=$A$2)*(Visibility[MONTH]=$B$2), 0))</f>
        <v>0.92</v>
      </c>
      <c r="J4" s="5"/>
      <c r="K4" s="23" t="s">
        <v>51</v>
      </c>
      <c r="L4" s="66">
        <f>AVERAGE(CPA[CPA])</f>
        <v>22.666666666666668</v>
      </c>
      <c r="M4" s="5"/>
      <c r="N4" s="73" t="str" cm="1">
        <f t="array" ref="N4">INDEX(Sessions_By_Devices[MONTH], MATCH(1, (Sessions_By_Devices[YEAR]=$A$2)*(Sessions_By_Devices[MONTH]=$B$2), 0))</f>
        <v>August</v>
      </c>
      <c r="O4" s="68" cm="1">
        <f t="array" ref="O4">INDEX(Sessions_By_Devices[YEAR], MATCH(1, (Sessions_By_Devices[YEAR]=$A$2)*(Sessions_By_Devices[MONTH]=$B$2), 0))</f>
        <v>2024</v>
      </c>
      <c r="P4" s="69" cm="1">
        <f t="array" ref="P4">INDEX(Sessions_By_Devices[SESSIONS], MATCH(1, (Sessions_By_Devices[YEAR]=$A$2)*(Sessions_By_Devices[MONTH]=$B$2), 0))</f>
        <v>47965</v>
      </c>
      <c r="Q4" s="5"/>
      <c r="R4" s="73" t="str" cm="1">
        <f t="array" ref="R4">INDEX(Sessions_By_Devices[MONTH], MATCH(1, (Sessions_By_Devices[YEAR]=$A$2)*(Sessions_By_Devices[MONTH]=$B$2), 0))</f>
        <v>August</v>
      </c>
      <c r="S4" s="68" cm="1">
        <f t="array" ref="S4">INDEX(Sessions_By_Devices[YEAR], MATCH(1, (Sessions_By_Devices[YEAR]=$A$2)*(Sessions_By_Devices[MONTH]=$B$2), 0))</f>
        <v>2024</v>
      </c>
      <c r="T4" s="72" cm="1">
        <f t="array" ref="T4">INDEX(CPA[CPA], MATCH(1, (CPA[YEAR]=$A$2)*(CPA[MONTH]=$B$2), 0))</f>
        <v>20</v>
      </c>
      <c r="U4" s="5"/>
      <c r="V4" s="5"/>
    </row>
    <row r="5" spans="1:22" x14ac:dyDescent="0.3">
      <c r="A5" s="18">
        <v>2024</v>
      </c>
      <c r="B5" s="18" t="s">
        <v>2</v>
      </c>
      <c r="C5" s="5"/>
      <c r="D5" s="19" t="str">
        <f>Keywords!G4</f>
        <v>Cloud Computing</v>
      </c>
      <c r="E5" s="24" cm="1">
        <f t="array" ref="E5">INDEX(Keyword2[SESSIONS], MATCH(1, (Keyword2[YEAR]=$A$2)*(Keyword2[MONTH]=$B$2), 0))</f>
        <v>2739</v>
      </c>
      <c r="F5" s="7" cm="1">
        <f t="array" ref="F5">INDEX(Keyword2[RANKING], MATCH(1, (Keyword2[YEAR]=$A$2)*(Keyword2[MONTH]=$B$2), 0))</f>
        <v>140</v>
      </c>
      <c r="G5" s="5"/>
      <c r="H5" s="23" t="s">
        <v>45</v>
      </c>
      <c r="I5" s="63" cm="1">
        <f t="array" ref="I5">INDEX(CTR[CTR], MATCH(1, (CTR[YEAR]=$A$2)*(CTR[MONTH]=$B$2), 0))</f>
        <v>3.5999999999999997E-2</v>
      </c>
      <c r="J5" s="5"/>
      <c r="K5" s="23" t="s">
        <v>52</v>
      </c>
      <c r="L5" s="24">
        <f>AVERAGE(Sessions_By_Devices[SESSIONS])</f>
        <v>43219.125</v>
      </c>
      <c r="M5" s="5"/>
      <c r="N5" s="73" t="str" cm="1">
        <f t="array" ref="N5">INDEX(Sessions_By_Devices[MONTH], MATCH(1, (Sessions_By_Devices[YEAR]=$A$2)*(Sessions_By_Devices[MONTH]=$B$2), 0)-1)</f>
        <v>July</v>
      </c>
      <c r="O5" s="68" cm="1">
        <f t="array" ref="O5">INDEX(Sessions_By_Devices[YEAR], MATCH(1, (Sessions_By_Devices[YEAR]=$A$2)*(Sessions_By_Devices[MONTH]=$B$2), 0)-1)</f>
        <v>2024</v>
      </c>
      <c r="P5" s="69" cm="1">
        <f t="array" ref="P5">INDEX(Sessions_By_Devices[SESSIONS], MATCH(1, (Sessions_By_Devices[YEAR]=$A$2)*(Sessions_By_Devices[MONTH]=$B$2), 0)-1)</f>
        <v>56189</v>
      </c>
      <c r="Q5" s="5"/>
      <c r="R5" s="73" t="str" cm="1">
        <f t="array" ref="R5">INDEX(Sessions_By_Devices[MONTH], MATCH(1, (Sessions_By_Devices[YEAR]=$A$2)*(Sessions_By_Devices[MONTH]=$B$2), 0)-1)</f>
        <v>July</v>
      </c>
      <c r="S5" s="68" cm="1">
        <f t="array" ref="S5">INDEX(Sessions_By_Devices[YEAR], MATCH(1, (Sessions_By_Devices[YEAR]=$A$2)*(Sessions_By_Devices[MONTH]=$B$2), 0)-1)</f>
        <v>2024</v>
      </c>
      <c r="T5" s="72" cm="1">
        <f t="array" ref="T5">INDEX(CPA[CPA], MATCH(1, (CPA[YEAR]=$A$2)*(CPA[MONTH]=$B$2), 0)-1)</f>
        <v>21</v>
      </c>
      <c r="U5" s="5"/>
      <c r="V5" s="5"/>
    </row>
    <row r="6" spans="1:22" x14ac:dyDescent="0.3">
      <c r="A6" s="18">
        <v>2025</v>
      </c>
      <c r="B6" s="18" t="s">
        <v>3</v>
      </c>
      <c r="C6" s="5"/>
      <c r="D6" s="19" t="str">
        <f>Keywords!L4</f>
        <v>Agile Development</v>
      </c>
      <c r="E6" s="24" cm="1">
        <f t="array" ref="E6">INDEX(Keyword3[SESSIONS], MATCH(1, (Keyword3[YEAR]=$A$2)*(Keyword3[MONTH]=$B$2), 0))</f>
        <v>2013</v>
      </c>
      <c r="F6" s="7" cm="1">
        <f t="array" ref="F6">INDEX(Keyword3[RANKING], MATCH(1, (Keyword3[YEAR]=$A$2)*(Keyword3[MONTH]=$B$2), 0))</f>
        <v>117</v>
      </c>
      <c r="G6" s="5"/>
      <c r="H6" s="23" t="s">
        <v>46</v>
      </c>
      <c r="I6" s="61" cm="1">
        <f t="array" ref="I6">INDEX(BOUNCE_RATE[BOUNCE RATE], MATCH(1, (BOUNCE_RATE[YEAR]=$A$2)*(BOUNCE_RATE[MONTH]=$B$2), 0))</f>
        <v>0.34</v>
      </c>
      <c r="J6" s="5"/>
      <c r="K6" s="5"/>
      <c r="L6" s="5"/>
      <c r="M6" s="5"/>
      <c r="N6" s="73" t="str" cm="1">
        <f t="array" ref="N6">INDEX(Sessions_By_Devices[MONTH], MATCH(1, (Sessions_By_Devices[YEAR]=$A$2)*(Sessions_By_Devices[MONTH]=$B$2), 0)-2)</f>
        <v>June</v>
      </c>
      <c r="O6" s="68" cm="1">
        <f t="array" ref="O6">INDEX(Sessions_By_Devices[YEAR], MATCH(1, (Sessions_By_Devices[YEAR]=$A$2)*(Sessions_By_Devices[MONTH]=$B$2), 0)-2)</f>
        <v>2024</v>
      </c>
      <c r="P6" s="69" cm="1">
        <f t="array" ref="P6">INDEX(Sessions_By_Devices[SESSIONS], MATCH(1, (Sessions_By_Devices[YEAR]=$A$2)*(Sessions_By_Devices[MONTH]=$B$2), 0)-2)</f>
        <v>39157</v>
      </c>
      <c r="Q6" s="5"/>
      <c r="R6" s="73" t="str" cm="1">
        <f t="array" ref="R6">INDEX(Sessions_By_Devices[MONTH], MATCH(1, (Sessions_By_Devices[YEAR]=$A$2)*(Sessions_By_Devices[MONTH]=$B$2), 0)-2)</f>
        <v>June</v>
      </c>
      <c r="S6" s="68" cm="1">
        <f t="array" ref="S6">INDEX(Sessions_By_Devices[YEAR], MATCH(1, (Sessions_By_Devices[YEAR]=$A$2)*(Sessions_By_Devices[MONTH]=$B$2), 0)-2)</f>
        <v>2024</v>
      </c>
      <c r="T6" s="72" cm="1">
        <f t="array" ref="T6">INDEX(CPA[CPA], MATCH(1, (CPA[YEAR]=$A$2)*(CPA[MONTH]=$B$2), 0)-2)</f>
        <v>23</v>
      </c>
      <c r="U6" s="5"/>
      <c r="V6" s="5"/>
    </row>
    <row r="7" spans="1:22" x14ac:dyDescent="0.3">
      <c r="A7" s="18"/>
      <c r="B7" s="18" t="s">
        <v>4</v>
      </c>
      <c r="C7" s="5"/>
      <c r="D7" s="19" t="str">
        <f>Keywords!Q4</f>
        <v>User Experience</v>
      </c>
      <c r="E7" s="24" cm="1">
        <f t="array" ref="E7">INDEX(Keyword4[SESSIONS], MATCH(1, (Keyword4[YEAR]=$A$2)*(Keyword4[MONTH]=$B$2), 0))</f>
        <v>1475</v>
      </c>
      <c r="F7" s="7" cm="1">
        <f t="array" ref="F7">INDEX(Keyword4[RANKING], MATCH(1, (Keyword4[YEAR]=$A$2)*(Keyword4[MONTH]=$B$2), 0))</f>
        <v>725</v>
      </c>
      <c r="G7" s="5"/>
      <c r="H7" s="23" t="s">
        <v>49</v>
      </c>
      <c r="I7" s="66" cm="1">
        <f t="array" ref="I7">INDEX(CPA[CPA], MATCH(1, (CPA[YEAR]=$A$2)*(CPA[MONTH]=$B$2), 0))</f>
        <v>20</v>
      </c>
      <c r="J7" s="5"/>
      <c r="K7" s="5"/>
      <c r="L7" s="5"/>
      <c r="M7" s="5"/>
      <c r="N7" s="73" t="str" cm="1">
        <f t="array" ref="N7">INDEX(Sessions_By_Devices[MONTH], MATCH(1, (Sessions_By_Devices[YEAR]=$A$2)*(Sessions_By_Devices[MONTH]=$B$2), 0)-3)</f>
        <v>May</v>
      </c>
      <c r="O7" s="68" cm="1">
        <f t="array" ref="O7">INDEX(Sessions_By_Devices[YEAR], MATCH(1, (Sessions_By_Devices[YEAR]=$A$2)*(Sessions_By_Devices[MONTH]=$B$2), 0)-3)</f>
        <v>2024</v>
      </c>
      <c r="P7" s="69" cm="1">
        <f t="array" ref="P7">INDEX(Sessions_By_Devices[SESSIONS], MATCH(1, (Sessions_By_Devices[YEAR]=$A$2)*(Sessions_By_Devices[MONTH]=$B$2), 0)-3)</f>
        <v>51116</v>
      </c>
      <c r="Q7" s="5"/>
      <c r="R7" s="73" t="str" cm="1">
        <f t="array" ref="R7">INDEX(Sessions_By_Devices[MONTH], MATCH(1, (Sessions_By_Devices[YEAR]=$A$2)*(Sessions_By_Devices[MONTH]=$B$2), 0)-3)</f>
        <v>May</v>
      </c>
      <c r="S7" s="68" cm="1">
        <f t="array" ref="S7">INDEX(Sessions_By_Devices[YEAR], MATCH(1, (Sessions_By_Devices[YEAR]=$A$2)*(Sessions_By_Devices[MONTH]=$B$2), 0)-3)</f>
        <v>2024</v>
      </c>
      <c r="T7" s="72" cm="1">
        <f t="array" ref="T7">INDEX(CPA[CPA], MATCH(1, (CPA[YEAR]=$A$2)*(CPA[MONTH]=$B$2), 0)-3)</f>
        <v>25</v>
      </c>
      <c r="U7" s="5"/>
      <c r="V7" s="5"/>
    </row>
    <row r="8" spans="1:22" x14ac:dyDescent="0.3">
      <c r="A8" s="18"/>
      <c r="B8" s="18" t="s">
        <v>5</v>
      </c>
      <c r="C8" s="5"/>
      <c r="D8" s="19" t="str">
        <f>Keywords!V4</f>
        <v>Cybersecurity</v>
      </c>
      <c r="E8" s="24" cm="1">
        <f t="array" ref="E8">INDEX(Keyword5[SESSIONS], MATCH(1, (Keyword5[YEAR]=$A$2)*(Keyword5[MONTH]=$B$2), 0))</f>
        <v>6351</v>
      </c>
      <c r="F8" s="7" cm="1">
        <f t="array" ref="F8">INDEX(Keyword5[RANKING], MATCH(1, (Keyword5[YEAR]=$A$2)*(Keyword5[MONTH]=$B$2), 0))</f>
        <v>10</v>
      </c>
      <c r="G8" s="5"/>
      <c r="H8" s="23" t="s">
        <v>52</v>
      </c>
      <c r="I8" s="24" cm="1">
        <f t="array" ref="I8">INDEX(Sessions_By_Devices[SESSIONS], MATCH(1, (Sessions_By_Devices[YEAR]=$A$2)*(Sessions_By_Devices[MONTH]=$B$2), 0))</f>
        <v>47965</v>
      </c>
      <c r="J8" s="5"/>
      <c r="K8" s="5"/>
      <c r="L8" s="5"/>
      <c r="M8" s="5"/>
      <c r="N8" s="73" t="str" cm="1">
        <f t="array" ref="N8">INDEX(Sessions_By_Devices[MONTH], MATCH(1, (Sessions_By_Devices[YEAR]=$A$2)*(Sessions_By_Devices[MONTH]=$B$2), 0)-4)</f>
        <v>April</v>
      </c>
      <c r="O8" s="68" cm="1">
        <f t="array" ref="O8">INDEX(Sessions_By_Devices[YEAR], MATCH(1, (Sessions_By_Devices[YEAR]=$A$2)*(Sessions_By_Devices[MONTH]=$B$2), 0)-4)</f>
        <v>2024</v>
      </c>
      <c r="P8" s="69" cm="1">
        <f t="array" ref="P8">INDEX(Sessions_By_Devices[SESSIONS], MATCH(1, (Sessions_By_Devices[YEAR]=$A$2)*(Sessions_By_Devices[MONTH]=$B$2), 0)-4)</f>
        <v>48271</v>
      </c>
      <c r="Q8" s="5"/>
      <c r="R8" s="73" t="str" cm="1">
        <f t="array" ref="R8">INDEX(Sessions_By_Devices[MONTH], MATCH(1, (Sessions_By_Devices[YEAR]=$A$2)*(Sessions_By_Devices[MONTH]=$B$2), 0)-4)</f>
        <v>April</v>
      </c>
      <c r="S8" s="68" cm="1">
        <f t="array" ref="S8">INDEX(Sessions_By_Devices[YEAR], MATCH(1, (Sessions_By_Devices[YEAR]=$A$2)*(Sessions_By_Devices[MONTH]=$B$2), 0)-4)</f>
        <v>2024</v>
      </c>
      <c r="T8" s="72" cm="1">
        <f t="array" ref="T8">INDEX(CPA[CPA], MATCH(1, (CPA[YEAR]=$A$2)*(CPA[MONTH]=$B$2), 0)-4)</f>
        <v>30</v>
      </c>
      <c r="U8" s="5"/>
      <c r="V8" s="5"/>
    </row>
    <row r="9" spans="1:22" x14ac:dyDescent="0.3">
      <c r="A9" s="18"/>
      <c r="B9" s="18" t="s">
        <v>6</v>
      </c>
      <c r="C9" s="5"/>
      <c r="D9" s="19" t="str">
        <f>Keywords!AA4</f>
        <v>DevOps Practices</v>
      </c>
      <c r="E9" s="24" cm="1">
        <f t="array" ref="E9">INDEX(Keyword6[SESSIONS], MATCH(1, (Keyword6[YEAR]=$A$2)*(Keyword6[MONTH]=$B$2), 0))</f>
        <v>2102</v>
      </c>
      <c r="F9" s="7" cm="1">
        <f t="array" ref="F9">INDEX(Keyword6[RANKING], MATCH(1, (Keyword6[YEAR]=$A$2)*(Keyword6[MONTH]=$B$2), 0))</f>
        <v>30</v>
      </c>
      <c r="G9" s="5"/>
      <c r="H9" s="5"/>
      <c r="I9" s="5"/>
      <c r="J9" s="5"/>
      <c r="K9" s="5"/>
      <c r="L9" s="5"/>
      <c r="M9" s="5"/>
      <c r="N9" s="73" t="str" cm="1">
        <f t="array" ref="N9">INDEX(Sessions_By_Devices[MONTH], MATCH(1, (Sessions_By_Devices[YEAR]=$A$2)*(Sessions_By_Devices[MONTH]=$B$2), 0)-5)</f>
        <v>March</v>
      </c>
      <c r="O9" s="68" cm="1">
        <f t="array" ref="O9">INDEX(Sessions_By_Devices[YEAR], MATCH(1, (Sessions_By_Devices[YEAR]=$A$2)*(Sessions_By_Devices[MONTH]=$B$2), 0)-5)</f>
        <v>2024</v>
      </c>
      <c r="P9" s="69" cm="1">
        <f t="array" ref="P9">INDEX(Sessions_By_Devices[SESSIONS], MATCH(1, (Sessions_By_Devices[YEAR]=$A$2)*(Sessions_By_Devices[MONTH]=$B$2), 0)-5)</f>
        <v>48053</v>
      </c>
      <c r="Q9" s="5"/>
      <c r="R9" s="73" t="str" cm="1">
        <f t="array" ref="R9">INDEX(Sessions_By_Devices[MONTH], MATCH(1, (Sessions_By_Devices[YEAR]=$A$2)*(Sessions_By_Devices[MONTH]=$B$2), 0)-5)</f>
        <v>March</v>
      </c>
      <c r="S9" s="68" cm="1">
        <f t="array" ref="S9">INDEX(Sessions_By_Devices[YEAR], MATCH(1, (Sessions_By_Devices[YEAR]=$A$2)*(Sessions_By_Devices[MONTH]=$B$2), 0)-5)</f>
        <v>2024</v>
      </c>
      <c r="T9" s="72" cm="1">
        <f t="array" ref="T9">INDEX(CPA[CPA], MATCH(1, (CPA[YEAR]=$A$2)*(CPA[MONTH]=$B$2), 0)-5)</f>
        <v>31</v>
      </c>
      <c r="U9" s="5"/>
      <c r="V9" s="5"/>
    </row>
    <row r="10" spans="1:22" x14ac:dyDescent="0.3">
      <c r="A10" s="18"/>
      <c r="B10" s="18" t="s">
        <v>7</v>
      </c>
      <c r="C10" s="5"/>
      <c r="D10" s="19" t="str">
        <f>Keywords!AF4</f>
        <v>Artificial Intelligence</v>
      </c>
      <c r="E10" s="24" cm="1">
        <f t="array" ref="E10">INDEX(Keyword7[SESSIONS], MATCH(1, (Keyword7[YEAR]=$A$2)*(Keyword7[MONTH]=$B$2), 0))</f>
        <v>6103</v>
      </c>
      <c r="F10" s="7" cm="1">
        <f t="array" ref="F10">INDEX(Keyword7[RANKING], MATCH(1, (Keyword7[YEAR]=$A$2)*(Keyword7[MONTH]=$B$2), 0))</f>
        <v>38</v>
      </c>
      <c r="G10" s="5"/>
      <c r="H10" s="5"/>
      <c r="I10" s="5"/>
      <c r="J10" s="5"/>
      <c r="K10" s="5"/>
      <c r="L10" s="5"/>
      <c r="M10" s="5"/>
      <c r="N10" s="73" t="str" cm="1">
        <f t="array" ref="N10">INDEX(Sessions_By_Devices[MONTH], MATCH(1, (Sessions_By_Devices[YEAR]=$A$2)*(Sessions_By_Devices[MONTH]=$B$2), 0)-6)</f>
        <v>February</v>
      </c>
      <c r="O10" s="68" cm="1">
        <f t="array" ref="O10">INDEX(Sessions_By_Devices[YEAR], MATCH(1, (Sessions_By_Devices[YEAR]=$A$2)*(Sessions_By_Devices[MONTH]=$B$2), 0)-6)</f>
        <v>2024</v>
      </c>
      <c r="P10" s="69" cm="1">
        <f t="array" ref="P10">INDEX(Sessions_By_Devices[SESSIONS], MATCH(1, (Sessions_By_Devices[YEAR]=$A$2)*(Sessions_By_Devices[MONTH]=$B$2), 0)-6)</f>
        <v>38680</v>
      </c>
      <c r="Q10" s="5"/>
      <c r="R10" s="73" t="str" cm="1">
        <f t="array" ref="R10">INDEX(Sessions_By_Devices[MONTH], MATCH(1, (Sessions_By_Devices[YEAR]=$A$2)*(Sessions_By_Devices[MONTH]=$B$2), 0)-6)</f>
        <v>February</v>
      </c>
      <c r="S10" s="68" cm="1">
        <f t="array" ref="S10">INDEX(Sessions_By_Devices[YEAR], MATCH(1, (Sessions_By_Devices[YEAR]=$A$2)*(Sessions_By_Devices[MONTH]=$B$2), 0)-6)</f>
        <v>2024</v>
      </c>
      <c r="T10" s="72" cm="1">
        <f t="array" ref="T10">INDEX(CPA[CPA], MATCH(1, (CPA[YEAR]=$A$2)*(CPA[MONTH]=$B$2), 0)-6)</f>
        <v>27</v>
      </c>
      <c r="U10" s="5"/>
      <c r="V10" s="5"/>
    </row>
    <row r="11" spans="1:22" x14ac:dyDescent="0.3">
      <c r="A11" s="18"/>
      <c r="B11" s="18" t="s">
        <v>8</v>
      </c>
      <c r="C11" s="5"/>
      <c r="D11" s="19" t="str">
        <f>Keywords!AK4</f>
        <v>Mobile App Development</v>
      </c>
      <c r="E11" s="24" cm="1">
        <f t="array" ref="E11">INDEX(Keyword8[SESSIONS], MATCH(1, (Keyword8[YEAR]=$A$2)*(Keyword8[MONTH]=$B$2), 0))</f>
        <v>1099</v>
      </c>
      <c r="F11" s="7" cm="1">
        <f t="array" ref="F11">INDEX(Keyword8[RANKING], MATCH(1, (Keyword8[YEAR]=$A$2)*(Keyword8[MONTH]=$B$2), 0))</f>
        <v>37</v>
      </c>
      <c r="G11" s="5"/>
      <c r="H11" s="5"/>
      <c r="I11" s="5"/>
      <c r="J11" s="5"/>
      <c r="K11" s="5"/>
      <c r="L11" s="5"/>
      <c r="M11" s="5"/>
      <c r="N11" s="73" t="str" cm="1">
        <f t="array" ref="N11">INDEX(Sessions_By_Devices[MONTH], MATCH(1, (Sessions_By_Devices[YEAR]=$A$2)*(Sessions_By_Devices[MONTH]=$B$2), 0)-7)</f>
        <v>January</v>
      </c>
      <c r="O11" s="68" cm="1">
        <f t="array" ref="O11">INDEX(Sessions_By_Devices[YEAR], MATCH(1, (Sessions_By_Devices[YEAR]=$A$2)*(Sessions_By_Devices[MONTH]=$B$2), 0)-7)</f>
        <v>2024</v>
      </c>
      <c r="P11" s="69" cm="1">
        <f t="array" ref="P11">INDEX(Sessions_By_Devices[SESSIONS], MATCH(1, (Sessions_By_Devices[YEAR]=$A$2)*(Sessions_By_Devices[MONTH]=$B$2), 0)-7)</f>
        <v>38563</v>
      </c>
      <c r="Q11" s="5"/>
      <c r="R11" s="73" t="str" cm="1">
        <f t="array" ref="R11">INDEX(Sessions_By_Devices[MONTH], MATCH(1, (Sessions_By_Devices[YEAR]=$A$2)*(Sessions_By_Devices[MONTH]=$B$2), 0)-7)</f>
        <v>January</v>
      </c>
      <c r="S11" s="68" cm="1">
        <f t="array" ref="S11">INDEX(Sessions_By_Devices[YEAR], MATCH(1, (Sessions_By_Devices[YEAR]=$A$2)*(Sessions_By_Devices[MONTH]=$B$2), 0)-7)</f>
        <v>2024</v>
      </c>
      <c r="T11" s="72" cm="1">
        <f t="array" ref="T11">INDEX(CPA[CPA], MATCH(1, (CPA[YEAR]=$A$2)*(CPA[MONTH]=$B$2), 0)-7)</f>
        <v>24</v>
      </c>
      <c r="U11" s="5"/>
      <c r="V11" s="5"/>
    </row>
    <row r="12" spans="1:22" x14ac:dyDescent="0.3">
      <c r="A12" s="18"/>
      <c r="B12" s="18" t="s">
        <v>9</v>
      </c>
      <c r="C12" s="5"/>
      <c r="D12" s="19" t="str">
        <f>Keywords!AP4</f>
        <v>Open Source Software</v>
      </c>
      <c r="E12" s="24" cm="1">
        <f t="array" ref="E12">INDEX(Keyword9[SESSIONS], MATCH(1, (Keyword9[YEAR]=$A$2)*(Keyword9[MONTH]=$B$2), 0))</f>
        <v>1093</v>
      </c>
      <c r="F12" s="7" cm="1">
        <f t="array" ref="F12">INDEX(Keyword9[RANKING], MATCH(1, (Keyword9[YEAR]=$A$2)*(Keyword9[MONTH]=$B$2), 0))</f>
        <v>79</v>
      </c>
      <c r="G12" s="5"/>
      <c r="H12" s="5"/>
      <c r="I12" s="5"/>
      <c r="J12" s="5"/>
      <c r="K12" s="5"/>
      <c r="L12" s="5"/>
      <c r="M12" s="5"/>
      <c r="N12" s="73" t="str" cm="1">
        <f t="array" ref="N12">INDEX(Sessions_By_Devices[MONTH], MATCH(1, (Sessions_By_Devices[YEAR]=$A$2)*(Sessions_By_Devices[MONTH]=$B$2), 0)-8)</f>
        <v>December</v>
      </c>
      <c r="O12" s="68" cm="1">
        <f t="array" ref="O12">INDEX(Sessions_By_Devices[YEAR], MATCH(1, (Sessions_By_Devices[YEAR]=$A$2)*(Sessions_By_Devices[MONTH]=$B$2), 0)-8)</f>
        <v>2023</v>
      </c>
      <c r="P12" s="69" cm="1">
        <f t="array" ref="P12">INDEX(Sessions_By_Devices[SESSIONS], MATCH(1, (Sessions_By_Devices[YEAR]=$A$2)*(Sessions_By_Devices[MONTH]=$B$2), 0)-8)</f>
        <v>43179</v>
      </c>
      <c r="Q12" s="5"/>
      <c r="R12" s="73" t="str" cm="1">
        <f t="array" ref="R12">INDEX(Sessions_By_Devices[MONTH], MATCH(1, (Sessions_By_Devices[YEAR]=$A$2)*(Sessions_By_Devices[MONTH]=$B$2), 0)-8)</f>
        <v>December</v>
      </c>
      <c r="S12" s="68" cm="1">
        <f t="array" ref="S12">INDEX(Sessions_By_Devices[YEAR], MATCH(1, (Sessions_By_Devices[YEAR]=$A$2)*(Sessions_By_Devices[MONTH]=$B$2), 0)-8)</f>
        <v>2023</v>
      </c>
      <c r="T12" s="72" cm="1">
        <f t="array" ref="T12">INDEX(CPA[CPA], MATCH(1, (CPA[YEAR]=$A$2)*(CPA[MONTH]=$B$2), 0)-8)</f>
        <v>22</v>
      </c>
      <c r="U12" s="5"/>
      <c r="V12" s="5"/>
    </row>
    <row r="13" spans="1:22" x14ac:dyDescent="0.3">
      <c r="A13" s="18"/>
      <c r="B13" s="18" t="s">
        <v>10</v>
      </c>
      <c r="C13" s="5"/>
      <c r="D13" s="19" t="str">
        <f>Keywords!AU4</f>
        <v>API Integration</v>
      </c>
      <c r="E13" s="24" cm="1">
        <f t="array" ref="E13">INDEX(Keyword10[SESSIONS], MATCH(1, (Keyword10[YEAR]=$A$2)*(Keyword10[MONTH]=$B$2), 0))</f>
        <v>1513</v>
      </c>
      <c r="F13" s="7" cm="1">
        <f t="array" ref="F13">INDEX(Keyword10[RANKING], MATCH(1, (Keyword10[YEAR]=$A$2)*(Keyword10[MONTH]=$B$2), 0))</f>
        <v>83</v>
      </c>
      <c r="G13" s="5"/>
      <c r="H13" s="5"/>
      <c r="I13" s="5"/>
      <c r="J13" s="5"/>
      <c r="K13" s="5"/>
      <c r="L13" s="5"/>
      <c r="M13" s="5"/>
      <c r="N13" s="73" t="str" cm="1">
        <f t="array" ref="N13">INDEX(Sessions_By_Devices[MONTH], MATCH(1, (Sessions_By_Devices[YEAR]=$A$2)*(Sessions_By_Devices[MONTH]=$B$2), 0)-9)</f>
        <v>November</v>
      </c>
      <c r="O13" s="68" cm="1">
        <f t="array" ref="O13">INDEX(Sessions_By_Devices[YEAR], MATCH(1, (Sessions_By_Devices[YEAR]=$A$2)*(Sessions_By_Devices[MONTH]=$B$2), 0)-9)</f>
        <v>2023</v>
      </c>
      <c r="P13" s="69" cm="1">
        <f t="array" ref="P13">INDEX(Sessions_By_Devices[SESSIONS], MATCH(1, (Sessions_By_Devices[YEAR]=$A$2)*(Sessions_By_Devices[MONTH]=$B$2), 0)-9)</f>
        <v>44442</v>
      </c>
      <c r="Q13" s="5"/>
      <c r="R13" s="73" t="str" cm="1">
        <f t="array" ref="R13">INDEX(Sessions_By_Devices[MONTH], MATCH(1, (Sessions_By_Devices[YEAR]=$A$2)*(Sessions_By_Devices[MONTH]=$B$2), 0)-9)</f>
        <v>November</v>
      </c>
      <c r="S13" s="68" cm="1">
        <f t="array" ref="S13">INDEX(Sessions_By_Devices[YEAR], MATCH(1, (Sessions_By_Devices[YEAR]=$A$2)*(Sessions_By_Devices[MONTH]=$B$2), 0)-9)</f>
        <v>2023</v>
      </c>
      <c r="T13" s="72" cm="1">
        <f t="array" ref="T13">INDEX(CPA[CPA], MATCH(1, (CPA[YEAR]=$A$2)*(CPA[MONTH]=$B$2), 0)-9)</f>
        <v>21</v>
      </c>
      <c r="U13" s="5"/>
      <c r="V13" s="5"/>
    </row>
    <row r="14" spans="1:22" x14ac:dyDescent="0.3">
      <c r="A14" s="18"/>
      <c r="B14" s="18" t="s">
        <v>11</v>
      </c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73" t="str" cm="1">
        <f t="array" ref="N14">INDEX(Sessions_By_Devices[MONTH], MATCH(1, (Sessions_By_Devices[YEAR]=$A$2)*(Sessions_By_Devices[MONTH]=$B$2), 0)-10)</f>
        <v>October</v>
      </c>
      <c r="O14" s="68" cm="1">
        <f t="array" ref="O14">INDEX(Sessions_By_Devices[YEAR], MATCH(1, (Sessions_By_Devices[YEAR]=$A$2)*(Sessions_By_Devices[MONTH]=$B$2), 0)-10)</f>
        <v>2023</v>
      </c>
      <c r="P14" s="69" cm="1">
        <f t="array" ref="P14">INDEX(Sessions_By_Devices[SESSIONS], MATCH(1, (Sessions_By_Devices[YEAR]=$A$2)*(Sessions_By_Devices[MONTH]=$B$2), 0)-10)</f>
        <v>52936</v>
      </c>
      <c r="Q14" s="5"/>
      <c r="R14" s="73" t="str" cm="1">
        <f t="array" ref="R14">INDEX(Sessions_By_Devices[MONTH], MATCH(1, (Sessions_By_Devices[YEAR]=$A$2)*(Sessions_By_Devices[MONTH]=$B$2), 0)-10)</f>
        <v>October</v>
      </c>
      <c r="S14" s="68" cm="1">
        <f t="array" ref="S14">INDEX(Sessions_By_Devices[YEAR], MATCH(1, (Sessions_By_Devices[YEAR]=$A$2)*(Sessions_By_Devices[MONTH]=$B$2), 0)-10)</f>
        <v>2023</v>
      </c>
      <c r="T14" s="72" cm="1">
        <f t="array" ref="T14">INDEX(CPA[CPA], MATCH(1, (CPA[YEAR]=$A$2)*(CPA[MONTH]=$B$2), 0)-10)</f>
        <v>18</v>
      </c>
      <c r="U14" s="5"/>
      <c r="V14" s="5"/>
    </row>
    <row r="15" spans="1:22" x14ac:dyDescent="0.3">
      <c r="A15" s="18"/>
      <c r="B15" s="18" t="s">
        <v>12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73" t="str" cm="1">
        <f t="array" ref="N15">INDEX(Sessions_By_Devices[MONTH], MATCH(1, (Sessions_By_Devices[YEAR]=$A$2)*(Sessions_By_Devices[MONTH]=$B$2), 0)-11)</f>
        <v>September</v>
      </c>
      <c r="O15" s="68" cm="1">
        <f t="array" ref="O15">INDEX(Sessions_By_Devices[YEAR], MATCH(1, (Sessions_By_Devices[YEAR]=$A$2)*(Sessions_By_Devices[MONTH]=$B$2), 0)-11)</f>
        <v>2023</v>
      </c>
      <c r="P15" s="69" cm="1">
        <f t="array" ref="P15">INDEX(Sessions_By_Devices[SESSIONS], MATCH(1, (Sessions_By_Devices[YEAR]=$A$2)*(Sessions_By_Devices[MONTH]=$B$2), 0)-11)</f>
        <v>43615</v>
      </c>
      <c r="Q15" s="5"/>
      <c r="R15" s="73" t="str" cm="1">
        <f t="array" ref="R15">INDEX(Sessions_By_Devices[MONTH], MATCH(1, (Sessions_By_Devices[YEAR]=$A$2)*(Sessions_By_Devices[MONTH]=$B$2), 0)-11)</f>
        <v>September</v>
      </c>
      <c r="S15" s="68" cm="1">
        <f t="array" ref="S15">INDEX(Sessions_By_Devices[YEAR], MATCH(1, (Sessions_By_Devices[YEAR]=$A$2)*(Sessions_By_Devices[MONTH]=$B$2), 0)-11)</f>
        <v>2023</v>
      </c>
      <c r="T15" s="72" cm="1">
        <f t="array" ref="T15">INDEX(CPA[CPA], MATCH(1, (CPA[YEAR]=$A$2)*(CPA[MONTH]=$B$2), 0)-11)</f>
        <v>19</v>
      </c>
      <c r="U15" s="5"/>
      <c r="V15" s="5"/>
    </row>
    <row r="16" spans="1:22" x14ac:dyDescent="0.3">
      <c r="A16" s="5"/>
      <c r="B16" s="5"/>
      <c r="C16" s="5"/>
      <c r="D16" s="22" t="s">
        <v>34</v>
      </c>
      <c r="E16" s="21" t="s">
        <v>31</v>
      </c>
      <c r="F16" s="5"/>
      <c r="G16" s="5"/>
      <c r="H16" s="5"/>
      <c r="I16" s="5"/>
      <c r="J16" s="5"/>
      <c r="K16" s="5"/>
      <c r="L16" s="5"/>
      <c r="M16" s="5"/>
      <c r="N16" s="73" t="str" cm="1">
        <f t="array" ref="N16">INDEX(Sessions_By_Devices[MONTH], MATCH(1, (Sessions_By_Devices[YEAR]=$A$2)*(Sessions_By_Devices[MONTH]=$B$2), 0)-12)</f>
        <v>August</v>
      </c>
      <c r="O16" s="68" cm="1">
        <f t="array" ref="O16">INDEX(Sessions_By_Devices[YEAR], MATCH(1, (Sessions_By_Devices[YEAR]=$A$2)*(Sessions_By_Devices[MONTH]=$B$2), 0)-12)</f>
        <v>2023</v>
      </c>
      <c r="P16" s="69" cm="1">
        <f t="array" ref="P16">INDEX(Sessions_By_Devices[SESSIONS], MATCH(1, (Sessions_By_Devices[YEAR]=$A$2)*(Sessions_By_Devices[MONTH]=$B$2), 0)-12)</f>
        <v>30785</v>
      </c>
      <c r="Q16" s="5"/>
      <c r="R16" s="73" t="str" cm="1">
        <f t="array" ref="R16">INDEX(Sessions_By_Devices[MONTH], MATCH(1, (Sessions_By_Devices[YEAR]=$A$2)*(Sessions_By_Devices[MONTH]=$B$2), 0)-12)</f>
        <v>August</v>
      </c>
      <c r="S16" s="68" cm="1">
        <f t="array" ref="S16">INDEX(Sessions_By_Devices[YEAR], MATCH(1, (Sessions_By_Devices[YEAR]=$A$2)*(Sessions_By_Devices[MONTH]=$B$2), 0)-12)</f>
        <v>2023</v>
      </c>
      <c r="T16" s="72" cm="1">
        <f t="array" ref="T16">INDEX(CPA[CPA], MATCH(1, (CPA[YEAR]=$A$2)*(CPA[MONTH]=$B$2), 0)-12)</f>
        <v>23</v>
      </c>
      <c r="U16" s="5"/>
      <c r="V16" s="5"/>
    </row>
    <row r="17" spans="1:22" x14ac:dyDescent="0.3">
      <c r="A17" s="5"/>
      <c r="B17" s="5"/>
      <c r="C17" s="5"/>
      <c r="D17" s="23" t="str">
        <f>Sessions_By_Devices[[#Headers],[MOBILE]]</f>
        <v>MOBILE</v>
      </c>
      <c r="E17" s="24" cm="1">
        <f t="array" ref="E17">INDEX(Sessions_By_Devices[MOBILE], MATCH(1, (Sessions_By_Devices[YEAR]=$A$2)*(Sessions_By_Devices[MONTH]=$B$2), 0))</f>
        <v>5840</v>
      </c>
      <c r="F17" s="5"/>
      <c r="G17" s="5"/>
      <c r="H17" s="5"/>
      <c r="I17" s="5"/>
      <c r="J17" s="5"/>
      <c r="K17" s="5"/>
      <c r="L17" s="5"/>
      <c r="M17" s="5"/>
      <c r="N17" s="71" t="s">
        <v>54</v>
      </c>
      <c r="O17" s="71"/>
      <c r="P17" s="82">
        <f>AVERAGE(P4:P16)</f>
        <v>44842.384615384617</v>
      </c>
      <c r="Q17" s="5"/>
      <c r="R17" s="71" t="s">
        <v>54</v>
      </c>
      <c r="S17" s="71"/>
      <c r="T17" s="83">
        <f>AVERAGE(T4:T16)</f>
        <v>23.384615384615383</v>
      </c>
      <c r="U17" s="5"/>
      <c r="V17" s="5"/>
    </row>
    <row r="18" spans="1:22" x14ac:dyDescent="0.3">
      <c r="A18" s="5"/>
      <c r="B18" s="5"/>
      <c r="C18" s="5"/>
      <c r="D18" s="23" t="str">
        <f>Sessions_By_Devices[[#Headers],[TABLET]]</f>
        <v>TABLET</v>
      </c>
      <c r="E18" s="24" cm="1">
        <f t="array" ref="E18">INDEX(Sessions_By_Devices[TABLET], MATCH(1, (Sessions_By_Devices[YEAR]=$A$2)*(Sessions_By_Devices[MONTH]=$B$2), 0))</f>
        <v>12563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</row>
    <row r="19" spans="1:22" x14ac:dyDescent="0.3">
      <c r="A19" s="5"/>
      <c r="B19" s="5"/>
      <c r="C19" s="5"/>
      <c r="D19" s="23" t="str">
        <f>Sessions_By_Devices[[#Headers],[DESKTOP]]</f>
        <v>DESKTOP</v>
      </c>
      <c r="E19" s="24" cm="1">
        <f t="array" ref="E19">INDEX(Sessions_By_Devices[DESKTOP], MATCH(1, (Sessions_By_Devices[YEAR]=$A$2)*(Sessions_By_Devices[MONTH]=$B$2), 0))</f>
        <v>29562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</row>
    <row r="20" spans="1:22" x14ac:dyDescent="0.3">
      <c r="A20" s="5"/>
      <c r="B20" s="5"/>
      <c r="C20" s="5"/>
      <c r="D20" s="22" t="s">
        <v>35</v>
      </c>
      <c r="E20" s="25" cm="1">
        <f t="array" ref="E20">INDEX(Sessions_By_Devices[SESSIONS], MATCH(1, (Sessions_By_Devices[YEAR]=$A$2)*(Sessions_By_Devices[MONTH]=$B$2), 0))</f>
        <v>47965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</row>
    <row r="21" spans="1:22" x14ac:dyDescent="0.3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</row>
    <row r="22" spans="1:22" x14ac:dyDescent="0.3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</row>
    <row r="23" spans="1:22" x14ac:dyDescent="0.3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</row>
    <row r="24" spans="1:22" x14ac:dyDescent="0.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</row>
    <row r="25" spans="1:22" x14ac:dyDescent="0.3">
      <c r="H25" s="5"/>
      <c r="I25" s="5"/>
      <c r="J25" s="5"/>
    </row>
  </sheetData>
  <mergeCells count="4">
    <mergeCell ref="N2:P2"/>
    <mergeCell ref="N17:O17"/>
    <mergeCell ref="R2:T2"/>
    <mergeCell ref="R17:S17"/>
  </mergeCells>
  <pageMargins left="0.7" right="0.7" top="0.75" bottom="0.75" header="0.3" footer="0.3"/>
  <ignoredErrors>
    <ignoredError sqref="E5 I7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C9FCBF-E2A2-4E20-AB8F-54BFDB79B18F}">
  <dimension ref="A1:BE31"/>
  <sheetViews>
    <sheetView zoomScale="55" zoomScaleNormal="55" workbookViewId="0">
      <selection activeCell="BB30" sqref="BB30"/>
    </sheetView>
  </sheetViews>
  <sheetFormatPr defaultRowHeight="13.2" x14ac:dyDescent="0.3"/>
  <cols>
    <col min="1" max="1" width="8.88671875" style="2"/>
    <col min="2" max="2" width="11.5546875" style="3" customWidth="1"/>
    <col min="3" max="3" width="8.88671875" style="2"/>
    <col min="4" max="4" width="11.5546875" style="2" customWidth="1"/>
    <col min="5" max="5" width="11" style="2" customWidth="1"/>
    <col min="6" max="6" width="3.77734375" style="2" customWidth="1"/>
    <col min="7" max="7" width="11.5546875" style="3" customWidth="1"/>
    <col min="8" max="8" width="8.88671875" style="2"/>
    <col min="9" max="9" width="11.5546875" style="2" customWidth="1"/>
    <col min="10" max="10" width="11" style="2" customWidth="1"/>
    <col min="11" max="11" width="3.77734375" style="2" customWidth="1"/>
    <col min="12" max="12" width="11.5546875" style="3" customWidth="1"/>
    <col min="13" max="13" width="8.88671875" style="2"/>
    <col min="14" max="14" width="11.5546875" style="2" customWidth="1"/>
    <col min="15" max="15" width="11" style="2" customWidth="1"/>
    <col min="16" max="16" width="3.77734375" style="2" customWidth="1"/>
    <col min="17" max="17" width="11.5546875" style="3" customWidth="1"/>
    <col min="18" max="18" width="8.88671875" style="2"/>
    <col min="19" max="19" width="11.5546875" style="2" customWidth="1"/>
    <col min="20" max="20" width="11" style="2" customWidth="1"/>
    <col min="21" max="21" width="3.77734375" style="2" customWidth="1"/>
    <col min="22" max="22" width="11.5546875" style="3" customWidth="1"/>
    <col min="23" max="23" width="8.88671875" style="2"/>
    <col min="24" max="24" width="11.5546875" style="2" customWidth="1"/>
    <col min="25" max="25" width="11" style="2" customWidth="1"/>
    <col min="26" max="26" width="3.77734375" style="2" customWidth="1"/>
    <col min="27" max="27" width="11.5546875" style="3" customWidth="1"/>
    <col min="28" max="28" width="8.88671875" style="2"/>
    <col min="29" max="29" width="11.5546875" style="2" customWidth="1"/>
    <col min="30" max="30" width="11" style="2" customWidth="1"/>
    <col min="31" max="31" width="3.77734375" style="2" customWidth="1"/>
    <col min="32" max="32" width="11.5546875" style="3" customWidth="1"/>
    <col min="33" max="33" width="8.88671875" style="2"/>
    <col min="34" max="34" width="11.5546875" style="2" customWidth="1"/>
    <col min="35" max="35" width="11" style="2" customWidth="1"/>
    <col min="36" max="36" width="3.77734375" style="2" customWidth="1"/>
    <col min="37" max="37" width="11.5546875" style="3" customWidth="1"/>
    <col min="38" max="38" width="8.88671875" style="2"/>
    <col min="39" max="39" width="11.5546875" style="2" customWidth="1"/>
    <col min="40" max="40" width="11" style="2" customWidth="1"/>
    <col min="41" max="41" width="3.77734375" style="2" customWidth="1"/>
    <col min="42" max="42" width="11.5546875" style="3" customWidth="1"/>
    <col min="43" max="43" width="8.88671875" style="2"/>
    <col min="44" max="44" width="11.5546875" style="2" customWidth="1"/>
    <col min="45" max="45" width="11" style="2" customWidth="1"/>
    <col min="46" max="46" width="3.77734375" style="2" customWidth="1"/>
    <col min="47" max="47" width="11.5546875" style="3" customWidth="1"/>
    <col min="48" max="48" width="8.88671875" style="2"/>
    <col min="49" max="49" width="11.5546875" style="2" customWidth="1"/>
    <col min="50" max="50" width="11" style="2" customWidth="1"/>
    <col min="51" max="51" width="3.77734375" style="2" customWidth="1"/>
    <col min="52" max="52" width="11.5546875" style="3" customWidth="1"/>
    <col min="53" max="56" width="8.88671875" style="2"/>
    <col min="57" max="57" width="11.5546875" style="2" customWidth="1"/>
    <col min="58" max="16384" width="8.88671875" style="2"/>
  </cols>
  <sheetData>
    <row r="1" spans="1:57" x14ac:dyDescent="0.3">
      <c r="A1" s="5"/>
      <c r="B1" s="6"/>
      <c r="C1" s="5"/>
      <c r="D1" s="5"/>
      <c r="E1" s="5"/>
      <c r="F1" s="5"/>
      <c r="G1" s="6"/>
      <c r="H1" s="5"/>
      <c r="I1" s="5"/>
      <c r="J1" s="5"/>
      <c r="K1" s="5"/>
      <c r="L1" s="6"/>
      <c r="M1" s="5"/>
      <c r="N1" s="5"/>
      <c r="O1" s="5"/>
      <c r="P1" s="5"/>
      <c r="Q1" s="6"/>
      <c r="R1" s="5"/>
      <c r="S1" s="5"/>
      <c r="T1" s="5"/>
      <c r="U1" s="5"/>
      <c r="V1" s="6"/>
      <c r="W1" s="5"/>
      <c r="X1" s="5"/>
      <c r="Y1" s="5"/>
      <c r="Z1" s="5"/>
      <c r="AA1" s="6"/>
      <c r="AB1" s="5"/>
      <c r="AC1" s="5"/>
      <c r="AD1" s="5"/>
      <c r="AE1" s="5"/>
      <c r="AF1" s="6"/>
      <c r="AG1" s="5"/>
      <c r="AH1" s="5"/>
      <c r="AI1" s="5"/>
      <c r="AJ1" s="5"/>
      <c r="AK1" s="6"/>
      <c r="AL1" s="5"/>
      <c r="AM1" s="5"/>
      <c r="AN1" s="5"/>
      <c r="AO1" s="5"/>
      <c r="AP1" s="6"/>
      <c r="AQ1" s="5"/>
      <c r="AR1" s="5"/>
      <c r="AS1" s="5"/>
      <c r="AT1" s="5"/>
      <c r="AU1" s="6"/>
      <c r="AV1" s="5"/>
      <c r="AW1" s="5"/>
      <c r="AX1" s="5"/>
      <c r="AY1" s="5"/>
      <c r="AZ1" s="6"/>
      <c r="BA1" s="5"/>
      <c r="BB1" s="5"/>
      <c r="BC1" s="5"/>
      <c r="BD1" s="5"/>
      <c r="BE1" s="5"/>
    </row>
    <row r="2" spans="1:57" x14ac:dyDescent="0.3">
      <c r="A2" s="5"/>
      <c r="B2" s="6"/>
      <c r="C2" s="5"/>
      <c r="D2" s="5"/>
      <c r="E2" s="5"/>
      <c r="F2" s="5"/>
      <c r="G2" s="6"/>
      <c r="H2" s="5"/>
      <c r="I2" s="5"/>
      <c r="J2" s="5"/>
      <c r="K2" s="5"/>
      <c r="L2" s="6"/>
      <c r="M2" s="5"/>
      <c r="N2" s="5"/>
      <c r="O2" s="5"/>
      <c r="P2" s="5"/>
      <c r="Q2" s="6"/>
      <c r="R2" s="5"/>
      <c r="S2" s="5"/>
      <c r="T2" s="5"/>
      <c r="U2" s="5"/>
      <c r="V2" s="6"/>
      <c r="W2" s="5"/>
      <c r="X2" s="5"/>
      <c r="Y2" s="5"/>
      <c r="Z2" s="5"/>
      <c r="AA2" s="6"/>
      <c r="AB2" s="5"/>
      <c r="AC2" s="5"/>
      <c r="AD2" s="5"/>
      <c r="AE2" s="5"/>
      <c r="AF2" s="6"/>
      <c r="AG2" s="5"/>
      <c r="AH2" s="5"/>
      <c r="AI2" s="5"/>
      <c r="AJ2" s="5"/>
      <c r="AK2" s="6"/>
      <c r="AL2" s="5"/>
      <c r="AM2" s="5"/>
      <c r="AN2" s="5"/>
      <c r="AO2" s="5"/>
      <c r="AP2" s="6"/>
      <c r="AQ2" s="5"/>
      <c r="AR2" s="5"/>
      <c r="AS2" s="5"/>
      <c r="AT2" s="5"/>
      <c r="AU2" s="6"/>
      <c r="AV2" s="5"/>
      <c r="AW2" s="5"/>
      <c r="AX2" s="5"/>
      <c r="AY2" s="5"/>
      <c r="AZ2" s="6"/>
      <c r="BA2" s="5"/>
      <c r="BB2" s="5"/>
      <c r="BC2" s="5"/>
      <c r="BD2" s="5"/>
      <c r="BE2" s="5"/>
    </row>
    <row r="3" spans="1:57" x14ac:dyDescent="0.3">
      <c r="A3" s="5"/>
      <c r="B3" s="6"/>
      <c r="C3" s="5"/>
      <c r="D3" s="5"/>
      <c r="E3" s="5"/>
      <c r="F3" s="5"/>
      <c r="G3" s="6"/>
      <c r="H3" s="5"/>
      <c r="I3" s="5"/>
      <c r="J3" s="5"/>
      <c r="K3" s="5"/>
      <c r="L3" s="6"/>
      <c r="M3" s="5"/>
      <c r="N3" s="5"/>
      <c r="O3" s="5"/>
      <c r="P3" s="5"/>
      <c r="Q3" s="6"/>
      <c r="R3" s="5"/>
      <c r="S3" s="5"/>
      <c r="T3" s="5"/>
      <c r="U3" s="5"/>
      <c r="V3" s="6"/>
      <c r="W3" s="5"/>
      <c r="X3" s="5"/>
      <c r="Y3" s="5"/>
      <c r="Z3" s="5"/>
      <c r="AA3" s="6"/>
      <c r="AB3" s="5"/>
      <c r="AC3" s="5"/>
      <c r="AD3" s="5"/>
      <c r="AE3" s="5"/>
      <c r="AF3" s="6"/>
      <c r="AG3" s="5"/>
      <c r="AH3" s="5"/>
      <c r="AI3" s="5"/>
      <c r="AJ3" s="5"/>
      <c r="AK3" s="6"/>
      <c r="AL3" s="5"/>
      <c r="AM3" s="5"/>
      <c r="AN3" s="5"/>
      <c r="AO3" s="5"/>
      <c r="AP3" s="6"/>
      <c r="AQ3" s="5"/>
      <c r="AR3" s="5"/>
      <c r="AS3" s="5"/>
      <c r="AT3" s="5"/>
      <c r="AU3" s="6"/>
      <c r="AV3" s="5"/>
      <c r="AW3" s="5"/>
      <c r="AX3" s="5"/>
      <c r="AY3" s="5"/>
      <c r="AZ3" s="6"/>
      <c r="BA3" s="5"/>
      <c r="BB3" s="5"/>
      <c r="BC3" s="5"/>
      <c r="BD3" s="5"/>
      <c r="BE3" s="5"/>
    </row>
    <row r="4" spans="1:57" ht="20.399999999999999" customHeight="1" x14ac:dyDescent="0.3">
      <c r="A4" s="5"/>
      <c r="B4" s="4" t="s">
        <v>17</v>
      </c>
      <c r="C4" s="4"/>
      <c r="D4" s="4"/>
      <c r="E4" s="4"/>
      <c r="F4" s="5"/>
      <c r="G4" s="4" t="s">
        <v>26</v>
      </c>
      <c r="H4" s="4"/>
      <c r="I4" s="4"/>
      <c r="J4" s="4"/>
      <c r="K4" s="5"/>
      <c r="L4" s="4" t="s">
        <v>25</v>
      </c>
      <c r="M4" s="4"/>
      <c r="N4" s="4"/>
      <c r="O4" s="4"/>
      <c r="P4" s="5"/>
      <c r="Q4" s="4" t="s">
        <v>24</v>
      </c>
      <c r="R4" s="4"/>
      <c r="S4" s="4"/>
      <c r="T4" s="4"/>
      <c r="U4" s="5"/>
      <c r="V4" s="4" t="s">
        <v>23</v>
      </c>
      <c r="W4" s="4"/>
      <c r="X4" s="4"/>
      <c r="Y4" s="4"/>
      <c r="Z4" s="5"/>
      <c r="AA4" s="4" t="s">
        <v>22</v>
      </c>
      <c r="AB4" s="4"/>
      <c r="AC4" s="4"/>
      <c r="AD4" s="4"/>
      <c r="AE4" s="5"/>
      <c r="AF4" s="4" t="s">
        <v>21</v>
      </c>
      <c r="AG4" s="4"/>
      <c r="AH4" s="4"/>
      <c r="AI4" s="4"/>
      <c r="AJ4" s="5"/>
      <c r="AK4" s="4" t="s">
        <v>20</v>
      </c>
      <c r="AL4" s="4"/>
      <c r="AM4" s="4"/>
      <c r="AN4" s="4"/>
      <c r="AO4" s="5"/>
      <c r="AP4" s="4" t="s">
        <v>19</v>
      </c>
      <c r="AQ4" s="4"/>
      <c r="AR4" s="4"/>
      <c r="AS4" s="4"/>
      <c r="AT4" s="5"/>
      <c r="AU4" s="4" t="s">
        <v>18</v>
      </c>
      <c r="AV4" s="4"/>
      <c r="AW4" s="4"/>
      <c r="AX4" s="4"/>
      <c r="AY4" s="5"/>
      <c r="AZ4" s="16" t="s">
        <v>27</v>
      </c>
      <c r="BA4" s="16"/>
      <c r="BB4" s="16"/>
      <c r="BC4" s="16"/>
      <c r="BD4" s="16"/>
      <c r="BE4" s="16"/>
    </row>
    <row r="5" spans="1:57" x14ac:dyDescent="0.3">
      <c r="A5" s="5"/>
      <c r="B5" s="10" t="s">
        <v>13</v>
      </c>
      <c r="C5" s="11" t="s">
        <v>14</v>
      </c>
      <c r="D5" s="11" t="s">
        <v>15</v>
      </c>
      <c r="E5" s="12" t="s">
        <v>16</v>
      </c>
      <c r="F5" s="5"/>
      <c r="G5" s="10" t="s">
        <v>13</v>
      </c>
      <c r="H5" s="11" t="s">
        <v>14</v>
      </c>
      <c r="I5" s="11" t="s">
        <v>15</v>
      </c>
      <c r="J5" s="12" t="s">
        <v>16</v>
      </c>
      <c r="K5" s="5"/>
      <c r="L5" s="10" t="s">
        <v>13</v>
      </c>
      <c r="M5" s="11" t="s">
        <v>14</v>
      </c>
      <c r="N5" s="11" t="s">
        <v>15</v>
      </c>
      <c r="O5" s="12" t="s">
        <v>16</v>
      </c>
      <c r="P5" s="5"/>
      <c r="Q5" s="10" t="s">
        <v>13</v>
      </c>
      <c r="R5" s="11" t="s">
        <v>14</v>
      </c>
      <c r="S5" s="11" t="s">
        <v>15</v>
      </c>
      <c r="T5" s="12" t="s">
        <v>16</v>
      </c>
      <c r="U5" s="5"/>
      <c r="V5" s="10" t="s">
        <v>13</v>
      </c>
      <c r="W5" s="11" t="s">
        <v>14</v>
      </c>
      <c r="X5" s="11" t="s">
        <v>15</v>
      </c>
      <c r="Y5" s="12" t="s">
        <v>16</v>
      </c>
      <c r="Z5" s="5"/>
      <c r="AA5" s="10" t="s">
        <v>13</v>
      </c>
      <c r="AB5" s="11" t="s">
        <v>14</v>
      </c>
      <c r="AC5" s="11" t="s">
        <v>15</v>
      </c>
      <c r="AD5" s="12" t="s">
        <v>16</v>
      </c>
      <c r="AE5" s="5"/>
      <c r="AF5" s="10" t="s">
        <v>13</v>
      </c>
      <c r="AG5" s="11" t="s">
        <v>14</v>
      </c>
      <c r="AH5" s="11" t="s">
        <v>15</v>
      </c>
      <c r="AI5" s="12" t="s">
        <v>16</v>
      </c>
      <c r="AJ5" s="5"/>
      <c r="AK5" s="10" t="s">
        <v>13</v>
      </c>
      <c r="AL5" s="11" t="s">
        <v>14</v>
      </c>
      <c r="AM5" s="11" t="s">
        <v>15</v>
      </c>
      <c r="AN5" s="12" t="s">
        <v>16</v>
      </c>
      <c r="AO5" s="5"/>
      <c r="AP5" s="10" t="s">
        <v>13</v>
      </c>
      <c r="AQ5" s="11" t="s">
        <v>14</v>
      </c>
      <c r="AR5" s="11" t="s">
        <v>15</v>
      </c>
      <c r="AS5" s="12" t="s">
        <v>16</v>
      </c>
      <c r="AT5" s="5"/>
      <c r="AU5" s="10" t="s">
        <v>13</v>
      </c>
      <c r="AV5" s="11" t="s">
        <v>14</v>
      </c>
      <c r="AW5" s="11" t="s">
        <v>15</v>
      </c>
      <c r="AX5" s="12" t="s">
        <v>16</v>
      </c>
      <c r="AY5" s="5"/>
      <c r="AZ5" s="10" t="s">
        <v>13</v>
      </c>
      <c r="BA5" s="11" t="s">
        <v>14</v>
      </c>
      <c r="BB5" s="11" t="s">
        <v>28</v>
      </c>
      <c r="BC5" s="11" t="s">
        <v>30</v>
      </c>
      <c r="BD5" s="11" t="s">
        <v>29</v>
      </c>
      <c r="BE5" s="11" t="s">
        <v>15</v>
      </c>
    </row>
    <row r="6" spans="1:57" x14ac:dyDescent="0.3">
      <c r="A6" s="5"/>
      <c r="B6" s="8" t="s">
        <v>1</v>
      </c>
      <c r="C6" s="7">
        <v>2023</v>
      </c>
      <c r="D6" s="24">
        <v>4250</v>
      </c>
      <c r="E6" s="9">
        <v>12</v>
      </c>
      <c r="F6" s="5"/>
      <c r="G6" s="8" t="s">
        <v>1</v>
      </c>
      <c r="H6" s="7">
        <v>2023</v>
      </c>
      <c r="I6" s="24">
        <v>1909</v>
      </c>
      <c r="J6" s="9">
        <v>142</v>
      </c>
      <c r="K6" s="5"/>
      <c r="L6" s="8" t="s">
        <v>1</v>
      </c>
      <c r="M6" s="7">
        <v>2023</v>
      </c>
      <c r="N6" s="24">
        <v>1227</v>
      </c>
      <c r="O6" s="9">
        <v>197</v>
      </c>
      <c r="P6" s="5"/>
      <c r="Q6" s="8" t="s">
        <v>1</v>
      </c>
      <c r="R6" s="7">
        <v>2023</v>
      </c>
      <c r="S6" s="24">
        <v>786</v>
      </c>
      <c r="T6" s="9">
        <v>633</v>
      </c>
      <c r="U6" s="5"/>
      <c r="V6" s="8" t="s">
        <v>1</v>
      </c>
      <c r="W6" s="7">
        <v>2023</v>
      </c>
      <c r="X6" s="24">
        <v>5325</v>
      </c>
      <c r="Y6" s="9">
        <v>7</v>
      </c>
      <c r="Z6" s="5"/>
      <c r="AA6" s="8" t="s">
        <v>1</v>
      </c>
      <c r="AB6" s="7">
        <v>2023</v>
      </c>
      <c r="AC6" s="24">
        <v>2142</v>
      </c>
      <c r="AD6" s="9">
        <v>31</v>
      </c>
      <c r="AE6" s="5"/>
      <c r="AF6" s="8" t="s">
        <v>1</v>
      </c>
      <c r="AG6" s="7">
        <v>2023</v>
      </c>
      <c r="AH6" s="24">
        <v>7584</v>
      </c>
      <c r="AI6" s="9">
        <v>32</v>
      </c>
      <c r="AJ6" s="5"/>
      <c r="AK6" s="8" t="s">
        <v>1</v>
      </c>
      <c r="AL6" s="7">
        <v>2023</v>
      </c>
      <c r="AM6" s="24">
        <v>1252</v>
      </c>
      <c r="AN6" s="9">
        <v>71</v>
      </c>
      <c r="AO6" s="5"/>
      <c r="AP6" s="8" t="s">
        <v>1</v>
      </c>
      <c r="AQ6" s="7">
        <v>2023</v>
      </c>
      <c r="AR6" s="24">
        <v>1057</v>
      </c>
      <c r="AS6" s="9">
        <v>84</v>
      </c>
      <c r="AT6" s="5"/>
      <c r="AU6" s="8" t="s">
        <v>1</v>
      </c>
      <c r="AV6" s="7">
        <v>2023</v>
      </c>
      <c r="AW6" s="24">
        <v>1718</v>
      </c>
      <c r="AX6" s="9">
        <v>76</v>
      </c>
      <c r="AY6" s="5"/>
      <c r="AZ6" s="8" t="s">
        <v>1</v>
      </c>
      <c r="BA6" s="7">
        <v>2023</v>
      </c>
      <c r="BB6" s="24">
        <v>4858</v>
      </c>
      <c r="BC6" s="24">
        <v>10200</v>
      </c>
      <c r="BD6" s="24">
        <v>25000</v>
      </c>
      <c r="BE6" s="24">
        <f>SUM(Sessions_By_Devices[[#This Row],[MOBILE]:[DESKTOP]])</f>
        <v>40058</v>
      </c>
    </row>
    <row r="7" spans="1:57" x14ac:dyDescent="0.3">
      <c r="A7" s="5"/>
      <c r="B7" s="8" t="s">
        <v>2</v>
      </c>
      <c r="C7" s="7">
        <v>2023</v>
      </c>
      <c r="D7" s="24">
        <v>4260</v>
      </c>
      <c r="E7" s="9">
        <v>13</v>
      </c>
      <c r="F7" s="5"/>
      <c r="G7" s="8" t="s">
        <v>2</v>
      </c>
      <c r="H7" s="7">
        <v>2023</v>
      </c>
      <c r="I7" s="24">
        <v>1768</v>
      </c>
      <c r="J7" s="9">
        <v>131</v>
      </c>
      <c r="K7" s="5"/>
      <c r="L7" s="8" t="s">
        <v>2</v>
      </c>
      <c r="M7" s="7">
        <v>2023</v>
      </c>
      <c r="N7" s="24">
        <v>1065</v>
      </c>
      <c r="O7" s="9">
        <v>117</v>
      </c>
      <c r="P7" s="5"/>
      <c r="Q7" s="8" t="s">
        <v>2</v>
      </c>
      <c r="R7" s="7">
        <v>2023</v>
      </c>
      <c r="S7" s="24">
        <v>528</v>
      </c>
      <c r="T7" s="9">
        <v>543</v>
      </c>
      <c r="U7" s="5"/>
      <c r="V7" s="8" t="s">
        <v>2</v>
      </c>
      <c r="W7" s="7">
        <v>2023</v>
      </c>
      <c r="X7" s="24">
        <v>5625</v>
      </c>
      <c r="Y7" s="9">
        <v>11</v>
      </c>
      <c r="Z7" s="5"/>
      <c r="AA7" s="8" t="s">
        <v>2</v>
      </c>
      <c r="AB7" s="7">
        <v>2023</v>
      </c>
      <c r="AC7" s="24">
        <v>2148</v>
      </c>
      <c r="AD7" s="9">
        <v>38</v>
      </c>
      <c r="AE7" s="5"/>
      <c r="AF7" s="8" t="s">
        <v>2</v>
      </c>
      <c r="AG7" s="7">
        <v>2023</v>
      </c>
      <c r="AH7" s="24">
        <v>7232</v>
      </c>
      <c r="AI7" s="9">
        <v>33</v>
      </c>
      <c r="AJ7" s="5"/>
      <c r="AK7" s="8" t="s">
        <v>2</v>
      </c>
      <c r="AL7" s="7">
        <v>2023</v>
      </c>
      <c r="AM7" s="24">
        <v>971</v>
      </c>
      <c r="AN7" s="9">
        <v>30</v>
      </c>
      <c r="AO7" s="5"/>
      <c r="AP7" s="8" t="s">
        <v>2</v>
      </c>
      <c r="AQ7" s="7">
        <v>2023</v>
      </c>
      <c r="AR7" s="24">
        <v>1080</v>
      </c>
      <c r="AS7" s="9">
        <v>84</v>
      </c>
      <c r="AT7" s="5"/>
      <c r="AU7" s="8" t="s">
        <v>2</v>
      </c>
      <c r="AV7" s="7">
        <v>2023</v>
      </c>
      <c r="AW7" s="24">
        <v>1885</v>
      </c>
      <c r="AX7" s="9">
        <v>66</v>
      </c>
      <c r="AY7" s="5"/>
      <c r="AZ7" s="8" t="s">
        <v>2</v>
      </c>
      <c r="BA7" s="7">
        <v>2023</v>
      </c>
      <c r="BB7" s="24">
        <v>9141</v>
      </c>
      <c r="BC7" s="24">
        <v>5890</v>
      </c>
      <c r="BD7" s="24">
        <v>28000</v>
      </c>
      <c r="BE7" s="24">
        <f>SUM(Sessions_By_Devices[[#This Row],[MOBILE]:[DESKTOP]])</f>
        <v>43031</v>
      </c>
    </row>
    <row r="8" spans="1:57" x14ac:dyDescent="0.3">
      <c r="A8" s="5"/>
      <c r="B8" s="8" t="s">
        <v>3</v>
      </c>
      <c r="C8" s="7">
        <v>2023</v>
      </c>
      <c r="D8" s="24">
        <v>4270</v>
      </c>
      <c r="E8" s="9">
        <v>12</v>
      </c>
      <c r="F8" s="5"/>
      <c r="G8" s="8" t="s">
        <v>3</v>
      </c>
      <c r="H8" s="7">
        <v>2023</v>
      </c>
      <c r="I8" s="24">
        <v>1915</v>
      </c>
      <c r="J8" s="9">
        <v>133</v>
      </c>
      <c r="K8" s="5"/>
      <c r="L8" s="8" t="s">
        <v>3</v>
      </c>
      <c r="M8" s="7">
        <v>2023</v>
      </c>
      <c r="N8" s="24">
        <v>1182</v>
      </c>
      <c r="O8" s="9">
        <v>146</v>
      </c>
      <c r="P8" s="5"/>
      <c r="Q8" s="8" t="s">
        <v>3</v>
      </c>
      <c r="R8" s="7">
        <v>2023</v>
      </c>
      <c r="S8" s="24">
        <v>704</v>
      </c>
      <c r="T8" s="9">
        <v>638</v>
      </c>
      <c r="U8" s="5"/>
      <c r="V8" s="8" t="s">
        <v>3</v>
      </c>
      <c r="W8" s="7">
        <v>2023</v>
      </c>
      <c r="X8" s="24">
        <v>5304</v>
      </c>
      <c r="Y8" s="9">
        <v>9</v>
      </c>
      <c r="Z8" s="5"/>
      <c r="AA8" s="8" t="s">
        <v>3</v>
      </c>
      <c r="AB8" s="7">
        <v>2023</v>
      </c>
      <c r="AC8" s="24">
        <v>2114</v>
      </c>
      <c r="AD8" s="9">
        <v>32</v>
      </c>
      <c r="AE8" s="5"/>
      <c r="AF8" s="8" t="s">
        <v>3</v>
      </c>
      <c r="AG8" s="7">
        <v>2023</v>
      </c>
      <c r="AH8" s="24">
        <v>6338</v>
      </c>
      <c r="AI8" s="9">
        <v>34</v>
      </c>
      <c r="AJ8" s="5"/>
      <c r="AK8" s="8" t="s">
        <v>3</v>
      </c>
      <c r="AL8" s="7">
        <v>2023</v>
      </c>
      <c r="AM8" s="24">
        <v>1195</v>
      </c>
      <c r="AN8" s="9">
        <v>36</v>
      </c>
      <c r="AO8" s="5"/>
      <c r="AP8" s="8" t="s">
        <v>3</v>
      </c>
      <c r="AQ8" s="7">
        <v>2023</v>
      </c>
      <c r="AR8" s="24">
        <v>1095</v>
      </c>
      <c r="AS8" s="9">
        <v>105</v>
      </c>
      <c r="AT8" s="5"/>
      <c r="AU8" s="8" t="s">
        <v>3</v>
      </c>
      <c r="AV8" s="7">
        <v>2023</v>
      </c>
      <c r="AW8" s="24">
        <v>1645</v>
      </c>
      <c r="AX8" s="9">
        <v>52</v>
      </c>
      <c r="AY8" s="5"/>
      <c r="AZ8" s="8" t="s">
        <v>3</v>
      </c>
      <c r="BA8" s="7">
        <v>2023</v>
      </c>
      <c r="BB8" s="24">
        <v>2184</v>
      </c>
      <c r="BC8" s="24">
        <v>9520</v>
      </c>
      <c r="BD8" s="24">
        <v>29000</v>
      </c>
      <c r="BE8" s="24">
        <f>SUM(Sessions_By_Devices[[#This Row],[MOBILE]:[DESKTOP]])</f>
        <v>40704</v>
      </c>
    </row>
    <row r="9" spans="1:57" x14ac:dyDescent="0.3">
      <c r="A9" s="5"/>
      <c r="B9" s="8" t="s">
        <v>4</v>
      </c>
      <c r="C9" s="7">
        <v>2023</v>
      </c>
      <c r="D9" s="24">
        <v>4100</v>
      </c>
      <c r="E9" s="9">
        <v>12</v>
      </c>
      <c r="F9" s="5"/>
      <c r="G9" s="8" t="s">
        <v>4</v>
      </c>
      <c r="H9" s="7">
        <v>2023</v>
      </c>
      <c r="I9" s="24">
        <v>1688</v>
      </c>
      <c r="J9" s="9">
        <v>122</v>
      </c>
      <c r="K9" s="5"/>
      <c r="L9" s="8" t="s">
        <v>4</v>
      </c>
      <c r="M9" s="7">
        <v>2023</v>
      </c>
      <c r="N9" s="24">
        <v>1023</v>
      </c>
      <c r="O9" s="9">
        <v>137</v>
      </c>
      <c r="P9" s="5"/>
      <c r="Q9" s="8" t="s">
        <v>4</v>
      </c>
      <c r="R9" s="7">
        <v>2023</v>
      </c>
      <c r="S9" s="24">
        <v>616</v>
      </c>
      <c r="T9" s="9">
        <v>571</v>
      </c>
      <c r="U9" s="5"/>
      <c r="V9" s="8" t="s">
        <v>4</v>
      </c>
      <c r="W9" s="7">
        <v>2023</v>
      </c>
      <c r="X9" s="24">
        <v>4895</v>
      </c>
      <c r="Y9" s="9">
        <v>11</v>
      </c>
      <c r="Z9" s="5"/>
      <c r="AA9" s="8" t="s">
        <v>4</v>
      </c>
      <c r="AB9" s="7">
        <v>2023</v>
      </c>
      <c r="AC9" s="24">
        <v>1971</v>
      </c>
      <c r="AD9" s="9">
        <v>36</v>
      </c>
      <c r="AE9" s="5"/>
      <c r="AF9" s="8" t="s">
        <v>4</v>
      </c>
      <c r="AG9" s="7">
        <v>2023</v>
      </c>
      <c r="AH9" s="24">
        <v>7917</v>
      </c>
      <c r="AI9" s="9">
        <v>37</v>
      </c>
      <c r="AJ9" s="5"/>
      <c r="AK9" s="8" t="s">
        <v>4</v>
      </c>
      <c r="AL9" s="7">
        <v>2023</v>
      </c>
      <c r="AM9" s="24">
        <v>1230</v>
      </c>
      <c r="AN9" s="9">
        <v>27</v>
      </c>
      <c r="AO9" s="5"/>
      <c r="AP9" s="8" t="s">
        <v>4</v>
      </c>
      <c r="AQ9" s="7">
        <v>2023</v>
      </c>
      <c r="AR9" s="24">
        <v>1112</v>
      </c>
      <c r="AS9" s="9">
        <v>111</v>
      </c>
      <c r="AT9" s="5"/>
      <c r="AU9" s="8" t="s">
        <v>4</v>
      </c>
      <c r="AV9" s="7">
        <v>2023</v>
      </c>
      <c r="AW9" s="24">
        <v>1681</v>
      </c>
      <c r="AX9" s="9">
        <v>73</v>
      </c>
      <c r="AY9" s="5"/>
      <c r="AZ9" s="8" t="s">
        <v>4</v>
      </c>
      <c r="BA9" s="7">
        <v>2023</v>
      </c>
      <c r="BB9" s="24">
        <v>5470</v>
      </c>
      <c r="BC9" s="24">
        <v>5692</v>
      </c>
      <c r="BD9" s="24">
        <v>29500</v>
      </c>
      <c r="BE9" s="24">
        <f>SUM(Sessions_By_Devices[[#This Row],[MOBILE]:[DESKTOP]])</f>
        <v>40662</v>
      </c>
    </row>
    <row r="10" spans="1:57" x14ac:dyDescent="0.3">
      <c r="A10" s="5"/>
      <c r="B10" s="8" t="s">
        <v>5</v>
      </c>
      <c r="C10" s="7">
        <v>2023</v>
      </c>
      <c r="D10" s="24">
        <v>3900</v>
      </c>
      <c r="E10" s="9">
        <v>13</v>
      </c>
      <c r="F10" s="5"/>
      <c r="G10" s="8" t="s">
        <v>5</v>
      </c>
      <c r="H10" s="7">
        <v>2023</v>
      </c>
      <c r="I10" s="24">
        <v>1445</v>
      </c>
      <c r="J10" s="9">
        <v>142</v>
      </c>
      <c r="K10" s="5"/>
      <c r="L10" s="8" t="s">
        <v>5</v>
      </c>
      <c r="M10" s="7">
        <v>2023</v>
      </c>
      <c r="N10" s="24">
        <v>799</v>
      </c>
      <c r="O10" s="9">
        <v>129</v>
      </c>
      <c r="P10" s="5"/>
      <c r="Q10" s="8" t="s">
        <v>5</v>
      </c>
      <c r="R10" s="7">
        <v>2023</v>
      </c>
      <c r="S10" s="24">
        <v>250</v>
      </c>
      <c r="T10" s="9">
        <v>684</v>
      </c>
      <c r="U10" s="5"/>
      <c r="V10" s="8" t="s">
        <v>5</v>
      </c>
      <c r="W10" s="7">
        <v>2023</v>
      </c>
      <c r="X10" s="24">
        <v>5443</v>
      </c>
      <c r="Y10" s="9">
        <v>12</v>
      </c>
      <c r="Z10" s="5"/>
      <c r="AA10" s="8" t="s">
        <v>5</v>
      </c>
      <c r="AB10" s="7">
        <v>2023</v>
      </c>
      <c r="AC10" s="24">
        <v>2088</v>
      </c>
      <c r="AD10" s="9">
        <v>36</v>
      </c>
      <c r="AE10" s="5"/>
      <c r="AF10" s="8" t="s">
        <v>5</v>
      </c>
      <c r="AG10" s="7">
        <v>2023</v>
      </c>
      <c r="AH10" s="24">
        <v>6527</v>
      </c>
      <c r="AI10" s="9">
        <v>25</v>
      </c>
      <c r="AJ10" s="5"/>
      <c r="AK10" s="8" t="s">
        <v>5</v>
      </c>
      <c r="AL10" s="7">
        <v>2023</v>
      </c>
      <c r="AM10" s="24">
        <v>1333</v>
      </c>
      <c r="AN10" s="9">
        <v>35</v>
      </c>
      <c r="AO10" s="5"/>
      <c r="AP10" s="8" t="s">
        <v>5</v>
      </c>
      <c r="AQ10" s="7">
        <v>2023</v>
      </c>
      <c r="AR10" s="24">
        <v>1115</v>
      </c>
      <c r="AS10" s="9">
        <v>86</v>
      </c>
      <c r="AT10" s="5"/>
      <c r="AU10" s="8" t="s">
        <v>5</v>
      </c>
      <c r="AV10" s="7">
        <v>2023</v>
      </c>
      <c r="AW10" s="24">
        <v>1717</v>
      </c>
      <c r="AX10" s="9">
        <v>77</v>
      </c>
      <c r="AY10" s="5"/>
      <c r="AZ10" s="8" t="s">
        <v>5</v>
      </c>
      <c r="BA10" s="7">
        <v>2023</v>
      </c>
      <c r="BB10" s="24">
        <v>1981</v>
      </c>
      <c r="BC10" s="24">
        <v>8541</v>
      </c>
      <c r="BD10" s="24">
        <v>29850</v>
      </c>
      <c r="BE10" s="24">
        <f>SUM(Sessions_By_Devices[[#This Row],[MOBILE]:[DESKTOP]])</f>
        <v>40372</v>
      </c>
    </row>
    <row r="11" spans="1:57" x14ac:dyDescent="0.3">
      <c r="A11" s="5"/>
      <c r="B11" s="8" t="s">
        <v>6</v>
      </c>
      <c r="C11" s="7">
        <v>2023</v>
      </c>
      <c r="D11" s="24">
        <v>3800</v>
      </c>
      <c r="E11" s="9">
        <v>16</v>
      </c>
      <c r="F11" s="5"/>
      <c r="G11" s="8" t="s">
        <v>6</v>
      </c>
      <c r="H11" s="7">
        <v>2023</v>
      </c>
      <c r="I11" s="24">
        <v>1457</v>
      </c>
      <c r="J11" s="9">
        <v>119</v>
      </c>
      <c r="K11" s="5"/>
      <c r="L11" s="8" t="s">
        <v>6</v>
      </c>
      <c r="M11" s="7">
        <v>2023</v>
      </c>
      <c r="N11" s="24">
        <v>715</v>
      </c>
      <c r="O11" s="9">
        <v>115</v>
      </c>
      <c r="P11" s="5"/>
      <c r="Q11" s="8" t="s">
        <v>6</v>
      </c>
      <c r="R11" s="7">
        <v>2023</v>
      </c>
      <c r="S11" s="24">
        <v>115</v>
      </c>
      <c r="T11" s="9">
        <v>548</v>
      </c>
      <c r="U11" s="5"/>
      <c r="V11" s="8" t="s">
        <v>6</v>
      </c>
      <c r="W11" s="7">
        <v>2023</v>
      </c>
      <c r="X11" s="24">
        <v>4136</v>
      </c>
      <c r="Y11" s="9">
        <v>12</v>
      </c>
      <c r="Z11" s="5"/>
      <c r="AA11" s="8" t="s">
        <v>6</v>
      </c>
      <c r="AB11" s="7">
        <v>2023</v>
      </c>
      <c r="AC11" s="24">
        <v>1904</v>
      </c>
      <c r="AD11" s="9">
        <v>33</v>
      </c>
      <c r="AE11" s="5"/>
      <c r="AF11" s="8" t="s">
        <v>6</v>
      </c>
      <c r="AG11" s="7">
        <v>2023</v>
      </c>
      <c r="AH11" s="24">
        <v>6840</v>
      </c>
      <c r="AI11" s="9">
        <v>26</v>
      </c>
      <c r="AJ11" s="5"/>
      <c r="AK11" s="8" t="s">
        <v>6</v>
      </c>
      <c r="AL11" s="7">
        <v>2023</v>
      </c>
      <c r="AM11" s="24">
        <v>1380</v>
      </c>
      <c r="AN11" s="9">
        <v>27</v>
      </c>
      <c r="AO11" s="5"/>
      <c r="AP11" s="8" t="s">
        <v>6</v>
      </c>
      <c r="AQ11" s="7">
        <v>2023</v>
      </c>
      <c r="AR11" s="24">
        <v>1080</v>
      </c>
      <c r="AS11" s="9">
        <v>87</v>
      </c>
      <c r="AT11" s="5"/>
      <c r="AU11" s="8" t="s">
        <v>6</v>
      </c>
      <c r="AV11" s="7">
        <v>2023</v>
      </c>
      <c r="AW11" s="24">
        <v>1742</v>
      </c>
      <c r="AX11" s="9">
        <v>59</v>
      </c>
      <c r="AY11" s="5"/>
      <c r="AZ11" s="8" t="s">
        <v>6</v>
      </c>
      <c r="BA11" s="7">
        <v>2023</v>
      </c>
      <c r="BB11" s="24">
        <v>2576</v>
      </c>
      <c r="BC11" s="24">
        <v>9520</v>
      </c>
      <c r="BD11" s="24">
        <v>21500</v>
      </c>
      <c r="BE11" s="24">
        <f>SUM(Sessions_By_Devices[[#This Row],[MOBILE]:[DESKTOP]])</f>
        <v>33596</v>
      </c>
    </row>
    <row r="12" spans="1:57" x14ac:dyDescent="0.3">
      <c r="A12" s="5"/>
      <c r="B12" s="8" t="s">
        <v>7</v>
      </c>
      <c r="C12" s="7">
        <v>2023</v>
      </c>
      <c r="D12" s="24">
        <v>4250</v>
      </c>
      <c r="E12" s="9">
        <v>14</v>
      </c>
      <c r="F12" s="5"/>
      <c r="G12" s="8" t="s">
        <v>7</v>
      </c>
      <c r="H12" s="7">
        <v>2023</v>
      </c>
      <c r="I12" s="24">
        <v>2014</v>
      </c>
      <c r="J12" s="9">
        <v>134</v>
      </c>
      <c r="K12" s="5"/>
      <c r="L12" s="8" t="s">
        <v>7</v>
      </c>
      <c r="M12" s="7">
        <v>2023</v>
      </c>
      <c r="N12" s="24">
        <v>1264</v>
      </c>
      <c r="O12" s="9">
        <v>120</v>
      </c>
      <c r="P12" s="5"/>
      <c r="Q12" s="8" t="s">
        <v>7</v>
      </c>
      <c r="R12" s="7">
        <v>2023</v>
      </c>
      <c r="S12" s="24">
        <v>707</v>
      </c>
      <c r="T12" s="9">
        <v>574</v>
      </c>
      <c r="U12" s="5"/>
      <c r="V12" s="8" t="s">
        <v>7</v>
      </c>
      <c r="W12" s="7">
        <v>2023</v>
      </c>
      <c r="X12" s="24">
        <v>5557</v>
      </c>
      <c r="Y12" s="9">
        <v>11</v>
      </c>
      <c r="Z12" s="5"/>
      <c r="AA12" s="8" t="s">
        <v>7</v>
      </c>
      <c r="AB12" s="7">
        <v>2023</v>
      </c>
      <c r="AC12" s="24">
        <v>2165</v>
      </c>
      <c r="AD12" s="9">
        <v>32</v>
      </c>
      <c r="AE12" s="5"/>
      <c r="AF12" s="8" t="s">
        <v>7</v>
      </c>
      <c r="AG12" s="7">
        <v>2023</v>
      </c>
      <c r="AH12" s="24">
        <v>4876</v>
      </c>
      <c r="AI12" s="9">
        <v>35</v>
      </c>
      <c r="AJ12" s="5"/>
      <c r="AK12" s="8" t="s">
        <v>7</v>
      </c>
      <c r="AL12" s="7">
        <v>2023</v>
      </c>
      <c r="AM12" s="24">
        <v>1079</v>
      </c>
      <c r="AN12" s="9">
        <v>38</v>
      </c>
      <c r="AO12" s="5"/>
      <c r="AP12" s="8" t="s">
        <v>7</v>
      </c>
      <c r="AQ12" s="7">
        <v>2023</v>
      </c>
      <c r="AR12" s="24">
        <v>1054</v>
      </c>
      <c r="AS12" s="9">
        <v>95</v>
      </c>
      <c r="AT12" s="5"/>
      <c r="AU12" s="8" t="s">
        <v>7</v>
      </c>
      <c r="AV12" s="7">
        <v>2023</v>
      </c>
      <c r="AW12" s="24">
        <v>1844</v>
      </c>
      <c r="AX12" s="9">
        <v>72</v>
      </c>
      <c r="AY12" s="5"/>
      <c r="AZ12" s="8" t="s">
        <v>7</v>
      </c>
      <c r="BA12" s="7">
        <v>2023</v>
      </c>
      <c r="BB12" s="24">
        <v>3401</v>
      </c>
      <c r="BC12" s="24">
        <v>7450</v>
      </c>
      <c r="BD12" s="24">
        <v>20410</v>
      </c>
      <c r="BE12" s="24">
        <f>SUM(Sessions_By_Devices[[#This Row],[MOBILE]:[DESKTOP]])</f>
        <v>31261</v>
      </c>
    </row>
    <row r="13" spans="1:57" x14ac:dyDescent="0.3">
      <c r="A13" s="5"/>
      <c r="B13" s="8" t="s">
        <v>8</v>
      </c>
      <c r="C13" s="7">
        <v>2023</v>
      </c>
      <c r="D13" s="24">
        <v>4400</v>
      </c>
      <c r="E13" s="9">
        <v>13</v>
      </c>
      <c r="F13" s="5"/>
      <c r="G13" s="8" t="s">
        <v>8</v>
      </c>
      <c r="H13" s="7">
        <v>2023</v>
      </c>
      <c r="I13" s="24">
        <v>2175</v>
      </c>
      <c r="J13" s="9">
        <v>116</v>
      </c>
      <c r="K13" s="5"/>
      <c r="L13" s="8" t="s">
        <v>8</v>
      </c>
      <c r="M13" s="7">
        <v>2023</v>
      </c>
      <c r="N13" s="24">
        <v>1566</v>
      </c>
      <c r="O13" s="9">
        <v>134</v>
      </c>
      <c r="P13" s="5"/>
      <c r="Q13" s="8" t="s">
        <v>8</v>
      </c>
      <c r="R13" s="7">
        <v>2023</v>
      </c>
      <c r="S13" s="24">
        <v>1057</v>
      </c>
      <c r="T13" s="9">
        <v>716</v>
      </c>
      <c r="U13" s="5"/>
      <c r="V13" s="8" t="s">
        <v>8</v>
      </c>
      <c r="W13" s="7">
        <v>2023</v>
      </c>
      <c r="X13" s="24">
        <v>4912</v>
      </c>
      <c r="Y13" s="9">
        <v>7</v>
      </c>
      <c r="Z13" s="5"/>
      <c r="AA13" s="8" t="s">
        <v>8</v>
      </c>
      <c r="AB13" s="7">
        <v>2023</v>
      </c>
      <c r="AC13" s="24">
        <v>1918</v>
      </c>
      <c r="AD13" s="9">
        <v>28</v>
      </c>
      <c r="AE13" s="5"/>
      <c r="AF13" s="8" t="s">
        <v>8</v>
      </c>
      <c r="AG13" s="7">
        <v>2023</v>
      </c>
      <c r="AH13" s="24">
        <v>5760</v>
      </c>
      <c r="AI13" s="9">
        <v>31</v>
      </c>
      <c r="AJ13" s="5"/>
      <c r="AK13" s="8" t="s">
        <v>8</v>
      </c>
      <c r="AL13" s="7">
        <v>2023</v>
      </c>
      <c r="AM13" s="24">
        <v>958</v>
      </c>
      <c r="AN13" s="9">
        <v>32</v>
      </c>
      <c r="AO13" s="5"/>
      <c r="AP13" s="8" t="s">
        <v>8</v>
      </c>
      <c r="AQ13" s="7">
        <v>2023</v>
      </c>
      <c r="AR13" s="24">
        <v>1073</v>
      </c>
      <c r="AS13" s="9">
        <v>97</v>
      </c>
      <c r="AT13" s="5"/>
      <c r="AU13" s="8" t="s">
        <v>8</v>
      </c>
      <c r="AV13" s="7">
        <v>2023</v>
      </c>
      <c r="AW13" s="24">
        <v>1835</v>
      </c>
      <c r="AX13" s="9">
        <v>65</v>
      </c>
      <c r="AY13" s="5"/>
      <c r="AZ13" s="8" t="s">
        <v>8</v>
      </c>
      <c r="BA13" s="7">
        <v>2023</v>
      </c>
      <c r="BB13" s="24">
        <v>1855</v>
      </c>
      <c r="BC13" s="24">
        <v>6520</v>
      </c>
      <c r="BD13" s="24">
        <v>22410</v>
      </c>
      <c r="BE13" s="24">
        <f>SUM(Sessions_By_Devices[[#This Row],[MOBILE]:[DESKTOP]])</f>
        <v>30785</v>
      </c>
    </row>
    <row r="14" spans="1:57" x14ac:dyDescent="0.3">
      <c r="A14" s="5"/>
      <c r="B14" s="8" t="s">
        <v>9</v>
      </c>
      <c r="C14" s="7">
        <v>2023</v>
      </c>
      <c r="D14" s="24">
        <v>4560</v>
      </c>
      <c r="E14" s="9">
        <v>12</v>
      </c>
      <c r="F14" s="5"/>
      <c r="G14" s="8" t="s">
        <v>9</v>
      </c>
      <c r="H14" s="7">
        <v>2023</v>
      </c>
      <c r="I14" s="24">
        <v>2216</v>
      </c>
      <c r="J14" s="9">
        <v>149</v>
      </c>
      <c r="K14" s="5"/>
      <c r="L14" s="8" t="s">
        <v>9</v>
      </c>
      <c r="M14" s="7">
        <v>2023</v>
      </c>
      <c r="N14" s="24">
        <v>1605</v>
      </c>
      <c r="O14" s="9">
        <v>138</v>
      </c>
      <c r="P14" s="5"/>
      <c r="Q14" s="8" t="s">
        <v>9</v>
      </c>
      <c r="R14" s="7">
        <v>2023</v>
      </c>
      <c r="S14" s="24">
        <v>1204</v>
      </c>
      <c r="T14" s="9">
        <v>635</v>
      </c>
      <c r="U14" s="5"/>
      <c r="V14" s="8" t="s">
        <v>9</v>
      </c>
      <c r="W14" s="7">
        <v>2023</v>
      </c>
      <c r="X14" s="24">
        <v>5297</v>
      </c>
      <c r="Y14" s="9">
        <v>8</v>
      </c>
      <c r="Z14" s="5"/>
      <c r="AA14" s="8" t="s">
        <v>9</v>
      </c>
      <c r="AB14" s="7">
        <v>2023</v>
      </c>
      <c r="AC14" s="24">
        <v>1977</v>
      </c>
      <c r="AD14" s="9">
        <v>25</v>
      </c>
      <c r="AE14" s="5"/>
      <c r="AF14" s="8" t="s">
        <v>9</v>
      </c>
      <c r="AG14" s="7">
        <v>2023</v>
      </c>
      <c r="AH14" s="24">
        <v>9553</v>
      </c>
      <c r="AI14" s="9">
        <v>32</v>
      </c>
      <c r="AJ14" s="5"/>
      <c r="AK14" s="8" t="s">
        <v>9</v>
      </c>
      <c r="AL14" s="7">
        <v>2023</v>
      </c>
      <c r="AM14" s="24">
        <v>1142</v>
      </c>
      <c r="AN14" s="9">
        <v>37</v>
      </c>
      <c r="AO14" s="5"/>
      <c r="AP14" s="8" t="s">
        <v>9</v>
      </c>
      <c r="AQ14" s="7">
        <v>2023</v>
      </c>
      <c r="AR14" s="24">
        <v>1062</v>
      </c>
      <c r="AS14" s="9">
        <v>84</v>
      </c>
      <c r="AT14" s="5"/>
      <c r="AU14" s="8" t="s">
        <v>9</v>
      </c>
      <c r="AV14" s="7">
        <v>2023</v>
      </c>
      <c r="AW14" s="24">
        <v>1672</v>
      </c>
      <c r="AX14" s="9">
        <v>75</v>
      </c>
      <c r="AY14" s="5"/>
      <c r="AZ14" s="8" t="s">
        <v>9</v>
      </c>
      <c r="BA14" s="7">
        <v>2023</v>
      </c>
      <c r="BB14" s="24">
        <v>5581</v>
      </c>
      <c r="BC14" s="24">
        <v>11474</v>
      </c>
      <c r="BD14" s="24">
        <v>26560</v>
      </c>
      <c r="BE14" s="24">
        <f>SUM(Sessions_By_Devices[[#This Row],[MOBILE]:[DESKTOP]])</f>
        <v>43615</v>
      </c>
    </row>
    <row r="15" spans="1:57" x14ac:dyDescent="0.3">
      <c r="A15" s="5"/>
      <c r="B15" s="8" t="s">
        <v>10</v>
      </c>
      <c r="C15" s="7">
        <v>2023</v>
      </c>
      <c r="D15" s="24">
        <v>4680</v>
      </c>
      <c r="E15" s="9">
        <v>12</v>
      </c>
      <c r="F15" s="5"/>
      <c r="G15" s="8" t="s">
        <v>10</v>
      </c>
      <c r="H15" s="7">
        <v>2023</v>
      </c>
      <c r="I15" s="24">
        <v>2293</v>
      </c>
      <c r="J15" s="9">
        <v>140</v>
      </c>
      <c r="K15" s="5"/>
      <c r="L15" s="8" t="s">
        <v>10</v>
      </c>
      <c r="M15" s="7">
        <v>2023</v>
      </c>
      <c r="N15" s="24">
        <v>1685</v>
      </c>
      <c r="O15" s="9">
        <v>109</v>
      </c>
      <c r="P15" s="5"/>
      <c r="Q15" s="8" t="s">
        <v>10</v>
      </c>
      <c r="R15" s="7">
        <v>2023</v>
      </c>
      <c r="S15" s="24">
        <v>1229</v>
      </c>
      <c r="T15" s="9">
        <v>665</v>
      </c>
      <c r="U15" s="5"/>
      <c r="V15" s="8" t="s">
        <v>10</v>
      </c>
      <c r="W15" s="7">
        <v>2023</v>
      </c>
      <c r="X15" s="24">
        <v>5643</v>
      </c>
      <c r="Y15" s="9">
        <v>12</v>
      </c>
      <c r="Z15" s="5"/>
      <c r="AA15" s="8" t="s">
        <v>10</v>
      </c>
      <c r="AB15" s="7">
        <v>2023</v>
      </c>
      <c r="AC15" s="24">
        <v>2254</v>
      </c>
      <c r="AD15" s="9">
        <v>35</v>
      </c>
      <c r="AE15" s="5"/>
      <c r="AF15" s="8" t="s">
        <v>10</v>
      </c>
      <c r="AG15" s="7">
        <v>2023</v>
      </c>
      <c r="AH15" s="24">
        <v>8434</v>
      </c>
      <c r="AI15" s="9">
        <v>27</v>
      </c>
      <c r="AJ15" s="5"/>
      <c r="AK15" s="8" t="s">
        <v>10</v>
      </c>
      <c r="AL15" s="7">
        <v>2023</v>
      </c>
      <c r="AM15" s="24">
        <v>1113</v>
      </c>
      <c r="AN15" s="9">
        <v>27</v>
      </c>
      <c r="AO15" s="5"/>
      <c r="AP15" s="8" t="s">
        <v>10</v>
      </c>
      <c r="AQ15" s="7">
        <v>2023</v>
      </c>
      <c r="AR15" s="24">
        <v>1082</v>
      </c>
      <c r="AS15" s="9">
        <v>95</v>
      </c>
      <c r="AT15" s="5"/>
      <c r="AU15" s="8" t="s">
        <v>10</v>
      </c>
      <c r="AV15" s="7">
        <v>2023</v>
      </c>
      <c r="AW15" s="24">
        <v>1664</v>
      </c>
      <c r="AX15" s="9">
        <v>79</v>
      </c>
      <c r="AY15" s="5"/>
      <c r="AZ15" s="8" t="s">
        <v>10</v>
      </c>
      <c r="BA15" s="7">
        <v>2023</v>
      </c>
      <c r="BB15" s="24">
        <v>4276</v>
      </c>
      <c r="BC15" s="24">
        <v>15410</v>
      </c>
      <c r="BD15" s="24">
        <v>33250</v>
      </c>
      <c r="BE15" s="24">
        <f>SUM(Sessions_By_Devices[[#This Row],[MOBILE]:[DESKTOP]])</f>
        <v>52936</v>
      </c>
    </row>
    <row r="16" spans="1:57" x14ac:dyDescent="0.3">
      <c r="A16" s="5"/>
      <c r="B16" s="8" t="s">
        <v>11</v>
      </c>
      <c r="C16" s="7">
        <v>2023</v>
      </c>
      <c r="D16" s="24">
        <v>4500</v>
      </c>
      <c r="E16" s="9">
        <v>12</v>
      </c>
      <c r="F16" s="5"/>
      <c r="G16" s="8" t="s">
        <v>11</v>
      </c>
      <c r="H16" s="7">
        <v>2023</v>
      </c>
      <c r="I16" s="24">
        <v>2012</v>
      </c>
      <c r="J16" s="9">
        <v>126</v>
      </c>
      <c r="K16" s="5"/>
      <c r="L16" s="8" t="s">
        <v>11</v>
      </c>
      <c r="M16" s="7">
        <v>2023</v>
      </c>
      <c r="N16" s="24">
        <v>1369</v>
      </c>
      <c r="O16" s="9">
        <v>121</v>
      </c>
      <c r="P16" s="5"/>
      <c r="Q16" s="8" t="s">
        <v>11</v>
      </c>
      <c r="R16" s="7">
        <v>2023</v>
      </c>
      <c r="S16" s="24">
        <v>912</v>
      </c>
      <c r="T16" s="9">
        <v>694</v>
      </c>
      <c r="U16" s="5"/>
      <c r="V16" s="8" t="s">
        <v>11</v>
      </c>
      <c r="W16" s="7">
        <v>2023</v>
      </c>
      <c r="X16" s="24">
        <v>5024</v>
      </c>
      <c r="Y16" s="9">
        <v>9</v>
      </c>
      <c r="Z16" s="5"/>
      <c r="AA16" s="8" t="s">
        <v>11</v>
      </c>
      <c r="AB16" s="7">
        <v>2023</v>
      </c>
      <c r="AC16" s="24">
        <v>1865</v>
      </c>
      <c r="AD16" s="9">
        <v>38</v>
      </c>
      <c r="AE16" s="5"/>
      <c r="AF16" s="8" t="s">
        <v>11</v>
      </c>
      <c r="AG16" s="7">
        <v>2023</v>
      </c>
      <c r="AH16" s="24">
        <v>8361</v>
      </c>
      <c r="AI16" s="9">
        <v>31</v>
      </c>
      <c r="AJ16" s="5"/>
      <c r="AK16" s="8" t="s">
        <v>11</v>
      </c>
      <c r="AL16" s="7">
        <v>2023</v>
      </c>
      <c r="AM16" s="24">
        <v>950</v>
      </c>
      <c r="AN16" s="9">
        <v>36</v>
      </c>
      <c r="AO16" s="5"/>
      <c r="AP16" s="8" t="s">
        <v>11</v>
      </c>
      <c r="AQ16" s="7">
        <v>2023</v>
      </c>
      <c r="AR16" s="24">
        <v>1054</v>
      </c>
      <c r="AS16" s="9">
        <v>103</v>
      </c>
      <c r="AT16" s="5"/>
      <c r="AU16" s="8" t="s">
        <v>11</v>
      </c>
      <c r="AV16" s="7">
        <v>2023</v>
      </c>
      <c r="AW16" s="24">
        <v>1729</v>
      </c>
      <c r="AX16" s="9">
        <v>64</v>
      </c>
      <c r="AY16" s="5"/>
      <c r="AZ16" s="8" t="s">
        <v>11</v>
      </c>
      <c r="BA16" s="7">
        <v>2023</v>
      </c>
      <c r="BB16" s="24">
        <v>3770</v>
      </c>
      <c r="BC16" s="24">
        <v>8532</v>
      </c>
      <c r="BD16" s="24">
        <v>32140</v>
      </c>
      <c r="BE16" s="24">
        <f>SUM(Sessions_By_Devices[[#This Row],[MOBILE]:[DESKTOP]])</f>
        <v>44442</v>
      </c>
    </row>
    <row r="17" spans="1:57" x14ac:dyDescent="0.3">
      <c r="A17" s="5"/>
      <c r="B17" s="8" t="s">
        <v>12</v>
      </c>
      <c r="C17" s="7">
        <v>2023</v>
      </c>
      <c r="D17" s="24">
        <v>4650</v>
      </c>
      <c r="E17" s="9">
        <v>11</v>
      </c>
      <c r="F17" s="5"/>
      <c r="G17" s="8" t="s">
        <v>12</v>
      </c>
      <c r="H17" s="7">
        <v>2023</v>
      </c>
      <c r="I17" s="24">
        <v>2421</v>
      </c>
      <c r="J17" s="9">
        <v>106</v>
      </c>
      <c r="K17" s="5"/>
      <c r="L17" s="8" t="s">
        <v>12</v>
      </c>
      <c r="M17" s="7">
        <v>2023</v>
      </c>
      <c r="N17" s="24">
        <v>1693</v>
      </c>
      <c r="O17" s="9">
        <v>141</v>
      </c>
      <c r="P17" s="5"/>
      <c r="Q17" s="8" t="s">
        <v>12</v>
      </c>
      <c r="R17" s="7">
        <v>2023</v>
      </c>
      <c r="S17" s="24">
        <v>1257</v>
      </c>
      <c r="T17" s="9">
        <v>627</v>
      </c>
      <c r="U17" s="5"/>
      <c r="V17" s="8" t="s">
        <v>12</v>
      </c>
      <c r="W17" s="7">
        <v>2023</v>
      </c>
      <c r="X17" s="24">
        <v>6069</v>
      </c>
      <c r="Y17" s="9">
        <v>11</v>
      </c>
      <c r="Z17" s="5"/>
      <c r="AA17" s="8" t="s">
        <v>12</v>
      </c>
      <c r="AB17" s="7">
        <v>2023</v>
      </c>
      <c r="AC17" s="24">
        <v>1974</v>
      </c>
      <c r="AD17" s="9">
        <v>36</v>
      </c>
      <c r="AE17" s="5"/>
      <c r="AF17" s="8" t="s">
        <v>12</v>
      </c>
      <c r="AG17" s="7">
        <v>2023</v>
      </c>
      <c r="AH17" s="24">
        <v>8188</v>
      </c>
      <c r="AI17" s="9">
        <v>33</v>
      </c>
      <c r="AJ17" s="5"/>
      <c r="AK17" s="8" t="s">
        <v>12</v>
      </c>
      <c r="AL17" s="7">
        <v>2023</v>
      </c>
      <c r="AM17" s="24">
        <v>1287</v>
      </c>
      <c r="AN17" s="9">
        <v>28</v>
      </c>
      <c r="AO17" s="5"/>
      <c r="AP17" s="8" t="s">
        <v>12</v>
      </c>
      <c r="AQ17" s="7">
        <v>2023</v>
      </c>
      <c r="AR17" s="24">
        <v>1111</v>
      </c>
      <c r="AS17" s="9">
        <v>87</v>
      </c>
      <c r="AT17" s="5"/>
      <c r="AU17" s="8" t="s">
        <v>12</v>
      </c>
      <c r="AV17" s="7">
        <v>2023</v>
      </c>
      <c r="AW17" s="24">
        <v>1545</v>
      </c>
      <c r="AX17" s="9">
        <v>66</v>
      </c>
      <c r="AY17" s="5"/>
      <c r="AZ17" s="8" t="s">
        <v>12</v>
      </c>
      <c r="BA17" s="7">
        <v>2023</v>
      </c>
      <c r="BB17" s="24">
        <v>3916</v>
      </c>
      <c r="BC17" s="24">
        <v>10474</v>
      </c>
      <c r="BD17" s="24">
        <v>28789</v>
      </c>
      <c r="BE17" s="24">
        <f>SUM(Sessions_By_Devices[[#This Row],[MOBILE]:[DESKTOP]])</f>
        <v>43179</v>
      </c>
    </row>
    <row r="18" spans="1:57" x14ac:dyDescent="0.3">
      <c r="A18" s="5"/>
      <c r="B18" s="8" t="s">
        <v>1</v>
      </c>
      <c r="C18" s="7">
        <v>2024</v>
      </c>
      <c r="D18" s="24">
        <v>4800</v>
      </c>
      <c r="E18" s="9">
        <v>10</v>
      </c>
      <c r="F18" s="5"/>
      <c r="G18" s="8" t="s">
        <v>1</v>
      </c>
      <c r="H18" s="7">
        <v>2024</v>
      </c>
      <c r="I18" s="24">
        <v>2609</v>
      </c>
      <c r="J18" s="9">
        <v>131</v>
      </c>
      <c r="K18" s="5"/>
      <c r="L18" s="8" t="s">
        <v>1</v>
      </c>
      <c r="M18" s="7">
        <v>2024</v>
      </c>
      <c r="N18" s="24">
        <v>1950</v>
      </c>
      <c r="O18" s="9">
        <v>138</v>
      </c>
      <c r="P18" s="5"/>
      <c r="Q18" s="8" t="s">
        <v>1</v>
      </c>
      <c r="R18" s="7">
        <v>2024</v>
      </c>
      <c r="S18" s="24">
        <v>1363</v>
      </c>
      <c r="T18" s="9">
        <v>638</v>
      </c>
      <c r="U18" s="5"/>
      <c r="V18" s="8" t="s">
        <v>1</v>
      </c>
      <c r="W18" s="7">
        <v>2024</v>
      </c>
      <c r="X18" s="24">
        <v>5199</v>
      </c>
      <c r="Y18" s="9">
        <v>9</v>
      </c>
      <c r="Z18" s="5"/>
      <c r="AA18" s="8" t="s">
        <v>1</v>
      </c>
      <c r="AB18" s="7">
        <v>2024</v>
      </c>
      <c r="AC18" s="24">
        <v>1872</v>
      </c>
      <c r="AD18" s="9">
        <v>38</v>
      </c>
      <c r="AE18" s="5"/>
      <c r="AF18" s="8" t="s">
        <v>1</v>
      </c>
      <c r="AG18" s="7">
        <v>2024</v>
      </c>
      <c r="AH18" s="24">
        <v>7419</v>
      </c>
      <c r="AI18" s="9">
        <v>25</v>
      </c>
      <c r="AJ18" s="5"/>
      <c r="AK18" s="8" t="s">
        <v>1</v>
      </c>
      <c r="AL18" s="7">
        <v>2024</v>
      </c>
      <c r="AM18" s="24">
        <v>1141</v>
      </c>
      <c r="AN18" s="9">
        <v>27</v>
      </c>
      <c r="AO18" s="5"/>
      <c r="AP18" s="8" t="s">
        <v>1</v>
      </c>
      <c r="AQ18" s="7">
        <v>2024</v>
      </c>
      <c r="AR18" s="24">
        <v>1072</v>
      </c>
      <c r="AS18" s="9">
        <v>101</v>
      </c>
      <c r="AT18" s="5"/>
      <c r="AU18" s="8" t="s">
        <v>1</v>
      </c>
      <c r="AV18" s="7">
        <v>2024</v>
      </c>
      <c r="AW18" s="24">
        <v>1569</v>
      </c>
      <c r="AX18" s="9">
        <v>62</v>
      </c>
      <c r="AY18" s="5"/>
      <c r="AZ18" s="8" t="s">
        <v>1</v>
      </c>
      <c r="BA18" s="7">
        <v>2024</v>
      </c>
      <c r="BB18" s="24">
        <v>4546</v>
      </c>
      <c r="BC18" s="24">
        <v>8543</v>
      </c>
      <c r="BD18" s="24">
        <v>25474</v>
      </c>
      <c r="BE18" s="24">
        <f>SUM(Sessions_By_Devices[[#This Row],[MOBILE]:[DESKTOP]])</f>
        <v>38563</v>
      </c>
    </row>
    <row r="19" spans="1:57" x14ac:dyDescent="0.3">
      <c r="A19" s="5"/>
      <c r="B19" s="8" t="s">
        <v>2</v>
      </c>
      <c r="C19" s="7">
        <v>2024</v>
      </c>
      <c r="D19" s="24">
        <v>5000</v>
      </c>
      <c r="E19" s="9">
        <v>10</v>
      </c>
      <c r="F19" s="5"/>
      <c r="G19" s="8" t="s">
        <v>2</v>
      </c>
      <c r="H19" s="7">
        <v>2024</v>
      </c>
      <c r="I19" s="24">
        <v>2684</v>
      </c>
      <c r="J19" s="9">
        <v>117</v>
      </c>
      <c r="K19" s="5"/>
      <c r="L19" s="8" t="s">
        <v>2</v>
      </c>
      <c r="M19" s="7">
        <v>2024</v>
      </c>
      <c r="N19" s="24">
        <v>2010</v>
      </c>
      <c r="O19" s="9">
        <v>119</v>
      </c>
      <c r="P19" s="5"/>
      <c r="Q19" s="8" t="s">
        <v>2</v>
      </c>
      <c r="R19" s="7">
        <v>2024</v>
      </c>
      <c r="S19" s="24">
        <v>1494</v>
      </c>
      <c r="T19" s="9">
        <v>634</v>
      </c>
      <c r="U19" s="5"/>
      <c r="V19" s="8" t="s">
        <v>2</v>
      </c>
      <c r="W19" s="7">
        <v>2024</v>
      </c>
      <c r="X19" s="24">
        <v>5740</v>
      </c>
      <c r="Y19" s="9">
        <v>9</v>
      </c>
      <c r="Z19" s="5"/>
      <c r="AA19" s="8" t="s">
        <v>2</v>
      </c>
      <c r="AB19" s="7">
        <v>2024</v>
      </c>
      <c r="AC19" s="24">
        <v>2211</v>
      </c>
      <c r="AD19" s="9">
        <v>25</v>
      </c>
      <c r="AE19" s="5"/>
      <c r="AF19" s="8" t="s">
        <v>2</v>
      </c>
      <c r="AG19" s="7">
        <v>2024</v>
      </c>
      <c r="AH19" s="24">
        <v>5721</v>
      </c>
      <c r="AI19" s="9">
        <v>30</v>
      </c>
      <c r="AJ19" s="5"/>
      <c r="AK19" s="8" t="s">
        <v>2</v>
      </c>
      <c r="AL19" s="7">
        <v>2024</v>
      </c>
      <c r="AM19" s="24">
        <v>959</v>
      </c>
      <c r="AN19" s="9">
        <v>26</v>
      </c>
      <c r="AO19" s="5"/>
      <c r="AP19" s="8" t="s">
        <v>2</v>
      </c>
      <c r="AQ19" s="7">
        <v>2024</v>
      </c>
      <c r="AR19" s="24">
        <v>1107</v>
      </c>
      <c r="AS19" s="9">
        <v>104</v>
      </c>
      <c r="AT19" s="5"/>
      <c r="AU19" s="8" t="s">
        <v>2</v>
      </c>
      <c r="AV19" s="7">
        <v>2024</v>
      </c>
      <c r="AW19" s="24">
        <v>1515</v>
      </c>
      <c r="AX19" s="9">
        <v>49</v>
      </c>
      <c r="AY19" s="5"/>
      <c r="AZ19" s="8" t="s">
        <v>2</v>
      </c>
      <c r="BA19" s="7">
        <v>2024</v>
      </c>
      <c r="BB19" s="24">
        <v>4296</v>
      </c>
      <c r="BC19" s="24">
        <v>10256</v>
      </c>
      <c r="BD19" s="24">
        <v>24128</v>
      </c>
      <c r="BE19" s="24">
        <f>SUM(Sessions_By_Devices[[#This Row],[MOBILE]:[DESKTOP]])</f>
        <v>38680</v>
      </c>
    </row>
    <row r="20" spans="1:57" x14ac:dyDescent="0.3">
      <c r="A20" s="5"/>
      <c r="B20" s="8" t="s">
        <v>3</v>
      </c>
      <c r="C20" s="7">
        <v>2024</v>
      </c>
      <c r="D20" s="24">
        <v>5020</v>
      </c>
      <c r="E20" s="9">
        <v>9</v>
      </c>
      <c r="F20" s="5"/>
      <c r="G20" s="8" t="s">
        <v>3</v>
      </c>
      <c r="H20" s="7">
        <v>2024</v>
      </c>
      <c r="I20" s="24">
        <v>2738</v>
      </c>
      <c r="J20" s="9">
        <v>130</v>
      </c>
      <c r="K20" s="5"/>
      <c r="L20" s="8" t="s">
        <v>3</v>
      </c>
      <c r="M20" s="7">
        <v>2024</v>
      </c>
      <c r="N20" s="24">
        <v>2015</v>
      </c>
      <c r="O20" s="9">
        <v>104</v>
      </c>
      <c r="P20" s="5"/>
      <c r="Q20" s="8" t="s">
        <v>3</v>
      </c>
      <c r="R20" s="7">
        <v>2024</v>
      </c>
      <c r="S20" s="24">
        <v>1449</v>
      </c>
      <c r="T20" s="9">
        <v>607</v>
      </c>
      <c r="U20" s="5"/>
      <c r="V20" s="8" t="s">
        <v>3</v>
      </c>
      <c r="W20" s="7">
        <v>2024</v>
      </c>
      <c r="X20" s="24">
        <v>6218</v>
      </c>
      <c r="Y20" s="9">
        <v>10</v>
      </c>
      <c r="Z20" s="5"/>
      <c r="AA20" s="8" t="s">
        <v>3</v>
      </c>
      <c r="AB20" s="7">
        <v>2024</v>
      </c>
      <c r="AC20" s="24">
        <v>2463</v>
      </c>
      <c r="AD20" s="9">
        <v>25</v>
      </c>
      <c r="AE20" s="5"/>
      <c r="AF20" s="8" t="s">
        <v>3</v>
      </c>
      <c r="AG20" s="7">
        <v>2024</v>
      </c>
      <c r="AH20" s="24">
        <v>4811</v>
      </c>
      <c r="AI20" s="9">
        <v>37</v>
      </c>
      <c r="AJ20" s="5"/>
      <c r="AK20" s="8" t="s">
        <v>3</v>
      </c>
      <c r="AL20" s="7">
        <v>2024</v>
      </c>
      <c r="AM20" s="24">
        <v>984</v>
      </c>
      <c r="AN20" s="9">
        <v>32</v>
      </c>
      <c r="AO20" s="5"/>
      <c r="AP20" s="8" t="s">
        <v>3</v>
      </c>
      <c r="AQ20" s="7">
        <v>2024</v>
      </c>
      <c r="AR20" s="24">
        <v>1096</v>
      </c>
      <c r="AS20" s="9">
        <v>107</v>
      </c>
      <c r="AT20" s="5"/>
      <c r="AU20" s="8" t="s">
        <v>3</v>
      </c>
      <c r="AV20" s="7">
        <v>2024</v>
      </c>
      <c r="AW20" s="24">
        <v>1472</v>
      </c>
      <c r="AX20" s="9">
        <v>76</v>
      </c>
      <c r="AY20" s="5"/>
      <c r="AZ20" s="8" t="s">
        <v>3</v>
      </c>
      <c r="BA20" s="7">
        <v>2024</v>
      </c>
      <c r="BB20" s="24">
        <v>5772</v>
      </c>
      <c r="BC20" s="24">
        <v>15692</v>
      </c>
      <c r="BD20" s="24">
        <v>26589</v>
      </c>
      <c r="BE20" s="24">
        <f>SUM(Sessions_By_Devices[[#This Row],[MOBILE]:[DESKTOP]])</f>
        <v>48053</v>
      </c>
    </row>
    <row r="21" spans="1:57" x14ac:dyDescent="0.3">
      <c r="A21" s="5"/>
      <c r="B21" s="8" t="s">
        <v>4</v>
      </c>
      <c r="C21" s="7">
        <v>2024</v>
      </c>
      <c r="D21" s="24">
        <v>5045</v>
      </c>
      <c r="E21" s="9">
        <v>9</v>
      </c>
      <c r="F21" s="5"/>
      <c r="G21" s="8" t="s">
        <v>4</v>
      </c>
      <c r="H21" s="7">
        <v>2024</v>
      </c>
      <c r="I21" s="24">
        <v>2714</v>
      </c>
      <c r="J21" s="9">
        <v>136</v>
      </c>
      <c r="K21" s="5"/>
      <c r="L21" s="8" t="s">
        <v>4</v>
      </c>
      <c r="M21" s="7">
        <v>2024</v>
      </c>
      <c r="N21" s="24">
        <v>1974</v>
      </c>
      <c r="O21" s="9">
        <v>130</v>
      </c>
      <c r="P21" s="5"/>
      <c r="Q21" s="8" t="s">
        <v>4</v>
      </c>
      <c r="R21" s="7">
        <v>2024</v>
      </c>
      <c r="S21" s="24">
        <v>1554</v>
      </c>
      <c r="T21" s="9">
        <v>601</v>
      </c>
      <c r="U21" s="5"/>
      <c r="V21" s="8" t="s">
        <v>4</v>
      </c>
      <c r="W21" s="7">
        <v>2024</v>
      </c>
      <c r="X21" s="24">
        <v>5667</v>
      </c>
      <c r="Y21" s="9">
        <v>12</v>
      </c>
      <c r="Z21" s="5"/>
      <c r="AA21" s="8" t="s">
        <v>4</v>
      </c>
      <c r="AB21" s="7">
        <v>2024</v>
      </c>
      <c r="AC21" s="24">
        <v>1859</v>
      </c>
      <c r="AD21" s="9">
        <v>33</v>
      </c>
      <c r="AE21" s="5"/>
      <c r="AF21" s="8" t="s">
        <v>4</v>
      </c>
      <c r="AG21" s="7">
        <v>2024</v>
      </c>
      <c r="AH21" s="24">
        <v>6641</v>
      </c>
      <c r="AI21" s="9">
        <v>26</v>
      </c>
      <c r="AJ21" s="5"/>
      <c r="AK21" s="8" t="s">
        <v>4</v>
      </c>
      <c r="AL21" s="7">
        <v>2024</v>
      </c>
      <c r="AM21" s="24">
        <v>1277</v>
      </c>
      <c r="AN21" s="9">
        <v>27</v>
      </c>
      <c r="AO21" s="5"/>
      <c r="AP21" s="8" t="s">
        <v>4</v>
      </c>
      <c r="AQ21" s="7">
        <v>2024</v>
      </c>
      <c r="AR21" s="24">
        <v>1066</v>
      </c>
      <c r="AS21" s="9">
        <v>111</v>
      </c>
      <c r="AT21" s="5"/>
      <c r="AU21" s="8" t="s">
        <v>4</v>
      </c>
      <c r="AV21" s="7">
        <v>2024</v>
      </c>
      <c r="AW21" s="24">
        <v>1817</v>
      </c>
      <c r="AX21" s="9">
        <v>71</v>
      </c>
      <c r="AY21" s="5"/>
      <c r="AZ21" s="8" t="s">
        <v>4</v>
      </c>
      <c r="BA21" s="7">
        <v>2024</v>
      </c>
      <c r="BB21" s="24">
        <v>3910</v>
      </c>
      <c r="BC21" s="24">
        <v>8741</v>
      </c>
      <c r="BD21" s="24">
        <v>35620</v>
      </c>
      <c r="BE21" s="24">
        <f>SUM(Sessions_By_Devices[[#This Row],[MOBILE]:[DESKTOP]])</f>
        <v>48271</v>
      </c>
    </row>
    <row r="22" spans="1:57" x14ac:dyDescent="0.3">
      <c r="A22" s="5"/>
      <c r="B22" s="8" t="s">
        <v>5</v>
      </c>
      <c r="C22" s="7">
        <v>2024</v>
      </c>
      <c r="D22" s="24">
        <v>5200</v>
      </c>
      <c r="E22" s="9">
        <v>9</v>
      </c>
      <c r="F22" s="5"/>
      <c r="G22" s="8" t="s">
        <v>5</v>
      </c>
      <c r="H22" s="7">
        <v>2024</v>
      </c>
      <c r="I22" s="24">
        <v>2914</v>
      </c>
      <c r="J22" s="9">
        <v>117</v>
      </c>
      <c r="K22" s="5"/>
      <c r="L22" s="8" t="s">
        <v>5</v>
      </c>
      <c r="M22" s="7">
        <v>2024</v>
      </c>
      <c r="N22" s="24">
        <v>2211</v>
      </c>
      <c r="O22" s="9">
        <v>124</v>
      </c>
      <c r="P22" s="5"/>
      <c r="Q22" s="8" t="s">
        <v>5</v>
      </c>
      <c r="R22" s="7">
        <v>2024</v>
      </c>
      <c r="S22" s="24">
        <v>1673</v>
      </c>
      <c r="T22" s="9">
        <v>542</v>
      </c>
      <c r="U22" s="5"/>
      <c r="V22" s="8" t="s">
        <v>5</v>
      </c>
      <c r="W22" s="7">
        <v>2024</v>
      </c>
      <c r="X22" s="24">
        <v>5670</v>
      </c>
      <c r="Y22" s="9">
        <v>7</v>
      </c>
      <c r="Z22" s="5"/>
      <c r="AA22" s="8" t="s">
        <v>5</v>
      </c>
      <c r="AB22" s="7">
        <v>2024</v>
      </c>
      <c r="AC22" s="24">
        <v>2214</v>
      </c>
      <c r="AD22" s="9">
        <v>29</v>
      </c>
      <c r="AE22" s="5"/>
      <c r="AF22" s="8" t="s">
        <v>5</v>
      </c>
      <c r="AG22" s="7">
        <v>2024</v>
      </c>
      <c r="AH22" s="24">
        <v>9262</v>
      </c>
      <c r="AI22" s="9">
        <v>32</v>
      </c>
      <c r="AJ22" s="5"/>
      <c r="AK22" s="8" t="s">
        <v>5</v>
      </c>
      <c r="AL22" s="7">
        <v>2024</v>
      </c>
      <c r="AM22" s="24">
        <v>1017</v>
      </c>
      <c r="AN22" s="9">
        <v>37</v>
      </c>
      <c r="AO22" s="5"/>
      <c r="AP22" s="8" t="s">
        <v>5</v>
      </c>
      <c r="AQ22" s="7">
        <v>2024</v>
      </c>
      <c r="AR22" s="24">
        <v>1094</v>
      </c>
      <c r="AS22" s="9">
        <v>88</v>
      </c>
      <c r="AT22" s="5"/>
      <c r="AU22" s="8" t="s">
        <v>5</v>
      </c>
      <c r="AV22" s="7">
        <v>2024</v>
      </c>
      <c r="AW22" s="24">
        <v>1723</v>
      </c>
      <c r="AX22" s="9">
        <v>64</v>
      </c>
      <c r="AY22" s="5"/>
      <c r="AZ22" s="8" t="s">
        <v>5</v>
      </c>
      <c r="BA22" s="7">
        <v>2024</v>
      </c>
      <c r="BB22" s="24">
        <v>3790</v>
      </c>
      <c r="BC22" s="24">
        <v>10474</v>
      </c>
      <c r="BD22" s="24">
        <v>36852</v>
      </c>
      <c r="BE22" s="24">
        <f>SUM(Sessions_By_Devices[[#This Row],[MOBILE]:[DESKTOP]])</f>
        <v>51116</v>
      </c>
    </row>
    <row r="23" spans="1:57" x14ac:dyDescent="0.3">
      <c r="A23" s="5"/>
      <c r="B23" s="8" t="s">
        <v>6</v>
      </c>
      <c r="C23" s="7">
        <v>2024</v>
      </c>
      <c r="D23" s="24">
        <v>5010</v>
      </c>
      <c r="E23" s="9">
        <v>11</v>
      </c>
      <c r="F23" s="5"/>
      <c r="G23" s="8" t="s">
        <v>6</v>
      </c>
      <c r="H23" s="7">
        <v>2024</v>
      </c>
      <c r="I23" s="24">
        <v>2511</v>
      </c>
      <c r="J23" s="9">
        <v>150</v>
      </c>
      <c r="K23" s="5"/>
      <c r="L23" s="8" t="s">
        <v>6</v>
      </c>
      <c r="M23" s="7">
        <v>2024</v>
      </c>
      <c r="N23" s="24">
        <v>1794</v>
      </c>
      <c r="O23" s="9">
        <v>144</v>
      </c>
      <c r="P23" s="5"/>
      <c r="Q23" s="8" t="s">
        <v>6</v>
      </c>
      <c r="R23" s="7">
        <v>2024</v>
      </c>
      <c r="S23" s="24">
        <v>1377</v>
      </c>
      <c r="T23" s="9">
        <v>706</v>
      </c>
      <c r="U23" s="5"/>
      <c r="V23" s="8" t="s">
        <v>6</v>
      </c>
      <c r="W23" s="7">
        <v>2024</v>
      </c>
      <c r="X23" s="24">
        <v>5828</v>
      </c>
      <c r="Y23" s="9">
        <v>7</v>
      </c>
      <c r="Z23" s="5"/>
      <c r="AA23" s="8" t="s">
        <v>6</v>
      </c>
      <c r="AB23" s="7">
        <v>2024</v>
      </c>
      <c r="AC23" s="24">
        <v>2547</v>
      </c>
      <c r="AD23" s="9">
        <v>32</v>
      </c>
      <c r="AE23" s="5"/>
      <c r="AF23" s="8" t="s">
        <v>6</v>
      </c>
      <c r="AG23" s="7">
        <v>2024</v>
      </c>
      <c r="AH23" s="24">
        <v>6202</v>
      </c>
      <c r="AI23" s="9">
        <v>29</v>
      </c>
      <c r="AJ23" s="5"/>
      <c r="AK23" s="8" t="s">
        <v>6</v>
      </c>
      <c r="AL23" s="7">
        <v>2024</v>
      </c>
      <c r="AM23" s="24">
        <v>1362</v>
      </c>
      <c r="AN23" s="9">
        <v>38</v>
      </c>
      <c r="AO23" s="5"/>
      <c r="AP23" s="8" t="s">
        <v>6</v>
      </c>
      <c r="AQ23" s="7">
        <v>2024</v>
      </c>
      <c r="AR23" s="24">
        <v>1117</v>
      </c>
      <c r="AS23" s="9">
        <v>108</v>
      </c>
      <c r="AT23" s="5"/>
      <c r="AU23" s="8" t="s">
        <v>6</v>
      </c>
      <c r="AV23" s="7">
        <v>2024</v>
      </c>
      <c r="AW23" s="24">
        <v>1916</v>
      </c>
      <c r="AX23" s="9">
        <v>57</v>
      </c>
      <c r="AY23" s="5"/>
      <c r="AZ23" s="8" t="s">
        <v>6</v>
      </c>
      <c r="BA23" s="7">
        <v>2024</v>
      </c>
      <c r="BB23" s="24">
        <v>3930</v>
      </c>
      <c r="BC23" s="24">
        <v>7412</v>
      </c>
      <c r="BD23" s="24">
        <v>27815</v>
      </c>
      <c r="BE23" s="24">
        <f>SUM(Sessions_By_Devices[[#This Row],[MOBILE]:[DESKTOP]])</f>
        <v>39157</v>
      </c>
    </row>
    <row r="24" spans="1:57" x14ac:dyDescent="0.3">
      <c r="A24" s="5"/>
      <c r="B24" s="8" t="s">
        <v>7</v>
      </c>
      <c r="C24" s="7">
        <v>2024</v>
      </c>
      <c r="D24" s="24">
        <v>4980</v>
      </c>
      <c r="E24" s="9">
        <v>13</v>
      </c>
      <c r="F24" s="5"/>
      <c r="G24" s="8" t="s">
        <v>7</v>
      </c>
      <c r="H24" s="7">
        <v>2024</v>
      </c>
      <c r="I24" s="24">
        <v>2508</v>
      </c>
      <c r="J24" s="9">
        <v>142</v>
      </c>
      <c r="K24" s="5"/>
      <c r="L24" s="8" t="s">
        <v>7</v>
      </c>
      <c r="M24" s="7">
        <v>2024</v>
      </c>
      <c r="N24" s="24">
        <v>1796</v>
      </c>
      <c r="O24" s="9">
        <v>122</v>
      </c>
      <c r="P24" s="5"/>
      <c r="Q24" s="8" t="s">
        <v>7</v>
      </c>
      <c r="R24" s="7">
        <v>2024</v>
      </c>
      <c r="S24" s="24">
        <v>1301</v>
      </c>
      <c r="T24" s="9">
        <v>679</v>
      </c>
      <c r="U24" s="5"/>
      <c r="V24" s="8" t="s">
        <v>7</v>
      </c>
      <c r="W24" s="7">
        <v>2024</v>
      </c>
      <c r="X24" s="24">
        <v>5995</v>
      </c>
      <c r="Y24" s="9">
        <v>12</v>
      </c>
      <c r="Z24" s="5"/>
      <c r="AA24" s="8" t="s">
        <v>7</v>
      </c>
      <c r="AB24" s="7">
        <v>2024</v>
      </c>
      <c r="AC24" s="24">
        <v>2061</v>
      </c>
      <c r="AD24" s="9">
        <v>25</v>
      </c>
      <c r="AE24" s="5"/>
      <c r="AF24" s="8" t="s">
        <v>7</v>
      </c>
      <c r="AG24" s="7">
        <v>2024</v>
      </c>
      <c r="AH24" s="24">
        <v>8618</v>
      </c>
      <c r="AI24" s="9">
        <v>32</v>
      </c>
      <c r="AJ24" s="5"/>
      <c r="AK24" s="8" t="s">
        <v>7</v>
      </c>
      <c r="AL24" s="7">
        <v>2024</v>
      </c>
      <c r="AM24" s="24">
        <v>1155</v>
      </c>
      <c r="AN24" s="9">
        <v>28</v>
      </c>
      <c r="AO24" s="5"/>
      <c r="AP24" s="8" t="s">
        <v>7</v>
      </c>
      <c r="AQ24" s="7">
        <v>2024</v>
      </c>
      <c r="AR24" s="24">
        <v>1065</v>
      </c>
      <c r="AS24" s="9">
        <v>75</v>
      </c>
      <c r="AT24" s="5"/>
      <c r="AU24" s="8" t="s">
        <v>7</v>
      </c>
      <c r="AV24" s="7">
        <v>2024</v>
      </c>
      <c r="AW24" s="24">
        <v>1737</v>
      </c>
      <c r="AX24" s="9">
        <v>58</v>
      </c>
      <c r="AY24" s="5"/>
      <c r="AZ24" s="8" t="s">
        <v>7</v>
      </c>
      <c r="BA24" s="7">
        <v>2024</v>
      </c>
      <c r="BB24" s="24">
        <v>4756</v>
      </c>
      <c r="BC24" s="24">
        <v>14852</v>
      </c>
      <c r="BD24" s="24">
        <v>36581</v>
      </c>
      <c r="BE24" s="24">
        <f>SUM(Sessions_By_Devices[[#This Row],[MOBILE]:[DESKTOP]])</f>
        <v>56189</v>
      </c>
    </row>
    <row r="25" spans="1:57" x14ac:dyDescent="0.3">
      <c r="A25" s="5"/>
      <c r="B25" s="8" t="s">
        <v>8</v>
      </c>
      <c r="C25" s="7">
        <v>2024</v>
      </c>
      <c r="D25" s="24">
        <v>5120</v>
      </c>
      <c r="E25" s="9">
        <v>11</v>
      </c>
      <c r="F25" s="5"/>
      <c r="G25" s="8" t="s">
        <v>8</v>
      </c>
      <c r="H25" s="7">
        <v>2024</v>
      </c>
      <c r="I25" s="24">
        <v>2739</v>
      </c>
      <c r="J25" s="9">
        <v>140</v>
      </c>
      <c r="K25" s="5"/>
      <c r="L25" s="8" t="s">
        <v>8</v>
      </c>
      <c r="M25" s="7">
        <v>2024</v>
      </c>
      <c r="N25" s="24">
        <v>2013</v>
      </c>
      <c r="O25" s="9">
        <v>117</v>
      </c>
      <c r="P25" s="5"/>
      <c r="Q25" s="8" t="s">
        <v>8</v>
      </c>
      <c r="R25" s="7">
        <v>2024</v>
      </c>
      <c r="S25" s="24">
        <v>1475</v>
      </c>
      <c r="T25" s="9">
        <v>725</v>
      </c>
      <c r="U25" s="5"/>
      <c r="V25" s="8" t="s">
        <v>8</v>
      </c>
      <c r="W25" s="7">
        <v>2024</v>
      </c>
      <c r="X25" s="24">
        <v>6351</v>
      </c>
      <c r="Y25" s="9">
        <v>10</v>
      </c>
      <c r="Z25" s="5"/>
      <c r="AA25" s="8" t="s">
        <v>8</v>
      </c>
      <c r="AB25" s="7">
        <v>2024</v>
      </c>
      <c r="AC25" s="24">
        <v>2102</v>
      </c>
      <c r="AD25" s="9">
        <v>30</v>
      </c>
      <c r="AE25" s="5"/>
      <c r="AF25" s="8" t="s">
        <v>8</v>
      </c>
      <c r="AG25" s="7">
        <v>2024</v>
      </c>
      <c r="AH25" s="24">
        <v>6103</v>
      </c>
      <c r="AI25" s="9">
        <v>38</v>
      </c>
      <c r="AJ25" s="5"/>
      <c r="AK25" s="8" t="s">
        <v>8</v>
      </c>
      <c r="AL25" s="7">
        <v>2024</v>
      </c>
      <c r="AM25" s="24">
        <v>1099</v>
      </c>
      <c r="AN25" s="9">
        <v>37</v>
      </c>
      <c r="AO25" s="5"/>
      <c r="AP25" s="8" t="s">
        <v>8</v>
      </c>
      <c r="AQ25" s="7">
        <v>2024</v>
      </c>
      <c r="AR25" s="24">
        <v>1093</v>
      </c>
      <c r="AS25" s="9">
        <v>79</v>
      </c>
      <c r="AT25" s="5"/>
      <c r="AU25" s="8" t="s">
        <v>8</v>
      </c>
      <c r="AV25" s="7">
        <v>2024</v>
      </c>
      <c r="AW25" s="24">
        <v>1513</v>
      </c>
      <c r="AX25" s="9">
        <v>83</v>
      </c>
      <c r="AY25" s="5"/>
      <c r="AZ25" s="8" t="s">
        <v>8</v>
      </c>
      <c r="BA25" s="7">
        <v>2024</v>
      </c>
      <c r="BB25" s="24">
        <v>5840</v>
      </c>
      <c r="BC25" s="24">
        <v>12563</v>
      </c>
      <c r="BD25" s="24">
        <v>29562</v>
      </c>
      <c r="BE25" s="24">
        <f>SUM(Sessions_By_Devices[[#This Row],[MOBILE]:[DESKTOP]])</f>
        <v>47965</v>
      </c>
    </row>
    <row r="26" spans="1:57" x14ac:dyDescent="0.3">
      <c r="A26" s="5"/>
      <c r="B26" s="8" t="s">
        <v>9</v>
      </c>
      <c r="C26" s="7">
        <v>2024</v>
      </c>
      <c r="D26" s="24">
        <v>5200</v>
      </c>
      <c r="E26" s="9">
        <v>10</v>
      </c>
      <c r="F26" s="5"/>
      <c r="G26" s="8" t="s">
        <v>9</v>
      </c>
      <c r="H26" s="7">
        <v>2024</v>
      </c>
      <c r="I26" s="24">
        <v>2885</v>
      </c>
      <c r="J26" s="9">
        <v>150</v>
      </c>
      <c r="K26" s="5"/>
      <c r="L26" s="8" t="s">
        <v>9</v>
      </c>
      <c r="M26" s="7">
        <v>2024</v>
      </c>
      <c r="N26" s="24">
        <v>2269</v>
      </c>
      <c r="O26" s="9">
        <v>133</v>
      </c>
      <c r="P26" s="5"/>
      <c r="Q26" s="8" t="s">
        <v>9</v>
      </c>
      <c r="R26" s="7">
        <v>2024</v>
      </c>
      <c r="S26" s="24">
        <v>1778</v>
      </c>
      <c r="T26" s="9">
        <v>699</v>
      </c>
      <c r="U26" s="5"/>
      <c r="V26" s="8" t="s">
        <v>9</v>
      </c>
      <c r="W26" s="7">
        <v>2024</v>
      </c>
      <c r="X26" s="24">
        <v>6501</v>
      </c>
      <c r="Y26" s="9">
        <v>7</v>
      </c>
      <c r="Z26" s="5"/>
      <c r="AA26" s="8" t="s">
        <v>9</v>
      </c>
      <c r="AB26" s="7">
        <v>2024</v>
      </c>
      <c r="AC26" s="24">
        <v>2077</v>
      </c>
      <c r="AD26" s="9">
        <v>37</v>
      </c>
      <c r="AE26" s="5"/>
      <c r="AF26" s="8" t="s">
        <v>9</v>
      </c>
      <c r="AG26" s="7">
        <v>2024</v>
      </c>
      <c r="AH26" s="24">
        <v>7941</v>
      </c>
      <c r="AI26" s="9">
        <v>30</v>
      </c>
      <c r="AJ26" s="5"/>
      <c r="AK26" s="8" t="s">
        <v>9</v>
      </c>
      <c r="AL26" s="7">
        <v>2024</v>
      </c>
      <c r="AM26" s="24">
        <v>1018</v>
      </c>
      <c r="AN26" s="9">
        <v>31</v>
      </c>
      <c r="AO26" s="5"/>
      <c r="AP26" s="8" t="s">
        <v>9</v>
      </c>
      <c r="AQ26" s="7">
        <v>2024</v>
      </c>
      <c r="AR26" s="24">
        <v>1066</v>
      </c>
      <c r="AS26" s="9">
        <v>112</v>
      </c>
      <c r="AT26" s="5"/>
      <c r="AU26" s="8" t="s">
        <v>9</v>
      </c>
      <c r="AV26" s="7">
        <v>2024</v>
      </c>
      <c r="AW26" s="24">
        <v>1869</v>
      </c>
      <c r="AX26" s="9">
        <v>79</v>
      </c>
      <c r="AY26" s="5"/>
      <c r="AZ26" s="8" t="s">
        <v>9</v>
      </c>
      <c r="BA26" s="7">
        <v>2024</v>
      </c>
      <c r="BB26" s="24">
        <v>2854</v>
      </c>
      <c r="BC26" s="24">
        <v>13252</v>
      </c>
      <c r="BD26" s="24">
        <v>28562</v>
      </c>
      <c r="BE26" s="24">
        <f>SUM(Sessions_By_Devices[[#This Row],[MOBILE]:[DESKTOP]])</f>
        <v>44668</v>
      </c>
    </row>
    <row r="27" spans="1:57" x14ac:dyDescent="0.3">
      <c r="A27" s="5"/>
      <c r="B27" s="8" t="s">
        <v>10</v>
      </c>
      <c r="C27" s="7">
        <v>2024</v>
      </c>
      <c r="D27" s="24">
        <v>5300</v>
      </c>
      <c r="E27" s="9">
        <v>10</v>
      </c>
      <c r="F27" s="5"/>
      <c r="G27" s="8" t="s">
        <v>10</v>
      </c>
      <c r="H27" s="7">
        <v>2024</v>
      </c>
      <c r="I27" s="24">
        <v>2979</v>
      </c>
      <c r="J27" s="9">
        <v>136</v>
      </c>
      <c r="K27" s="5"/>
      <c r="L27" s="8" t="s">
        <v>10</v>
      </c>
      <c r="M27" s="7">
        <v>2024</v>
      </c>
      <c r="N27" s="24">
        <v>2309</v>
      </c>
      <c r="O27" s="9">
        <v>147</v>
      </c>
      <c r="P27" s="5"/>
      <c r="Q27" s="8" t="s">
        <v>10</v>
      </c>
      <c r="R27" s="7">
        <v>2024</v>
      </c>
      <c r="S27" s="24">
        <v>1851</v>
      </c>
      <c r="T27" s="9">
        <v>523</v>
      </c>
      <c r="U27" s="5"/>
      <c r="V27" s="8" t="s">
        <v>10</v>
      </c>
      <c r="W27" s="7">
        <v>2024</v>
      </c>
      <c r="X27" s="24">
        <v>6079</v>
      </c>
      <c r="Y27" s="9">
        <v>10</v>
      </c>
      <c r="Z27" s="5"/>
      <c r="AA27" s="8" t="s">
        <v>10</v>
      </c>
      <c r="AB27" s="7">
        <v>2024</v>
      </c>
      <c r="AC27" s="24">
        <v>2040</v>
      </c>
      <c r="AD27" s="9">
        <v>38</v>
      </c>
      <c r="AE27" s="5"/>
      <c r="AF27" s="8" t="s">
        <v>10</v>
      </c>
      <c r="AG27" s="7">
        <v>2024</v>
      </c>
      <c r="AH27" s="24">
        <v>4950</v>
      </c>
      <c r="AI27" s="9">
        <v>33</v>
      </c>
      <c r="AJ27" s="5"/>
      <c r="AK27" s="8" t="s">
        <v>10</v>
      </c>
      <c r="AL27" s="7">
        <v>2024</v>
      </c>
      <c r="AM27" s="24">
        <v>1251</v>
      </c>
      <c r="AN27" s="9">
        <v>32</v>
      </c>
      <c r="AO27" s="5"/>
      <c r="AP27" s="8" t="s">
        <v>10</v>
      </c>
      <c r="AQ27" s="7">
        <v>2024</v>
      </c>
      <c r="AR27" s="24">
        <v>1055</v>
      </c>
      <c r="AS27" s="9">
        <v>82</v>
      </c>
      <c r="AT27" s="5"/>
      <c r="AU27" s="8" t="s">
        <v>10</v>
      </c>
      <c r="AV27" s="7">
        <v>2024</v>
      </c>
      <c r="AW27" s="24">
        <v>1786</v>
      </c>
      <c r="AX27" s="9">
        <v>53</v>
      </c>
      <c r="AY27" s="5"/>
      <c r="AZ27" s="8" t="s">
        <v>10</v>
      </c>
      <c r="BA27" s="7">
        <v>2024</v>
      </c>
      <c r="BB27" s="24">
        <v>5899</v>
      </c>
      <c r="BC27" s="24">
        <v>6992</v>
      </c>
      <c r="BD27" s="24">
        <v>32101</v>
      </c>
      <c r="BE27" s="24">
        <f>SUM(Sessions_By_Devices[[#This Row],[MOBILE]:[DESKTOP]])</f>
        <v>44992</v>
      </c>
    </row>
    <row r="28" spans="1:57" x14ac:dyDescent="0.3">
      <c r="A28" s="5"/>
      <c r="B28" s="8" t="s">
        <v>11</v>
      </c>
      <c r="C28" s="7">
        <v>2024</v>
      </c>
      <c r="D28" s="24">
        <v>5400</v>
      </c>
      <c r="E28" s="9">
        <v>9</v>
      </c>
      <c r="F28" s="5"/>
      <c r="G28" s="8" t="s">
        <v>11</v>
      </c>
      <c r="H28" s="7">
        <v>2024</v>
      </c>
      <c r="I28" s="24">
        <v>3018</v>
      </c>
      <c r="J28" s="9">
        <v>124</v>
      </c>
      <c r="K28" s="5"/>
      <c r="L28" s="8" t="s">
        <v>11</v>
      </c>
      <c r="M28" s="7">
        <v>2024</v>
      </c>
      <c r="N28" s="24">
        <v>2327</v>
      </c>
      <c r="O28" s="9">
        <v>108</v>
      </c>
      <c r="P28" s="5"/>
      <c r="Q28" s="8" t="s">
        <v>11</v>
      </c>
      <c r="R28" s="7">
        <v>2024</v>
      </c>
      <c r="S28" s="24">
        <v>1909</v>
      </c>
      <c r="T28" s="9">
        <v>675</v>
      </c>
      <c r="U28" s="5"/>
      <c r="V28" s="8" t="s">
        <v>11</v>
      </c>
      <c r="W28" s="7">
        <v>2024</v>
      </c>
      <c r="X28" s="24">
        <v>5906</v>
      </c>
      <c r="Y28" s="9">
        <v>9</v>
      </c>
      <c r="Z28" s="5"/>
      <c r="AA28" s="8" t="s">
        <v>11</v>
      </c>
      <c r="AB28" s="7">
        <v>2024</v>
      </c>
      <c r="AC28" s="24">
        <v>1995</v>
      </c>
      <c r="AD28" s="9">
        <v>27</v>
      </c>
      <c r="AE28" s="5"/>
      <c r="AF28" s="8" t="s">
        <v>11</v>
      </c>
      <c r="AG28" s="7">
        <v>2024</v>
      </c>
      <c r="AH28" s="24">
        <v>6921</v>
      </c>
      <c r="AI28" s="9">
        <v>36</v>
      </c>
      <c r="AJ28" s="5"/>
      <c r="AK28" s="8" t="s">
        <v>11</v>
      </c>
      <c r="AL28" s="7">
        <v>2024</v>
      </c>
      <c r="AM28" s="24">
        <v>1274</v>
      </c>
      <c r="AN28" s="9">
        <v>25</v>
      </c>
      <c r="AO28" s="5"/>
      <c r="AP28" s="8" t="s">
        <v>11</v>
      </c>
      <c r="AQ28" s="7">
        <v>2024</v>
      </c>
      <c r="AR28" s="24">
        <v>1047</v>
      </c>
      <c r="AS28" s="9">
        <v>104</v>
      </c>
      <c r="AT28" s="5"/>
      <c r="AU28" s="8" t="s">
        <v>11</v>
      </c>
      <c r="AV28" s="7">
        <v>2024</v>
      </c>
      <c r="AW28" s="24">
        <v>1519</v>
      </c>
      <c r="AX28" s="9">
        <v>53</v>
      </c>
      <c r="AY28" s="5"/>
      <c r="AZ28" s="8" t="s">
        <v>11</v>
      </c>
      <c r="BA28" s="7">
        <v>2024</v>
      </c>
      <c r="BB28" s="24">
        <v>4708</v>
      </c>
      <c r="BC28" s="24">
        <v>9841</v>
      </c>
      <c r="BD28" s="24">
        <v>27415</v>
      </c>
      <c r="BE28" s="24">
        <f>SUM(Sessions_By_Devices[[#This Row],[MOBILE]:[DESKTOP]])</f>
        <v>41964</v>
      </c>
    </row>
    <row r="29" spans="1:57" x14ac:dyDescent="0.3">
      <c r="A29" s="5"/>
      <c r="B29" s="13" t="s">
        <v>12</v>
      </c>
      <c r="C29" s="14">
        <v>2024</v>
      </c>
      <c r="D29" s="24">
        <v>5500</v>
      </c>
      <c r="E29" s="15">
        <v>9</v>
      </c>
      <c r="F29" s="5"/>
      <c r="G29" s="13" t="s">
        <v>12</v>
      </c>
      <c r="H29" s="14">
        <v>2024</v>
      </c>
      <c r="I29" s="24">
        <v>3009</v>
      </c>
      <c r="J29" s="15">
        <v>147</v>
      </c>
      <c r="K29" s="5"/>
      <c r="L29" s="13" t="s">
        <v>12</v>
      </c>
      <c r="M29" s="14">
        <v>2024</v>
      </c>
      <c r="N29" s="24">
        <v>2358</v>
      </c>
      <c r="O29" s="15">
        <v>113</v>
      </c>
      <c r="P29" s="5"/>
      <c r="Q29" s="13" t="s">
        <v>12</v>
      </c>
      <c r="R29" s="14">
        <v>2024</v>
      </c>
      <c r="S29" s="24">
        <v>1896</v>
      </c>
      <c r="T29" s="15">
        <v>754</v>
      </c>
      <c r="U29" s="5"/>
      <c r="V29" s="13" t="s">
        <v>12</v>
      </c>
      <c r="W29" s="14">
        <v>2024</v>
      </c>
      <c r="X29" s="24">
        <v>6834</v>
      </c>
      <c r="Y29" s="15">
        <v>10</v>
      </c>
      <c r="Z29" s="5"/>
      <c r="AA29" s="13" t="s">
        <v>12</v>
      </c>
      <c r="AB29" s="14">
        <v>2024</v>
      </c>
      <c r="AC29" s="24">
        <v>2356</v>
      </c>
      <c r="AD29" s="15">
        <v>30</v>
      </c>
      <c r="AE29" s="5"/>
      <c r="AF29" s="13" t="s">
        <v>12</v>
      </c>
      <c r="AG29" s="14">
        <v>2024</v>
      </c>
      <c r="AH29" s="24">
        <v>6066</v>
      </c>
      <c r="AI29" s="15">
        <v>35</v>
      </c>
      <c r="AJ29" s="5"/>
      <c r="AK29" s="13" t="s">
        <v>12</v>
      </c>
      <c r="AL29" s="14">
        <v>2024</v>
      </c>
      <c r="AM29" s="24">
        <v>984</v>
      </c>
      <c r="AN29" s="15">
        <v>34</v>
      </c>
      <c r="AO29" s="5"/>
      <c r="AP29" s="13" t="s">
        <v>12</v>
      </c>
      <c r="AQ29" s="14">
        <v>2024</v>
      </c>
      <c r="AR29" s="24">
        <v>1062</v>
      </c>
      <c r="AS29" s="15">
        <v>106</v>
      </c>
      <c r="AT29" s="5"/>
      <c r="AU29" s="13" t="s">
        <v>12</v>
      </c>
      <c r="AV29" s="14">
        <v>2024</v>
      </c>
      <c r="AW29" s="24">
        <v>1671</v>
      </c>
      <c r="AX29" s="15">
        <v>48</v>
      </c>
      <c r="AY29" s="5"/>
      <c r="AZ29" s="13" t="s">
        <v>12</v>
      </c>
      <c r="BA29" s="14">
        <v>2024</v>
      </c>
      <c r="BB29" s="26">
        <v>4208</v>
      </c>
      <c r="BC29" s="26">
        <v>15896</v>
      </c>
      <c r="BD29" s="26">
        <v>32896</v>
      </c>
      <c r="BE29" s="24">
        <f>SUM(Sessions_By_Devices[[#This Row],[MOBILE]:[DESKTOP]])</f>
        <v>53000</v>
      </c>
    </row>
    <row r="30" spans="1:57" x14ac:dyDescent="0.3">
      <c r="A30" s="5"/>
      <c r="B30" s="6"/>
      <c r="C30" s="5"/>
      <c r="D30" s="5"/>
      <c r="E30" s="5"/>
      <c r="F30" s="5"/>
      <c r="G30" s="6"/>
      <c r="H30" s="5"/>
      <c r="I30" s="5"/>
      <c r="J30" s="5"/>
      <c r="K30" s="5"/>
      <c r="L30" s="6"/>
      <c r="M30" s="5"/>
      <c r="N30" s="5"/>
      <c r="O30" s="5"/>
      <c r="P30" s="5"/>
      <c r="Q30" s="6"/>
      <c r="R30" s="5"/>
      <c r="S30" s="5"/>
      <c r="T30" s="5"/>
      <c r="U30" s="5"/>
      <c r="V30" s="6"/>
      <c r="W30" s="5"/>
      <c r="X30" s="5"/>
      <c r="Y30" s="5"/>
      <c r="Z30" s="5"/>
      <c r="AA30" s="6"/>
      <c r="AB30" s="5"/>
      <c r="AC30" s="5"/>
      <c r="AD30" s="5"/>
      <c r="AE30" s="5"/>
      <c r="AF30" s="6"/>
      <c r="AG30" s="5"/>
      <c r="AH30" s="5"/>
      <c r="AI30" s="5"/>
      <c r="AJ30" s="5"/>
      <c r="AK30" s="6"/>
      <c r="AL30" s="5"/>
      <c r="AM30" s="5"/>
      <c r="AN30" s="5"/>
      <c r="AO30" s="5"/>
      <c r="AP30" s="6"/>
      <c r="AQ30" s="5"/>
      <c r="AR30" s="5"/>
      <c r="AS30" s="5"/>
      <c r="AT30" s="5"/>
      <c r="AU30" s="6"/>
      <c r="AV30" s="5"/>
      <c r="AW30" s="5"/>
      <c r="AX30" s="5"/>
      <c r="AY30" s="5"/>
      <c r="AZ30" s="6"/>
      <c r="BA30" s="5"/>
      <c r="BB30" s="5"/>
      <c r="BC30" s="5"/>
      <c r="BD30" s="5"/>
      <c r="BE30" s="5"/>
    </row>
    <row r="31" spans="1:57" x14ac:dyDescent="0.3">
      <c r="A31" s="5"/>
      <c r="B31" s="6"/>
      <c r="C31" s="5"/>
      <c r="D31" s="5"/>
      <c r="E31" s="5"/>
      <c r="F31" s="5"/>
      <c r="G31" s="6"/>
      <c r="H31" s="5"/>
      <c r="K31" s="5"/>
      <c r="L31" s="6"/>
      <c r="M31" s="5"/>
      <c r="N31" s="5"/>
      <c r="O31" s="5"/>
      <c r="P31" s="5"/>
      <c r="Q31" s="6"/>
      <c r="R31" s="5"/>
      <c r="S31" s="5"/>
      <c r="T31" s="5"/>
      <c r="U31" s="5"/>
      <c r="V31" s="6"/>
      <c r="W31" s="5"/>
      <c r="X31" s="5"/>
      <c r="Y31" s="5"/>
      <c r="Z31" s="5"/>
      <c r="AA31" s="6"/>
      <c r="AB31" s="5"/>
      <c r="AC31" s="5"/>
      <c r="AD31" s="5"/>
      <c r="AE31" s="5"/>
      <c r="AF31" s="6"/>
      <c r="AG31" s="5"/>
      <c r="AH31" s="5"/>
      <c r="AI31" s="5"/>
      <c r="AJ31" s="5"/>
      <c r="AK31" s="6"/>
      <c r="AL31" s="5"/>
      <c r="AM31" s="5"/>
      <c r="AN31" s="5"/>
      <c r="AO31" s="5"/>
      <c r="AP31" s="6"/>
      <c r="AQ31" s="5"/>
      <c r="AR31" s="5"/>
      <c r="AS31" s="5"/>
      <c r="AT31" s="5"/>
      <c r="AU31" s="6"/>
      <c r="AV31" s="5"/>
      <c r="AW31" s="5"/>
      <c r="AX31" s="5"/>
      <c r="AY31" s="5"/>
      <c r="AZ31" s="6"/>
      <c r="BA31" s="5"/>
      <c r="BB31" s="5"/>
      <c r="BC31" s="5"/>
      <c r="BD31" s="5"/>
      <c r="BE31" s="5"/>
    </row>
  </sheetData>
  <mergeCells count="11">
    <mergeCell ref="AF4:AI4"/>
    <mergeCell ref="AK4:AN4"/>
    <mergeCell ref="AP4:AS4"/>
    <mergeCell ref="AU4:AX4"/>
    <mergeCell ref="AZ4:BE4"/>
    <mergeCell ref="B4:E4"/>
    <mergeCell ref="G4:J4"/>
    <mergeCell ref="L4:O4"/>
    <mergeCell ref="Q4:T4"/>
    <mergeCell ref="V4:Y4"/>
    <mergeCell ref="AA4:AD4"/>
  </mergeCells>
  <pageMargins left="0.7" right="0.7" top="0.75" bottom="0.75" header="0.3" footer="0.3"/>
  <tableParts count="11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91904D-7E41-4E71-A22C-3E5CC0BE7854}">
  <dimension ref="A1:N30"/>
  <sheetViews>
    <sheetView tabSelected="1" zoomScaleNormal="100" workbookViewId="0">
      <selection activeCell="P16" sqref="P16"/>
    </sheetView>
  </sheetViews>
  <sheetFormatPr defaultRowHeight="13.8" x14ac:dyDescent="0.3"/>
  <cols>
    <col min="1" max="1" width="3.77734375" style="28" customWidth="1"/>
    <col min="2" max="2" width="1.77734375" style="28" customWidth="1"/>
    <col min="3" max="3" width="6.6640625" style="28" customWidth="1"/>
    <col min="4" max="4" width="16.6640625" style="28" customWidth="1"/>
    <col min="5" max="5" width="11.88671875" style="28" customWidth="1"/>
    <col min="6" max="6" width="10.6640625" style="28" customWidth="1"/>
    <col min="7" max="7" width="1.77734375" style="28" customWidth="1"/>
    <col min="8" max="8" width="3.77734375" style="28" customWidth="1"/>
    <col min="9" max="9" width="49.5546875" style="28" customWidth="1"/>
    <col min="10" max="10" width="2.77734375" style="28" customWidth="1"/>
    <col min="11" max="11" width="18.5546875" style="28" customWidth="1"/>
    <col min="12" max="12" width="2.77734375" style="28" customWidth="1"/>
    <col min="13" max="13" width="14.21875" style="28" customWidth="1"/>
    <col min="14" max="14" width="3.77734375" style="28" customWidth="1"/>
    <col min="15" max="16384" width="8.88671875" style="28"/>
  </cols>
  <sheetData>
    <row r="1" spans="1:14" ht="18" customHeight="1" thickBot="1" x14ac:dyDescent="0.35">
      <c r="A1" s="27"/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</row>
    <row r="2" spans="1:14" ht="15" customHeight="1" x14ac:dyDescent="0.3">
      <c r="A2" s="27"/>
      <c r="B2" s="38"/>
      <c r="C2" s="39"/>
      <c r="D2" s="39"/>
      <c r="E2" s="39"/>
      <c r="F2" s="39"/>
      <c r="G2" s="40"/>
      <c r="H2" s="27"/>
      <c r="I2" s="62" t="s">
        <v>38</v>
      </c>
      <c r="J2" s="48"/>
      <c r="K2" s="49" t="s">
        <v>8</v>
      </c>
      <c r="L2" s="30"/>
      <c r="M2" s="49">
        <v>2024</v>
      </c>
      <c r="N2" s="27"/>
    </row>
    <row r="3" spans="1:14" ht="22.05" customHeight="1" x14ac:dyDescent="0.3">
      <c r="A3" s="27"/>
      <c r="B3" s="41"/>
      <c r="C3" s="32" t="s">
        <v>37</v>
      </c>
      <c r="D3" s="32"/>
      <c r="E3" s="32"/>
      <c r="F3" s="32"/>
      <c r="G3" s="42"/>
      <c r="H3" s="27"/>
      <c r="I3" s="62"/>
      <c r="J3" s="48"/>
      <c r="K3" s="49"/>
      <c r="L3" s="46"/>
      <c r="M3" s="49"/>
      <c r="N3" s="27"/>
    </row>
    <row r="4" spans="1:14" ht="15" customHeight="1" x14ac:dyDescent="0.3">
      <c r="A4" s="27"/>
      <c r="B4" s="41"/>
      <c r="C4" s="33"/>
      <c r="D4" s="31"/>
      <c r="E4" s="31"/>
      <c r="F4" s="31"/>
      <c r="G4" s="42"/>
      <c r="H4" s="27"/>
      <c r="I4" s="27"/>
      <c r="J4" s="27"/>
      <c r="K4" s="47" t="s">
        <v>39</v>
      </c>
      <c r="L4" s="27"/>
      <c r="M4" s="47" t="s">
        <v>39</v>
      </c>
      <c r="N4" s="27"/>
    </row>
    <row r="5" spans="1:14" ht="55.05" customHeight="1" x14ac:dyDescent="0.3">
      <c r="A5" s="27"/>
      <c r="B5" s="41"/>
      <c r="C5" s="34" t="s">
        <v>29</v>
      </c>
      <c r="D5" s="33"/>
      <c r="E5" s="35">
        <f>'Helper Sheet'!E19</f>
        <v>29562</v>
      </c>
      <c r="F5" s="36"/>
      <c r="G5" s="42"/>
      <c r="H5" s="27"/>
      <c r="I5" s="27"/>
      <c r="J5" s="27"/>
      <c r="K5" s="27"/>
      <c r="L5" s="27"/>
      <c r="M5" s="27"/>
      <c r="N5" s="27"/>
    </row>
    <row r="6" spans="1:14" ht="15" customHeight="1" x14ac:dyDescent="0.3">
      <c r="A6" s="27"/>
      <c r="B6" s="41"/>
      <c r="C6" s="37"/>
      <c r="D6" s="33"/>
      <c r="E6" s="37"/>
      <c r="F6" s="37"/>
      <c r="G6" s="42"/>
      <c r="H6" s="27"/>
      <c r="I6" s="27"/>
      <c r="J6" s="27"/>
      <c r="K6" s="27"/>
      <c r="L6" s="27"/>
      <c r="M6" s="27"/>
      <c r="N6" s="27"/>
    </row>
    <row r="7" spans="1:14" ht="55.05" customHeight="1" x14ac:dyDescent="0.3">
      <c r="A7" s="27"/>
      <c r="B7" s="41"/>
      <c r="C7" s="34" t="s">
        <v>28</v>
      </c>
      <c r="D7" s="33"/>
      <c r="E7" s="35">
        <f>'Helper Sheet'!E17</f>
        <v>5840</v>
      </c>
      <c r="F7" s="36"/>
      <c r="G7" s="42"/>
      <c r="H7" s="27"/>
      <c r="I7" s="27"/>
      <c r="J7" s="27"/>
      <c r="K7" s="27"/>
      <c r="L7" s="27"/>
      <c r="M7" s="27"/>
      <c r="N7" s="27"/>
    </row>
    <row r="8" spans="1:14" ht="15" customHeight="1" x14ac:dyDescent="0.3">
      <c r="A8" s="27"/>
      <c r="B8" s="41"/>
      <c r="C8" s="37"/>
      <c r="D8" s="33"/>
      <c r="E8" s="37"/>
      <c r="F8" s="37"/>
      <c r="G8" s="42"/>
      <c r="H8" s="27"/>
      <c r="I8" s="27"/>
      <c r="J8" s="27"/>
      <c r="K8" s="27"/>
      <c r="L8" s="27"/>
      <c r="M8" s="27"/>
      <c r="N8" s="27"/>
    </row>
    <row r="9" spans="1:14" ht="55.05" customHeight="1" x14ac:dyDescent="0.3">
      <c r="A9" s="27"/>
      <c r="B9" s="41"/>
      <c r="C9" s="34" t="s">
        <v>30</v>
      </c>
      <c r="D9" s="33"/>
      <c r="E9" s="35">
        <f>'Helper Sheet'!E18</f>
        <v>12563</v>
      </c>
      <c r="F9" s="36"/>
      <c r="G9" s="42"/>
      <c r="H9" s="27"/>
      <c r="I9" s="27"/>
      <c r="J9" s="27"/>
      <c r="K9" s="27"/>
      <c r="L9" s="27"/>
      <c r="M9" s="27"/>
      <c r="N9" s="27"/>
    </row>
    <row r="10" spans="1:14" ht="15" customHeight="1" thickBot="1" x14ac:dyDescent="0.35">
      <c r="A10" s="27"/>
      <c r="B10" s="43"/>
      <c r="C10" s="44"/>
      <c r="D10" s="44"/>
      <c r="E10" s="44"/>
      <c r="F10" s="44"/>
      <c r="G10" s="45"/>
      <c r="H10" s="27"/>
      <c r="I10" s="27"/>
      <c r="J10" s="27"/>
      <c r="K10" s="27"/>
      <c r="L10" s="27"/>
      <c r="M10" s="27"/>
      <c r="N10" s="27"/>
    </row>
    <row r="11" spans="1:14" ht="18" customHeight="1" thickBot="1" x14ac:dyDescent="0.35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</row>
    <row r="12" spans="1:14" ht="15" customHeight="1" x14ac:dyDescent="0.3">
      <c r="A12" s="27"/>
      <c r="B12" s="74"/>
      <c r="C12" s="75"/>
      <c r="D12" s="75"/>
      <c r="E12" s="75"/>
      <c r="F12" s="75"/>
      <c r="G12" s="76"/>
      <c r="H12" s="27"/>
      <c r="I12" s="27"/>
      <c r="J12" s="27"/>
      <c r="K12" s="27"/>
      <c r="L12" s="27"/>
      <c r="M12" s="27"/>
      <c r="N12" s="27"/>
    </row>
    <row r="13" spans="1:14" ht="22.05" customHeight="1" x14ac:dyDescent="0.3">
      <c r="A13" s="27"/>
      <c r="B13" s="77"/>
      <c r="C13" s="50" t="s">
        <v>36</v>
      </c>
      <c r="D13" s="50"/>
      <c r="E13" s="50"/>
      <c r="F13" s="50"/>
      <c r="G13" s="78"/>
      <c r="H13" s="27"/>
      <c r="I13" s="27"/>
      <c r="J13" s="27"/>
      <c r="K13" s="27"/>
      <c r="L13" s="27"/>
      <c r="M13" s="27"/>
      <c r="N13" s="27"/>
    </row>
    <row r="14" spans="1:14" ht="15" customHeight="1" x14ac:dyDescent="0.3">
      <c r="A14" s="27"/>
      <c r="B14" s="77"/>
      <c r="C14" s="51"/>
      <c r="D14" s="51"/>
      <c r="E14" s="51"/>
      <c r="F14" s="51"/>
      <c r="G14" s="78"/>
      <c r="H14" s="27"/>
      <c r="I14" s="27"/>
      <c r="J14" s="27"/>
      <c r="K14" s="27"/>
      <c r="L14" s="27"/>
      <c r="M14" s="27"/>
      <c r="N14" s="27"/>
    </row>
    <row r="15" spans="1:14" ht="18" customHeight="1" x14ac:dyDescent="0.3">
      <c r="A15" s="27"/>
      <c r="B15" s="77"/>
      <c r="C15" s="52" t="s">
        <v>32</v>
      </c>
      <c r="D15" s="52"/>
      <c r="E15" s="53" t="s">
        <v>31</v>
      </c>
      <c r="F15" s="53" t="s">
        <v>33</v>
      </c>
      <c r="G15" s="78"/>
      <c r="H15" s="27"/>
      <c r="I15" s="27"/>
      <c r="J15" s="27"/>
      <c r="K15" s="27"/>
      <c r="L15" s="27"/>
      <c r="M15" s="27"/>
      <c r="N15" s="27"/>
    </row>
    <row r="16" spans="1:14" ht="18" customHeight="1" x14ac:dyDescent="0.3">
      <c r="A16" s="27"/>
      <c r="B16" s="77"/>
      <c r="C16" s="54" t="str">
        <f>'Helper Sheet'!D4</f>
        <v>SaaS Solutions</v>
      </c>
      <c r="D16" s="54"/>
      <c r="E16" s="55">
        <f>'Helper Sheet'!E4</f>
        <v>5120</v>
      </c>
      <c r="F16" s="56">
        <f>'Helper Sheet'!F4</f>
        <v>11</v>
      </c>
      <c r="G16" s="78"/>
      <c r="H16" s="27"/>
      <c r="I16" s="27"/>
      <c r="J16" s="27"/>
      <c r="K16" s="27"/>
      <c r="L16" s="27"/>
      <c r="M16" s="27"/>
      <c r="N16" s="27"/>
    </row>
    <row r="17" spans="1:14" ht="18" customHeight="1" x14ac:dyDescent="0.3">
      <c r="A17" s="27"/>
      <c r="B17" s="77"/>
      <c r="C17" s="57" t="str">
        <f>'Helper Sheet'!D5</f>
        <v>Cloud Computing</v>
      </c>
      <c r="D17" s="57"/>
      <c r="E17" s="58">
        <f>'Helper Sheet'!E5</f>
        <v>2739</v>
      </c>
      <c r="F17" s="59">
        <f>'Helper Sheet'!F5</f>
        <v>140</v>
      </c>
      <c r="G17" s="78"/>
      <c r="H17" s="27"/>
      <c r="I17" s="27"/>
      <c r="J17" s="27"/>
      <c r="K17" s="27"/>
      <c r="L17" s="27"/>
      <c r="M17" s="27"/>
      <c r="N17" s="27"/>
    </row>
    <row r="18" spans="1:14" ht="18" customHeight="1" x14ac:dyDescent="0.3">
      <c r="A18" s="27"/>
      <c r="B18" s="77"/>
      <c r="C18" s="54" t="str">
        <f>'Helper Sheet'!D6</f>
        <v>Agile Development</v>
      </c>
      <c r="D18" s="54"/>
      <c r="E18" s="55">
        <f>'Helper Sheet'!E6</f>
        <v>2013</v>
      </c>
      <c r="F18" s="56">
        <f>'Helper Sheet'!F6</f>
        <v>117</v>
      </c>
      <c r="G18" s="78"/>
      <c r="H18" s="27"/>
      <c r="I18" s="27"/>
      <c r="J18" s="27"/>
      <c r="K18" s="27"/>
      <c r="L18" s="27"/>
      <c r="M18" s="27"/>
      <c r="N18" s="27"/>
    </row>
    <row r="19" spans="1:14" ht="18" customHeight="1" x14ac:dyDescent="0.3">
      <c r="A19" s="27"/>
      <c r="B19" s="77"/>
      <c r="C19" s="57" t="str">
        <f>'Helper Sheet'!D7</f>
        <v>User Experience</v>
      </c>
      <c r="D19" s="57"/>
      <c r="E19" s="58">
        <f>'Helper Sheet'!E7</f>
        <v>1475</v>
      </c>
      <c r="F19" s="59">
        <f>'Helper Sheet'!F7</f>
        <v>725</v>
      </c>
      <c r="G19" s="78"/>
      <c r="H19" s="27"/>
      <c r="I19" s="27"/>
      <c r="J19" s="27"/>
      <c r="K19" s="27"/>
      <c r="L19" s="27"/>
      <c r="M19" s="27"/>
      <c r="N19" s="27"/>
    </row>
    <row r="20" spans="1:14" ht="18" customHeight="1" x14ac:dyDescent="0.3">
      <c r="A20" s="27"/>
      <c r="B20" s="77"/>
      <c r="C20" s="54" t="str">
        <f>'Helper Sheet'!D8</f>
        <v>Cybersecurity</v>
      </c>
      <c r="D20" s="54"/>
      <c r="E20" s="55">
        <f>'Helper Sheet'!E8</f>
        <v>6351</v>
      </c>
      <c r="F20" s="56">
        <f>'Helper Sheet'!F8</f>
        <v>10</v>
      </c>
      <c r="G20" s="78"/>
      <c r="H20" s="27"/>
      <c r="I20" s="27"/>
      <c r="J20" s="27"/>
      <c r="K20" s="27"/>
      <c r="L20" s="27"/>
      <c r="M20" s="27"/>
      <c r="N20" s="27"/>
    </row>
    <row r="21" spans="1:14" ht="18" customHeight="1" x14ac:dyDescent="0.3">
      <c r="A21" s="27"/>
      <c r="B21" s="77"/>
      <c r="C21" s="57" t="str">
        <f>'Helper Sheet'!D9</f>
        <v>DevOps Practices</v>
      </c>
      <c r="D21" s="57"/>
      <c r="E21" s="58">
        <f>'Helper Sheet'!E9</f>
        <v>2102</v>
      </c>
      <c r="F21" s="59">
        <f>'Helper Sheet'!F9</f>
        <v>30</v>
      </c>
      <c r="G21" s="78"/>
      <c r="H21" s="27"/>
      <c r="I21" s="27"/>
      <c r="J21" s="27"/>
      <c r="K21" s="27"/>
      <c r="L21" s="27"/>
      <c r="M21" s="27"/>
      <c r="N21" s="27"/>
    </row>
    <row r="22" spans="1:14" ht="18" customHeight="1" x14ac:dyDescent="0.3">
      <c r="A22" s="27"/>
      <c r="B22" s="77"/>
      <c r="C22" s="54" t="str">
        <f>'Helper Sheet'!D10</f>
        <v>Artificial Intelligence</v>
      </c>
      <c r="D22" s="54"/>
      <c r="E22" s="55">
        <f>'Helper Sheet'!E10</f>
        <v>6103</v>
      </c>
      <c r="F22" s="56">
        <f>'Helper Sheet'!F10</f>
        <v>38</v>
      </c>
      <c r="G22" s="78"/>
      <c r="H22" s="27"/>
      <c r="I22" s="27"/>
      <c r="J22" s="27"/>
      <c r="K22" s="27"/>
      <c r="L22" s="27"/>
      <c r="M22" s="27"/>
      <c r="N22" s="27"/>
    </row>
    <row r="23" spans="1:14" ht="18" customHeight="1" x14ac:dyDescent="0.3">
      <c r="A23" s="27"/>
      <c r="B23" s="77"/>
      <c r="C23" s="57" t="str">
        <f>'Helper Sheet'!D11</f>
        <v>Mobile App Development</v>
      </c>
      <c r="D23" s="57"/>
      <c r="E23" s="58">
        <f>'Helper Sheet'!E11</f>
        <v>1099</v>
      </c>
      <c r="F23" s="59">
        <f>'Helper Sheet'!F11</f>
        <v>37</v>
      </c>
      <c r="G23" s="78"/>
      <c r="H23" s="27"/>
      <c r="I23" s="27"/>
      <c r="J23" s="27"/>
      <c r="K23" s="27"/>
      <c r="L23" s="27"/>
      <c r="M23" s="27"/>
      <c r="N23" s="27"/>
    </row>
    <row r="24" spans="1:14" ht="18" customHeight="1" x14ac:dyDescent="0.3">
      <c r="A24" s="27"/>
      <c r="B24" s="77"/>
      <c r="C24" s="54" t="str">
        <f>'Helper Sheet'!D12</f>
        <v>Open Source Software</v>
      </c>
      <c r="D24" s="54"/>
      <c r="E24" s="55">
        <f>'Helper Sheet'!E12</f>
        <v>1093</v>
      </c>
      <c r="F24" s="56">
        <f>'Helper Sheet'!F12</f>
        <v>79</v>
      </c>
      <c r="G24" s="78"/>
      <c r="H24" s="27"/>
      <c r="I24" s="27"/>
      <c r="J24" s="27"/>
      <c r="K24" s="27"/>
      <c r="L24" s="27"/>
      <c r="M24" s="27"/>
      <c r="N24" s="27"/>
    </row>
    <row r="25" spans="1:14" ht="18" customHeight="1" x14ac:dyDescent="0.3">
      <c r="A25" s="27"/>
      <c r="B25" s="77"/>
      <c r="C25" s="57" t="str">
        <f>'Helper Sheet'!D13</f>
        <v>API Integration</v>
      </c>
      <c r="D25" s="57"/>
      <c r="E25" s="58">
        <f>'Helper Sheet'!E13</f>
        <v>1513</v>
      </c>
      <c r="F25" s="59">
        <f>'Helper Sheet'!F13</f>
        <v>83</v>
      </c>
      <c r="G25" s="78"/>
      <c r="H25" s="27"/>
      <c r="I25" s="27"/>
      <c r="J25" s="27"/>
      <c r="K25" s="27"/>
      <c r="L25" s="27"/>
      <c r="M25" s="27"/>
      <c r="N25" s="27"/>
    </row>
    <row r="26" spans="1:14" ht="15" customHeight="1" thickBot="1" x14ac:dyDescent="0.35">
      <c r="A26" s="27"/>
      <c r="B26" s="79"/>
      <c r="C26" s="80"/>
      <c r="D26" s="80"/>
      <c r="E26" s="80"/>
      <c r="F26" s="80"/>
      <c r="G26" s="81"/>
      <c r="H26" s="27"/>
      <c r="I26" s="27"/>
      <c r="J26" s="27"/>
      <c r="K26" s="27"/>
      <c r="L26" s="27"/>
      <c r="M26" s="27"/>
      <c r="N26" s="27"/>
    </row>
    <row r="27" spans="1:14" ht="18" customHeight="1" x14ac:dyDescent="0.3">
      <c r="A27" s="27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</row>
    <row r="28" spans="1:14" ht="19.95" customHeight="1" x14ac:dyDescent="0.3"/>
    <row r="29" spans="1:14" ht="19.95" customHeight="1" x14ac:dyDescent="0.3"/>
    <row r="30" spans="1:14" ht="19.95" customHeight="1" x14ac:dyDescent="0.3"/>
  </sheetData>
  <mergeCells count="18">
    <mergeCell ref="I2:I3"/>
    <mergeCell ref="K2:K3"/>
    <mergeCell ref="M2:M3"/>
    <mergeCell ref="C20:D20"/>
    <mergeCell ref="C21:D21"/>
    <mergeCell ref="C22:D22"/>
    <mergeCell ref="C23:D23"/>
    <mergeCell ref="C24:D24"/>
    <mergeCell ref="C25:D25"/>
    <mergeCell ref="C15:D15"/>
    <mergeCell ref="C16:D16"/>
    <mergeCell ref="C17:D17"/>
    <mergeCell ref="C18:D18"/>
    <mergeCell ref="C19:D19"/>
    <mergeCell ref="E5:F5"/>
    <mergeCell ref="E7:F7"/>
    <mergeCell ref="E9:F9"/>
    <mergeCell ref="C3:F3"/>
  </mergeCells>
  <pageMargins left="0" right="0" top="0" bottom="0" header="0" footer="0"/>
  <pageSetup paperSize="9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BA5F924-231F-4661-9468-F5AFFFB49D71}">
          <x14:formula1>
            <xm:f>'Helper Sheet'!$A$4:$A$6</xm:f>
          </x14:formula1>
          <xm:sqref>M2</xm:sqref>
        </x14:dataValidation>
        <x14:dataValidation type="list" allowBlank="1" showInputMessage="1" showErrorMessage="1" xr:uid="{C8DF6ABD-6BA3-4EC5-A7AB-4495EBC4190D}">
          <x14:formula1>
            <xm:f>'Helper Sheet'!$B$4:$B$15</xm:f>
          </x14:formula1>
          <xm:sqref>L3 K2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728648-C184-47EE-A722-8A05D6604B9C}">
  <dimension ref="B6"/>
  <sheetViews>
    <sheetView workbookViewId="0">
      <selection activeCell="B15" sqref="B15"/>
    </sheetView>
  </sheetViews>
  <sheetFormatPr defaultRowHeight="14.4" x14ac:dyDescent="0.3"/>
  <cols>
    <col min="2" max="2" width="31.88671875" customWidth="1"/>
  </cols>
  <sheetData>
    <row r="6" spans="2:2" x14ac:dyDescent="0.3">
      <c r="B6" s="1" t="s">
        <v>0</v>
      </c>
    </row>
  </sheetData>
  <hyperlinks>
    <hyperlink ref="B6" r:id="rId1" xr:uid="{65C8D6F7-E6D6-42C7-A1FB-A63C44CA0B7E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baseType="variant" size="2">
      <vt:variant>
        <vt:lpstr>Worksheets</vt:lpstr>
      </vt:variant>
      <vt:variant>
        <vt:i4>5</vt:i4>
      </vt:variant>
    </vt:vector>
  </HeadingPairs>
  <TitlesOfParts>
    <vt:vector baseType="lpstr" size="5">
      <vt:lpstr>Data</vt:lpstr>
      <vt:lpstr>Helper Sheet</vt:lpstr>
      <vt:lpstr>Keywords</vt:lpstr>
      <vt:lpstr>Dashboard</vt:lpstr>
      <vt:lpstr>©</vt:lpstr>
    </vt:vector>
  </TitlesOfParts>
  <Company/>
  <LinksUpToDate>false</LinksUpToDate>
  <SharedDoc>false</SharedDoc>
  <HyperlinksChanged>false</HyperlinksChanged>
  <AppVersion>16.0300</AppVersion>
  <Template/>
  <Manager/>
  <TotalTime>0</TotalTime>
  <Application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