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ms-office.chartcolorstyle+xml" PartName="/xl/charts/colors1.xml"/>
  <Override ContentType="application/vnd.ms-office.chartcolorstyle+xml" PartName="/xl/charts/colors2.xml"/>
  <Override ContentType="application/vnd.ms-office.chartstyle+xml" PartName="/xl/charts/style1.xml"/>
  <Override ContentType="application/vnd.ms-office.chartstyle+xml" PartName="/xl/charts/style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pivotCacheDefinition+xml" PartName="/xl/pivotCache/pivotCacheDefinition1.xml"/>
  <Override ContentType="application/vnd.openxmlformats-officedocument.spreadsheetml.pivotCacheRecords+xml" PartName="/xl/pivotCache/pivotCacheRecords1.xml"/>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spreadsheetml.table+xml" PartName="/xl/tables/table2.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hidePivotFieldList="1"/>
  <mc:AlternateContent xmlns:mc="http://schemas.openxmlformats.org/markup-compatibility/2006">
    <mc:Choice Requires="x15">
      <x15ac:absPath xmlns:x15ac="http://schemas.microsoft.com/office/spreadsheetml/2010/11/ac" url="F:\Alexy\2018\multiple project tracking template\"/>
    </mc:Choice>
  </mc:AlternateContent>
  <bookViews>
    <workbookView xWindow="0" yWindow="0" windowWidth="21600" windowHeight="8325" activeTab="2"/>
  </bookViews>
  <sheets>
    <sheet name="START" sheetId="4" r:id="rId1"/>
    <sheet name="PROJECT PARAMETERS" sheetId="1" r:id="rId2"/>
    <sheet name="PROJECT DETAILS" sheetId="2" r:id="rId3"/>
    <sheet name="PROJECT TOTALS" sheetId="3" r:id="rId4"/>
  </sheets>
  <definedNames>
    <definedName name="_xlnm.Print_Titles" localSheetId="2">'PROJECT DETAILS'!$4:$4</definedName>
    <definedName name="_xlnm.Print_Titles" localSheetId="3">'PROJECT TOTALS'!$4:$4</definedName>
    <definedName name="ProjectType">Parameters[PROJECT TYPE]</definedName>
  </definedNames>
  <calcPr calcId="152511"/>
  <pivotCaches>
    <pivotCache cacheId="3"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 i="3" l="1"/>
  <c r="B3" i="2"/>
  <c r="B3" i="1"/>
  <c r="G9" i="2" l="1"/>
  <c r="F9" i="2"/>
  <c r="E9" i="2"/>
  <c r="D9" i="2"/>
  <c r="G8" i="2"/>
  <c r="F8" i="2"/>
  <c r="E8" i="2"/>
  <c r="D8" i="2"/>
  <c r="E7" i="2"/>
  <c r="D7" i="2"/>
  <c r="G6" i="2"/>
  <c r="F6" i="2"/>
  <c r="D6" i="2"/>
  <c r="E6" i="2"/>
  <c r="G5" i="2"/>
  <c r="F5" i="2"/>
  <c r="E5" i="2"/>
  <c r="D5" i="2"/>
  <c r="B1" i="3" l="1"/>
  <c r="K8" i="2"/>
  <c r="W5" i="2"/>
  <c r="W6" i="2"/>
  <c r="W7" i="2"/>
  <c r="W8" i="2"/>
  <c r="W9" i="2"/>
  <c r="V5" i="2"/>
  <c r="V6" i="2"/>
  <c r="V7" i="2"/>
  <c r="V8" i="2"/>
  <c r="V9" i="2"/>
  <c r="U5" i="2"/>
  <c r="U6" i="2"/>
  <c r="U7" i="2"/>
  <c r="U8" i="2"/>
  <c r="U9" i="2"/>
  <c r="T5" i="2"/>
  <c r="T6" i="2"/>
  <c r="T7" i="2"/>
  <c r="T8" i="2"/>
  <c r="T9" i="2"/>
  <c r="S5" i="2"/>
  <c r="S6" i="2"/>
  <c r="S7" i="2"/>
  <c r="S8" i="2"/>
  <c r="S9" i="2"/>
  <c r="R5" i="2"/>
  <c r="R6" i="2"/>
  <c r="R7" i="2"/>
  <c r="R8" i="2"/>
  <c r="R9" i="2"/>
  <c r="Q5" i="2"/>
  <c r="Q6" i="2"/>
  <c r="Q7" i="2"/>
  <c r="Q8" i="2"/>
  <c r="Q9" i="2"/>
  <c r="P5" i="2"/>
  <c r="P6" i="2"/>
  <c r="P7" i="2"/>
  <c r="P8" i="2"/>
  <c r="P9" i="2"/>
  <c r="O5" i="2"/>
  <c r="O6" i="2"/>
  <c r="O7" i="2"/>
  <c r="O8" i="2"/>
  <c r="O9" i="2"/>
  <c r="N5" i="2"/>
  <c r="N6" i="2"/>
  <c r="N7" i="2"/>
  <c r="N8" i="2"/>
  <c r="N9" i="2"/>
  <c r="M5" i="2"/>
  <c r="M6" i="2"/>
  <c r="M7" i="2"/>
  <c r="M8" i="2"/>
  <c r="M9" i="2"/>
  <c r="L5" i="2"/>
  <c r="L6" i="2"/>
  <c r="L7" i="2"/>
  <c r="L8" i="2"/>
  <c r="L9" i="2"/>
  <c r="B1" i="2"/>
  <c r="K5" i="2"/>
  <c r="K6" i="2"/>
  <c r="K7" i="2"/>
  <c r="K9" i="2"/>
  <c r="J5" i="2"/>
  <c r="J6" i="2"/>
  <c r="J7" i="2"/>
  <c r="J8" i="2"/>
  <c r="J9" i="2"/>
  <c r="I10" i="2"/>
  <c r="H10" i="2"/>
  <c r="I6" i="1"/>
  <c r="I7" i="1"/>
  <c r="I8" i="1"/>
  <c r="I9" i="1"/>
  <c r="I10" i="1"/>
  <c r="I11" i="1"/>
  <c r="H17" i="1" l="1"/>
  <c r="H19" i="1" s="1"/>
  <c r="F17" i="1"/>
  <c r="F19" i="1" s="1"/>
  <c r="D17" i="1"/>
  <c r="D19" i="1" s="1"/>
  <c r="G17" i="1"/>
  <c r="G19" i="1" s="1"/>
  <c r="E17" i="1"/>
  <c r="E19" i="1" s="1"/>
  <c r="F16" i="1"/>
  <c r="F18" i="1" s="1"/>
  <c r="E16" i="1"/>
  <c r="E18" i="1" s="1"/>
  <c r="C17" i="1"/>
  <c r="C19" i="1" s="1"/>
  <c r="D16" i="1"/>
  <c r="D18" i="1" s="1"/>
  <c r="H16" i="1"/>
  <c r="H18" i="1" s="1"/>
  <c r="C16" i="1"/>
  <c r="C18" i="1" s="1"/>
  <c r="G16" i="1"/>
  <c r="G18" i="1" s="1"/>
  <c r="J10" i="2"/>
  <c r="K10" i="2"/>
</calcChain>
</file>

<file path=xl/sharedStrings.xml><?xml version="1.0" encoding="utf-8"?>
<sst xmlns="http://schemas.openxmlformats.org/spreadsheetml/2006/main" count="106" uniqueCount="76">
  <si>
    <t>Event Management Project Tracker</t>
  </si>
  <si>
    <t>Shaded cells are calculated for you. You do not need to enter anything into them.</t>
  </si>
  <si>
    <t>Total</t>
  </si>
  <si>
    <t>Event strategy development</t>
  </si>
  <si>
    <t>Event planning</t>
  </si>
  <si>
    <t>Event design</t>
  </si>
  <si>
    <t>Event logistics</t>
  </si>
  <si>
    <t>Event staffing</t>
  </si>
  <si>
    <t>Event assessment</t>
  </si>
  <si>
    <t>Blended rates</t>
  </si>
  <si>
    <t>TOTAL</t>
  </si>
  <si>
    <t>ACTUAL START</t>
  </si>
  <si>
    <t>ACTUAL FINISH</t>
  </si>
  <si>
    <t>PROJECT NAME</t>
  </si>
  <si>
    <t>PROJECT TYPE</t>
  </si>
  <si>
    <t>ESTIMATED START</t>
  </si>
  <si>
    <t>ESTIMATED FINISH</t>
  </si>
  <si>
    <t>ESTIMATED WORK</t>
  </si>
  <si>
    <t>ESTIMATED DURATION</t>
  </si>
  <si>
    <t>ACTUAL WORK</t>
  </si>
  <si>
    <t>ACTUAL DURATION</t>
  </si>
  <si>
    <t>Grand Total</t>
  </si>
  <si>
    <t>ACCOUNT MANAGER</t>
  </si>
  <si>
    <t>PROJECT MANAGER</t>
  </si>
  <si>
    <t>STRATEGY MANAGER</t>
  </si>
  <si>
    <t>DESIGN SPECIALIST</t>
  </si>
  <si>
    <t>EVENT STAFF</t>
  </si>
  <si>
    <t>ADMIN STAFF</t>
  </si>
  <si>
    <t xml:space="preserve">ACCOUNT MANAGER </t>
  </si>
  <si>
    <t xml:space="preserve">PROJECT MANAGER </t>
  </si>
  <si>
    <t xml:space="preserve">STRATEGY MANAGER </t>
  </si>
  <si>
    <t xml:space="preserve">DESIGN SPECIALIST </t>
  </si>
  <si>
    <t xml:space="preserve">ADMIN STAFF </t>
  </si>
  <si>
    <t xml:space="preserve">EVENT STAFF </t>
  </si>
  <si>
    <t>ACCOUNT MANAGER ESTIMATE</t>
  </si>
  <si>
    <t>PROJECT MANAGER ESTIMATE</t>
  </si>
  <si>
    <t>STRATEGY MANAGER ESTIMATE</t>
  </si>
  <si>
    <t>DESIGN SPECIALIST ESTIMATE</t>
  </si>
  <si>
    <t>EVENT STAFF ESTIMATE</t>
  </si>
  <si>
    <t>ADMIN STAFF ESTIMATE</t>
  </si>
  <si>
    <t>ACCOUNT MANAGER ACTUAL</t>
  </si>
  <si>
    <t>PROJECT MANAGER ACTUAL</t>
  </si>
  <si>
    <t>STRATEGY MANAGER ACTUAL</t>
  </si>
  <si>
    <t>DESIGN SPECIALIST ACTUAL</t>
  </si>
  <si>
    <t>EVENT STAFF ACTUAL</t>
  </si>
  <si>
    <t>ADMIN STAFF ACTUAL</t>
  </si>
  <si>
    <t>PLANNED COST</t>
  </si>
  <si>
    <t>PLANNED HOURS</t>
  </si>
  <si>
    <t>ACTUAL COST</t>
  </si>
  <si>
    <t>ACTUAL HOURS</t>
  </si>
  <si>
    <t>Company Name</t>
  </si>
  <si>
    <t>Project 1</t>
  </si>
  <si>
    <t>Project 2</t>
  </si>
  <si>
    <t>Project 3</t>
  </si>
  <si>
    <t>Project 4</t>
  </si>
  <si>
    <t>Project 5</t>
  </si>
  <si>
    <t>Fill in Company Name in Parameters worksheet and it will automatically be updated in other worksheets.</t>
  </si>
  <si>
    <t xml:space="preserve">Note:  </t>
  </si>
  <si>
    <t>Additional Instructions have been provided in column A of each worksheet in EVENT PLANNING TRACKER workbook. This text has been intentionally hidden. To remove text, select column A, then select DELETE. To unhide text, select column A, then change font color.</t>
  </si>
  <si>
    <t>To learn more about tables in worksheets, press SHIFT and then F10 within a table, select the TABLE option, and then select ALTERNATIVE TEXT.</t>
  </si>
  <si>
    <t>ABOUT THIS TEMPLATE</t>
  </si>
  <si>
    <t>Create Project Parameters in this worksheet. Enter Company Name in cell at right. Helpful instructions are in cells in this column. Arrow down to get started.</t>
  </si>
  <si>
    <t>Title of this worksheet is in cell at right.</t>
  </si>
  <si>
    <t>Confidentiality message is in cell at right.</t>
  </si>
  <si>
    <t>Tip is in cell at right.</t>
  </si>
  <si>
    <t>Enter details in Parameters table starting in cell at right. Next instruction is in cell A12.</t>
  </si>
  <si>
    <t>Enter Blended Rates in cells at right, cells C12 through H12. Next instruction is in cell A14.</t>
  </si>
  <si>
    <t>Column chart showing planned versus actual cost is in cell at right, and column chart showing planned versus actual hours is in cell F14.</t>
  </si>
  <si>
    <t>Column chart showing planned versus actual cost is in this cell.</t>
  </si>
  <si>
    <t>Column chart showing planned versus actual hours is in this cell.</t>
  </si>
  <si>
    <t>Create Project Details in this worksheet. Company Name is automatically updated in cell at right. Helpful instructions are in cells in this column. Arrow down to get started.</t>
  </si>
  <si>
    <t>Get Project Totals in this worksheet. Company Name is automatically updated in cell at right. Helpful instructions are in cells in this column. Arrow down to get started.</t>
  </si>
  <si>
    <t>Track Project Parameters, Project Details, and Project Totals in this Event Planning Tracker workbook.</t>
  </si>
  <si>
    <t>Enter information in Project Parameters worksheet to update column charts, and in Project Details worksheet. PivotTable in Project Totals worksheet is automatically updated.</t>
  </si>
  <si>
    <t>Enter information in Project Details table starting in cell at right.
INFO
To add a row in table at right, select the bottom-right most cell in the body of the table (not the totals row) and press Tab, or press SHIFT+F10 key where you want the row inserted and select Insert | Table Rows Above/Below.
Be sure all unused rows are deleted, as the PROJECT TOTALS PivotTable will use all of the tables cells, and otherwise would give erroneous results.</t>
  </si>
  <si>
    <t>PivotTable starting in cell at right is automatically updated.
INFO
To refresh PivotTable at right, select it (any cell within the PivotTable), on the PIVOTTABLE TOOLS | ANALYZE ribbon tab select Refresh Or press SHIFT+F10 key in any cell in the PivotTable, and then select Refresh.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</si>
</sst>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quot;$&quot;#,##0.00"/>
  </numFmts>
  <fonts count="13" x14ac:knownFonts="1">
    <font>
      <sz val="10"/>
      <color theme="1" tint="0.24994659260841701"/>
      <name val="Cambria"/>
      <family val="2"/>
      <scheme val="minor"/>
    </font>
    <font>
      <sz val="11"/>
      <color theme="1"/>
      <name val="Cambria"/>
      <family val="1"/>
      <scheme val="minor"/>
    </font>
    <font>
      <sz val="20"/>
      <color theme="1" tint="0.24994659260841701"/>
      <name val="Tahoma"/>
      <family val="2"/>
      <scheme val="major"/>
    </font>
    <font>
      <sz val="16"/>
      <color theme="1" tint="0.34998626667073579"/>
      <name val="Tahoma"/>
      <family val="2"/>
      <scheme val="major"/>
    </font>
    <font>
      <sz val="12"/>
      <color theme="1" tint="0.24994659260841701"/>
      <name val="Tahoma"/>
      <family val="2"/>
      <scheme val="major"/>
    </font>
    <font>
      <sz val="11"/>
      <color theme="1"/>
      <name val="Cambria"/>
      <family val="1"/>
      <scheme val="minor"/>
    </font>
    <font>
      <i/>
      <sz val="10"/>
      <color theme="1"/>
      <name val="Tahoma"/>
      <family val="2"/>
      <scheme val="major"/>
    </font>
    <font>
      <sz val="10"/>
      <color theme="1"/>
      <name val="Tahoma"/>
      <family val="2"/>
      <scheme val="major"/>
    </font>
    <font>
      <sz val="10"/>
      <color theme="1"/>
      <name val="Tahoma"/>
      <family val="2"/>
      <scheme val="major"/>
    </font>
    <font>
      <sz val="11"/>
      <color theme="0"/>
      <name val="Cambria"/>
      <family val="1"/>
      <scheme val="minor"/>
    </font>
    <font>
      <sz val="16"/>
      <color theme="0"/>
      <name val="Tahoma"/>
      <family val="2"/>
      <scheme val="major"/>
    </font>
    <font>
      <sz val="11"/>
      <color theme="1" tint="0.24994659260841701"/>
      <name val="Cambria"/>
      <family val="1"/>
      <scheme val="minor"/>
    </font>
    <font>
      <b/>
      <sz val="11"/>
      <color theme="1" tint="0.24994659260841701"/>
      <name val="Cambria"/>
      <family val="1"/>
      <scheme val="minor"/>
    </font>
  </fonts>
  <fills count="5">
    <fill>
      <patternFill patternType="none"/>
    </fill>
    <fill>
      <patternFill patternType="gray125"/>
    </fill>
    <fill>
      <patternFill patternType="solid">
        <fgColor theme="0" tint="-0.14996795556505021"/>
        <bgColor indexed="64"/>
      </patternFill>
    </fill>
    <fill>
      <patternFill patternType="solid">
        <fgColor theme="5" tint="-0.249977111117893"/>
        <bgColor indexed="64"/>
      </patternFill>
    </fill>
    <fill>
      <patternFill patternType="solid">
        <fgColor theme="9"/>
        <bgColor indexed="64"/>
      </patternFill>
    </fill>
  </fills>
  <borders count="2">
    <border>
      <left/>
      <right/>
      <top/>
      <bottom/>
      <diagonal/>
    </border>
    <border>
      <left/>
      <right/>
      <top/>
      <bottom style="thin">
        <color theme="4" tint="-0.499984740745262"/>
      </bottom>
      <diagonal/>
    </border>
  </borders>
  <cellStyleXfs count="4">
    <xf numFmtId="0" fontId="0" fillId="0" borderId="0"/>
    <xf numFmtId="0" fontId="2" fillId="0" borderId="1" applyNumberFormat="0" applyFill="0" applyAlignment="0" applyProtection="0"/>
    <xf numFmtId="0" fontId="3" fillId="0" borderId="0" applyNumberFormat="0" applyFill="0" applyAlignment="0" applyProtection="0"/>
    <xf numFmtId="0" fontId="4" fillId="0" borderId="0" applyNumberFormat="0" applyFill="0" applyAlignment="0" applyProtection="0"/>
  </cellStyleXfs>
  <cellXfs count="35">
    <xf numFmtId="0" fontId="0" fillId="0" borderId="0" xfId="0"/>
    <xf numFmtId="0" fontId="1" fillId="0" borderId="0" xfId="0" applyFont="1"/>
    <xf numFmtId="0" fontId="2" fillId="0" borderId="1" xfId="1"/>
    <xf numFmtId="0" fontId="3" fillId="0" borderId="0" xfId="2"/>
    <xf numFmtId="0" fontId="4" fillId="0" borderId="0" xfId="3"/>
    <xf numFmtId="0" fontId="5" fillId="0" borderId="0" xfId="0" applyFont="1"/>
    <xf numFmtId="9" fontId="5" fillId="0" borderId="0" xfId="0" applyNumberFormat="1" applyFont="1"/>
    <xf numFmtId="164" fontId="5" fillId="0" borderId="0" xfId="0" applyNumberFormat="1" applyFont="1"/>
    <xf numFmtId="9" fontId="5" fillId="2" borderId="0" xfId="0" applyNumberFormat="1" applyFont="1" applyFill="1"/>
    <xf numFmtId="0" fontId="6" fillId="0" borderId="0" xfId="0" applyFont="1"/>
    <xf numFmtId="165" fontId="0" fillId="0" borderId="0" xfId="0" applyNumberFormat="1"/>
    <xf numFmtId="0" fontId="0" fillId="0" borderId="0" xfId="0" pivotButton="1" applyAlignment="1">
      <alignment wrapText="1"/>
    </xf>
    <xf numFmtId="0" fontId="0" fillId="0" borderId="0" xfId="0" applyAlignment="1">
      <alignment wrapText="1"/>
    </xf>
    <xf numFmtId="0" fontId="1" fillId="0" borderId="0" xfId="0" applyFont="1" applyAlignment="1">
      <alignment wrapText="1"/>
    </xf>
    <xf numFmtId="0" fontId="9" fillId="0" borderId="0" xfId="0" applyFont="1"/>
    <xf numFmtId="165" fontId="9" fillId="0" borderId="0" xfId="0" applyNumberFormat="1" applyFont="1"/>
    <xf numFmtId="4" fontId="9" fillId="0" borderId="0" xfId="0" applyNumberFormat="1" applyFont="1"/>
    <xf numFmtId="0" fontId="0" fillId="3" borderId="0" xfId="0" applyFill="1" applyBorder="1" applyAlignment="1">
      <alignment wrapText="1"/>
    </xf>
    <xf numFmtId="0" fontId="8" fillId="3" borderId="0" xfId="0" applyFont="1" applyFill="1" applyBorder="1" applyAlignment="1">
      <alignment wrapText="1"/>
    </xf>
    <xf numFmtId="0" fontId="7" fillId="3" borderId="0" xfId="0" applyFont="1" applyFill="1" applyBorder="1" applyAlignment="1">
      <alignment wrapText="1"/>
    </xf>
    <xf numFmtId="0" fontId="0" fillId="0" borderId="0" xfId="0" applyBorder="1"/>
    <xf numFmtId="14" fontId="0" fillId="0" borderId="0" xfId="0" applyNumberFormat="1" applyBorder="1"/>
    <xf numFmtId="164" fontId="0" fillId="0" borderId="0" xfId="0" applyNumberFormat="1" applyFill="1" applyBorder="1"/>
    <xf numFmtId="0" fontId="1" fillId="0" borderId="0" xfId="0" applyFont="1" applyBorder="1"/>
    <xf numFmtId="0" fontId="1" fillId="0" borderId="0" xfId="0" applyFont="1" applyAlignment="1">
      <alignment vertical="center"/>
    </xf>
    <xf numFmtId="0" fontId="4" fillId="0" borderId="0" xfId="3" applyAlignment="1">
      <alignment vertical="center"/>
    </xf>
    <xf numFmtId="0" fontId="10" fillId="4" borderId="0" xfId="2" applyFont="1" applyFill="1" applyAlignment="1">
      <alignment horizontal="center"/>
    </xf>
    <xf numFmtId="0" fontId="0" fillId="0" borderId="0" xfId="0" applyAlignment="1"/>
    <xf numFmtId="0" fontId="9" fillId="0" borderId="0" xfId="0" applyFont="1" applyAlignment="1"/>
    <xf numFmtId="0" fontId="9" fillId="0" borderId="0" xfId="0" applyFont="1" applyAlignment="1">
      <alignment vertical="center"/>
    </xf>
    <xf numFmtId="0" fontId="11" fillId="0" borderId="0" xfId="0" applyFont="1" applyAlignment="1">
      <alignment vertical="center" wrapText="1"/>
    </xf>
    <xf numFmtId="0" fontId="11" fillId="0" borderId="0" xfId="0" applyFont="1" applyAlignment="1">
      <alignment wrapText="1"/>
    </xf>
    <xf numFmtId="0" fontId="12" fillId="0" borderId="0" xfId="0" applyFont="1" applyAlignment="1">
      <alignment wrapText="1"/>
    </xf>
    <xf numFmtId="0" fontId="9" fillId="0" borderId="0" xfId="0" applyFont="1" applyAlignment="1">
      <alignment wrapText="1"/>
    </xf>
    <xf numFmtId="0" fontId="9" fillId="0" borderId="0" xfId="0" applyFont="1" applyAlignment="1">
      <alignment horizontal="center"/>
    </xf>
  </cellXfs>
  <cellStyles count="4">
    <cellStyle name="Heading 1" xfId="1" builtinId="16" customBuiltin="1"/>
    <cellStyle name="Heading 2" xfId="2" builtinId="17" customBuiltin="1"/>
    <cellStyle name="Heading 3" xfId="3" builtinId="18" customBuiltin="1"/>
    <cellStyle name="Normal" xfId="0" builtinId="0" customBuiltin="1"/>
  </cellStyles>
  <dxfs count="69">
    <dxf>
      <alignment wrapText="1" readingOrder="0"/>
    </dxf>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alignment wrapText="1" readingOrder="0"/>
    </dxf>
    <dxf>
      <alignment wrapText="1" readingOrder="0"/>
    </dxf>
    <dxf>
      <numFmt numFmtId="165" formatCode="&quot;$&quot;#,##0.00"/>
    </dxf>
    <dxf>
      <numFmt numFmtId="165" formatCode="&quot;$&quot;#,##0.00"/>
    </dxf>
    <dxf>
      <numFmt numFmtId="165" formatCode="&quot;$&quot;#,##0.00"/>
    </dxf>
    <dxf>
      <numFmt numFmtId="165" formatCode="&quot;$&quot;#,##0.00"/>
    </dxf>
    <dxf>
      <numFmt numFmtId="165" formatCode="&quot;$&quot;#,##0.00"/>
    </dxf>
    <dxf>
      <numFmt numFmtId="165" formatCode="&quot;$&quot;#,##0.00"/>
    </dxf>
    <dxf>
      <alignment wrapText="1" readingOrder="0"/>
    </dxf>
    <dxf>
      <alignment wrapText="1" readingOrder="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164" formatCode="&quot;$&quot;#,##0"/>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numFmt numFmtId="0" formatCode="General"/>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numFmt numFmtId="166" formatCode="m/d/yyyy"/>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0"/>
        <color theme="1"/>
        <name val="Tahoma"/>
        <scheme val="major"/>
      </font>
      <fill>
        <patternFill patternType="solid">
          <fgColor indexed="64"/>
          <bgColor theme="5" tint="-0.249977111117893"/>
        </patternFill>
      </fill>
      <alignment horizontal="general" vertical="bottom" textRotation="0" wrapText="1" indent="0" justifyLastLine="0" shrinkToFit="0" readingOrder="0"/>
    </dxf>
    <dxf>
      <font>
        <b val="0"/>
        <i val="0"/>
        <strike val="0"/>
        <condense val="0"/>
        <extend val="0"/>
        <outline val="0"/>
        <shadow val="0"/>
        <u val="none"/>
        <vertAlign val="baseline"/>
        <sz val="11"/>
        <color theme="1"/>
        <name val="Cambria"/>
        <scheme val="minor"/>
      </font>
      <numFmt numFmtId="13" formatCode="0%"/>
      <fill>
        <patternFill patternType="solid">
          <fgColor indexed="64"/>
          <bgColor theme="0" tint="-0.14996795556505021"/>
        </patternFill>
      </fill>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numFmt numFmtId="13" formatCode="0%"/>
    </dxf>
    <dxf>
      <font>
        <b val="0"/>
        <i val="0"/>
        <strike val="0"/>
        <condense val="0"/>
        <extend val="0"/>
        <outline val="0"/>
        <shadow val="0"/>
        <u val="none"/>
        <vertAlign val="baseline"/>
        <sz val="11"/>
        <color theme="1"/>
        <name val="Cambria"/>
        <scheme val="minor"/>
      </font>
    </dxf>
    <dxf>
      <font>
        <b val="0"/>
        <i val="0"/>
        <strike val="0"/>
        <condense val="0"/>
        <extend val="0"/>
        <outline val="0"/>
        <shadow val="0"/>
        <u val="none"/>
        <vertAlign val="baseline"/>
        <sz val="11"/>
        <color theme="1"/>
        <name val="Cambria"/>
        <scheme val="minor"/>
      </font>
    </dxf>
    <dxf>
      <alignment horizontal="general" vertical="bottom" textRotation="0" wrapText="1" indent="0" justifyLastLine="0" shrinkToFit="0" readingOrder="0"/>
    </dxf>
  </dxfs>
  <tableStyles count="0" defaultTableStyle="TableStyleMedium3"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pivotCache/pivotCacheDefinition1.xml" Type="http://schemas.openxmlformats.org/officeDocument/2006/relationships/pivotCacheDefinition"/>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_rels/chart2.xml.rels><?xml version="1.0" encoding="UTF-8" standalone="no"?>
<Relationships xmlns="http://schemas.openxmlformats.org/package/2006/relationships">
<Relationship Id="rId1" Target="style2.xml" Type="http://schemas.microsoft.com/office/2011/relationships/chartStyle"/>
<Relationship Id="rId2" Target="colors2.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COST</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'PROJECT PARAMETERS'!$B$16</c:f>
              <c:strCache>
                <c:ptCount val="1"/>
                <c:pt idx="0">
                  <c:v>PLANNED COST</c:v>
                </c:pt>
              </c:strCache>
            </c:strRef>
          </c:tx>
          <c:spPr>
            <a:solidFill>
              <a:schemeClr val="accent1"/>
            </a:solidFill>
            <a:ln>
              <a:noFill/>
            </a:ln>
            <a:effectLst/>
          </c:spPr>
          <c:invertIfNegative val="0"/>
          <c:cat>
            <c:strRef>
              <c:f>'PROJECT PARAMETERS'!$C$15:$H$15</c:f>
              <c:strCache>
                <c:ptCount val="6"/>
                <c:pt idx="0">
                  <c:v>ACCOUNT MANAGER</c:v>
                </c:pt>
                <c:pt idx="1">
                  <c:v>PROJECT MANAGER</c:v>
                </c:pt>
                <c:pt idx="2">
                  <c:v>STRATEGY MANAGER</c:v>
                </c:pt>
                <c:pt idx="3">
                  <c:v>DESIGN SPECIALIST</c:v>
                </c:pt>
                <c:pt idx="4">
                  <c:v>EVENT STAFF</c:v>
                </c:pt>
                <c:pt idx="5">
                  <c:v>ADMIN STAFF</c:v>
                </c:pt>
              </c:strCache>
            </c:strRef>
          </c:cat>
          <c:val>
            <c:numRef>
              <c:f>'PROJECT PARAMETERS'!$C$16:$H$16</c:f>
              <c:numCache>
                <c:formatCode>"$"#,##0.00</c:formatCode>
                <c:ptCount val="6"/>
                <c:pt idx="0">
                  <c:v>54000</c:v>
                </c:pt>
                <c:pt idx="1">
                  <c:v>52200</c:v>
                </c:pt>
                <c:pt idx="2">
                  <c:v>24000</c:v>
                </c:pt>
                <c:pt idx="3">
                  <c:v>29000</c:v>
                </c:pt>
                <c:pt idx="4">
                  <c:v>13200</c:v>
                </c:pt>
                <c:pt idx="5">
                  <c:v>9000</c:v>
                </c:pt>
              </c:numCache>
            </c:numRef>
          </c:val>
          <c:extLst xmlns:c16r2="http://schemas.microsoft.com/office/drawing/2015/06/chart">
            <c:ext xmlns:c16="http://schemas.microsoft.com/office/drawing/2014/chart" uri="{C3380CC4-5D6E-409C-BE32-E72D297353CC}">
              <c16:uniqueId val="{00000000-AAD0-4845-B60A-67B25D8A3957}"/>
            </c:ext>
          </c:extLst>
        </c:ser>
        <c:ser>
          <c:idx val="1"/>
          <c:order val="1"/>
          <c:tx>
            <c:strRef>
              <c:f>'PROJECT PARAMETERS'!$B$17</c:f>
              <c:strCache>
                <c:ptCount val="1"/>
                <c:pt idx="0">
                  <c:v>ACTUAL COST</c:v>
                </c:pt>
              </c:strCache>
            </c:strRef>
          </c:tx>
          <c:spPr>
            <a:solidFill>
              <a:schemeClr val="accent2"/>
            </a:solidFill>
            <a:ln>
              <a:noFill/>
            </a:ln>
            <a:effectLst/>
          </c:spPr>
          <c:invertIfNegative val="0"/>
          <c:cat>
            <c:strRef>
              <c:f>'PROJECT PARAMETERS'!$C$15:$H$15</c:f>
              <c:strCache>
                <c:ptCount val="6"/>
                <c:pt idx="0">
                  <c:v>ACCOUNT MANAGER</c:v>
                </c:pt>
                <c:pt idx="1">
                  <c:v>PROJECT MANAGER</c:v>
                </c:pt>
                <c:pt idx="2">
                  <c:v>STRATEGY MANAGER</c:v>
                </c:pt>
                <c:pt idx="3">
                  <c:v>DESIGN SPECIALIST</c:v>
                </c:pt>
                <c:pt idx="4">
                  <c:v>EVENT STAFF</c:v>
                </c:pt>
                <c:pt idx="5">
                  <c:v>ADMIN STAFF</c:v>
                </c:pt>
              </c:strCache>
            </c:strRef>
          </c:cat>
          <c:val>
            <c:numRef>
              <c:f>'PROJECT PARAMETERS'!$C$17:$H$17</c:f>
              <c:numCache>
                <c:formatCode>"$"#,##0.00</c:formatCode>
                <c:ptCount val="6"/>
                <c:pt idx="0">
                  <c:v>54360</c:v>
                </c:pt>
                <c:pt idx="1">
                  <c:v>51540</c:v>
                </c:pt>
                <c:pt idx="2">
                  <c:v>25650</c:v>
                </c:pt>
                <c:pt idx="3">
                  <c:v>28900</c:v>
                </c:pt>
                <c:pt idx="4">
                  <c:v>13400</c:v>
                </c:pt>
                <c:pt idx="5">
                  <c:v>9060</c:v>
                </c:pt>
              </c:numCache>
            </c:numRef>
          </c:val>
          <c:extLst xmlns:c16r2="http://schemas.microsoft.com/office/drawing/2015/06/chart">
            <c:ext xmlns:c16="http://schemas.microsoft.com/office/drawing/2014/chart" uri="{C3380CC4-5D6E-409C-BE32-E72D297353CC}">
              <c16:uniqueId val="{00000001-AAD0-4845-B60A-67B25D8A3957}"/>
            </c:ext>
          </c:extLst>
        </c:ser>
        <c:dLbls>
          <c:showLegendKey val="0"/>
          <c:showVal val="0"/>
          <c:showCatName val="0"/>
          <c:showSerName val="0"/>
          <c:showPercent val="0"/>
          <c:showBubbleSize val="0"/>
        </c:dLbls>
        <c:gapWidth val="199"/>
        <c:axId val="978602000"/>
        <c:axId val="978608528"/>
      </c:barChart>
      <c:catAx>
        <c:axId val="9786020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978608528"/>
        <c:crosses val="autoZero"/>
        <c:auto val="1"/>
        <c:lblAlgn val="ctr"/>
        <c:lblOffset val="100"/>
        <c:noMultiLvlLbl val="0"/>
      </c:catAx>
      <c:valAx>
        <c:axId val="978608528"/>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60200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r>
              <a:rPr lang="en-US"/>
              <a:t>PLANNED vs. ACTUAL HOURS</a:t>
            </a:r>
          </a:p>
        </c:rich>
      </c:tx>
      <c:layout/>
      <c:overlay val="0"/>
      <c:spPr>
        <a:noFill/>
        <a:ln>
          <a:noFill/>
        </a:ln>
        <a:effectLst/>
      </c:spPr>
      <c:txPr>
        <a:bodyPr rot="0" spcFirstLastPara="1" vertOverflow="ellipsis" vert="horz" wrap="square" anchor="ctr" anchorCtr="1"/>
        <a:lstStyle/>
        <a:p>
          <a:pPr>
            <a:defRPr sz="2000" b="0" i="0" u="none" strike="noStrike" kern="1200" cap="none" spc="0" normalizeH="0" baseline="0">
              <a:solidFill>
                <a:schemeClr val="tx1">
                  <a:lumMod val="65000"/>
                  <a:lumOff val="35000"/>
                </a:schemeClr>
              </a:solidFill>
              <a:latin typeface="+mj-lt"/>
              <a:ea typeface="+mj-ea"/>
              <a:cs typeface="+mj-cs"/>
            </a:defRPr>
          </a:pPr>
          <a:endParaRPr lang="en-US"/>
        </a:p>
      </c:txPr>
    </c:title>
    <c:autoTitleDeleted val="0"/>
    <c:plotArea>
      <c:layout/>
      <c:barChart>
        <c:barDir val="col"/>
        <c:grouping val="clustered"/>
        <c:varyColors val="0"/>
        <c:ser>
          <c:idx val="0"/>
          <c:order val="0"/>
          <c:tx>
            <c:strRef>
              <c:f>'PROJECT PARAMETERS'!$B$18</c:f>
              <c:strCache>
                <c:ptCount val="1"/>
                <c:pt idx="0">
                  <c:v>PLANNED HOURS</c:v>
                </c:pt>
              </c:strCache>
            </c:strRef>
          </c:tx>
          <c:spPr>
            <a:solidFill>
              <a:schemeClr val="accent1"/>
            </a:solidFill>
            <a:ln>
              <a:noFill/>
            </a:ln>
            <a:effectLst/>
          </c:spPr>
          <c:invertIfNegative val="0"/>
          <c:cat>
            <c:strRef>
              <c:f>'PROJECT PARAMETERS'!$C$15:$H$15</c:f>
              <c:strCache>
                <c:ptCount val="6"/>
                <c:pt idx="0">
                  <c:v>ACCOUNT MANAGER</c:v>
                </c:pt>
                <c:pt idx="1">
                  <c:v>PROJECT MANAGER</c:v>
                </c:pt>
                <c:pt idx="2">
                  <c:v>STRATEGY MANAGER</c:v>
                </c:pt>
                <c:pt idx="3">
                  <c:v>DESIGN SPECIALIST</c:v>
                </c:pt>
                <c:pt idx="4">
                  <c:v>EVENT STAFF</c:v>
                </c:pt>
                <c:pt idx="5">
                  <c:v>ADMIN STAFF</c:v>
                </c:pt>
              </c:strCache>
            </c:strRef>
          </c:cat>
          <c:val>
            <c:numRef>
              <c:f>'PROJECT PARAMETERS'!$C$18:$H$18</c:f>
              <c:numCache>
                <c:formatCode>#,##0.00</c:formatCode>
                <c:ptCount val="6"/>
                <c:pt idx="0">
                  <c:v>300</c:v>
                </c:pt>
                <c:pt idx="1">
                  <c:v>290</c:v>
                </c:pt>
                <c:pt idx="2">
                  <c:v>133.33333333333334</c:v>
                </c:pt>
                <c:pt idx="3">
                  <c:v>161.11111111111111</c:v>
                </c:pt>
                <c:pt idx="4">
                  <c:v>73.333333333333329</c:v>
                </c:pt>
                <c:pt idx="5">
                  <c:v>50</c:v>
                </c:pt>
              </c:numCache>
            </c:numRef>
          </c:val>
          <c:extLst xmlns:c16r2="http://schemas.microsoft.com/office/drawing/2015/06/chart">
            <c:ext xmlns:c16="http://schemas.microsoft.com/office/drawing/2014/chart" uri="{C3380CC4-5D6E-409C-BE32-E72D297353CC}">
              <c16:uniqueId val="{00000000-A86A-44EC-9CDF-5C3EB0A17C14}"/>
            </c:ext>
          </c:extLst>
        </c:ser>
        <c:ser>
          <c:idx val="1"/>
          <c:order val="1"/>
          <c:tx>
            <c:strRef>
              <c:f>'PROJECT PARAMETERS'!$B$19</c:f>
              <c:strCache>
                <c:ptCount val="1"/>
                <c:pt idx="0">
                  <c:v>ACTUAL HOURS</c:v>
                </c:pt>
              </c:strCache>
            </c:strRef>
          </c:tx>
          <c:spPr>
            <a:solidFill>
              <a:schemeClr val="accent2"/>
            </a:solidFill>
            <a:ln>
              <a:noFill/>
            </a:ln>
            <a:effectLst/>
          </c:spPr>
          <c:invertIfNegative val="0"/>
          <c:cat>
            <c:strRef>
              <c:f>'PROJECT PARAMETERS'!$C$15:$H$15</c:f>
              <c:strCache>
                <c:ptCount val="6"/>
                <c:pt idx="0">
                  <c:v>ACCOUNT MANAGER</c:v>
                </c:pt>
                <c:pt idx="1">
                  <c:v>PROJECT MANAGER</c:v>
                </c:pt>
                <c:pt idx="2">
                  <c:v>STRATEGY MANAGER</c:v>
                </c:pt>
                <c:pt idx="3">
                  <c:v>DESIGN SPECIALIST</c:v>
                </c:pt>
                <c:pt idx="4">
                  <c:v>EVENT STAFF</c:v>
                </c:pt>
                <c:pt idx="5">
                  <c:v>ADMIN STAFF</c:v>
                </c:pt>
              </c:strCache>
            </c:strRef>
          </c:cat>
          <c:val>
            <c:numRef>
              <c:f>'PROJECT PARAMETERS'!$C$19:$H$19</c:f>
              <c:numCache>
                <c:formatCode>#,##0.00</c:formatCode>
                <c:ptCount val="6"/>
                <c:pt idx="0">
                  <c:v>302</c:v>
                </c:pt>
                <c:pt idx="1">
                  <c:v>286.33333333333331</c:v>
                </c:pt>
                <c:pt idx="2">
                  <c:v>142.5</c:v>
                </c:pt>
                <c:pt idx="3">
                  <c:v>160.55555555555554</c:v>
                </c:pt>
                <c:pt idx="4">
                  <c:v>74.444444444444443</c:v>
                </c:pt>
                <c:pt idx="5">
                  <c:v>50.333333333333336</c:v>
                </c:pt>
              </c:numCache>
            </c:numRef>
          </c:val>
          <c:extLst xmlns:c16r2="http://schemas.microsoft.com/office/drawing/2015/06/chart">
            <c:ext xmlns:c16="http://schemas.microsoft.com/office/drawing/2014/chart" uri="{C3380CC4-5D6E-409C-BE32-E72D297353CC}">
              <c16:uniqueId val="{00000001-A86A-44EC-9CDF-5C3EB0A17C14}"/>
            </c:ext>
          </c:extLst>
        </c:ser>
        <c:dLbls>
          <c:showLegendKey val="0"/>
          <c:showVal val="0"/>
          <c:showCatName val="0"/>
          <c:showSerName val="0"/>
          <c:showPercent val="0"/>
          <c:showBubbleSize val="0"/>
        </c:dLbls>
        <c:gapWidth val="199"/>
        <c:axId val="978610160"/>
        <c:axId val="978607984"/>
      </c:barChart>
      <c:catAx>
        <c:axId val="97861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tx1">
                    <a:lumMod val="65000"/>
                    <a:lumOff val="35000"/>
                  </a:schemeClr>
                </a:solidFill>
                <a:latin typeface="+mn-lt"/>
                <a:ea typeface="+mn-ea"/>
                <a:cs typeface="+mn-cs"/>
              </a:defRPr>
            </a:pPr>
            <a:endParaRPr lang="en-US"/>
          </a:p>
        </c:txPr>
        <c:crossAx val="978607984"/>
        <c:crosses val="autoZero"/>
        <c:auto val="1"/>
        <c:lblAlgn val="ctr"/>
        <c:lblOffset val="100"/>
        <c:noMultiLvlLbl val="0"/>
      </c:catAx>
      <c:valAx>
        <c:axId val="978607984"/>
        <c:scaling>
          <c:orientation val="minMax"/>
        </c:scaling>
        <c:delete val="0"/>
        <c:axPos val="l"/>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78610160"/>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1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b="0" kern="1200" cap="none" spc="0" normalizeH="0" baseline="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75000"/>
        <a:lumOff val="25000"/>
      </a:schemeClr>
    </cs:fontRef>
    <cs:spPr>
      <a:solidFill>
        <a:schemeClr val="dk1">
          <a:lumMod val="15000"/>
          <a:lumOff val="85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3810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8"/>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50000"/>
            <a:lumOff val="50000"/>
          </a:schemeClr>
        </a:solidFill>
        <a:prstDash val="dash"/>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w="9525" cap="flat" cmpd="sng" algn="ctr">
        <a:solidFill>
          <a:schemeClr val="tx1">
            <a:lumMod val="5000"/>
            <a:lumOff val="95000"/>
          </a:schemeClr>
        </a:solidFill>
        <a:round/>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2000" b="0" kern="1200" cap="none" spc="0" normalizeH="0" baseline="0"/>
  </cs:title>
  <cs:trendline>
    <cs:lnRef idx="0">
      <cs:styleClr val="auto"/>
    </cs:lnRef>
    <cs:fillRef idx="0"/>
    <cs:effectRef idx="0"/>
    <cs:fontRef idx="minor">
      <a:schemeClr val="dk1"/>
    </cs:fontRef>
    <cs:spPr>
      <a:ln w="19050" cap="rnd">
        <a:solidFill>
          <a:schemeClr val="phClr"/>
        </a:solidFill>
        <a:round/>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180974</xdr:rowOff>
    </xdr:from>
    <xdr:to>
      <xdr:col>4</xdr:col>
      <xdr:colOff>238125</xdr:colOff>
      <xdr:row>42</xdr:row>
      <xdr:rowOff>76200</xdr:rowOff>
    </xdr:to>
    <xdr:graphicFrame macro="">
      <xdr:nvGraphicFramePr>
        <xdr:cNvPr id="7" name="Chart 6" descr="Column chart showing planned versus actual cost">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381000</xdr:colOff>
      <xdr:row>12</xdr:row>
      <xdr:rowOff>180974</xdr:rowOff>
    </xdr:from>
    <xdr:to>
      <xdr:col>8</xdr:col>
      <xdr:colOff>495300</xdr:colOff>
      <xdr:row>42</xdr:row>
      <xdr:rowOff>76200</xdr:rowOff>
    </xdr:to>
    <xdr:graphicFrame macro="">
      <xdr:nvGraphicFramePr>
        <xdr:cNvPr id="8" name="Chart 7" descr="Column chart showing planned versus actual hours">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24</xdr:col>
      <xdr:colOff>0</xdr:colOff>
      <xdr:row>3</xdr:row>
      <xdr:rowOff>0</xdr:rowOff>
    </xdr:from>
    <xdr:to>
      <xdr:col>28</xdr:col>
      <xdr:colOff>590550</xdr:colOff>
      <xdr:row>18</xdr:row>
      <xdr:rowOff>85726</xdr:rowOff>
    </xdr:to>
    <xdr:sp macro="" textlink="">
      <xdr:nvSpPr>
        <xdr:cNvPr id="2" name="Rectangle 1" descr="INFO:&#10;&#10;To add a row, select the bottom-right most cell in the body of the table (not the totals row) and press Tab, or press SHIFT+F10 key where you want the row inserted and select Insert | Table Rows Above/Below.&#10;&#10;Be sure all unused rows are deleted, as the PROJECT TOTALS PivotTable will use all of the tables cells, and otherwise would give erroneous results.&#10;&#10;To delete this info tip, select any edge and press Delete">
          <a:extLst>
            <a:ext uri="{FF2B5EF4-FFF2-40B4-BE49-F238E27FC236}">
              <a16:creationId xmlns:a16="http://schemas.microsoft.com/office/drawing/2014/main" xmlns="" id="{00000000-0008-0000-0100-000002000000}"/>
            </a:ext>
          </a:extLst>
        </xdr:cNvPr>
        <xdr:cNvSpPr/>
      </xdr:nvSpPr>
      <xdr:spPr>
        <a:xfrm>
          <a:off x="9906000" y="1066800"/>
          <a:ext cx="3028950" cy="2943226"/>
        </a:xfrm>
        <a:prstGeom prst="rect">
          <a:avLst/>
        </a:prstGeom>
        <a:solidFill>
          <a:schemeClr val="accent2">
            <a:lumMod val="20000"/>
            <a:lumOff val="80000"/>
          </a:schemeClr>
        </a:solidFill>
        <a:ln w="19050">
          <a:solidFill>
            <a:schemeClr val="accent2"/>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To add a row, select</a:t>
          </a:r>
          <a:r>
            <a:rPr lang="en-US" sz="1100" baseline="0">
              <a:solidFill>
                <a:schemeClr val="tx1">
                  <a:lumMod val="65000"/>
                  <a:lumOff val="35000"/>
                </a:schemeClr>
              </a:solidFill>
            </a:rPr>
            <a:t> the bottom-right most cell in the body of the table (not the totals row) and press Tab, or right-click where you want the row inserted and select Insert | Table Rows Above/Below.</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Be sure all unused rows are deleted, as the PROJECT TOTALS PivotTable will use all of the tables cells, and otherwise would give erroneous results.</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15</xdr:col>
      <xdr:colOff>0</xdr:colOff>
      <xdr:row>3</xdr:row>
      <xdr:rowOff>0</xdr:rowOff>
    </xdr:from>
    <xdr:to>
      <xdr:col>19</xdr:col>
      <xdr:colOff>590550</xdr:colOff>
      <xdr:row>13</xdr:row>
      <xdr:rowOff>133350</xdr:rowOff>
    </xdr:to>
    <xdr:sp macro="" textlink="">
      <xdr:nvSpPr>
        <xdr:cNvPr id="2" name="Rectangle 1" descr="INFO:&#10;&#10;This PivotTable will not refresh automatically.  To refresh it, select it (any cell within the PivotTable), on the PIVOTTABLE TOOLS | ANALYZE ribbon tab select Refresh.  Or press SHIFT+F10 key in any cell in the PivotTable, and then select Refresh.&#10;&#10;To delete this info tip, select any edge and press Delete.">
          <a:extLst>
            <a:ext uri="{FF2B5EF4-FFF2-40B4-BE49-F238E27FC236}">
              <a16:creationId xmlns:a16="http://schemas.microsoft.com/office/drawing/2014/main" xmlns="" id="{00000000-0008-0000-0200-000002000000}"/>
            </a:ext>
          </a:extLst>
        </xdr:cNvPr>
        <xdr:cNvSpPr/>
      </xdr:nvSpPr>
      <xdr:spPr>
        <a:xfrm>
          <a:off x="11953875" y="1066800"/>
          <a:ext cx="3028950" cy="2247900"/>
        </a:xfrm>
        <a:prstGeom prst="rect">
          <a:avLst/>
        </a:prstGeom>
        <a:solidFill>
          <a:schemeClr val="accent2">
            <a:lumMod val="20000"/>
            <a:lumOff val="80000"/>
          </a:schemeClr>
        </a:solidFill>
        <a:ln w="19050">
          <a:solidFill>
            <a:schemeClr val="accent2">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US" sz="1800">
              <a:solidFill>
                <a:schemeClr val="tx1">
                  <a:lumMod val="65000"/>
                  <a:lumOff val="35000"/>
                </a:schemeClr>
              </a:solidFill>
              <a:latin typeface="+mj-lt"/>
            </a:rPr>
            <a:t>INFO</a:t>
          </a:r>
        </a:p>
        <a:p>
          <a:pPr algn="l"/>
          <a:endParaRPr lang="en-US" sz="1100">
            <a:solidFill>
              <a:schemeClr val="tx1">
                <a:lumMod val="65000"/>
                <a:lumOff val="35000"/>
              </a:schemeClr>
            </a:solidFill>
          </a:endParaRPr>
        </a:p>
        <a:p>
          <a:pPr algn="l"/>
          <a:r>
            <a:rPr lang="en-US" sz="1100">
              <a:solidFill>
                <a:schemeClr val="tx1">
                  <a:lumMod val="65000"/>
                  <a:lumOff val="35000"/>
                </a:schemeClr>
              </a:solidFill>
            </a:rPr>
            <a:t>This PivotTable will not refresh automatically.  To refresh it, select</a:t>
          </a:r>
          <a:r>
            <a:rPr lang="en-US" sz="1100" baseline="0">
              <a:solidFill>
                <a:schemeClr val="tx1">
                  <a:lumMod val="65000"/>
                  <a:lumOff val="35000"/>
                </a:schemeClr>
              </a:solidFill>
            </a:rPr>
            <a:t> it (any cell within the PivotTable), on the PIVOTTABLE TOOLS | ANALYZE ribbon tab press Refresh.  Or right-click any cell in the PivotTable and select Refresh.</a:t>
          </a:r>
        </a:p>
        <a:p>
          <a:pPr algn="l"/>
          <a:endParaRPr lang="en-US" sz="1100" baseline="0">
            <a:solidFill>
              <a:schemeClr val="tx1">
                <a:lumMod val="65000"/>
                <a:lumOff val="35000"/>
              </a:schemeClr>
            </a:solidFill>
          </a:endParaRPr>
        </a:p>
        <a:p>
          <a:pPr algn="l"/>
          <a:r>
            <a:rPr lang="en-US" sz="1100" baseline="0">
              <a:solidFill>
                <a:schemeClr val="tx1">
                  <a:lumMod val="65000"/>
                  <a:lumOff val="35000"/>
                </a:schemeClr>
              </a:solidFill>
            </a:rPr>
            <a:t>To delete this info tip, select any edge and press Delete.</a:t>
          </a:r>
          <a:endParaRPr lang="en-US" sz="1100">
            <a:solidFill>
              <a:schemeClr val="tx1">
                <a:lumMod val="65000"/>
                <a:lumOff val="35000"/>
              </a:schemeClr>
            </a:solidFill>
          </a:endParaRPr>
        </a:p>
      </xdr:txBody>
    </xdr:sp>
    <xdr:clientData fPrintsWithSheet="0"/>
  </xdr:twoCellAnchor>
</xdr:wsDr>
</file>

<file path=xl/pivotCache/_rels/pivotCacheDefinition1.xml.rels><?xml version="1.0" encoding="UTF-8" standalone="no"?>
<Relationships xmlns="http://schemas.openxmlformats.org/package/2006/relationships">
<Relationship Id="rId1" Target="pivotCacheRecords1.xml" Type="http://schemas.openxmlformats.org/officeDocument/2006/relationships/pivotCacheRecords"/>
</Relationships>

</file>

<file path=xl/pivotCache/pivotCacheDefinition1.xml><?xml version="1.0" encoding="utf-8"?>
<pivotCacheDefinition xmlns="http://schemas.openxmlformats.org/spreadsheetml/2006/main" xmlns:r="http://schemas.openxmlformats.org/officeDocument/2006/relationships" r:id="rId1" refreshedBy="MD SHAJEDUL ISLAM" refreshedDate="43434.065679282408" createdVersion="5" refreshedVersion="5" minRefreshableVersion="3" recordCount="5">
  <cacheSource type="worksheet">
    <worksheetSource name="ProjectDetails"/>
  </cacheSource>
  <cacheFields count="22">
    <cacheField name="PROJECT NAME" numFmtId="0">
      <sharedItems count="27">
        <s v="Project 1"/>
        <s v="Project 2"/>
        <s v="Project 3"/>
        <s v="Project 4"/>
        <s v="Project 5"/>
        <s v="City Power &amp; Light" u="1"/>
        <s v="Coho Vineyard &amp; Winery" u="1"/>
        <s v="Lucerne Publishing" u="1"/>
        <s v="School of Fine Art" u="1"/>
        <s v="Alpine Ski House" u="1"/>
        <s v="Coho Vineyard" u="1"/>
        <s v="Proseware, Inc." u="1"/>
        <s v="Contoso Pharmaceuticals" u="1"/>
        <s v="Contoso, Ltd." u="1"/>
        <s v="Humongous Insurance" u="1"/>
        <s v="Baldwin Museum of Science" u="1"/>
        <s v="Fabrikam, Inc." u="1"/>
        <s v="Fourth Coffee" u="1"/>
        <s v="Consolidated Messenger" u="1"/>
        <s v="A. Datum Corporation" u="1"/>
        <s v="Adventure Works" u="1"/>
        <s v="Northwind Traders" u="1"/>
        <s v="Blue Yonder Airlines" u="1"/>
        <s v="Margie's Travel" u="1"/>
        <s v="Graphic Design Institute" u="1"/>
        <s v="Coho Winery" u="1"/>
        <s v="Litware, Inc." u="1"/>
      </sharedItems>
    </cacheField>
    <cacheField name="PROJECT TYPE" numFmtId="0">
      <sharedItems/>
    </cacheField>
    <cacheField name="ESTIMATED START" numFmtId="14">
      <sharedItems containsSemiMixedTypes="0" containsNonDate="0" containsDate="1" containsString="0" minDate="2018-06-09T00:00:00" maxDate="2022-08-12T00:00:00"/>
    </cacheField>
    <cacheField name="ESTIMATED FINISH" numFmtId="14">
      <sharedItems containsSemiMixedTypes="0" containsNonDate="0" containsDate="1" containsString="0" minDate="2018-08-07T00:00:00" maxDate="2022-08-22T00:00:00"/>
    </cacheField>
    <cacheField name="ACTUAL START" numFmtId="14">
      <sharedItems containsSemiMixedTypes="0" containsNonDate="0" containsDate="1" containsString="0" minDate="2018-06-29T00:00:00" maxDate="2025-08-08T00:00:00"/>
    </cacheField>
    <cacheField name="ACTUAL FINISH" numFmtId="14">
      <sharedItems containsSemiMixedTypes="0" containsNonDate="0" containsDate="1" containsString="0" minDate="2018-09-03T00:00:00" maxDate="2025-10-11T00:00:00"/>
    </cacheField>
    <cacheField name="ESTIMATED WORK" numFmtId="0">
      <sharedItems containsSemiMixedTypes="0" containsString="0" containsNumber="1" containsInteger="1" minValue="150" maxValue="500"/>
    </cacheField>
    <cacheField name="ACTUAL WORK" numFmtId="0">
      <sharedItems containsSemiMixedTypes="0" containsString="0" containsNumber="1" containsInteger="1" minValue="145" maxValue="500"/>
    </cacheField>
    <cacheField name="ESTIMATED DURATION" numFmtId="0">
      <sharedItems containsSemiMixedTypes="0" containsString="0" containsNumber="1" containsInteger="1" minValue="10" maxValue="67"/>
    </cacheField>
    <cacheField name="ACTUAL DURATION" numFmtId="0">
      <sharedItems containsSemiMixedTypes="0" containsString="0" containsNumber="1" containsInteger="1" minValue="11" maxValue="400"/>
    </cacheField>
    <cacheField name="ACCOUNT MANAGER" numFmtId="164">
      <sharedItems containsSemiMixedTypes="0" containsString="0" containsNumber="1" containsInteger="1" minValue="5400" maxValue="18000"/>
    </cacheField>
    <cacheField name="PROJECT MANAGER" numFmtId="164">
      <sharedItems containsSemiMixedTypes="0" containsString="0" containsNumber="1" containsInteger="1" minValue="2400" maxValue="24000"/>
    </cacheField>
    <cacheField name="STRATEGY MANAGER" numFmtId="164">
      <sharedItems containsSemiMixedTypes="0" containsString="0" containsNumber="1" containsInteger="1" minValue="0" maxValue="18000"/>
    </cacheField>
    <cacheField name="DESIGN SPECIALIST" numFmtId="164">
      <sharedItems containsSemiMixedTypes="0" containsString="0" containsNumber="1" containsInteger="1" minValue="0" maxValue="25000"/>
    </cacheField>
    <cacheField name="EVENT STAFF" numFmtId="164">
      <sharedItems containsSemiMixedTypes="0" containsString="0" containsNumber="1" containsInteger="1" minValue="0" maxValue="12000"/>
    </cacheField>
    <cacheField name="ADMIN STAFF" numFmtId="164">
      <sharedItems containsSemiMixedTypes="0" containsString="0" containsNumber="1" containsInteger="1" minValue="900" maxValue="3000"/>
    </cacheField>
    <cacheField name="ACCOUNT MANAGER " numFmtId="164">
      <sharedItems containsSemiMixedTypes="0" containsString="0" containsNumber="1" containsInteger="1" minValue="5220" maxValue="18000"/>
    </cacheField>
    <cacheField name="PROJECT MANAGER " numFmtId="164">
      <sharedItems containsSemiMixedTypes="0" containsString="0" containsNumber="1" containsInteger="1" minValue="2640" maxValue="23400"/>
    </cacheField>
    <cacheField name="STRATEGY MANAGER " numFmtId="164">
      <sharedItems containsSemiMixedTypes="0" containsString="0" containsNumber="1" containsInteger="1" minValue="0" maxValue="19800"/>
    </cacheField>
    <cacheField name="DESIGN SPECIALIST " numFmtId="164">
      <sharedItems containsSemiMixedTypes="0" containsString="0" containsNumber="1" containsInteger="1" minValue="0" maxValue="25000"/>
    </cacheField>
    <cacheField name="EVENT STAFF " numFmtId="164">
      <sharedItems containsSemiMixedTypes="0" containsString="0" containsNumber="1" containsInteger="1" minValue="0" maxValue="12240"/>
    </cacheField>
    <cacheField name="ADMIN STAFF " numFmtId="164">
      <sharedItems containsSemiMixedTypes="0" containsString="0" containsNumber="1" containsInteger="1" minValue="870" maxValue="3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
  <r>
    <x v="0"/>
    <s v="Event strategy development"/>
    <d v="2018-06-09T00:00:00"/>
    <d v="2018-08-07T00:00:00"/>
    <d v="2018-06-29T00:00:00"/>
    <d v="2018-09-03T00:00:00"/>
    <n v="200"/>
    <n v="220"/>
    <n v="58"/>
    <n v="64"/>
    <n v="7200"/>
    <n v="2400"/>
    <n v="18000"/>
    <n v="0"/>
    <n v="0"/>
    <n v="1200"/>
    <n v="7920"/>
    <n v="2640"/>
    <n v="19800"/>
    <n v="0"/>
    <n v="0"/>
    <n v="1320"/>
  </r>
  <r>
    <x v="1"/>
    <s v="Event planning"/>
    <d v="2019-06-25T00:00:00"/>
    <d v="2019-07-27T00:00:00"/>
    <d v="2018-07-15T00:00:00"/>
    <d v="2019-08-25T00:00:00"/>
    <n v="400"/>
    <n v="390"/>
    <n v="32"/>
    <n v="400"/>
    <n v="14400"/>
    <n v="24000"/>
    <n v="6000"/>
    <n v="4000"/>
    <n v="0"/>
    <n v="2400"/>
    <n v="14040"/>
    <n v="23400"/>
    <n v="5850"/>
    <n v="3900"/>
    <n v="0"/>
    <n v="2340"/>
  </r>
  <r>
    <x v="2"/>
    <s v="Event design"/>
    <d v="2020-07-12T00:00:00"/>
    <d v="2020-09-19T00:00:00"/>
    <d v="2025-08-07T00:00:00"/>
    <d v="2025-10-10T00:00:00"/>
    <n v="500"/>
    <n v="500"/>
    <n v="67"/>
    <n v="63"/>
    <n v="18000"/>
    <n v="12000"/>
    <n v="0"/>
    <n v="25000"/>
    <n v="0"/>
    <n v="3000"/>
    <n v="18000"/>
    <n v="12000"/>
    <n v="0"/>
    <n v="25000"/>
    <n v="0"/>
    <n v="3000"/>
  </r>
  <r>
    <x v="3"/>
    <s v="Event logistics"/>
    <d v="2021-07-30T00:00:00"/>
    <d v="2021-09-28T00:00:00"/>
    <d v="2021-09-14T00:00:00"/>
    <d v="2021-11-13T00:00:00"/>
    <n v="150"/>
    <n v="145"/>
    <n v="58"/>
    <n v="59"/>
    <n v="5400"/>
    <n v="10800"/>
    <n v="0"/>
    <n v="0"/>
    <n v="1200"/>
    <n v="900"/>
    <n v="5220"/>
    <n v="10440"/>
    <n v="0"/>
    <n v="0"/>
    <n v="1160"/>
    <n v="870"/>
  </r>
  <r>
    <x v="4"/>
    <s v="Event staffing"/>
    <d v="2022-08-11T00:00:00"/>
    <d v="2022-08-21T00:00:00"/>
    <d v="2022-09-14T00:00:00"/>
    <d v="2022-09-25T00:00:00"/>
    <n v="250"/>
    <n v="255"/>
    <n v="10"/>
    <n v="11"/>
    <n v="9000"/>
    <n v="3000"/>
    <n v="0"/>
    <n v="0"/>
    <n v="12000"/>
    <n v="1500"/>
    <n v="9180"/>
    <n v="3060"/>
    <n v="0"/>
    <n v="0"/>
    <n v="12240"/>
    <n v="1530"/>
  </r>
</pivotCacheRecords>
</file>

<file path=xl/pivotTables/_rels/pivotTable1.xml.rels><?xml version="1.0" encoding="UTF-8" standalone="no"?>
<Relationships xmlns="http://schemas.openxmlformats.org/package/2006/relationships">
<Relationship Id="rId1" Target="../pivotCache/pivotCacheDefinition1.xml" Type="http://schemas.openxmlformats.org/officeDocument/2006/relationships/pivotCacheDefinition"/>
</Relationships>

</file>

<file path=xl/pivotTables/pivotTable1.xml><?xml version="1.0" encoding="utf-8"?>
<pivotTableDefinition xmlns="http://schemas.openxmlformats.org/spreadsheetml/2006/main" name="Totals" cacheId="3" applyNumberFormats="0" applyBorderFormats="0" applyFontFormats="0" applyPatternFormats="0" applyAlignmentFormats="0" applyWidthHeightFormats="1" dataCaption="Values" updatedVersion="5" minRefreshableVersion="3" useAutoFormatting="1" itemPrintTitles="1" createdVersion="5" indent="0" compact="0" compactData="0" multipleFieldFilters="0" chartFormat="4">
  <location ref="B4:N10" firstHeaderRow="0" firstDataRow="1" firstDataCol="1"/>
  <pivotFields count="22">
    <pivotField axis="axisRow" compact="0" outline="0" showAll="0">
      <items count="28">
        <item m="1" x="19"/>
        <item m="1" x="20"/>
        <item m="1" x="9"/>
        <item m="1" x="15"/>
        <item m="1" x="22"/>
        <item m="1" x="5"/>
        <item m="1" x="10"/>
        <item m="1" x="6"/>
        <item m="1" x="25"/>
        <item m="1" x="18"/>
        <item m="1" x="12"/>
        <item m="1" x="13"/>
        <item m="1" x="16"/>
        <item m="1" x="17"/>
        <item m="1" x="24"/>
        <item m="1" x="14"/>
        <item m="1" x="26"/>
        <item m="1" x="7"/>
        <item m="1" x="23"/>
        <item m="1" x="21"/>
        <item m="1" x="11"/>
        <item m="1" x="8"/>
        <item x="0"/>
        <item x="1"/>
        <item x="2"/>
        <item x="3"/>
        <item x="4"/>
        <item t="default"/>
      </items>
    </pivotField>
    <pivotField compact="0" outline="0" showAll="0"/>
    <pivotField compact="0" numFmtId="14" outline="0" showAll="0"/>
    <pivotField compact="0" numFmtId="14" outline="0" showAll="0"/>
    <pivotField compact="0" outline="0" showAll="0"/>
    <pivotField compact="0" outline="0" showAll="0"/>
    <pivotField compact="0" outline="0" showAll="0"/>
    <pivotField compact="0" outline="0" showAll="0"/>
    <pivotField compact="0" outline="0" showAll="0"/>
    <pivotField compact="0" outline="0" showAl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 dataField="1" compact="0" numFmtId="164" outline="0" showAll="0" defaultSubtotal="0"/>
  </pivotFields>
  <rowFields count="1">
    <field x="0"/>
  </rowFields>
  <rowItems count="6">
    <i>
      <x v="22"/>
    </i>
    <i>
      <x v="23"/>
    </i>
    <i>
      <x v="24"/>
    </i>
    <i>
      <x v="25"/>
    </i>
    <i>
      <x v="26"/>
    </i>
    <i t="grand">
      <x/>
    </i>
  </rowItems>
  <colFields count="1">
    <field x="-2"/>
  </colFields>
  <colItems count="12">
    <i>
      <x/>
    </i>
    <i i="1">
      <x v="1"/>
    </i>
    <i i="2">
      <x v="2"/>
    </i>
    <i i="3">
      <x v="3"/>
    </i>
    <i i="4">
      <x v="4"/>
    </i>
    <i i="5">
      <x v="5"/>
    </i>
    <i i="6">
      <x v="6"/>
    </i>
    <i i="7">
      <x v="7"/>
    </i>
    <i i="8">
      <x v="8"/>
    </i>
    <i i="9">
      <x v="9"/>
    </i>
    <i i="10">
      <x v="10"/>
    </i>
    <i i="11">
      <x v="11"/>
    </i>
  </colItems>
  <dataFields count="12">
    <dataField name="ACCOUNT MANAGER ESTIMATE" fld="10" baseField="0" baseItem="5" numFmtId="165"/>
    <dataField name="PROJECT MANAGER ESTIMATE" fld="11" baseField="0" baseItem="11" numFmtId="165"/>
    <dataField name="STRATEGY MANAGER ESTIMATE" fld="12" baseField="0" baseItem="11" numFmtId="165"/>
    <dataField name="DESIGN SPECIALIST ESTIMATE" fld="13" baseField="0" baseItem="11" numFmtId="165"/>
    <dataField name="EVENT STAFF ESTIMATE" fld="14" baseField="0" baseItem="11" numFmtId="165"/>
    <dataField name="ADMIN STAFF ESTIMATE" fld="15" baseField="0" baseItem="11" numFmtId="165"/>
    <dataField name="ACCOUNT MANAGER ACTUAL" fld="16" baseField="0" baseItem="1" numFmtId="165"/>
    <dataField name="PROJECT MANAGER ACTUAL" fld="17" baseField="0" baseItem="1" numFmtId="165"/>
    <dataField name="STRATEGY MANAGER ACTUAL" fld="18" baseField="0" baseItem="1" numFmtId="165"/>
    <dataField name="DESIGN SPECIALIST ACTUAL" fld="19" baseField="0" baseItem="1" numFmtId="165"/>
    <dataField name="EVENT STAFF ACTUAL" fld="20" baseField="0" baseItem="1" numFmtId="165"/>
    <dataField name="ADMIN STAFF ACTUAL" fld="21" baseField="0" baseItem="1" numFmtId="165"/>
  </dataFields>
  <formats count="9">
    <format dxfId="17">
      <pivotArea field="0" type="button" dataOnly="0" labelOnly="1" outline="0" axis="axisRow" fieldPosition="0"/>
    </format>
    <format dxfId="16">
      <pivotArea dataOnly="0" labelOnly="1" outline="0" fieldPosition="0">
        <references count="1">
          <reference field="4294967294" count="6">
            <x v="0"/>
            <x v="1"/>
            <x v="2"/>
            <x v="3"/>
            <x v="4"/>
            <x v="5"/>
          </reference>
        </references>
      </pivotArea>
    </format>
    <format dxfId="15">
      <pivotArea outline="0" fieldPosition="0">
        <references count="1">
          <reference field="4294967294" count="1">
            <x v="6"/>
          </reference>
        </references>
      </pivotArea>
    </format>
    <format dxfId="14">
      <pivotArea outline="0" fieldPosition="0">
        <references count="1">
          <reference field="4294967294" count="1">
            <x v="7"/>
          </reference>
        </references>
      </pivotArea>
    </format>
    <format dxfId="13">
      <pivotArea outline="0" fieldPosition="0">
        <references count="1">
          <reference field="4294967294" count="1">
            <x v="8"/>
          </reference>
        </references>
      </pivotArea>
    </format>
    <format dxfId="12">
      <pivotArea outline="0" fieldPosition="0">
        <references count="1">
          <reference field="4294967294" count="1">
            <x v="9"/>
          </reference>
        </references>
      </pivotArea>
    </format>
    <format dxfId="11">
      <pivotArea outline="0" fieldPosition="0">
        <references count="1">
          <reference field="4294967294" count="1">
            <x v="10"/>
          </reference>
        </references>
      </pivotArea>
    </format>
    <format dxfId="10">
      <pivotArea outline="0" fieldPosition="0">
        <references count="1">
          <reference field="4294967294" count="1">
            <x v="11"/>
          </reference>
        </references>
      </pivotArea>
    </format>
    <format dxfId="9">
      <pivotArea dataOnly="0" labelOnly="1" outline="0" fieldPosition="0">
        <references count="1">
          <reference field="4294967294" count="6">
            <x v="6"/>
            <x v="7"/>
            <x v="8"/>
            <x v="9"/>
            <x v="10"/>
            <x v="11"/>
          </reference>
        </references>
      </pivotArea>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altTextSummary="This PivotTable lists Project Names and calculated values for all items on PROJECT PARAMETERS worksheet, calculated by multiplying the hours duration on the PROJECT DETAILS sheet"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Parameters" displayName="Parameters" ref="B5:I11" totalsRowShown="0" headerRowDxfId="68" dataDxfId="67">
  <autoFilter ref="B5:I11">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PROJECT TYPE" dataDxfId="66"/>
    <tableColumn id="2" name="ACCOUNT MANAGER" dataDxfId="65"/>
    <tableColumn id="3" name="PROJECT MANAGER" dataDxfId="64"/>
    <tableColumn id="4" name="STRATEGY MANAGER" dataDxfId="63"/>
    <tableColumn id="5" name="DESIGN SPECIALIST" dataDxfId="62"/>
    <tableColumn id="6" name="EVENT STAFF" dataDxfId="61"/>
    <tableColumn id="7" name="ADMIN STAFF" dataDxfId="60"/>
    <tableColumn id="8" name="Total" dataDxfId="59">
      <calculatedColumnFormula>SUM(Parameters[[#This Row],[ACCOUNT MANAGER]:[ADMIN STAFF]])</calculatedColumnFormula>
    </tableColumn>
  </tableColumns>
  <tableStyleInfo name="TableStyleLight11" showFirstColumn="0" showLastColumn="0" showRowStripes="1" showColumnStripes="0"/>
  <extLst>
    <ext xmlns:x14="http://schemas.microsoft.com/office/spreadsheetml/2009/9/main" uri="{504A1905-F514-4f6f-8877-14C23A59335A}">
      <x14:table altTextSummary="Enter Project Type, percentages for Account Manager, Project Manager, Strategy Manager, Design Specialist, Event Staff, and Admin Staff. Total is automatically calculated"/>
    </ext>
  </extLst>
</table>
</file>

<file path=xl/tables/table2.xml><?xml version="1.0" encoding="utf-8"?>
<table xmlns="http://schemas.openxmlformats.org/spreadsheetml/2006/main" id="2" name="ProjectDetails" displayName="ProjectDetails" ref="B4:W10" totalsRowCount="1" headerRowDxfId="58" dataCellStyle="Normal">
  <autoFilter ref="B4:W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autoFilter>
  <tableColumns count="22">
    <tableColumn id="1" name="PROJECT NAME" totalsRowLabel="TOTAL" totalsRowDxfId="57" dataCellStyle="Normal"/>
    <tableColumn id="2" name="PROJECT TYPE" totalsRowDxfId="56" dataCellStyle="Normal"/>
    <tableColumn id="3" name="ESTIMATED START" dataDxfId="55" totalsRowDxfId="54" dataCellStyle="Normal"/>
    <tableColumn id="4" name="ESTIMATED FINISH" dataDxfId="53" totalsRowDxfId="52" dataCellStyle="Normal"/>
    <tableColumn id="7" name="ACTUAL START" dataDxfId="51" totalsRowDxfId="50" dataCellStyle="Normal"/>
    <tableColumn id="8" name="ACTUAL FINISH" dataDxfId="49" totalsRowDxfId="48" dataCellStyle="Normal"/>
    <tableColumn id="5" name="ESTIMATED WORK" totalsRowFunction="sum" totalsRowDxfId="47" dataCellStyle="Normal"/>
    <tableColumn id="9" name="ACTUAL WORK" totalsRowFunction="sum" totalsRowDxfId="46" dataCellStyle="Normal"/>
    <tableColumn id="6" name="ESTIMATED DURATION" totalsRowFunction="sum" dataDxfId="45" totalsRowDxfId="44" dataCellStyle="Normal">
      <calculatedColumnFormula>DAYS360(ProjectDetails[[#This Row],[ESTIMATED START]],ProjectDetails[[#This Row],[ESTIMATED FINISH]],FALSE)</calculatedColumnFormula>
    </tableColumn>
    <tableColumn id="10" name="ACTUAL DURATION" totalsRowFunction="sum" dataDxfId="43" totalsRowDxfId="42" dataCellStyle="Normal">
      <calculatedColumnFormula>DAYS360(ProjectDetails[[#This Row],[ACTUAL START]],ProjectDetails[[#This Row],[ACTUAL FINISH]],FALSE)</calculatedColumnFormula>
    </tableColumn>
    <tableColumn id="11" name="ACCOUNT MANAGER" dataDxfId="41" totalsRowDxfId="40" dataCellStyle="Normal">
      <calculatedColumnFormula>INDEX(Parameters[],MATCH(ProjectDetails[[#This Row],[PROJECT TYPE]],Parameters[PROJECT TYPE],0),MATCH(ProjectDetails[[#Headers],[ACCOUNT MANAGER]],Parameters[#Headers],0))*INDEX('PROJECT PARAMETERS'!$B$12:$H$12,1,MATCH(ProjectDetails[[#Headers],[ACCOUNT MANAGER]],Parameters[#Headers],0))*ProjectDetails[[#This Row],[ESTIMATED WORK]]</calculatedColumnFormula>
    </tableColumn>
    <tableColumn id="12" name="PROJECT MANAGER" dataDxfId="39" totalsRowDxfId="38" dataCellStyle="Normal">
      <calculatedColumnFormula>INDEX(Parameters[],MATCH(ProjectDetails[[#This Row],[PROJECT TYPE]],Parameters[PROJECT TYPE],0),MATCH(ProjectDetails[[#Headers],[PROJECT MANAGER]],Parameters[#Headers],0))*INDEX('PROJECT PARAMETERS'!$B$12:$H$12,1,MATCH(ProjectDetails[[#Headers],[PROJECT MANAGER]],Parameters[#Headers],0))*ProjectDetails[[#This Row],[ESTIMATED WORK]]</calculatedColumnFormula>
    </tableColumn>
    <tableColumn id="13" name="STRATEGY MANAGER" dataDxfId="37" totalsRowDxfId="36" dataCellStyle="Normal">
      <calculatedColumnFormula>INDEX(Parameters[],MATCH(ProjectDetails[[#This Row],[PROJECT TYPE]],Parameters[PROJECT TYPE],0),MATCH(ProjectDetails[[#Headers],[STRATEGY MANAGER]],Parameters[#Headers],0))*INDEX('PROJECT PARAMETERS'!$B$12:$H$12,1,MATCH(ProjectDetails[[#Headers],[STRATEGY MANAGER]],Parameters[#Headers],0))*ProjectDetails[[#This Row],[ESTIMATED WORK]]</calculatedColumnFormula>
    </tableColumn>
    <tableColumn id="14" name="DESIGN SPECIALIST" dataDxfId="35" totalsRowDxfId="34" dataCellStyle="Normal">
      <calculatedColumnFormula>INDEX(Parameters[],MATCH(ProjectDetails[[#This Row],[PROJECT TYPE]],Parameters[PROJECT TYPE],0),MATCH(ProjectDetails[[#Headers],[DESIGN SPECIALIST]],Parameters[#Headers],0))*INDEX('PROJECT PARAMETERS'!$B$12:$H$12,1,MATCH(ProjectDetails[[#Headers],[DESIGN SPECIALIST]],Parameters[#Headers],0))*ProjectDetails[[#This Row],[ESTIMATED WORK]]</calculatedColumnFormula>
    </tableColumn>
    <tableColumn id="15" name="EVENT STAFF" dataDxfId="33" totalsRowDxfId="32" dataCellStyle="Normal">
      <calculatedColumnFormula>INDEX(Parameters[],MATCH(ProjectDetails[[#This Row],[PROJECT TYPE]],Parameters[PROJECT TYPE],0),MATCH(ProjectDetails[[#Headers],[EVENT STAFF]],Parameters[#Headers],0))*INDEX('PROJECT PARAMETERS'!$B$12:$H$12,1,MATCH(ProjectDetails[[#Headers],[EVENT STAFF]],Parameters[#Headers],0))*ProjectDetails[[#This Row],[ESTIMATED WORK]]</calculatedColumnFormula>
    </tableColumn>
    <tableColumn id="16" name="ADMIN STAFF" dataDxfId="31" totalsRowDxfId="30" dataCellStyle="Normal">
      <calculatedColumnFormula>INDEX(Parameters[],MATCH(ProjectDetails[[#This Row],[PROJECT TYPE]],Parameters[PROJECT TYPE],0),MATCH(ProjectDetails[[#Headers],[ADMIN STAFF]],Parameters[#Headers],0))*INDEX('PROJECT PARAMETERS'!$B$12:$H$12,1,MATCH(ProjectDetails[[#Headers],[ADMIN STAFF]],Parameters[#Headers],0))*ProjectDetails[[#This Row],[ESTIMATED WORK]]</calculatedColumnFormula>
    </tableColumn>
    <tableColumn id="17" name="ACCOUNT MANAGER " dataDxfId="29" totalsRowDxfId="28" dataCellStyle="Normal">
      <calculatedColumnFormula>INDEX(Parameters[],MATCH(ProjectDetails[[#This Row],[PROJECT TYPE]],Parameters[PROJECT TYPE],0),MATCH(ProjectDetails[[#Headers],[ACCOUNT MANAGER]],Parameters[#Headers],0))*INDEX('PROJECT PARAMETERS'!$B$12:$H$12,1,MATCH(ProjectDetails[[#Headers],[ACCOUNT MANAGER]],Parameters[#Headers],0))*ProjectDetails[[#This Row],[ACTUAL WORK]]</calculatedColumnFormula>
    </tableColumn>
    <tableColumn id="18" name="PROJECT MANAGER " dataDxfId="27" totalsRowDxfId="26" dataCellStyle="Normal">
      <calculatedColumnFormula>INDEX(Parameters[],MATCH(ProjectDetails[[#This Row],[PROJECT TYPE]],Parameters[PROJECT TYPE],0),MATCH(ProjectDetails[[#Headers],[PROJECT MANAGER]],Parameters[#Headers],0))*INDEX('PROJECT PARAMETERS'!$B$12:$H$12,1,MATCH(ProjectDetails[[#Headers],[PROJECT MANAGER]],Parameters[#Headers],0))*ProjectDetails[[#This Row],[ACTUAL WORK]]</calculatedColumnFormula>
    </tableColumn>
    <tableColumn id="19" name="STRATEGY MANAGER " dataDxfId="25" totalsRowDxfId="24" dataCellStyle="Normal">
      <calculatedColumnFormula>INDEX(Parameters[],MATCH(ProjectDetails[[#This Row],[PROJECT TYPE]],Parameters[PROJECT TYPE],0),MATCH(ProjectDetails[[#Headers],[STRATEGY MANAGER]],Parameters[#Headers],0))*INDEX('PROJECT PARAMETERS'!$B$12:$H$12,1,MATCH(ProjectDetails[[#Headers],[STRATEGY MANAGER]],Parameters[#Headers],0))*ProjectDetails[[#This Row],[ACTUAL WORK]]</calculatedColumnFormula>
    </tableColumn>
    <tableColumn id="20" name="DESIGN SPECIALIST " dataDxfId="23" totalsRowDxfId="22" dataCellStyle="Normal">
      <calculatedColumnFormula>INDEX(Parameters[],MATCH(ProjectDetails[[#This Row],[PROJECT TYPE]],Parameters[PROJECT TYPE],0),MATCH(ProjectDetails[[#Headers],[DESIGN SPECIALIST]],Parameters[#Headers],0))*INDEX('PROJECT PARAMETERS'!$B$12:$H$12,1,MATCH(ProjectDetails[[#Headers],[DESIGN SPECIALIST]],Parameters[#Headers],0))*ProjectDetails[[#This Row],[ACTUAL WORK]]</calculatedColumnFormula>
    </tableColumn>
    <tableColumn id="21" name="EVENT STAFF " dataDxfId="21" totalsRowDxfId="20" dataCellStyle="Normal">
      <calculatedColumnFormula>INDEX(Parameters[],MATCH(ProjectDetails[[#This Row],[PROJECT TYPE]],Parameters[PROJECT TYPE],0),MATCH(ProjectDetails[[#Headers],[EVENT STAFF]],Parameters[#Headers],0))*INDEX('PROJECT PARAMETERS'!$B$12:$H$12,1,MATCH(ProjectDetails[[#Headers],[EVENT STAFF]],Parameters[#Headers],0))*ProjectDetails[[#This Row],[ACTUAL WORK]]</calculatedColumnFormula>
    </tableColumn>
    <tableColumn id="22" name="ADMIN STAFF " dataDxfId="19" totalsRowDxfId="18" dataCellStyle="Normal">
      <calculatedColumnFormula>INDEX(Parameters[],MATCH(ProjectDetails[[#This Row],[PROJECT TYPE]],Parameters[PROJECT TYPE],0),MATCH(ProjectDetails[[#Headers],[ADMIN STAFF]],Parameters[#Headers],0))*INDEX('PROJECT PARAMETERS'!$B$12:$H$12,1,MATCH(ProjectDetails[[#Headers],[ADMIN STAFF]],Parameters[#Headers],0))*ProjectDetails[[#This Row],[ACTUAL WORK]]</calculatedColumnFormula>
    </tableColumn>
  </tableColumns>
  <tableStyleInfo name="TableStyleMedium3" showFirstColumn="0" showLastColumn="0" showRowStripes="1" showColumnStripes="0"/>
  <extLst>
    <ext xmlns:x14="http://schemas.microsoft.com/office/spreadsheetml/2009/9/main" uri="{504A1905-F514-4f6f-8877-14C23A59335A}">
      <x14:table altTextSummary="Enter Project Name, Estimated Start &amp; Finish dates, Actual Start &amp; Finish dates, Estimated &amp; Actual work &amp; select Project Type. Estimated &amp; Actual Duration are auto calculated"/>
    </ext>
  </extLst>
</table>
</file>

<file path=xl/theme/theme1.xml><?xml version="1.0" encoding="utf-8"?>
<a:theme xmlns:a="http://schemas.openxmlformats.org/drawingml/2006/main" name="MarketingProjectPlan">
  <a:themeElements>
    <a:clrScheme name="MarketingProjectPlan_colors">
      <a:dk1>
        <a:srgbClr val="000000"/>
      </a:dk1>
      <a:lt1>
        <a:srgbClr val="FFFFFF"/>
      </a:lt1>
      <a:dk2>
        <a:srgbClr val="636466"/>
      </a:dk2>
      <a:lt2>
        <a:srgbClr val="F2F2F2"/>
      </a:lt2>
      <a:accent1>
        <a:srgbClr val="BE870E"/>
      </a:accent1>
      <a:accent2>
        <a:srgbClr val="1A86B6"/>
      </a:accent2>
      <a:accent3>
        <a:srgbClr val="5F781B"/>
      </a:accent3>
      <a:accent4>
        <a:srgbClr val="C45808"/>
      </a:accent4>
      <a:accent5>
        <a:srgbClr val="6B3489"/>
      </a:accent5>
      <a:accent6>
        <a:srgbClr val="C2344E"/>
      </a:accent6>
      <a:hlink>
        <a:srgbClr val="3778A9"/>
      </a:hlink>
      <a:folHlink>
        <a:srgbClr val="6B3489"/>
      </a:folHlink>
    </a:clrScheme>
    <a:fontScheme name="Invoice with Sales Tax">
      <a:majorFont>
        <a:latin typeface="Tahoma"/>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1.xml" Type="http://schemas.openxmlformats.org/officeDocument/2006/relationships/drawing"/>
<Relationship Id="rId3" Target="../tables/table1.xml" Type="http://schemas.openxmlformats.org/officeDocument/2006/relationships/table"/>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2.xml" Type="http://schemas.openxmlformats.org/officeDocument/2006/relationships/drawing"/>
<Relationship Id="rId3" Target="../tables/table2.xml" Type="http://schemas.openxmlformats.org/officeDocument/2006/relationships/table"/>
</Relationships>

</file>

<file path=xl/worksheets/_rels/sheet4.xml.rels><?xml version="1.0" encoding="UTF-8" standalone="no"?>
<Relationships xmlns="http://schemas.openxmlformats.org/package/2006/relationships">
<Relationship Id="rId1" Target="../pivotTables/pivotTable1.xml" Type="http://schemas.openxmlformats.org/officeDocument/2006/relationships/pivotTable"/>
<Relationship Id="rId2" Target="../printerSettings/printerSettings4.bin" Type="http://schemas.openxmlformats.org/officeDocument/2006/relationships/printerSettings"/>
<Relationship Id="rId3" Target="../drawings/drawing3.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1:B7"/>
  <sheetViews>
    <sheetView showGridLines="0" workbookViewId="0"/>
  </sheetViews>
  <sheetFormatPr defaultRowHeight="12.75" x14ac:dyDescent="0.2"/>
  <cols>
    <col min="1" max="1" width="2.7109375" customWidth="1"/>
    <col min="2" max="2" width="93.28515625" customWidth="1"/>
    <col min="3" max="3" width="2.7109375" customWidth="1"/>
  </cols>
  <sheetData>
    <row r="1" spans="2:2" ht="19.5" x14ac:dyDescent="0.25">
      <c r="B1" s="26" t="s">
        <v>60</v>
      </c>
    </row>
    <row r="2" spans="2:2" ht="33.75" customHeight="1" x14ac:dyDescent="0.2">
      <c r="B2" s="30" t="s">
        <v>72</v>
      </c>
    </row>
    <row r="3" spans="2:2" ht="36.75" customHeight="1" x14ac:dyDescent="0.2">
      <c r="B3" s="30" t="s">
        <v>73</v>
      </c>
    </row>
    <row r="4" spans="2:2" ht="30" customHeight="1" x14ac:dyDescent="0.2">
      <c r="B4" s="30" t="s">
        <v>56</v>
      </c>
    </row>
    <row r="5" spans="2:2" s="27" customFormat="1" ht="40.5" customHeight="1" x14ac:dyDescent="0.2">
      <c r="B5" s="32" t="s">
        <v>57</v>
      </c>
    </row>
    <row r="6" spans="2:2" ht="54" customHeight="1" x14ac:dyDescent="0.2">
      <c r="B6" s="31" t="s">
        <v>58</v>
      </c>
    </row>
    <row r="7" spans="2:2" ht="35.25" customHeight="1" x14ac:dyDescent="0.2">
      <c r="B7" s="31" t="s">
        <v>59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6"/>
    <pageSetUpPr autoPageBreaks="0" fitToPage="1"/>
  </sheetPr>
  <dimension ref="A1:I43"/>
  <sheetViews>
    <sheetView showGridLines="0" workbookViewId="0"/>
  </sheetViews>
  <sheetFormatPr defaultColWidth="9.140625" defaultRowHeight="14.25" x14ac:dyDescent="0.2"/>
  <cols>
    <col min="1" max="1" width="1.7109375" style="14" customWidth="1"/>
    <col min="2" max="2" width="29.28515625" style="5" customWidth="1"/>
    <col min="3" max="3" width="21.42578125" style="5" bestFit="1" customWidth="1"/>
    <col min="4" max="4" width="20.85546875" style="5" bestFit="1" customWidth="1"/>
    <col min="5" max="5" width="22.42578125" style="5" bestFit="1" customWidth="1"/>
    <col min="6" max="6" width="21" style="5" bestFit="1" customWidth="1"/>
    <col min="7" max="7" width="14.5703125" style="5" bestFit="1" customWidth="1"/>
    <col min="8" max="8" width="15.42578125" style="5" bestFit="1" customWidth="1"/>
    <col min="9" max="9" width="7.85546875" style="5" bestFit="1" customWidth="1"/>
    <col min="10" max="10" width="2.7109375" style="5" customWidth="1"/>
    <col min="11" max="16384" width="9.140625" style="5"/>
  </cols>
  <sheetData>
    <row r="1" spans="1:9" ht="35.450000000000003" customHeight="1" x14ac:dyDescent="0.35">
      <c r="A1" s="14" t="s">
        <v>61</v>
      </c>
      <c r="B1" s="2" t="s">
        <v>50</v>
      </c>
      <c r="C1" s="2"/>
      <c r="D1" s="2"/>
      <c r="E1" s="2"/>
      <c r="F1" s="2"/>
      <c r="G1" s="2"/>
      <c r="H1" s="2"/>
      <c r="I1" s="2"/>
    </row>
    <row r="2" spans="1:9" ht="19.5" x14ac:dyDescent="0.25">
      <c r="A2" s="14" t="s">
        <v>62</v>
      </c>
      <c r="B2" s="3" t="s">
        <v>0</v>
      </c>
      <c r="C2" s="3"/>
      <c r="D2" s="3"/>
      <c r="E2" s="3"/>
      <c r="F2" s="3"/>
      <c r="G2" s="3"/>
      <c r="H2" s="3"/>
      <c r="I2" s="3"/>
    </row>
    <row r="3" spans="1:9" ht="15" x14ac:dyDescent="0.2">
      <c r="A3" s="14" t="s">
        <v>63</v>
      </c>
      <c r="B3" s="4" t="str">
        <f>B1&amp;" Confidential"</f>
        <v>Company Name Confidential</v>
      </c>
      <c r="C3" s="4"/>
      <c r="D3" s="4"/>
      <c r="E3" s="4"/>
      <c r="F3" s="4"/>
      <c r="G3" s="4"/>
      <c r="H3" s="4"/>
      <c r="I3" s="4"/>
    </row>
    <row r="4" spans="1:9" ht="28.5" customHeight="1" x14ac:dyDescent="0.2">
      <c r="A4" s="14" t="s">
        <v>64</v>
      </c>
      <c r="B4" s="9" t="s">
        <v>1</v>
      </c>
    </row>
    <row r="5" spans="1:9" x14ac:dyDescent="0.2">
      <c r="A5" s="14" t="s">
        <v>65</v>
      </c>
      <c r="B5" s="12" t="s">
        <v>14</v>
      </c>
      <c r="C5" s="12" t="s">
        <v>22</v>
      </c>
      <c r="D5" s="12" t="s">
        <v>23</v>
      </c>
      <c r="E5" s="12" t="s">
        <v>24</v>
      </c>
      <c r="F5" s="12" t="s">
        <v>25</v>
      </c>
      <c r="G5" s="12" t="s">
        <v>26</v>
      </c>
      <c r="H5" s="12" t="s">
        <v>27</v>
      </c>
      <c r="I5" s="12" t="s">
        <v>2</v>
      </c>
    </row>
    <row r="6" spans="1:9" x14ac:dyDescent="0.2">
      <c r="B6" s="5" t="s">
        <v>3</v>
      </c>
      <c r="C6" s="6">
        <v>0.2</v>
      </c>
      <c r="D6" s="6">
        <v>0.1</v>
      </c>
      <c r="E6" s="6">
        <v>0.6</v>
      </c>
      <c r="F6" s="6">
        <v>0</v>
      </c>
      <c r="G6" s="6">
        <v>0</v>
      </c>
      <c r="H6" s="6">
        <v>0.1</v>
      </c>
      <c r="I6" s="8">
        <f>SUM(Parameters[[#This Row],[ACCOUNT MANAGER]:[ADMIN STAFF]])</f>
        <v>1</v>
      </c>
    </row>
    <row r="7" spans="1:9" x14ac:dyDescent="0.2">
      <c r="B7" s="5" t="s">
        <v>4</v>
      </c>
      <c r="C7" s="6">
        <v>0.2</v>
      </c>
      <c r="D7" s="6">
        <v>0.5</v>
      </c>
      <c r="E7" s="6">
        <v>0.1</v>
      </c>
      <c r="F7" s="6">
        <v>0.1</v>
      </c>
      <c r="G7" s="6">
        <v>0</v>
      </c>
      <c r="H7" s="6">
        <v>0.1</v>
      </c>
      <c r="I7" s="8">
        <f>SUM(Parameters[[#This Row],[ACCOUNT MANAGER]:[ADMIN STAFF]])</f>
        <v>0.99999999999999989</v>
      </c>
    </row>
    <row r="8" spans="1:9" x14ac:dyDescent="0.2">
      <c r="B8" s="5" t="s">
        <v>5</v>
      </c>
      <c r="C8" s="6">
        <v>0.2</v>
      </c>
      <c r="D8" s="6">
        <v>0.2</v>
      </c>
      <c r="E8" s="6">
        <v>0</v>
      </c>
      <c r="F8" s="6">
        <v>0.5</v>
      </c>
      <c r="G8" s="6">
        <v>0</v>
      </c>
      <c r="H8" s="6">
        <v>0.1</v>
      </c>
      <c r="I8" s="8">
        <f>SUM(Parameters[[#This Row],[ACCOUNT MANAGER]:[ADMIN STAFF]])</f>
        <v>1</v>
      </c>
    </row>
    <row r="9" spans="1:9" x14ac:dyDescent="0.2">
      <c r="B9" s="5" t="s">
        <v>6</v>
      </c>
      <c r="C9" s="6">
        <v>0.2</v>
      </c>
      <c r="D9" s="6">
        <v>0.6</v>
      </c>
      <c r="E9" s="6">
        <v>0</v>
      </c>
      <c r="F9" s="6">
        <v>0</v>
      </c>
      <c r="G9" s="6">
        <v>0.1</v>
      </c>
      <c r="H9" s="6">
        <v>0.1</v>
      </c>
      <c r="I9" s="8">
        <f>SUM(Parameters[[#This Row],[ACCOUNT MANAGER]:[ADMIN STAFF]])</f>
        <v>1</v>
      </c>
    </row>
    <row r="10" spans="1:9" x14ac:dyDescent="0.2">
      <c r="B10" s="5" t="s">
        <v>7</v>
      </c>
      <c r="C10" s="6">
        <v>0.2</v>
      </c>
      <c r="D10" s="6">
        <v>0.1</v>
      </c>
      <c r="E10" s="6">
        <v>0</v>
      </c>
      <c r="F10" s="6">
        <v>0</v>
      </c>
      <c r="G10" s="6">
        <v>0.6</v>
      </c>
      <c r="H10" s="6">
        <v>0.1</v>
      </c>
      <c r="I10" s="8">
        <f>SUM(Parameters[[#This Row],[ACCOUNT MANAGER]:[ADMIN STAFF]])</f>
        <v>1</v>
      </c>
    </row>
    <row r="11" spans="1:9" x14ac:dyDescent="0.2">
      <c r="B11" s="5" t="s">
        <v>8</v>
      </c>
      <c r="C11" s="6">
        <v>0.2</v>
      </c>
      <c r="D11" s="6">
        <v>0.2</v>
      </c>
      <c r="E11" s="6">
        <v>0.2</v>
      </c>
      <c r="F11" s="6">
        <v>0.2</v>
      </c>
      <c r="G11" s="6">
        <v>0</v>
      </c>
      <c r="H11" s="6">
        <v>0.2</v>
      </c>
      <c r="I11" s="8">
        <f>SUM(Parameters[[#This Row],[ACCOUNT MANAGER]:[ADMIN STAFF]])</f>
        <v>1</v>
      </c>
    </row>
    <row r="12" spans="1:9" x14ac:dyDescent="0.2">
      <c r="A12" s="14" t="s">
        <v>66</v>
      </c>
      <c r="B12" s="5" t="s">
        <v>9</v>
      </c>
      <c r="C12" s="7">
        <v>180</v>
      </c>
      <c r="D12" s="7">
        <v>120</v>
      </c>
      <c r="E12" s="7">
        <v>150</v>
      </c>
      <c r="F12" s="7">
        <v>100</v>
      </c>
      <c r="G12" s="7">
        <v>80</v>
      </c>
      <c r="H12" s="7">
        <v>60</v>
      </c>
      <c r="I12" s="6"/>
    </row>
    <row r="14" spans="1:9" x14ac:dyDescent="0.2">
      <c r="A14" s="14" t="s">
        <v>67</v>
      </c>
      <c r="F14" s="1" t="s">
        <v>69</v>
      </c>
    </row>
    <row r="15" spans="1:9" x14ac:dyDescent="0.2">
      <c r="B15" s="14"/>
      <c r="C15" s="14" t="s">
        <v>22</v>
      </c>
      <c r="D15" s="14" t="s">
        <v>23</v>
      </c>
      <c r="E15" s="14" t="s">
        <v>24</v>
      </c>
      <c r="F15" s="14" t="s">
        <v>25</v>
      </c>
      <c r="G15" s="14" t="s">
        <v>26</v>
      </c>
      <c r="H15" s="14" t="s">
        <v>27</v>
      </c>
    </row>
    <row r="16" spans="1:9" x14ac:dyDescent="0.2">
      <c r="B16" s="14" t="s">
        <v>46</v>
      </c>
      <c r="C16" s="15">
        <f>SUBTOTAL(109,ProjectDetails[ACCOUNT MANAGER])</f>
        <v>54000</v>
      </c>
      <c r="D16" s="15">
        <f>SUBTOTAL(109,ProjectDetails[PROJECT MANAGER])</f>
        <v>52200</v>
      </c>
      <c r="E16" s="15">
        <f>SUBTOTAL(109,ProjectDetails[STRATEGY MANAGER])</f>
        <v>24000</v>
      </c>
      <c r="F16" s="15">
        <f>SUBTOTAL(109,ProjectDetails[DESIGN SPECIALIST])</f>
        <v>29000</v>
      </c>
      <c r="G16" s="15">
        <f>SUBTOTAL(109,ProjectDetails[EVENT STAFF])</f>
        <v>13200</v>
      </c>
      <c r="H16" s="15">
        <f>SUBTOTAL(109,ProjectDetails[ADMIN STAFF])</f>
        <v>9000</v>
      </c>
    </row>
    <row r="17" spans="2:9" x14ac:dyDescent="0.2">
      <c r="B17" s="14" t="s">
        <v>48</v>
      </c>
      <c r="C17" s="15">
        <f>SUBTOTAL(109,ProjectDetails[[ACCOUNT MANAGER ]])</f>
        <v>54360</v>
      </c>
      <c r="D17" s="15">
        <f>SUBTOTAL(109,ProjectDetails[[PROJECT MANAGER ]])</f>
        <v>51540</v>
      </c>
      <c r="E17" s="15">
        <f>SUBTOTAL(109,ProjectDetails[[STRATEGY MANAGER ]])</f>
        <v>25650</v>
      </c>
      <c r="F17" s="15">
        <f>SUBTOTAL(109,ProjectDetails[[DESIGN SPECIALIST ]])</f>
        <v>28900</v>
      </c>
      <c r="G17" s="15">
        <f>SUBTOTAL(109,ProjectDetails[[EVENT STAFF ]])</f>
        <v>13400</v>
      </c>
      <c r="H17" s="15">
        <f>SUBTOTAL(109,ProjectDetails[[ADMIN STAFF ]])</f>
        <v>9060</v>
      </c>
    </row>
    <row r="18" spans="2:9" x14ac:dyDescent="0.2">
      <c r="B18" s="14" t="s">
        <v>47</v>
      </c>
      <c r="C18" s="16">
        <f>C16/$C$12</f>
        <v>300</v>
      </c>
      <c r="D18" s="16">
        <f t="shared" ref="D18:H18" si="0">D16/$C$12</f>
        <v>290</v>
      </c>
      <c r="E18" s="16">
        <f t="shared" si="0"/>
        <v>133.33333333333334</v>
      </c>
      <c r="F18" s="16">
        <f t="shared" si="0"/>
        <v>161.11111111111111</v>
      </c>
      <c r="G18" s="16">
        <f t="shared" si="0"/>
        <v>73.333333333333329</v>
      </c>
      <c r="H18" s="16">
        <f t="shared" si="0"/>
        <v>50</v>
      </c>
    </row>
    <row r="19" spans="2:9" x14ac:dyDescent="0.2">
      <c r="B19" s="14" t="s">
        <v>49</v>
      </c>
      <c r="C19" s="16">
        <f>C17/$C$12</f>
        <v>302</v>
      </c>
      <c r="D19" s="16">
        <f>D17/$C$12</f>
        <v>286.33333333333331</v>
      </c>
      <c r="E19" s="16">
        <f>E17/$C$12</f>
        <v>142.5</v>
      </c>
      <c r="F19" s="16">
        <f>F17/$C$12</f>
        <v>160.55555555555554</v>
      </c>
      <c r="G19" s="16">
        <f>G17/$C$12</f>
        <v>74.444444444444443</v>
      </c>
      <c r="H19" s="16">
        <f>H17/$C$12</f>
        <v>50.333333333333336</v>
      </c>
    </row>
    <row r="20" spans="2:9" x14ac:dyDescent="0.2">
      <c r="F20" s="28"/>
      <c r="G20" s="28"/>
      <c r="H20" s="28"/>
      <c r="I20" s="28"/>
    </row>
    <row r="21" spans="2:9" x14ac:dyDescent="0.2">
      <c r="F21" s="28"/>
      <c r="G21" s="28"/>
      <c r="H21" s="28"/>
      <c r="I21" s="28"/>
    </row>
    <row r="22" spans="2:9" x14ac:dyDescent="0.2">
      <c r="F22" s="28"/>
      <c r="G22" s="28"/>
      <c r="H22" s="28"/>
      <c r="I22" s="28"/>
    </row>
    <row r="23" spans="2:9" x14ac:dyDescent="0.2">
      <c r="F23" s="28"/>
      <c r="G23" s="28"/>
      <c r="H23" s="28"/>
      <c r="I23" s="28"/>
    </row>
    <row r="24" spans="2:9" x14ac:dyDescent="0.2">
      <c r="B24" s="34" t="s">
        <v>68</v>
      </c>
      <c r="C24" s="34"/>
      <c r="D24" s="34"/>
      <c r="F24" s="28"/>
      <c r="G24" s="28"/>
      <c r="H24" s="28"/>
      <c r="I24" s="28"/>
    </row>
    <row r="25" spans="2:9" x14ac:dyDescent="0.2">
      <c r="B25" s="34"/>
      <c r="C25" s="34"/>
      <c r="D25" s="34"/>
      <c r="F25" s="28"/>
      <c r="G25" s="28"/>
      <c r="H25" s="28"/>
      <c r="I25" s="28"/>
    </row>
    <row r="26" spans="2:9" x14ac:dyDescent="0.2">
      <c r="B26" s="34"/>
      <c r="C26" s="34"/>
      <c r="D26" s="34"/>
      <c r="F26" s="28"/>
      <c r="G26" s="28"/>
      <c r="H26" s="28"/>
      <c r="I26" s="28"/>
    </row>
    <row r="27" spans="2:9" x14ac:dyDescent="0.2">
      <c r="B27" s="34"/>
      <c r="C27" s="34"/>
      <c r="D27" s="34"/>
      <c r="F27" s="28"/>
      <c r="G27" s="28"/>
      <c r="H27" s="28"/>
      <c r="I27" s="28"/>
    </row>
    <row r="28" spans="2:9" x14ac:dyDescent="0.2">
      <c r="B28" s="34"/>
      <c r="C28" s="34"/>
      <c r="D28" s="34"/>
      <c r="F28" s="28"/>
      <c r="G28" s="28"/>
      <c r="H28" s="28"/>
      <c r="I28" s="28"/>
    </row>
    <row r="29" spans="2:9" x14ac:dyDescent="0.2">
      <c r="B29" s="34"/>
      <c r="C29" s="34"/>
      <c r="D29" s="34"/>
      <c r="F29" s="28"/>
      <c r="G29" s="28"/>
      <c r="H29" s="28"/>
      <c r="I29" s="28"/>
    </row>
    <row r="30" spans="2:9" x14ac:dyDescent="0.2">
      <c r="B30" s="34"/>
      <c r="C30" s="34"/>
      <c r="D30" s="34"/>
      <c r="F30" s="28"/>
      <c r="G30" s="28"/>
      <c r="H30" s="28"/>
      <c r="I30" s="28"/>
    </row>
    <row r="31" spans="2:9" x14ac:dyDescent="0.2">
      <c r="B31" s="34"/>
      <c r="C31" s="34"/>
      <c r="D31" s="34"/>
      <c r="F31" s="28"/>
      <c r="G31" s="28"/>
      <c r="H31" s="28"/>
      <c r="I31" s="28"/>
    </row>
    <row r="32" spans="2:9" x14ac:dyDescent="0.2">
      <c r="B32" s="34"/>
      <c r="C32" s="34"/>
      <c r="D32" s="34"/>
      <c r="F32" s="28"/>
      <c r="G32" s="28"/>
      <c r="H32" s="28"/>
      <c r="I32" s="28"/>
    </row>
    <row r="33" spans="2:9" x14ac:dyDescent="0.2">
      <c r="B33" s="34"/>
      <c r="C33" s="34"/>
      <c r="D33" s="34"/>
      <c r="F33" s="28"/>
      <c r="G33" s="28"/>
      <c r="H33" s="28"/>
      <c r="I33" s="28"/>
    </row>
    <row r="34" spans="2:9" x14ac:dyDescent="0.2">
      <c r="B34" s="34"/>
      <c r="C34" s="34"/>
      <c r="D34" s="34"/>
      <c r="F34" s="28"/>
      <c r="G34" s="28"/>
      <c r="H34" s="28"/>
      <c r="I34" s="28"/>
    </row>
    <row r="35" spans="2:9" x14ac:dyDescent="0.2">
      <c r="B35" s="34"/>
      <c r="C35" s="34"/>
      <c r="D35" s="34"/>
      <c r="F35" s="28"/>
      <c r="G35" s="28"/>
      <c r="H35" s="28"/>
      <c r="I35" s="28"/>
    </row>
    <row r="36" spans="2:9" x14ac:dyDescent="0.2">
      <c r="B36" s="34"/>
      <c r="C36" s="34"/>
      <c r="D36" s="34"/>
      <c r="F36" s="28"/>
      <c r="G36" s="28"/>
      <c r="H36" s="28"/>
      <c r="I36" s="28"/>
    </row>
    <row r="37" spans="2:9" x14ac:dyDescent="0.2">
      <c r="B37" s="34"/>
      <c r="C37" s="34"/>
      <c r="D37" s="34"/>
      <c r="F37" s="28"/>
      <c r="G37" s="28"/>
      <c r="H37" s="28"/>
      <c r="I37" s="28"/>
    </row>
    <row r="38" spans="2:9" x14ac:dyDescent="0.2">
      <c r="B38" s="34"/>
      <c r="C38" s="34"/>
      <c r="D38" s="34"/>
      <c r="F38" s="28"/>
      <c r="G38" s="28"/>
      <c r="H38" s="28"/>
      <c r="I38" s="28"/>
    </row>
    <row r="39" spans="2:9" x14ac:dyDescent="0.2">
      <c r="B39" s="34"/>
      <c r="C39" s="34"/>
      <c r="D39" s="34"/>
      <c r="F39" s="28"/>
      <c r="G39" s="28"/>
      <c r="H39" s="28"/>
      <c r="I39" s="28"/>
    </row>
    <row r="40" spans="2:9" x14ac:dyDescent="0.2">
      <c r="B40" s="34"/>
      <c r="C40" s="34"/>
      <c r="D40" s="34"/>
      <c r="F40" s="28"/>
      <c r="G40" s="28"/>
      <c r="H40" s="28"/>
      <c r="I40" s="28"/>
    </row>
    <row r="41" spans="2:9" x14ac:dyDescent="0.2">
      <c r="B41" s="34"/>
      <c r="C41" s="34"/>
      <c r="D41" s="34"/>
      <c r="F41" s="28"/>
      <c r="G41" s="28"/>
      <c r="H41" s="28"/>
      <c r="I41" s="28"/>
    </row>
    <row r="42" spans="2:9" x14ac:dyDescent="0.2">
      <c r="B42" s="34"/>
      <c r="C42" s="34"/>
      <c r="D42" s="34"/>
      <c r="F42" s="28"/>
      <c r="G42" s="28"/>
      <c r="H42" s="28"/>
      <c r="I42" s="28"/>
    </row>
    <row r="43" spans="2:9" x14ac:dyDescent="0.2">
      <c r="B43" s="34"/>
      <c r="C43" s="34"/>
      <c r="D43" s="34"/>
      <c r="F43" s="28"/>
      <c r="G43" s="28"/>
      <c r="H43" s="28"/>
      <c r="I43" s="28"/>
    </row>
  </sheetData>
  <mergeCells count="1">
    <mergeCell ref="B24:D43"/>
  </mergeCells>
  <printOptions horizontalCentered="1"/>
  <pageMargins left="0.4" right="0.4" top="0.4" bottom="0.4" header="0.3" footer="0.3"/>
  <pageSetup scale="85" orientation="landscape" horizontalDpi="4294967293" verticalDpi="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pageSetUpPr fitToPage="1"/>
  </sheetPr>
  <dimension ref="A1:W10"/>
  <sheetViews>
    <sheetView showGridLines="0" tabSelected="1" workbookViewId="0"/>
  </sheetViews>
  <sheetFormatPr defaultColWidth="9.140625" defaultRowHeight="14.25" x14ac:dyDescent="0.2"/>
  <cols>
    <col min="1" max="1" width="1.7109375" style="14" customWidth="1"/>
    <col min="2" max="2" width="25.5703125" style="1" customWidth="1"/>
    <col min="3" max="3" width="23.85546875" style="1" customWidth="1"/>
    <col min="4" max="7" width="11.85546875" style="1" customWidth="1"/>
    <col min="8" max="8" width="11.140625" style="1" bestFit="1" customWidth="1"/>
    <col min="9" max="9" width="8.140625" style="1" bestFit="1" customWidth="1"/>
    <col min="10" max="10" width="11.140625" style="1" bestFit="1" customWidth="1"/>
    <col min="11" max="11" width="10.28515625" style="1" bestFit="1" customWidth="1"/>
    <col min="12" max="13" width="10" style="1" hidden="1" customWidth="1"/>
    <col min="14" max="14" width="10.28515625" style="1" hidden="1" customWidth="1"/>
    <col min="15" max="15" width="11.42578125" style="1" hidden="1" customWidth="1"/>
    <col min="16" max="16" width="7.42578125" style="1" hidden="1" customWidth="1"/>
    <col min="17" max="17" width="7.140625" style="1" hidden="1" customWidth="1"/>
    <col min="18" max="19" width="12.28515625" style="1" hidden="1" customWidth="1"/>
    <col min="20" max="20" width="12.5703125" style="1" hidden="1" customWidth="1"/>
    <col min="21" max="21" width="13.7109375" style="1" hidden="1" customWidth="1"/>
    <col min="22" max="22" width="14.5703125" style="1" hidden="1" customWidth="1"/>
    <col min="23" max="23" width="15.42578125" style="1" hidden="1" customWidth="1"/>
    <col min="24" max="24" width="2.7109375" style="1" customWidth="1"/>
    <col min="25" max="16384" width="9.140625" style="1"/>
  </cols>
  <sheetData>
    <row r="1" spans="1:23" ht="35.450000000000003" customHeight="1" x14ac:dyDescent="0.35">
      <c r="A1" s="14" t="s">
        <v>70</v>
      </c>
      <c r="B1" s="2" t="str">
        <f>'PROJECT PARAMETERS'!B1</f>
        <v>Company Name</v>
      </c>
      <c r="C1" s="2"/>
      <c r="D1" s="2"/>
      <c r="E1" s="2"/>
      <c r="F1" s="2"/>
      <c r="G1" s="2"/>
      <c r="H1" s="2"/>
      <c r="I1" s="2"/>
      <c r="J1" s="2"/>
      <c r="K1" s="2"/>
    </row>
    <row r="2" spans="1:23" ht="19.5" x14ac:dyDescent="0.25">
      <c r="A2" s="14" t="s">
        <v>62</v>
      </c>
      <c r="B2" s="3" t="s">
        <v>0</v>
      </c>
      <c r="C2" s="3"/>
      <c r="D2" s="3"/>
      <c r="E2" s="3"/>
      <c r="F2" s="3"/>
      <c r="G2" s="3"/>
      <c r="H2" s="3"/>
      <c r="I2" s="3"/>
      <c r="J2" s="3"/>
      <c r="K2" s="3"/>
    </row>
    <row r="3" spans="1:23" s="24" customFormat="1" ht="29.25" customHeight="1" x14ac:dyDescent="0.2">
      <c r="A3" s="29" t="s">
        <v>63</v>
      </c>
      <c r="B3" s="25" t="str">
        <f>'PROJECT PARAMETERS'!B3</f>
        <v>Company Name Confidential</v>
      </c>
      <c r="C3" s="25"/>
      <c r="D3" s="25"/>
      <c r="E3" s="25"/>
      <c r="F3" s="25"/>
      <c r="G3" s="25"/>
      <c r="H3" s="25"/>
      <c r="I3" s="25"/>
      <c r="J3" s="25"/>
      <c r="K3" s="25"/>
    </row>
    <row r="4" spans="1:23" ht="25.5" customHeight="1" x14ac:dyDescent="0.2">
      <c r="A4" s="33" t="s">
        <v>74</v>
      </c>
      <c r="B4" s="17" t="s">
        <v>13</v>
      </c>
      <c r="C4" s="17" t="s">
        <v>14</v>
      </c>
      <c r="D4" s="17" t="s">
        <v>15</v>
      </c>
      <c r="E4" s="17" t="s">
        <v>16</v>
      </c>
      <c r="F4" s="17" t="s">
        <v>11</v>
      </c>
      <c r="G4" s="17" t="s">
        <v>12</v>
      </c>
      <c r="H4" s="17" t="s">
        <v>17</v>
      </c>
      <c r="I4" s="17" t="s">
        <v>19</v>
      </c>
      <c r="J4" s="17" t="s">
        <v>18</v>
      </c>
      <c r="K4" s="17" t="s">
        <v>20</v>
      </c>
      <c r="L4" s="18" t="s">
        <v>22</v>
      </c>
      <c r="M4" s="18" t="s">
        <v>23</v>
      </c>
      <c r="N4" s="18" t="s">
        <v>24</v>
      </c>
      <c r="O4" s="18" t="s">
        <v>25</v>
      </c>
      <c r="P4" s="18" t="s">
        <v>26</v>
      </c>
      <c r="Q4" s="18" t="s">
        <v>27</v>
      </c>
      <c r="R4" s="19" t="s">
        <v>28</v>
      </c>
      <c r="S4" s="19" t="s">
        <v>29</v>
      </c>
      <c r="T4" s="19" t="s">
        <v>30</v>
      </c>
      <c r="U4" s="19" t="s">
        <v>31</v>
      </c>
      <c r="V4" s="19" t="s">
        <v>33</v>
      </c>
      <c r="W4" s="19" t="s">
        <v>32</v>
      </c>
    </row>
    <row r="5" spans="1:23" x14ac:dyDescent="0.2">
      <c r="B5" s="20" t="s">
        <v>51</v>
      </c>
      <c r="C5" s="20" t="s">
        <v>3</v>
      </c>
      <c r="D5" s="21">
        <f ca="1">DATE(YEAR(TODAY()),6,9)</f>
        <v>43260</v>
      </c>
      <c r="E5" s="21">
        <f ca="1" xml:space="preserve"> DATE(YEAR(TODAY()),8,7)</f>
        <v>43319</v>
      </c>
      <c r="F5" s="21">
        <f ca="1">DATE(YEAR(TODAY()),6,29)</f>
        <v>43280</v>
      </c>
      <c r="G5" s="21">
        <f ca="1">DATE(YEAR(TODAY()),9,3)</f>
        <v>43346</v>
      </c>
      <c r="H5" s="20">
        <v>200</v>
      </c>
      <c r="I5" s="20">
        <v>220</v>
      </c>
      <c r="J5" s="20">
        <f ca="1">DAYS360(ProjectDetails[[#This Row],[ESTIMATED START]],ProjectDetails[[#This Row],[ESTIMATED FINISH]],FALSE)</f>
        <v>58</v>
      </c>
      <c r="K5" s="20">
        <f ca="1">DAYS360(ProjectDetails[[#This Row],[ACTUAL START]],ProjectDetails[[#This Row],[ACTUAL FINISH]],FALSE)</f>
        <v>64</v>
      </c>
      <c r="L5" s="22">
        <f>INDEX(Parameters[],MATCH(ProjectDetails[[#This Row],[PROJECT TYPE]],Parameters[PROJECT TYPE],0),MATCH(ProjectDetails[[#Headers],[ACCOUNT MANAGER]],Parameters[#Headers],0))*INDEX('PROJECT PARAMETERS'!$B$12:$H$12,1,MATCH(ProjectDetails[[#Headers],[ACCOUNT MANAGER]],Parameters[#Headers],0))*ProjectDetails[[#This Row],[ESTIMATED WORK]]</f>
        <v>7200</v>
      </c>
      <c r="M5" s="22">
        <f>INDEX(Parameters[],MATCH(ProjectDetails[[#This Row],[PROJECT TYPE]],Parameters[PROJECT TYPE],0),MATCH(ProjectDetails[[#Headers],[PROJECT MANAGER]],Parameters[#Headers],0))*INDEX('PROJECT PARAMETERS'!$B$12:$H$12,1,MATCH(ProjectDetails[[#Headers],[PROJECT MANAGER]],Parameters[#Headers],0))*ProjectDetails[[#This Row],[ESTIMATED WORK]]</f>
        <v>2400</v>
      </c>
      <c r="N5" s="22">
        <f>INDEX(Parameters[],MATCH(ProjectDetails[[#This Row],[PROJECT TYPE]],Parameters[PROJECT TYPE],0),MATCH(ProjectDetails[[#Headers],[STRATEGY MANAGER]],Parameters[#Headers],0))*INDEX('PROJECT PARAMETERS'!$B$12:$H$12,1,MATCH(ProjectDetails[[#Headers],[STRATEGY MANAGER]],Parameters[#Headers],0))*ProjectDetails[[#This Row],[ESTIMATED WORK]]</f>
        <v>18000</v>
      </c>
      <c r="O5" s="22">
        <f>INDEX(Parameters[],MATCH(ProjectDetails[[#This Row],[PROJECT TYPE]],Parameters[PROJECT TYPE],0),MATCH(ProjectDetails[[#Headers],[DESIGN SPECIALIST]],Parameters[#Headers],0))*INDEX('PROJECT PARAMETERS'!$B$12:$H$12,1,MATCH(ProjectDetails[[#Headers],[DESIGN SPECIALIST]],Parameters[#Headers],0))*ProjectDetails[[#This Row],[ESTIMATED WORK]]</f>
        <v>0</v>
      </c>
      <c r="P5" s="22">
        <f>INDEX(Parameters[],MATCH(ProjectDetails[[#This Row],[PROJECT TYPE]],Parameters[PROJECT TYPE],0),MATCH(ProjectDetails[[#Headers],[EVENT STAFF]],Parameters[#Headers],0))*INDEX('PROJECT PARAMETERS'!$B$12:$H$12,1,MATCH(ProjectDetails[[#Headers],[EVENT STAFF]],Parameters[#Headers],0))*ProjectDetails[[#This Row],[ESTIMATED WORK]]</f>
        <v>0</v>
      </c>
      <c r="Q5" s="22">
        <f>INDEX(Parameters[],MATCH(ProjectDetails[[#This Row],[PROJECT TYPE]],Parameters[PROJECT TYPE],0),MATCH(ProjectDetails[[#Headers],[ADMIN STAFF]],Parameters[#Headers],0))*INDEX('PROJECT PARAMETERS'!$B$12:$H$12,1,MATCH(ProjectDetails[[#Headers],[ADMIN STAFF]],Parameters[#Headers],0))*ProjectDetails[[#This Row],[ESTIMATED WORK]]</f>
        <v>1200</v>
      </c>
      <c r="R5" s="22">
        <f>INDEX(Parameters[],MATCH(ProjectDetails[[#This Row],[PROJECT TYPE]],Parameters[PROJECT TYPE],0),MATCH(ProjectDetails[[#Headers],[ACCOUNT MANAGER]],Parameters[#Headers],0))*INDEX('PROJECT PARAMETERS'!$B$12:$H$12,1,MATCH(ProjectDetails[[#Headers],[ACCOUNT MANAGER]],Parameters[#Headers],0))*ProjectDetails[[#This Row],[ACTUAL WORK]]</f>
        <v>7920</v>
      </c>
      <c r="S5" s="22">
        <f>INDEX(Parameters[],MATCH(ProjectDetails[[#This Row],[PROJECT TYPE]],Parameters[PROJECT TYPE],0),MATCH(ProjectDetails[[#Headers],[PROJECT MANAGER]],Parameters[#Headers],0))*INDEX('PROJECT PARAMETERS'!$B$12:$H$12,1,MATCH(ProjectDetails[[#Headers],[PROJECT MANAGER]],Parameters[#Headers],0))*ProjectDetails[[#This Row],[ACTUAL WORK]]</f>
        <v>2640</v>
      </c>
      <c r="T5" s="22">
        <f>INDEX(Parameters[],MATCH(ProjectDetails[[#This Row],[PROJECT TYPE]],Parameters[PROJECT TYPE],0),MATCH(ProjectDetails[[#Headers],[STRATEGY MANAGER]],Parameters[#Headers],0))*INDEX('PROJECT PARAMETERS'!$B$12:$H$12,1,MATCH(ProjectDetails[[#Headers],[STRATEGY MANAGER]],Parameters[#Headers],0))*ProjectDetails[[#This Row],[ACTUAL WORK]]</f>
        <v>19800</v>
      </c>
      <c r="U5" s="22">
        <f>INDEX(Parameters[],MATCH(ProjectDetails[[#This Row],[PROJECT TYPE]],Parameters[PROJECT TYPE],0),MATCH(ProjectDetails[[#Headers],[DESIGN SPECIALIST]],Parameters[#Headers],0))*INDEX('PROJECT PARAMETERS'!$B$12:$H$12,1,MATCH(ProjectDetails[[#Headers],[DESIGN SPECIALIST]],Parameters[#Headers],0))*ProjectDetails[[#This Row],[ACTUAL WORK]]</f>
        <v>0</v>
      </c>
      <c r="V5" s="22">
        <f>INDEX(Parameters[],MATCH(ProjectDetails[[#This Row],[PROJECT TYPE]],Parameters[PROJECT TYPE],0),MATCH(ProjectDetails[[#Headers],[EVENT STAFF]],Parameters[#Headers],0))*INDEX('PROJECT PARAMETERS'!$B$12:$H$12,1,MATCH(ProjectDetails[[#Headers],[EVENT STAFF]],Parameters[#Headers],0))*ProjectDetails[[#This Row],[ACTUAL WORK]]</f>
        <v>0</v>
      </c>
      <c r="W5" s="22">
        <f>INDEX(Parameters[],MATCH(ProjectDetails[[#This Row],[PROJECT TYPE]],Parameters[PROJECT TYPE],0),MATCH(ProjectDetails[[#Headers],[ADMIN STAFF]],Parameters[#Headers],0))*INDEX('PROJECT PARAMETERS'!$B$12:$H$12,1,MATCH(ProjectDetails[[#Headers],[ADMIN STAFF]],Parameters[#Headers],0))*ProjectDetails[[#This Row],[ACTUAL WORK]]</f>
        <v>1320</v>
      </c>
    </row>
    <row r="6" spans="1:23" x14ac:dyDescent="0.2">
      <c r="B6" s="20" t="s">
        <v>52</v>
      </c>
      <c r="C6" s="20" t="s">
        <v>4</v>
      </c>
      <c r="D6" s="21">
        <f ca="1">DATE(YEAR(TODAY())+1,6,25)</f>
        <v>43641</v>
      </c>
      <c r="E6" s="21">
        <f ca="1">DATE(YEAR(TODAY())+1,7,27)</f>
        <v>43673</v>
      </c>
      <c r="F6" s="21">
        <f ca="1">DATE(YEAR(TODAY()),7,15)</f>
        <v>43296</v>
      </c>
      <c r="G6" s="21">
        <f ca="1">DATE(YEAR(TODAY())+1,8,25)</f>
        <v>43702</v>
      </c>
      <c r="H6" s="20">
        <v>400</v>
      </c>
      <c r="I6" s="20">
        <v>390</v>
      </c>
      <c r="J6" s="20">
        <f ca="1">DAYS360(ProjectDetails[[#This Row],[ESTIMATED START]],ProjectDetails[[#This Row],[ESTIMATED FINISH]],FALSE)</f>
        <v>32</v>
      </c>
      <c r="K6" s="20">
        <f ca="1">DAYS360(ProjectDetails[[#This Row],[ACTUAL START]],ProjectDetails[[#This Row],[ACTUAL FINISH]],FALSE)</f>
        <v>400</v>
      </c>
      <c r="L6" s="22">
        <f>INDEX(Parameters[],MATCH(ProjectDetails[[#This Row],[PROJECT TYPE]],Parameters[PROJECT TYPE],0),MATCH(ProjectDetails[[#Headers],[ACCOUNT MANAGER]],Parameters[#Headers],0))*INDEX('PROJECT PARAMETERS'!$B$12:$H$12,1,MATCH(ProjectDetails[[#Headers],[ACCOUNT MANAGER]],Parameters[#Headers],0))*ProjectDetails[[#This Row],[ESTIMATED WORK]]</f>
        <v>14400</v>
      </c>
      <c r="M6" s="22">
        <f>INDEX(Parameters[],MATCH(ProjectDetails[[#This Row],[PROJECT TYPE]],Parameters[PROJECT TYPE],0),MATCH(ProjectDetails[[#Headers],[PROJECT MANAGER]],Parameters[#Headers],0))*INDEX('PROJECT PARAMETERS'!$B$12:$H$12,1,MATCH(ProjectDetails[[#Headers],[PROJECT MANAGER]],Parameters[#Headers],0))*ProjectDetails[[#This Row],[ESTIMATED WORK]]</f>
        <v>24000</v>
      </c>
      <c r="N6" s="22">
        <f>INDEX(Parameters[],MATCH(ProjectDetails[[#This Row],[PROJECT TYPE]],Parameters[PROJECT TYPE],0),MATCH(ProjectDetails[[#Headers],[STRATEGY MANAGER]],Parameters[#Headers],0))*INDEX('PROJECT PARAMETERS'!$B$12:$H$12,1,MATCH(ProjectDetails[[#Headers],[STRATEGY MANAGER]],Parameters[#Headers],0))*ProjectDetails[[#This Row],[ESTIMATED WORK]]</f>
        <v>6000</v>
      </c>
      <c r="O6" s="22">
        <f>INDEX(Parameters[],MATCH(ProjectDetails[[#This Row],[PROJECT TYPE]],Parameters[PROJECT TYPE],0),MATCH(ProjectDetails[[#Headers],[DESIGN SPECIALIST]],Parameters[#Headers],0))*INDEX('PROJECT PARAMETERS'!$B$12:$H$12,1,MATCH(ProjectDetails[[#Headers],[DESIGN SPECIALIST]],Parameters[#Headers],0))*ProjectDetails[[#This Row],[ESTIMATED WORK]]</f>
        <v>4000</v>
      </c>
      <c r="P6" s="22">
        <f>INDEX(Parameters[],MATCH(ProjectDetails[[#This Row],[PROJECT TYPE]],Parameters[PROJECT TYPE],0),MATCH(ProjectDetails[[#Headers],[EVENT STAFF]],Parameters[#Headers],0))*INDEX('PROJECT PARAMETERS'!$B$12:$H$12,1,MATCH(ProjectDetails[[#Headers],[EVENT STAFF]],Parameters[#Headers],0))*ProjectDetails[[#This Row],[ESTIMATED WORK]]</f>
        <v>0</v>
      </c>
      <c r="Q6" s="22">
        <f>INDEX(Parameters[],MATCH(ProjectDetails[[#This Row],[PROJECT TYPE]],Parameters[PROJECT TYPE],0),MATCH(ProjectDetails[[#Headers],[ADMIN STAFF]],Parameters[#Headers],0))*INDEX('PROJECT PARAMETERS'!$B$12:$H$12,1,MATCH(ProjectDetails[[#Headers],[ADMIN STAFF]],Parameters[#Headers],0))*ProjectDetails[[#This Row],[ESTIMATED WORK]]</f>
        <v>2400</v>
      </c>
      <c r="R6" s="22">
        <f>INDEX(Parameters[],MATCH(ProjectDetails[[#This Row],[PROJECT TYPE]],Parameters[PROJECT TYPE],0),MATCH(ProjectDetails[[#Headers],[ACCOUNT MANAGER]],Parameters[#Headers],0))*INDEX('PROJECT PARAMETERS'!$B$12:$H$12,1,MATCH(ProjectDetails[[#Headers],[ACCOUNT MANAGER]],Parameters[#Headers],0))*ProjectDetails[[#This Row],[ACTUAL WORK]]</f>
        <v>14040</v>
      </c>
      <c r="S6" s="22">
        <f>INDEX(Parameters[],MATCH(ProjectDetails[[#This Row],[PROJECT TYPE]],Parameters[PROJECT TYPE],0),MATCH(ProjectDetails[[#Headers],[PROJECT MANAGER]],Parameters[#Headers],0))*INDEX('PROJECT PARAMETERS'!$B$12:$H$12,1,MATCH(ProjectDetails[[#Headers],[PROJECT MANAGER]],Parameters[#Headers],0))*ProjectDetails[[#This Row],[ACTUAL WORK]]</f>
        <v>23400</v>
      </c>
      <c r="T6" s="22">
        <f>INDEX(Parameters[],MATCH(ProjectDetails[[#This Row],[PROJECT TYPE]],Parameters[PROJECT TYPE],0),MATCH(ProjectDetails[[#Headers],[STRATEGY MANAGER]],Parameters[#Headers],0))*INDEX('PROJECT PARAMETERS'!$B$12:$H$12,1,MATCH(ProjectDetails[[#Headers],[STRATEGY MANAGER]],Parameters[#Headers],0))*ProjectDetails[[#This Row],[ACTUAL WORK]]</f>
        <v>5850</v>
      </c>
      <c r="U6" s="22">
        <f>INDEX(Parameters[],MATCH(ProjectDetails[[#This Row],[PROJECT TYPE]],Parameters[PROJECT TYPE],0),MATCH(ProjectDetails[[#Headers],[DESIGN SPECIALIST]],Parameters[#Headers],0))*INDEX('PROJECT PARAMETERS'!$B$12:$H$12,1,MATCH(ProjectDetails[[#Headers],[DESIGN SPECIALIST]],Parameters[#Headers],0))*ProjectDetails[[#This Row],[ACTUAL WORK]]</f>
        <v>3900</v>
      </c>
      <c r="V6" s="22">
        <f>INDEX(Parameters[],MATCH(ProjectDetails[[#This Row],[PROJECT TYPE]],Parameters[PROJECT TYPE],0),MATCH(ProjectDetails[[#Headers],[EVENT STAFF]],Parameters[#Headers],0))*INDEX('PROJECT PARAMETERS'!$B$12:$H$12,1,MATCH(ProjectDetails[[#Headers],[EVENT STAFF]],Parameters[#Headers],0))*ProjectDetails[[#This Row],[ACTUAL WORK]]</f>
        <v>0</v>
      </c>
      <c r="W6" s="22">
        <f>INDEX(Parameters[],MATCH(ProjectDetails[[#This Row],[PROJECT TYPE]],Parameters[PROJECT TYPE],0),MATCH(ProjectDetails[[#Headers],[ADMIN STAFF]],Parameters[#Headers],0))*INDEX('PROJECT PARAMETERS'!$B$12:$H$12,1,MATCH(ProjectDetails[[#Headers],[ADMIN STAFF]],Parameters[#Headers],0))*ProjectDetails[[#This Row],[ACTUAL WORK]]</f>
        <v>2340</v>
      </c>
    </row>
    <row r="7" spans="1:23" x14ac:dyDescent="0.2">
      <c r="B7" s="20" t="s">
        <v>53</v>
      </c>
      <c r="C7" s="20" t="s">
        <v>5</v>
      </c>
      <c r="D7" s="21">
        <f ca="1">DATE(YEAR(TODAY())+2,7,12)</f>
        <v>44024</v>
      </c>
      <c r="E7" s="21">
        <f ca="1">DATE(YEAR(TODAY())+2,9,19)</f>
        <v>44093</v>
      </c>
      <c r="F7" s="21">
        <v>45876</v>
      </c>
      <c r="G7" s="21">
        <v>45940</v>
      </c>
      <c r="H7" s="20">
        <v>500</v>
      </c>
      <c r="I7" s="20">
        <v>500</v>
      </c>
      <c r="J7" s="20">
        <f ca="1">DAYS360(ProjectDetails[[#This Row],[ESTIMATED START]],ProjectDetails[[#This Row],[ESTIMATED FINISH]],FALSE)</f>
        <v>67</v>
      </c>
      <c r="K7" s="20">
        <f>DAYS360(ProjectDetails[[#This Row],[ACTUAL START]],ProjectDetails[[#This Row],[ACTUAL FINISH]],FALSE)</f>
        <v>63</v>
      </c>
      <c r="L7" s="22">
        <f>INDEX(Parameters[],MATCH(ProjectDetails[[#This Row],[PROJECT TYPE]],Parameters[PROJECT TYPE],0),MATCH(ProjectDetails[[#Headers],[ACCOUNT MANAGER]],Parameters[#Headers],0))*INDEX('PROJECT PARAMETERS'!$B$12:$H$12,1,MATCH(ProjectDetails[[#Headers],[ACCOUNT MANAGER]],Parameters[#Headers],0))*ProjectDetails[[#This Row],[ESTIMATED WORK]]</f>
        <v>18000</v>
      </c>
      <c r="M7" s="22">
        <f>INDEX(Parameters[],MATCH(ProjectDetails[[#This Row],[PROJECT TYPE]],Parameters[PROJECT TYPE],0),MATCH(ProjectDetails[[#Headers],[PROJECT MANAGER]],Parameters[#Headers],0))*INDEX('PROJECT PARAMETERS'!$B$12:$H$12,1,MATCH(ProjectDetails[[#Headers],[PROJECT MANAGER]],Parameters[#Headers],0))*ProjectDetails[[#This Row],[ESTIMATED WORK]]</f>
        <v>12000</v>
      </c>
      <c r="N7" s="22">
        <f>INDEX(Parameters[],MATCH(ProjectDetails[[#This Row],[PROJECT TYPE]],Parameters[PROJECT TYPE],0),MATCH(ProjectDetails[[#Headers],[STRATEGY MANAGER]],Parameters[#Headers],0))*INDEX('PROJECT PARAMETERS'!$B$12:$H$12,1,MATCH(ProjectDetails[[#Headers],[STRATEGY MANAGER]],Parameters[#Headers],0))*ProjectDetails[[#This Row],[ESTIMATED WORK]]</f>
        <v>0</v>
      </c>
      <c r="O7" s="22">
        <f>INDEX(Parameters[],MATCH(ProjectDetails[[#This Row],[PROJECT TYPE]],Parameters[PROJECT TYPE],0),MATCH(ProjectDetails[[#Headers],[DESIGN SPECIALIST]],Parameters[#Headers],0))*INDEX('PROJECT PARAMETERS'!$B$12:$H$12,1,MATCH(ProjectDetails[[#Headers],[DESIGN SPECIALIST]],Parameters[#Headers],0))*ProjectDetails[[#This Row],[ESTIMATED WORK]]</f>
        <v>25000</v>
      </c>
      <c r="P7" s="22">
        <f>INDEX(Parameters[],MATCH(ProjectDetails[[#This Row],[PROJECT TYPE]],Parameters[PROJECT TYPE],0),MATCH(ProjectDetails[[#Headers],[EVENT STAFF]],Parameters[#Headers],0))*INDEX('PROJECT PARAMETERS'!$B$12:$H$12,1,MATCH(ProjectDetails[[#Headers],[EVENT STAFF]],Parameters[#Headers],0))*ProjectDetails[[#This Row],[ESTIMATED WORK]]</f>
        <v>0</v>
      </c>
      <c r="Q7" s="22">
        <f>INDEX(Parameters[],MATCH(ProjectDetails[[#This Row],[PROJECT TYPE]],Parameters[PROJECT TYPE],0),MATCH(ProjectDetails[[#Headers],[ADMIN STAFF]],Parameters[#Headers],0))*INDEX('PROJECT PARAMETERS'!$B$12:$H$12,1,MATCH(ProjectDetails[[#Headers],[ADMIN STAFF]],Parameters[#Headers],0))*ProjectDetails[[#This Row],[ESTIMATED WORK]]</f>
        <v>3000</v>
      </c>
      <c r="R7" s="22">
        <f>INDEX(Parameters[],MATCH(ProjectDetails[[#This Row],[PROJECT TYPE]],Parameters[PROJECT TYPE],0),MATCH(ProjectDetails[[#Headers],[ACCOUNT MANAGER]],Parameters[#Headers],0))*INDEX('PROJECT PARAMETERS'!$B$12:$H$12,1,MATCH(ProjectDetails[[#Headers],[ACCOUNT MANAGER]],Parameters[#Headers],0))*ProjectDetails[[#This Row],[ACTUAL WORK]]</f>
        <v>18000</v>
      </c>
      <c r="S7" s="22">
        <f>INDEX(Parameters[],MATCH(ProjectDetails[[#This Row],[PROJECT TYPE]],Parameters[PROJECT TYPE],0),MATCH(ProjectDetails[[#Headers],[PROJECT MANAGER]],Parameters[#Headers],0))*INDEX('PROJECT PARAMETERS'!$B$12:$H$12,1,MATCH(ProjectDetails[[#Headers],[PROJECT MANAGER]],Parameters[#Headers],0))*ProjectDetails[[#This Row],[ACTUAL WORK]]</f>
        <v>12000</v>
      </c>
      <c r="T7" s="22">
        <f>INDEX(Parameters[],MATCH(ProjectDetails[[#This Row],[PROJECT TYPE]],Parameters[PROJECT TYPE],0),MATCH(ProjectDetails[[#Headers],[STRATEGY MANAGER]],Parameters[#Headers],0))*INDEX('PROJECT PARAMETERS'!$B$12:$H$12,1,MATCH(ProjectDetails[[#Headers],[STRATEGY MANAGER]],Parameters[#Headers],0))*ProjectDetails[[#This Row],[ACTUAL WORK]]</f>
        <v>0</v>
      </c>
      <c r="U7" s="22">
        <f>INDEX(Parameters[],MATCH(ProjectDetails[[#This Row],[PROJECT TYPE]],Parameters[PROJECT TYPE],0),MATCH(ProjectDetails[[#Headers],[DESIGN SPECIALIST]],Parameters[#Headers],0))*INDEX('PROJECT PARAMETERS'!$B$12:$H$12,1,MATCH(ProjectDetails[[#Headers],[DESIGN SPECIALIST]],Parameters[#Headers],0))*ProjectDetails[[#This Row],[ACTUAL WORK]]</f>
        <v>25000</v>
      </c>
      <c r="V7" s="22">
        <f>INDEX(Parameters[],MATCH(ProjectDetails[[#This Row],[PROJECT TYPE]],Parameters[PROJECT TYPE],0),MATCH(ProjectDetails[[#Headers],[EVENT STAFF]],Parameters[#Headers],0))*INDEX('PROJECT PARAMETERS'!$B$12:$H$12,1,MATCH(ProjectDetails[[#Headers],[EVENT STAFF]],Parameters[#Headers],0))*ProjectDetails[[#This Row],[ACTUAL WORK]]</f>
        <v>0</v>
      </c>
      <c r="W7" s="22">
        <f>INDEX(Parameters[],MATCH(ProjectDetails[[#This Row],[PROJECT TYPE]],Parameters[PROJECT TYPE],0),MATCH(ProjectDetails[[#Headers],[ADMIN STAFF]],Parameters[#Headers],0))*INDEX('PROJECT PARAMETERS'!$B$12:$H$12,1,MATCH(ProjectDetails[[#Headers],[ADMIN STAFF]],Parameters[#Headers],0))*ProjectDetails[[#This Row],[ACTUAL WORK]]</f>
        <v>3000</v>
      </c>
    </row>
    <row r="8" spans="1:23" x14ac:dyDescent="0.2">
      <c r="B8" s="20" t="s">
        <v>54</v>
      </c>
      <c r="C8" s="20" t="s">
        <v>6</v>
      </c>
      <c r="D8" s="21">
        <f ca="1">DATE(YEAR(TODAY())+3,7,30)</f>
        <v>44407</v>
      </c>
      <c r="E8" s="21">
        <f ca="1">DATE(YEAR(TODAY())+3,9,28)</f>
        <v>44467</v>
      </c>
      <c r="F8" s="21">
        <f ca="1">DATE(YEAR(TODAY())+3,9,14)</f>
        <v>44453</v>
      </c>
      <c r="G8" s="21">
        <f ca="1">DATE(YEAR(TODAY())+3,11,13)</f>
        <v>44513</v>
      </c>
      <c r="H8" s="20">
        <v>150</v>
      </c>
      <c r="I8" s="20">
        <v>145</v>
      </c>
      <c r="J8" s="20">
        <f ca="1">DAYS360(ProjectDetails[[#This Row],[ESTIMATED START]],ProjectDetails[[#This Row],[ESTIMATED FINISH]],FALSE)</f>
        <v>58</v>
      </c>
      <c r="K8" s="20">
        <f ca="1">DAYS360(ProjectDetails[[#This Row],[ACTUAL START]],ProjectDetails[[#This Row],[ACTUAL FINISH]],FALSE)</f>
        <v>59</v>
      </c>
      <c r="L8" s="22">
        <f>INDEX(Parameters[],MATCH(ProjectDetails[[#This Row],[PROJECT TYPE]],Parameters[PROJECT TYPE],0),MATCH(ProjectDetails[[#Headers],[ACCOUNT MANAGER]],Parameters[#Headers],0))*INDEX('PROJECT PARAMETERS'!$B$12:$H$12,1,MATCH(ProjectDetails[[#Headers],[ACCOUNT MANAGER]],Parameters[#Headers],0))*ProjectDetails[[#This Row],[ESTIMATED WORK]]</f>
        <v>5400</v>
      </c>
      <c r="M8" s="22">
        <f>INDEX(Parameters[],MATCH(ProjectDetails[[#This Row],[PROJECT TYPE]],Parameters[PROJECT TYPE],0),MATCH(ProjectDetails[[#Headers],[PROJECT MANAGER]],Parameters[#Headers],0))*INDEX('PROJECT PARAMETERS'!$B$12:$H$12,1,MATCH(ProjectDetails[[#Headers],[PROJECT MANAGER]],Parameters[#Headers],0))*ProjectDetails[[#This Row],[ESTIMATED WORK]]</f>
        <v>10800</v>
      </c>
      <c r="N8" s="22">
        <f>INDEX(Parameters[],MATCH(ProjectDetails[[#This Row],[PROJECT TYPE]],Parameters[PROJECT TYPE],0),MATCH(ProjectDetails[[#Headers],[STRATEGY MANAGER]],Parameters[#Headers],0))*INDEX('PROJECT PARAMETERS'!$B$12:$H$12,1,MATCH(ProjectDetails[[#Headers],[STRATEGY MANAGER]],Parameters[#Headers],0))*ProjectDetails[[#This Row],[ESTIMATED WORK]]</f>
        <v>0</v>
      </c>
      <c r="O8" s="22">
        <f>INDEX(Parameters[],MATCH(ProjectDetails[[#This Row],[PROJECT TYPE]],Parameters[PROJECT TYPE],0),MATCH(ProjectDetails[[#Headers],[DESIGN SPECIALIST]],Parameters[#Headers],0))*INDEX('PROJECT PARAMETERS'!$B$12:$H$12,1,MATCH(ProjectDetails[[#Headers],[DESIGN SPECIALIST]],Parameters[#Headers],0))*ProjectDetails[[#This Row],[ESTIMATED WORK]]</f>
        <v>0</v>
      </c>
      <c r="P8" s="22">
        <f>INDEX(Parameters[],MATCH(ProjectDetails[[#This Row],[PROJECT TYPE]],Parameters[PROJECT TYPE],0),MATCH(ProjectDetails[[#Headers],[EVENT STAFF]],Parameters[#Headers],0))*INDEX('PROJECT PARAMETERS'!$B$12:$H$12,1,MATCH(ProjectDetails[[#Headers],[EVENT STAFF]],Parameters[#Headers],0))*ProjectDetails[[#This Row],[ESTIMATED WORK]]</f>
        <v>1200</v>
      </c>
      <c r="Q8" s="22">
        <f>INDEX(Parameters[],MATCH(ProjectDetails[[#This Row],[PROJECT TYPE]],Parameters[PROJECT TYPE],0),MATCH(ProjectDetails[[#Headers],[ADMIN STAFF]],Parameters[#Headers],0))*INDEX('PROJECT PARAMETERS'!$B$12:$H$12,1,MATCH(ProjectDetails[[#Headers],[ADMIN STAFF]],Parameters[#Headers],0))*ProjectDetails[[#This Row],[ESTIMATED WORK]]</f>
        <v>900</v>
      </c>
      <c r="R8" s="22">
        <f>INDEX(Parameters[],MATCH(ProjectDetails[[#This Row],[PROJECT TYPE]],Parameters[PROJECT TYPE],0),MATCH(ProjectDetails[[#Headers],[ACCOUNT MANAGER]],Parameters[#Headers],0))*INDEX('PROJECT PARAMETERS'!$B$12:$H$12,1,MATCH(ProjectDetails[[#Headers],[ACCOUNT MANAGER]],Parameters[#Headers],0))*ProjectDetails[[#This Row],[ACTUAL WORK]]</f>
        <v>5220</v>
      </c>
      <c r="S8" s="22">
        <f>INDEX(Parameters[],MATCH(ProjectDetails[[#This Row],[PROJECT TYPE]],Parameters[PROJECT TYPE],0),MATCH(ProjectDetails[[#Headers],[PROJECT MANAGER]],Parameters[#Headers],0))*INDEX('PROJECT PARAMETERS'!$B$12:$H$12,1,MATCH(ProjectDetails[[#Headers],[PROJECT MANAGER]],Parameters[#Headers],0))*ProjectDetails[[#This Row],[ACTUAL WORK]]</f>
        <v>10440</v>
      </c>
      <c r="T8" s="22">
        <f>INDEX(Parameters[],MATCH(ProjectDetails[[#This Row],[PROJECT TYPE]],Parameters[PROJECT TYPE],0),MATCH(ProjectDetails[[#Headers],[STRATEGY MANAGER]],Parameters[#Headers],0))*INDEX('PROJECT PARAMETERS'!$B$12:$H$12,1,MATCH(ProjectDetails[[#Headers],[STRATEGY MANAGER]],Parameters[#Headers],0))*ProjectDetails[[#This Row],[ACTUAL WORK]]</f>
        <v>0</v>
      </c>
      <c r="U8" s="22">
        <f>INDEX(Parameters[],MATCH(ProjectDetails[[#This Row],[PROJECT TYPE]],Parameters[PROJECT TYPE],0),MATCH(ProjectDetails[[#Headers],[DESIGN SPECIALIST]],Parameters[#Headers],0))*INDEX('PROJECT PARAMETERS'!$B$12:$H$12,1,MATCH(ProjectDetails[[#Headers],[DESIGN SPECIALIST]],Parameters[#Headers],0))*ProjectDetails[[#This Row],[ACTUAL WORK]]</f>
        <v>0</v>
      </c>
      <c r="V8" s="22">
        <f>INDEX(Parameters[],MATCH(ProjectDetails[[#This Row],[PROJECT TYPE]],Parameters[PROJECT TYPE],0),MATCH(ProjectDetails[[#Headers],[EVENT STAFF]],Parameters[#Headers],0))*INDEX('PROJECT PARAMETERS'!$B$12:$H$12,1,MATCH(ProjectDetails[[#Headers],[EVENT STAFF]],Parameters[#Headers],0))*ProjectDetails[[#This Row],[ACTUAL WORK]]</f>
        <v>1160</v>
      </c>
      <c r="W8" s="22">
        <f>INDEX(Parameters[],MATCH(ProjectDetails[[#This Row],[PROJECT TYPE]],Parameters[PROJECT TYPE],0),MATCH(ProjectDetails[[#Headers],[ADMIN STAFF]],Parameters[#Headers],0))*INDEX('PROJECT PARAMETERS'!$B$12:$H$12,1,MATCH(ProjectDetails[[#Headers],[ADMIN STAFF]],Parameters[#Headers],0))*ProjectDetails[[#This Row],[ACTUAL WORK]]</f>
        <v>870</v>
      </c>
    </row>
    <row r="9" spans="1:23" x14ac:dyDescent="0.2">
      <c r="B9" s="20" t="s">
        <v>55</v>
      </c>
      <c r="C9" s="20" t="s">
        <v>7</v>
      </c>
      <c r="D9" s="21">
        <f ca="1">DATE(YEAR(TODAY())+4,8,11)</f>
        <v>44784</v>
      </c>
      <c r="E9" s="21">
        <f ca="1">DATE(YEAR(TODAY())+4,8,21)</f>
        <v>44794</v>
      </c>
      <c r="F9" s="21">
        <f ca="1">DATE(YEAR(TODAY())+4,9,14)</f>
        <v>44818</v>
      </c>
      <c r="G9" s="21">
        <f ca="1">DATE(YEAR(TODAY())+4,9,25)</f>
        <v>44829</v>
      </c>
      <c r="H9" s="20">
        <v>250</v>
      </c>
      <c r="I9" s="20">
        <v>255</v>
      </c>
      <c r="J9" s="20">
        <f ca="1">DAYS360(ProjectDetails[[#This Row],[ESTIMATED START]],ProjectDetails[[#This Row],[ESTIMATED FINISH]],FALSE)</f>
        <v>10</v>
      </c>
      <c r="K9" s="20">
        <f ca="1">DAYS360(ProjectDetails[[#This Row],[ACTUAL START]],ProjectDetails[[#This Row],[ACTUAL FINISH]],FALSE)</f>
        <v>11</v>
      </c>
      <c r="L9" s="22">
        <f>INDEX(Parameters[],MATCH(ProjectDetails[[#This Row],[PROJECT TYPE]],Parameters[PROJECT TYPE],0),MATCH(ProjectDetails[[#Headers],[ACCOUNT MANAGER]],Parameters[#Headers],0))*INDEX('PROJECT PARAMETERS'!$B$12:$H$12,1,MATCH(ProjectDetails[[#Headers],[ACCOUNT MANAGER]],Parameters[#Headers],0))*ProjectDetails[[#This Row],[ESTIMATED WORK]]</f>
        <v>9000</v>
      </c>
      <c r="M9" s="22">
        <f>INDEX(Parameters[],MATCH(ProjectDetails[[#This Row],[PROJECT TYPE]],Parameters[PROJECT TYPE],0),MATCH(ProjectDetails[[#Headers],[PROJECT MANAGER]],Parameters[#Headers],0))*INDEX('PROJECT PARAMETERS'!$B$12:$H$12,1,MATCH(ProjectDetails[[#Headers],[PROJECT MANAGER]],Parameters[#Headers],0))*ProjectDetails[[#This Row],[ESTIMATED WORK]]</f>
        <v>3000</v>
      </c>
      <c r="N9" s="22">
        <f>INDEX(Parameters[],MATCH(ProjectDetails[[#This Row],[PROJECT TYPE]],Parameters[PROJECT TYPE],0),MATCH(ProjectDetails[[#Headers],[STRATEGY MANAGER]],Parameters[#Headers],0))*INDEX('PROJECT PARAMETERS'!$B$12:$H$12,1,MATCH(ProjectDetails[[#Headers],[STRATEGY MANAGER]],Parameters[#Headers],0))*ProjectDetails[[#This Row],[ESTIMATED WORK]]</f>
        <v>0</v>
      </c>
      <c r="O9" s="22">
        <f>INDEX(Parameters[],MATCH(ProjectDetails[[#This Row],[PROJECT TYPE]],Parameters[PROJECT TYPE],0),MATCH(ProjectDetails[[#Headers],[DESIGN SPECIALIST]],Parameters[#Headers],0))*INDEX('PROJECT PARAMETERS'!$B$12:$H$12,1,MATCH(ProjectDetails[[#Headers],[DESIGN SPECIALIST]],Parameters[#Headers],0))*ProjectDetails[[#This Row],[ESTIMATED WORK]]</f>
        <v>0</v>
      </c>
      <c r="P9" s="22">
        <f>INDEX(Parameters[],MATCH(ProjectDetails[[#This Row],[PROJECT TYPE]],Parameters[PROJECT TYPE],0),MATCH(ProjectDetails[[#Headers],[EVENT STAFF]],Parameters[#Headers],0))*INDEX('PROJECT PARAMETERS'!$B$12:$H$12,1,MATCH(ProjectDetails[[#Headers],[EVENT STAFF]],Parameters[#Headers],0))*ProjectDetails[[#This Row],[ESTIMATED WORK]]</f>
        <v>12000</v>
      </c>
      <c r="Q9" s="22">
        <f>INDEX(Parameters[],MATCH(ProjectDetails[[#This Row],[PROJECT TYPE]],Parameters[PROJECT TYPE],0),MATCH(ProjectDetails[[#Headers],[ADMIN STAFF]],Parameters[#Headers],0))*INDEX('PROJECT PARAMETERS'!$B$12:$H$12,1,MATCH(ProjectDetails[[#Headers],[ADMIN STAFF]],Parameters[#Headers],0))*ProjectDetails[[#This Row],[ESTIMATED WORK]]</f>
        <v>1500</v>
      </c>
      <c r="R9" s="22">
        <f>INDEX(Parameters[],MATCH(ProjectDetails[[#This Row],[PROJECT TYPE]],Parameters[PROJECT TYPE],0),MATCH(ProjectDetails[[#Headers],[ACCOUNT MANAGER]],Parameters[#Headers],0))*INDEX('PROJECT PARAMETERS'!$B$12:$H$12,1,MATCH(ProjectDetails[[#Headers],[ACCOUNT MANAGER]],Parameters[#Headers],0))*ProjectDetails[[#This Row],[ACTUAL WORK]]</f>
        <v>9180</v>
      </c>
      <c r="S9" s="22">
        <f>INDEX(Parameters[],MATCH(ProjectDetails[[#This Row],[PROJECT TYPE]],Parameters[PROJECT TYPE],0),MATCH(ProjectDetails[[#Headers],[PROJECT MANAGER]],Parameters[#Headers],0))*INDEX('PROJECT PARAMETERS'!$B$12:$H$12,1,MATCH(ProjectDetails[[#Headers],[PROJECT MANAGER]],Parameters[#Headers],0))*ProjectDetails[[#This Row],[ACTUAL WORK]]</f>
        <v>3060</v>
      </c>
      <c r="T9" s="22">
        <f>INDEX(Parameters[],MATCH(ProjectDetails[[#This Row],[PROJECT TYPE]],Parameters[PROJECT TYPE],0),MATCH(ProjectDetails[[#Headers],[STRATEGY MANAGER]],Parameters[#Headers],0))*INDEX('PROJECT PARAMETERS'!$B$12:$H$12,1,MATCH(ProjectDetails[[#Headers],[STRATEGY MANAGER]],Parameters[#Headers],0))*ProjectDetails[[#This Row],[ACTUAL WORK]]</f>
        <v>0</v>
      </c>
      <c r="U9" s="22">
        <f>INDEX(Parameters[],MATCH(ProjectDetails[[#This Row],[PROJECT TYPE]],Parameters[PROJECT TYPE],0),MATCH(ProjectDetails[[#Headers],[DESIGN SPECIALIST]],Parameters[#Headers],0))*INDEX('PROJECT PARAMETERS'!$B$12:$H$12,1,MATCH(ProjectDetails[[#Headers],[DESIGN SPECIALIST]],Parameters[#Headers],0))*ProjectDetails[[#This Row],[ACTUAL WORK]]</f>
        <v>0</v>
      </c>
      <c r="V9" s="22">
        <f>INDEX(Parameters[],MATCH(ProjectDetails[[#This Row],[PROJECT TYPE]],Parameters[PROJECT TYPE],0),MATCH(ProjectDetails[[#Headers],[EVENT STAFF]],Parameters[#Headers],0))*INDEX('PROJECT PARAMETERS'!$B$12:$H$12,1,MATCH(ProjectDetails[[#Headers],[EVENT STAFF]],Parameters[#Headers],0))*ProjectDetails[[#This Row],[ACTUAL WORK]]</f>
        <v>12240</v>
      </c>
      <c r="W9" s="22">
        <f>INDEX(Parameters[],MATCH(ProjectDetails[[#This Row],[PROJECT TYPE]],Parameters[PROJECT TYPE],0),MATCH(ProjectDetails[[#Headers],[ADMIN STAFF]],Parameters[#Headers],0))*INDEX('PROJECT PARAMETERS'!$B$12:$H$12,1,MATCH(ProjectDetails[[#Headers],[ADMIN STAFF]],Parameters[#Headers],0))*ProjectDetails[[#This Row],[ACTUAL WORK]]</f>
        <v>1530</v>
      </c>
    </row>
    <row r="10" spans="1:23" x14ac:dyDescent="0.2">
      <c r="B10" s="23" t="s">
        <v>10</v>
      </c>
      <c r="C10" s="23"/>
      <c r="D10" s="23"/>
      <c r="E10" s="23"/>
      <c r="F10" s="23"/>
      <c r="G10" s="23"/>
      <c r="H10" s="23">
        <f>SUBTOTAL(109,ProjectDetails[ESTIMATED WORK])</f>
        <v>1500</v>
      </c>
      <c r="I10" s="23">
        <f>SUBTOTAL(109,ProjectDetails[ACTUAL WORK])</f>
        <v>1510</v>
      </c>
      <c r="J10" s="23">
        <f ca="1">SUBTOTAL(109,ProjectDetails[ESTIMATED DURATION])</f>
        <v>225</v>
      </c>
      <c r="K10" s="23">
        <f ca="1">SUBTOTAL(109,ProjectDetails[ACTUAL DURATION])</f>
        <v>597</v>
      </c>
      <c r="L10" s="23"/>
      <c r="M10" s="23"/>
      <c r="N10" s="23"/>
      <c r="O10" s="23"/>
      <c r="P10" s="23"/>
      <c r="Q10" s="23"/>
      <c r="R10" s="23"/>
      <c r="S10" s="23"/>
      <c r="T10" s="23"/>
      <c r="U10" s="23"/>
      <c r="V10" s="23"/>
      <c r="W10" s="23"/>
    </row>
  </sheetData>
  <dataValidations count="1">
    <dataValidation type="list" allowBlank="1" showInputMessage="1" showErrorMessage="1" sqref="C5:C9">
      <formula1>ProjectType</formula1>
    </dataValidation>
  </dataValidations>
  <printOptions horizontalCentered="1"/>
  <pageMargins left="0.4" right="0.4" top="0.4" bottom="0.4" header="0.3" footer="0.3"/>
  <pageSetup scale="95" fitToHeight="0" orientation="landscape" horizontalDpi="4294967293" verticalDpi="0" r:id="rId1"/>
  <headerFooter differentFirst="1">
    <oddFooter>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pageSetUpPr fitToPage="1"/>
  </sheetPr>
  <dimension ref="A1:N27"/>
  <sheetViews>
    <sheetView showGridLines="0" workbookViewId="0"/>
  </sheetViews>
  <sheetFormatPr defaultColWidth="9.140625" defaultRowHeight="14.25" x14ac:dyDescent="0.2"/>
  <cols>
    <col min="1" max="1" width="1.7109375" style="14" customWidth="1"/>
    <col min="2" max="2" width="16" style="1" bestFit="1" customWidth="1"/>
    <col min="3" max="6" width="10.85546875" style="1" bestFit="1" customWidth="1"/>
    <col min="7" max="7" width="10.85546875" style="1" customWidth="1"/>
    <col min="8" max="8" width="12.42578125" style="1" customWidth="1"/>
    <col min="9" max="12" width="10.85546875" style="1" bestFit="1" customWidth="1"/>
    <col min="13" max="13" width="12.140625" style="1" customWidth="1"/>
    <col min="14" max="14" width="12.42578125" style="1" customWidth="1"/>
    <col min="15" max="15" width="2.7109375" style="1" customWidth="1"/>
    <col min="16" max="16384" width="9.140625" style="1"/>
  </cols>
  <sheetData>
    <row r="1" spans="1:14" ht="35.450000000000003" customHeight="1" x14ac:dyDescent="0.35">
      <c r="A1" s="14" t="s">
        <v>71</v>
      </c>
      <c r="B1" s="2" t="str">
        <f>'PROJECT PARAMETERS'!B1</f>
        <v>Company Name</v>
      </c>
      <c r="C1" s="2"/>
      <c r="D1" s="2"/>
      <c r="E1" s="2"/>
      <c r="F1" s="2"/>
      <c r="G1" s="2"/>
      <c r="H1" s="2"/>
      <c r="I1" s="2"/>
      <c r="J1" s="2"/>
      <c r="K1" s="2"/>
    </row>
    <row r="2" spans="1:14" ht="19.5" x14ac:dyDescent="0.25">
      <c r="A2" s="14" t="s">
        <v>62</v>
      </c>
      <c r="B2" s="3" t="s">
        <v>0</v>
      </c>
      <c r="C2" s="3"/>
      <c r="D2" s="3"/>
      <c r="E2" s="3"/>
      <c r="F2" s="3"/>
      <c r="G2" s="3"/>
      <c r="H2" s="3"/>
      <c r="I2" s="3"/>
      <c r="J2" s="3"/>
      <c r="K2" s="3"/>
    </row>
    <row r="3" spans="1:14" s="24" customFormat="1" ht="29.25" customHeight="1" x14ac:dyDescent="0.2">
      <c r="A3" s="29" t="s">
        <v>63</v>
      </c>
      <c r="B3" s="25" t="str">
        <f>'PROJECT PARAMETERS'!B3</f>
        <v>Company Name Confidential</v>
      </c>
      <c r="C3" s="25"/>
      <c r="D3" s="25"/>
      <c r="E3" s="25"/>
      <c r="F3" s="25"/>
      <c r="G3" s="25"/>
      <c r="H3" s="25"/>
      <c r="I3" s="25"/>
      <c r="J3" s="25"/>
      <c r="K3" s="25"/>
    </row>
    <row r="4" spans="1:14" s="13" customFormat="1" ht="38.25" x14ac:dyDescent="0.2">
      <c r="A4" s="28" t="s">
        <v>75</v>
      </c>
      <c r="B4" s="11" t="s">
        <v>13</v>
      </c>
      <c r="C4" s="12" t="s">
        <v>34</v>
      </c>
      <c r="D4" s="12" t="s">
        <v>35</v>
      </c>
      <c r="E4" s="12" t="s">
        <v>36</v>
      </c>
      <c r="F4" s="12" t="s">
        <v>37</v>
      </c>
      <c r="G4" s="12" t="s">
        <v>38</v>
      </c>
      <c r="H4" s="12" t="s">
        <v>39</v>
      </c>
      <c r="I4" s="12" t="s">
        <v>40</v>
      </c>
      <c r="J4" s="12" t="s">
        <v>41</v>
      </c>
      <c r="K4" s="12" t="s">
        <v>42</v>
      </c>
      <c r="L4" s="12" t="s">
        <v>43</v>
      </c>
      <c r="M4" s="12" t="s">
        <v>44</v>
      </c>
      <c r="N4" s="12" t="s">
        <v>45</v>
      </c>
    </row>
    <row r="5" spans="1:14" x14ac:dyDescent="0.2">
      <c r="B5" t="s">
        <v>51</v>
      </c>
      <c r="C5" s="10">
        <v>7200</v>
      </c>
      <c r="D5" s="10">
        <v>2400</v>
      </c>
      <c r="E5" s="10">
        <v>18000</v>
      </c>
      <c r="F5" s="10">
        <v>0</v>
      </c>
      <c r="G5" s="10">
        <v>0</v>
      </c>
      <c r="H5" s="10">
        <v>1200</v>
      </c>
      <c r="I5" s="10">
        <v>7920</v>
      </c>
      <c r="J5" s="10">
        <v>2640</v>
      </c>
      <c r="K5" s="10">
        <v>19800</v>
      </c>
      <c r="L5" s="10">
        <v>0</v>
      </c>
      <c r="M5" s="10">
        <v>0</v>
      </c>
      <c r="N5" s="10">
        <v>1320</v>
      </c>
    </row>
    <row r="6" spans="1:14" x14ac:dyDescent="0.2">
      <c r="B6" t="s">
        <v>52</v>
      </c>
      <c r="C6" s="10">
        <v>14400</v>
      </c>
      <c r="D6" s="10">
        <v>24000</v>
      </c>
      <c r="E6" s="10">
        <v>6000</v>
      </c>
      <c r="F6" s="10">
        <v>4000</v>
      </c>
      <c r="G6" s="10">
        <v>0</v>
      </c>
      <c r="H6" s="10">
        <v>2400</v>
      </c>
      <c r="I6" s="10">
        <v>14040</v>
      </c>
      <c r="J6" s="10">
        <v>23400</v>
      </c>
      <c r="K6" s="10">
        <v>5850</v>
      </c>
      <c r="L6" s="10">
        <v>3900</v>
      </c>
      <c r="M6" s="10">
        <v>0</v>
      </c>
      <c r="N6" s="10">
        <v>2340</v>
      </c>
    </row>
    <row r="7" spans="1:14" x14ac:dyDescent="0.2">
      <c r="B7" t="s">
        <v>53</v>
      </c>
      <c r="C7" s="10">
        <v>18000</v>
      </c>
      <c r="D7" s="10">
        <v>12000</v>
      </c>
      <c r="E7" s="10">
        <v>0</v>
      </c>
      <c r="F7" s="10">
        <v>25000</v>
      </c>
      <c r="G7" s="10">
        <v>0</v>
      </c>
      <c r="H7" s="10">
        <v>3000</v>
      </c>
      <c r="I7" s="10">
        <v>18000</v>
      </c>
      <c r="J7" s="10">
        <v>12000</v>
      </c>
      <c r="K7" s="10">
        <v>0</v>
      </c>
      <c r="L7" s="10">
        <v>25000</v>
      </c>
      <c r="M7" s="10">
        <v>0</v>
      </c>
      <c r="N7" s="10">
        <v>3000</v>
      </c>
    </row>
    <row r="8" spans="1:14" x14ac:dyDescent="0.2">
      <c r="B8" t="s">
        <v>54</v>
      </c>
      <c r="C8" s="10">
        <v>5400</v>
      </c>
      <c r="D8" s="10">
        <v>10800</v>
      </c>
      <c r="E8" s="10">
        <v>0</v>
      </c>
      <c r="F8" s="10">
        <v>0</v>
      </c>
      <c r="G8" s="10">
        <v>1200</v>
      </c>
      <c r="H8" s="10">
        <v>900</v>
      </c>
      <c r="I8" s="10">
        <v>5220</v>
      </c>
      <c r="J8" s="10">
        <v>10440</v>
      </c>
      <c r="K8" s="10">
        <v>0</v>
      </c>
      <c r="L8" s="10">
        <v>0</v>
      </c>
      <c r="M8" s="10">
        <v>1160</v>
      </c>
      <c r="N8" s="10">
        <v>870</v>
      </c>
    </row>
    <row r="9" spans="1:14" x14ac:dyDescent="0.2">
      <c r="B9" t="s">
        <v>55</v>
      </c>
      <c r="C9" s="10">
        <v>9000</v>
      </c>
      <c r="D9" s="10">
        <v>3000</v>
      </c>
      <c r="E9" s="10">
        <v>0</v>
      </c>
      <c r="F9" s="10">
        <v>0</v>
      </c>
      <c r="G9" s="10">
        <v>12000</v>
      </c>
      <c r="H9" s="10">
        <v>1500</v>
      </c>
      <c r="I9" s="10">
        <v>9180</v>
      </c>
      <c r="J9" s="10">
        <v>3060</v>
      </c>
      <c r="K9" s="10">
        <v>0</v>
      </c>
      <c r="L9" s="10">
        <v>0</v>
      </c>
      <c r="M9" s="10">
        <v>12240</v>
      </c>
      <c r="N9" s="10">
        <v>1530</v>
      </c>
    </row>
    <row r="10" spans="1:14" x14ac:dyDescent="0.2">
      <c r="B10" t="s">
        <v>21</v>
      </c>
      <c r="C10" s="10">
        <v>54000</v>
      </c>
      <c r="D10" s="10">
        <v>52200</v>
      </c>
      <c r="E10" s="10">
        <v>24000</v>
      </c>
      <c r="F10" s="10">
        <v>29000</v>
      </c>
      <c r="G10" s="10">
        <v>13200</v>
      </c>
      <c r="H10" s="10">
        <v>9000</v>
      </c>
      <c r="I10" s="10">
        <v>54360</v>
      </c>
      <c r="J10" s="10">
        <v>51540</v>
      </c>
      <c r="K10" s="10">
        <v>25650</v>
      </c>
      <c r="L10" s="10">
        <v>28900</v>
      </c>
      <c r="M10" s="10">
        <v>13400</v>
      </c>
      <c r="N10" s="10">
        <v>9060</v>
      </c>
    </row>
    <row r="11" spans="1:14" x14ac:dyDescent="0.2">
      <c r="B11"/>
      <c r="C11"/>
      <c r="D11"/>
      <c r="E11"/>
      <c r="F11"/>
      <c r="G11"/>
      <c r="H11"/>
      <c r="I11"/>
      <c r="J11"/>
      <c r="K11"/>
      <c r="L11"/>
      <c r="M11"/>
      <c r="N11"/>
    </row>
    <row r="12" spans="1:14" x14ac:dyDescent="0.2">
      <c r="B12"/>
      <c r="C12"/>
      <c r="D12"/>
      <c r="E12"/>
      <c r="F12"/>
      <c r="G12"/>
      <c r="H12"/>
      <c r="I12"/>
      <c r="J12"/>
      <c r="K12"/>
      <c r="L12"/>
      <c r="M12"/>
      <c r="N12"/>
    </row>
    <row r="13" spans="1:14" x14ac:dyDescent="0.2">
      <c r="B13"/>
      <c r="C13"/>
      <c r="D13"/>
      <c r="E13"/>
      <c r="F13"/>
      <c r="G13"/>
      <c r="H13"/>
      <c r="I13"/>
      <c r="J13"/>
      <c r="K13"/>
      <c r="L13"/>
      <c r="M13"/>
      <c r="N13"/>
    </row>
    <row r="14" spans="1:14" x14ac:dyDescent="0.2">
      <c r="B14"/>
      <c r="C14"/>
      <c r="D14"/>
      <c r="E14"/>
      <c r="F14"/>
      <c r="G14"/>
      <c r="H14"/>
      <c r="I14"/>
      <c r="J14"/>
      <c r="K14"/>
      <c r="L14"/>
      <c r="M14"/>
      <c r="N14"/>
    </row>
    <row r="15" spans="1:14" x14ac:dyDescent="0.2">
      <c r="B15"/>
      <c r="C15"/>
      <c r="D15"/>
      <c r="E15"/>
      <c r="F15"/>
      <c r="G15"/>
      <c r="H15"/>
      <c r="I15"/>
      <c r="J15"/>
      <c r="K15"/>
      <c r="L15"/>
      <c r="M15"/>
      <c r="N15"/>
    </row>
    <row r="16" spans="1:14" x14ac:dyDescent="0.2">
      <c r="B16"/>
      <c r="C16"/>
      <c r="D16"/>
      <c r="E16"/>
      <c r="F16"/>
      <c r="G16"/>
      <c r="H16"/>
      <c r="I16"/>
      <c r="J16"/>
      <c r="K16"/>
      <c r="L16"/>
      <c r="M16"/>
      <c r="N16"/>
    </row>
    <row r="17" spans="2:14" x14ac:dyDescent="0.2">
      <c r="B17"/>
      <c r="C17"/>
      <c r="D17"/>
      <c r="E17"/>
      <c r="F17"/>
      <c r="G17"/>
      <c r="H17"/>
      <c r="I17"/>
      <c r="J17"/>
      <c r="K17"/>
      <c r="L17"/>
      <c r="M17"/>
      <c r="N17"/>
    </row>
    <row r="18" spans="2:14" x14ac:dyDescent="0.2">
      <c r="B18"/>
      <c r="C18"/>
      <c r="D18"/>
      <c r="E18"/>
      <c r="F18"/>
      <c r="G18"/>
      <c r="H18"/>
      <c r="I18"/>
      <c r="J18"/>
      <c r="K18"/>
      <c r="L18"/>
      <c r="M18"/>
      <c r="N18"/>
    </row>
    <row r="19" spans="2:14" x14ac:dyDescent="0.2">
      <c r="B19"/>
      <c r="C19"/>
      <c r="D19"/>
      <c r="E19"/>
      <c r="F19"/>
      <c r="G19"/>
      <c r="H19"/>
      <c r="I19"/>
      <c r="J19"/>
      <c r="K19"/>
      <c r="L19"/>
      <c r="M19"/>
      <c r="N19"/>
    </row>
    <row r="20" spans="2:14" x14ac:dyDescent="0.2">
      <c r="B20"/>
      <c r="C20"/>
      <c r="D20"/>
      <c r="E20"/>
      <c r="F20"/>
      <c r="G20"/>
      <c r="H20"/>
      <c r="I20"/>
      <c r="J20"/>
      <c r="K20"/>
      <c r="L20"/>
      <c r="M20"/>
      <c r="N20"/>
    </row>
    <row r="21" spans="2:14" x14ac:dyDescent="0.2">
      <c r="B21"/>
      <c r="C21"/>
      <c r="D21"/>
      <c r="E21"/>
      <c r="F21"/>
      <c r="G21"/>
      <c r="H21"/>
      <c r="I21"/>
      <c r="J21"/>
      <c r="K21"/>
      <c r="L21"/>
      <c r="M21"/>
      <c r="N21"/>
    </row>
    <row r="22" spans="2:14" x14ac:dyDescent="0.2">
      <c r="B22"/>
      <c r="C22"/>
      <c r="D22"/>
      <c r="E22"/>
      <c r="F22"/>
      <c r="G22"/>
      <c r="H22"/>
      <c r="I22"/>
      <c r="J22"/>
      <c r="K22"/>
      <c r="L22"/>
      <c r="M22"/>
      <c r="N22"/>
    </row>
    <row r="23" spans="2:14" x14ac:dyDescent="0.2">
      <c r="B23"/>
      <c r="C23"/>
      <c r="D23"/>
      <c r="E23"/>
      <c r="F23"/>
      <c r="G23"/>
      <c r="H23"/>
      <c r="I23"/>
      <c r="J23"/>
      <c r="K23"/>
      <c r="L23"/>
      <c r="M23"/>
      <c r="N23"/>
    </row>
    <row r="24" spans="2:14" x14ac:dyDescent="0.2">
      <c r="B24"/>
      <c r="C24"/>
      <c r="D24"/>
      <c r="E24"/>
      <c r="F24"/>
      <c r="G24"/>
      <c r="H24"/>
      <c r="I24"/>
      <c r="J24"/>
      <c r="K24"/>
      <c r="L24"/>
      <c r="M24"/>
      <c r="N24"/>
    </row>
    <row r="25" spans="2:14" x14ac:dyDescent="0.2">
      <c r="B25"/>
      <c r="C25"/>
      <c r="D25"/>
      <c r="E25"/>
      <c r="F25"/>
      <c r="G25"/>
      <c r="H25"/>
      <c r="I25"/>
      <c r="J25"/>
      <c r="K25"/>
      <c r="L25"/>
      <c r="M25"/>
      <c r="N25"/>
    </row>
    <row r="26" spans="2:14" x14ac:dyDescent="0.2">
      <c r="B26"/>
      <c r="C26"/>
      <c r="D26"/>
      <c r="E26"/>
      <c r="F26"/>
      <c r="G26"/>
      <c r="H26"/>
      <c r="I26"/>
      <c r="J26"/>
      <c r="K26"/>
      <c r="L26"/>
      <c r="M26"/>
      <c r="N26"/>
    </row>
    <row r="27" spans="2:14" x14ac:dyDescent="0.2">
      <c r="B27"/>
      <c r="C27"/>
      <c r="D27"/>
      <c r="E27"/>
      <c r="F27"/>
      <c r="G27"/>
      <c r="H27"/>
      <c r="I27"/>
      <c r="J27"/>
      <c r="K27"/>
      <c r="L27"/>
      <c r="M27"/>
      <c r="N27"/>
    </row>
  </sheetData>
  <printOptions horizontalCentered="1"/>
  <pageMargins left="0.4" right="0.4" top="0.4" bottom="0.4" header="0.3" footer="0.3"/>
  <pageSetup scale="78" fitToHeight="0" orientation="landscape" horizontalDpi="4294967293" verticalDpi="0" r:id="rId2"/>
  <headerFooter differentFirst="1">
    <oddFooter>Page &amp;P of &amp;N</oddFooter>
  </headerFooter>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4</vt:i4>
      </vt:variant>
      <vt:variant>
        <vt:lpstr>Named Ranges</vt:lpstr>
      </vt:variant>
      <vt:variant>
        <vt:i4>3</vt:i4>
      </vt:variant>
    </vt:vector>
  </HeadingPairs>
  <TitlesOfParts>
    <vt:vector baseType="lpstr" size="7">
      <vt:lpstr>START</vt:lpstr>
      <vt:lpstr>PROJECT PARAMETERS</vt:lpstr>
      <vt:lpstr>PROJECT DETAILS</vt:lpstr>
      <vt:lpstr>PROJECT TOTALS</vt:lpstr>
      <vt:lpstr>'PROJECT DETAILS'!Print_Titles</vt:lpstr>
      <vt:lpstr>'PROJECT TOTALS'!Print_Titles</vt:lpstr>
      <vt:lpstr>ProjectType</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