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hhou\Documents\"/>
    </mc:Choice>
  </mc:AlternateContent>
  <bookViews>
    <workbookView xWindow="0" yWindow="0" windowWidth="20520" windowHeight="9555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8" i="1"/>
  <c r="C20" i="1"/>
  <c r="D24" i="1"/>
  <c r="E24" i="1"/>
  <c r="F24" i="1"/>
  <c r="G24" i="1"/>
  <c r="C24" i="1"/>
  <c r="F5" i="1" l="1"/>
  <c r="F6" i="1"/>
  <c r="F7" i="1"/>
  <c r="F8" i="1"/>
  <c r="F9" i="1"/>
  <c r="F10" i="1"/>
  <c r="G5" i="1"/>
  <c r="G6" i="1"/>
  <c r="G7" i="1"/>
  <c r="G8" i="1"/>
  <c r="G11" i="1" s="1"/>
  <c r="G9" i="1"/>
  <c r="G10" i="1"/>
  <c r="D5" i="1"/>
  <c r="D6" i="1"/>
  <c r="D7" i="1"/>
  <c r="D8" i="1"/>
  <c r="D9" i="1"/>
  <c r="D10" i="1"/>
  <c r="E5" i="1"/>
  <c r="E6" i="1"/>
  <c r="E7" i="1"/>
  <c r="E8" i="1"/>
  <c r="E9" i="1"/>
  <c r="E10" i="1"/>
  <c r="C5" i="1"/>
  <c r="C6" i="1"/>
  <c r="C7" i="1"/>
  <c r="C8" i="1"/>
  <c r="C9" i="1"/>
  <c r="C10" i="1"/>
  <c r="C34" i="1"/>
  <c r="D11" i="1" l="1"/>
  <c r="F11" i="1"/>
  <c r="C11" i="1"/>
  <c r="C14" i="1" s="1"/>
  <c r="E11" i="1"/>
  <c r="E16" i="1" s="1"/>
  <c r="D16" i="1"/>
  <c r="G16" i="1"/>
  <c r="E20" i="1" l="1"/>
  <c r="E21" i="1" s="1"/>
  <c r="E18" i="1"/>
  <c r="G18" i="1"/>
  <c r="G20" i="1"/>
  <c r="G21" i="1" s="1"/>
  <c r="F16" i="1"/>
  <c r="F15" i="1" s="1"/>
  <c r="D20" i="1"/>
  <c r="D21" i="1" s="1"/>
  <c r="D18" i="1"/>
  <c r="C16" i="1"/>
  <c r="D15" i="1"/>
  <c r="E15" i="1"/>
  <c r="C21" i="1"/>
  <c r="C15" i="1"/>
  <c r="G15" i="1"/>
  <c r="F18" i="1" l="1"/>
  <c r="F20" i="1"/>
  <c r="F21" i="1" s="1"/>
  <c r="F22" i="1" s="1"/>
  <c r="G22" i="1"/>
  <c r="G23" i="1" s="1"/>
  <c r="G25" i="1" s="1"/>
  <c r="G28" i="1" s="1"/>
  <c r="G29" i="1" s="1"/>
  <c r="E22" i="1"/>
  <c r="D22" i="1"/>
  <c r="C22" i="1"/>
  <c r="C23" i="1" s="1"/>
  <c r="C25" i="1" s="1"/>
  <c r="C28" i="1" s="1"/>
  <c r="C29" i="1" s="1"/>
  <c r="G34" i="1" l="1"/>
  <c r="F34" i="1"/>
  <c r="F23" i="1"/>
  <c r="F25" i="1" s="1"/>
  <c r="F28" i="1" s="1"/>
  <c r="F29" i="1" s="1"/>
  <c r="D34" i="1"/>
  <c r="D23" i="1"/>
  <c r="D25" i="1" s="1"/>
  <c r="D28" i="1" s="1"/>
  <c r="D29" i="1" s="1"/>
  <c r="E34" i="1"/>
  <c r="E23" i="1"/>
  <c r="E25" i="1" s="1"/>
  <c r="E28" i="1" s="1"/>
  <c r="E29" i="1" s="1"/>
</calcChain>
</file>

<file path=xl/sharedStrings.xml><?xml version="1.0" encoding="utf-8"?>
<sst xmlns="http://schemas.openxmlformats.org/spreadsheetml/2006/main" count="72" uniqueCount="69">
  <si>
    <t>Commercial Rooftop- 35°</t>
  </si>
  <si>
    <t>Residential Rooftop- 0°</t>
  </si>
  <si>
    <t>Residential Rooftop- 35°</t>
  </si>
  <si>
    <r>
      <t>Commercial Rooftop- 0</t>
    </r>
    <r>
      <rPr>
        <sz val="11"/>
        <color theme="0"/>
        <rFont val="Calibri"/>
        <family val="2"/>
      </rPr>
      <t>°</t>
    </r>
  </si>
  <si>
    <t>Commercial Array- 35°</t>
  </si>
  <si>
    <t>Total Cost of System (per Unit)</t>
  </si>
  <si>
    <t>Pricing Comparison Chart</t>
  </si>
  <si>
    <t>Annual Electricity Costs (With System)</t>
  </si>
  <si>
    <t>Total Cost of System (Pre-Incentives)</t>
  </si>
  <si>
    <t>250 kW</t>
  </si>
  <si>
    <t>410 kW</t>
  </si>
  <si>
    <t>NOTES</t>
  </si>
  <si>
    <r>
      <t>How many watts produced at a standard irradiance level of 1,000 w/m2 at 77</t>
    </r>
    <r>
      <rPr>
        <sz val="11"/>
        <color theme="1"/>
        <rFont val="Calibri"/>
        <family val="2"/>
      </rPr>
      <t>° F</t>
    </r>
  </si>
  <si>
    <t>Cost of the module (solar cells) based on system size</t>
  </si>
  <si>
    <t>Cost of the inverter based on system size</t>
  </si>
  <si>
    <t>Cost of the B.O.S. based on system size</t>
  </si>
  <si>
    <t>Cost of installation labor based on system size</t>
  </si>
  <si>
    <t>Cost of installer margin and overhead based on system size</t>
  </si>
  <si>
    <t>Cost to gain permitting and environmental licensing based on system size</t>
  </si>
  <si>
    <t>Total price per watt, based on system size</t>
  </si>
  <si>
    <t>Total price per watt after sales taxes are accounted for</t>
  </si>
  <si>
    <t>Total price of the system for one of the 41 units</t>
  </si>
  <si>
    <t>Total price of the system for all 41 units, before state and federal incentives</t>
  </si>
  <si>
    <t>The cost eliminated from the total due to the 30% federal incentives</t>
  </si>
  <si>
    <t>The cost eliminated from the total due to the 10% state incentives</t>
  </si>
  <si>
    <t>Final total cost of system for all 41 units, after state and federal incentives</t>
  </si>
  <si>
    <t>Average power costs for the community without the solar energy system per year</t>
  </si>
  <si>
    <t>Average power costs for the community with the solar energy system per year</t>
  </si>
  <si>
    <t>How much money is saved per year for all 41 units</t>
  </si>
  <si>
    <t>Payback Period in Years (Total cost/Savings)</t>
  </si>
  <si>
    <t>The amount of time it takes for the system to be paid off</t>
  </si>
  <si>
    <t>Assumed tax values from NREL's System Advisor Module</t>
  </si>
  <si>
    <t>Estimated cost of maintaining system for each kW produced over a year</t>
  </si>
  <si>
    <t>System Size (kW)</t>
  </si>
  <si>
    <t>Price- Solar Cells</t>
  </si>
  <si>
    <t>Price - Installation Labor</t>
  </si>
  <si>
    <t>Price- Balance of System (B.O.S.)</t>
  </si>
  <si>
    <t>Price- Inverter</t>
  </si>
  <si>
    <t>Price- Installer Margin and Overhead</t>
  </si>
  <si>
    <t>Price- Permitting and Environmental Studies</t>
  </si>
  <si>
    <t>Estimated Total</t>
  </si>
  <si>
    <t>Total Cost</t>
  </si>
  <si>
    <t>Annual Savings (With System)(with Recommended size system)</t>
  </si>
  <si>
    <t>250kW</t>
  </si>
  <si>
    <t>Sales Tax Basis (percent)</t>
  </si>
  <si>
    <t>Sales Tax Rate (percent)</t>
  </si>
  <si>
    <t>State Incentive</t>
  </si>
  <si>
    <t>*Data from Recommended Size Systems:</t>
  </si>
  <si>
    <t>*Annual savings with system is a number taken directly from Nrel system advisor module. This number has no set equation so cannot be built into the working document</t>
  </si>
  <si>
    <t>Total System Cost per year (over 30 years)</t>
  </si>
  <si>
    <t>Current Annual Electricity Costs (Without System)</t>
  </si>
  <si>
    <t>System Specifications                                                   Scenario &gt;&gt;</t>
  </si>
  <si>
    <t>Total Annual Cost</t>
  </si>
  <si>
    <t>Net Financial Benefit</t>
  </si>
  <si>
    <t>Net Financial Benefit per housing unit</t>
  </si>
  <si>
    <t>Capital Cost</t>
  </si>
  <si>
    <t>Maintenance (per year)</t>
  </si>
  <si>
    <t>Federal Incentives (Percent)</t>
  </si>
  <si>
    <t>Federal Incentives (Amount)</t>
  </si>
  <si>
    <t>State Incentives (Percent) OR ($9,000 max)</t>
  </si>
  <si>
    <t>State Incentives (Amount)</t>
  </si>
  <si>
    <t>Actual State Incentive that will be applied</t>
  </si>
  <si>
    <t>Calculation of the 10% state incentive</t>
  </si>
  <si>
    <t>Calculation of the 30% federal incentive</t>
  </si>
  <si>
    <t>Cost per year of the system over 30 years</t>
  </si>
  <si>
    <t>Total cost (including maintenance) per year of the system over 30 years</t>
  </si>
  <si>
    <t>Financial benefit calculated each year for each unit in the development</t>
  </si>
  <si>
    <t>Financial benefit calculated each year for the community</t>
  </si>
  <si>
    <t>Recommended system size for the housing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</si>
</sst>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F400]h:mm:ss\ AM/PM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7" fillId="2" borderId="1" xfId="0" applyFont="1" applyFill="1" applyBorder="1" applyAlignment="1">
      <alignment horizontal="right" wrapText="1"/>
    </xf>
    <xf numFmtId="0" fontId="0" fillId="0" borderId="1" xfId="0" applyBorder="1"/>
    <xf numFmtId="44" fontId="7" fillId="2" borderId="1" xfId="1" applyFont="1" applyFill="1" applyBorder="1"/>
    <xf numFmtId="0" fontId="2" fillId="7" borderId="1" xfId="0" applyFont="1" applyFill="1" applyBorder="1"/>
    <xf numFmtId="44" fontId="2" fillId="7" borderId="1" xfId="1" applyFont="1" applyFill="1" applyBorder="1"/>
    <xf numFmtId="0" fontId="0" fillId="2" borderId="1" xfId="0" applyFont="1" applyFill="1" applyBorder="1"/>
    <xf numFmtId="0" fontId="0" fillId="2" borderId="1" xfId="0" applyFill="1" applyBorder="1"/>
    <xf numFmtId="2" fontId="2" fillId="7" borderId="1" xfId="1" applyNumberFormat="1" applyFont="1" applyFill="1" applyBorder="1"/>
    <xf numFmtId="0" fontId="6" fillId="0" borderId="0" xfId="0" applyFont="1" applyBorder="1" applyAlignment="1">
      <alignment horizontal="center"/>
    </xf>
    <xf numFmtId="0" fontId="0" fillId="2" borderId="2" xfId="0" applyFill="1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4" fillId="8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/>
    </xf>
    <xf numFmtId="1" fontId="0" fillId="2" borderId="1" xfId="0" applyNumberFormat="1" applyFont="1" applyFill="1" applyBorder="1"/>
    <xf numFmtId="44" fontId="7" fillId="2" borderId="1" xfId="1" applyFont="1" applyFill="1" applyBorder="1" applyAlignment="1">
      <alignment horizontal="right"/>
    </xf>
    <xf numFmtId="38" fontId="7" fillId="2" borderId="1" xfId="0" applyNumberFormat="1" applyFont="1" applyFill="1" applyBorder="1" applyAlignment="1">
      <alignment horizontal="right" wrapText="1"/>
    </xf>
    <xf numFmtId="0" fontId="0" fillId="9" borderId="0" xfId="0" applyFill="1"/>
    <xf numFmtId="9" fontId="7" fillId="2" borderId="1" xfId="2" applyFont="1" applyFill="1" applyBorder="1"/>
    <xf numFmtId="165" fontId="7" fillId="2" borderId="1" xfId="1" applyNumberFormat="1" applyFont="1" applyFill="1" applyBorder="1"/>
    <xf numFmtId="165" fontId="2" fillId="7" borderId="1" xfId="1" applyNumberFormat="1" applyFont="1" applyFill="1" applyBorder="1"/>
    <xf numFmtId="42" fontId="7" fillId="2" borderId="1" xfId="1" applyNumberFormat="1" applyFont="1" applyFill="1" applyBorder="1"/>
    <xf numFmtId="42" fontId="2" fillId="7" borderId="1" xfId="1" applyNumberFormat="1" applyFont="1" applyFill="1" applyBorder="1"/>
    <xf numFmtId="0" fontId="0" fillId="0" borderId="1" xfId="0" applyFont="1" applyFill="1" applyBorder="1"/>
    <xf numFmtId="44" fontId="7" fillId="0" borderId="1" xfId="1" applyNumberFormat="1" applyFont="1" applyFill="1" applyBorder="1"/>
    <xf numFmtId="42" fontId="7" fillId="0" borderId="1" xfId="1" applyNumberFormat="1" applyFont="1" applyFill="1" applyBorder="1"/>
    <xf numFmtId="0" fontId="3" fillId="0" borderId="1" xfId="0" applyFont="1" applyFill="1" applyBorder="1"/>
    <xf numFmtId="165" fontId="9" fillId="0" borderId="1" xfId="1" applyNumberFormat="1" applyFont="1" applyFill="1" applyBorder="1"/>
    <xf numFmtId="44" fontId="7" fillId="0" borderId="1" xfId="1" applyFont="1" applyFill="1" applyBorder="1"/>
    <xf numFmtId="0" fontId="0" fillId="0" borderId="1" xfId="0" applyFill="1" applyBorder="1"/>
    <xf numFmtId="165" fontId="7" fillId="0" borderId="1" xfId="1" applyNumberFormat="1" applyFont="1" applyFill="1" applyBorder="1"/>
    <xf numFmtId="0" fontId="2" fillId="7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right"/>
    </xf>
    <xf numFmtId="0" fontId="0" fillId="0" borderId="3" xfId="0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3">
    <dxf>
      <font>
        <color theme="1"/>
      </font>
      <fill>
        <patternFill patternType="none">
          <bgColor auto="1"/>
        </patternFill>
      </fill>
    </dxf>
    <dxf>
      <font>
        <color rgb="FFFFFFFF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  <color rgb="FFFC92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41"/>
  <sheetViews>
    <sheetView tabSelected="1" topLeftCell="C1" workbookViewId="0">
      <selection activeCell="H11" sqref="H11"/>
    </sheetView>
  </sheetViews>
  <sheetFormatPr defaultColWidth="22.73046875" defaultRowHeight="14.25" x14ac:dyDescent="0.45"/>
  <cols>
    <col min="1" max="1" width="51.265625" bestFit="1" customWidth="1"/>
    <col min="2" max="2" width="55.265625" customWidth="1"/>
    <col min="3" max="3" width="20.86328125" bestFit="1" customWidth="1"/>
    <col min="4" max="4" width="22.3984375" bestFit="1" customWidth="1"/>
    <col min="5" max="5" width="23.3984375" bestFit="1" customWidth="1"/>
    <col min="6" max="7" width="25.73046875" customWidth="1"/>
    <col min="8" max="8" width="75.86328125" customWidth="1"/>
  </cols>
  <sheetData>
    <row r="2" spans="1:10" x14ac:dyDescent="0.45">
      <c r="B2" s="44" t="s">
        <v>6</v>
      </c>
      <c r="C2" s="45"/>
      <c r="D2" s="45"/>
      <c r="E2" s="45"/>
      <c r="F2" s="45"/>
      <c r="G2" s="45"/>
      <c r="H2" s="45"/>
    </row>
    <row r="3" spans="1:10" ht="15" customHeight="1" x14ac:dyDescent="0.45">
      <c r="B3" s="43" t="s">
        <v>51</v>
      </c>
      <c r="C3" s="6" t="s">
        <v>4</v>
      </c>
      <c r="D3" s="24" t="s">
        <v>3</v>
      </c>
      <c r="E3" s="7" t="s">
        <v>0</v>
      </c>
      <c r="F3" s="8" t="s">
        <v>1</v>
      </c>
      <c r="G3" s="9" t="s">
        <v>2</v>
      </c>
      <c r="H3" s="5" t="s">
        <v>11</v>
      </c>
    </row>
    <row r="4" spans="1:10" ht="15" customHeight="1" x14ac:dyDescent="0.45">
      <c r="A4" s="1"/>
      <c r="B4" s="10" t="s">
        <v>33</v>
      </c>
      <c r="C4" s="11">
        <v>250</v>
      </c>
      <c r="D4" s="28">
        <v>250</v>
      </c>
      <c r="E4" s="28">
        <v>250</v>
      </c>
      <c r="F4" s="28">
        <v>410</v>
      </c>
      <c r="G4" s="28">
        <v>410</v>
      </c>
      <c r="H4" s="21" t="s">
        <v>12</v>
      </c>
    </row>
    <row r="5" spans="1:10" ht="15" customHeight="1" x14ac:dyDescent="0.45">
      <c r="A5" s="1"/>
      <c r="B5" s="12" t="s">
        <v>34</v>
      </c>
      <c r="C5" s="31">
        <f>0.71*C4*1000</f>
        <v>177500</v>
      </c>
      <c r="D5" s="33">
        <f t="shared" ref="D5:E5" si="0">0.71*D4*1000</f>
        <v>177500</v>
      </c>
      <c r="E5" s="33">
        <f t="shared" si="0"/>
        <v>177500</v>
      </c>
      <c r="F5" s="33">
        <f>0.7*F4*1000</f>
        <v>287000</v>
      </c>
      <c r="G5" s="33">
        <f>0.7*G4*1000</f>
        <v>287000</v>
      </c>
      <c r="H5" s="22" t="s">
        <v>13</v>
      </c>
    </row>
    <row r="6" spans="1:10" ht="15" customHeight="1" x14ac:dyDescent="0.45">
      <c r="A6" s="1"/>
      <c r="B6" s="12" t="s">
        <v>37</v>
      </c>
      <c r="C6" s="31">
        <f>0.21*C4*1000</f>
        <v>52500</v>
      </c>
      <c r="D6" s="33">
        <f t="shared" ref="D6:E6" si="1">0.21*D4*1000</f>
        <v>52500</v>
      </c>
      <c r="E6" s="33">
        <f t="shared" si="1"/>
        <v>52500</v>
      </c>
      <c r="F6" s="33">
        <f>0.33*F4*1000</f>
        <v>135300</v>
      </c>
      <c r="G6" s="33">
        <f>0.33*G4*1000</f>
        <v>135300</v>
      </c>
      <c r="H6" s="22" t="s">
        <v>14</v>
      </c>
    </row>
    <row r="7" spans="1:10" ht="15" customHeight="1" x14ac:dyDescent="0.45">
      <c r="A7" s="1"/>
      <c r="B7" s="12" t="s">
        <v>36</v>
      </c>
      <c r="C7" s="31">
        <f>0.57*C4*1000</f>
        <v>142500</v>
      </c>
      <c r="D7" s="33">
        <f t="shared" ref="D7:E7" si="2">0.57*D4*1000</f>
        <v>142500</v>
      </c>
      <c r="E7" s="33">
        <f t="shared" si="2"/>
        <v>142500</v>
      </c>
      <c r="F7" s="33">
        <f>0.82*F4*1000</f>
        <v>336200</v>
      </c>
      <c r="G7" s="33">
        <f>0.82*G4*1000</f>
        <v>336200</v>
      </c>
      <c r="H7" s="22" t="s">
        <v>15</v>
      </c>
    </row>
    <row r="8" spans="1:10" ht="15" customHeight="1" x14ac:dyDescent="0.45">
      <c r="A8" s="1"/>
      <c r="B8" s="12" t="s">
        <v>35</v>
      </c>
      <c r="C8" s="31">
        <f>0.15*C4*1000</f>
        <v>37500</v>
      </c>
      <c r="D8" s="33">
        <f t="shared" ref="D8:E8" si="3">0.15*D4*1000</f>
        <v>37500</v>
      </c>
      <c r="E8" s="33">
        <f t="shared" si="3"/>
        <v>37500</v>
      </c>
      <c r="F8" s="33">
        <f>0.3*F4*1000</f>
        <v>123000</v>
      </c>
      <c r="G8" s="33">
        <f>0.3*G4*1000</f>
        <v>123000</v>
      </c>
      <c r="H8" s="22" t="s">
        <v>16</v>
      </c>
    </row>
    <row r="9" spans="1:10" ht="15" customHeight="1" x14ac:dyDescent="0.55000000000000004">
      <c r="A9" s="1"/>
      <c r="B9" s="12" t="s">
        <v>38</v>
      </c>
      <c r="C9" s="31">
        <f>0.75*C4*1000</f>
        <v>187500</v>
      </c>
      <c r="D9" s="33">
        <f t="shared" ref="D9:E9" si="4">0.75*D4*1000</f>
        <v>187500</v>
      </c>
      <c r="E9" s="33">
        <f t="shared" si="4"/>
        <v>187500</v>
      </c>
      <c r="F9" s="33">
        <f>0.95*F4*1000</f>
        <v>389500</v>
      </c>
      <c r="G9" s="33">
        <f>0.95*G4*1000</f>
        <v>389500</v>
      </c>
      <c r="H9" s="22" t="s">
        <v>17</v>
      </c>
      <c r="J9" s="19"/>
    </row>
    <row r="10" spans="1:10" s="1" customFormat="1" ht="15" customHeight="1" x14ac:dyDescent="0.45">
      <c r="B10" s="12" t="s">
        <v>39</v>
      </c>
      <c r="C10" s="31">
        <f>0.06*C4*1000</f>
        <v>15000</v>
      </c>
      <c r="D10" s="33">
        <f t="shared" ref="D10:E10" si="5">0.06*D4*1000</f>
        <v>15000</v>
      </c>
      <c r="E10" s="33">
        <f t="shared" si="5"/>
        <v>15000</v>
      </c>
      <c r="F10" s="33">
        <f>0.1*F4*1000</f>
        <v>41000</v>
      </c>
      <c r="G10" s="33">
        <f>0.1*G4*1000</f>
        <v>41000</v>
      </c>
      <c r="H10" s="23" t="s">
        <v>18</v>
      </c>
    </row>
    <row r="11" spans="1:10" ht="15" customHeight="1" x14ac:dyDescent="0.45">
      <c r="A11" s="1"/>
      <c r="B11" s="14" t="s">
        <v>40</v>
      </c>
      <c r="C11" s="34">
        <f>SUM(C5:C10)</f>
        <v>612500</v>
      </c>
      <c r="D11" s="34">
        <f t="shared" ref="D11:F11" si="6">D5+D6+D7+D8+D9+D10</f>
        <v>612500</v>
      </c>
      <c r="E11" s="34">
        <f t="shared" si="6"/>
        <v>612500</v>
      </c>
      <c r="F11" s="34">
        <f t="shared" si="6"/>
        <v>1312000</v>
      </c>
      <c r="G11" s="34">
        <f t="shared" ref="G11" si="7">G5+G6+G7+G8+G9+G10</f>
        <v>1312000</v>
      </c>
      <c r="H11" s="22" t="s">
        <v>19</v>
      </c>
    </row>
    <row r="12" spans="1:10" ht="15" customHeight="1" thickBot="1" x14ac:dyDescent="0.5">
      <c r="B12" s="12" t="s">
        <v>44</v>
      </c>
      <c r="C12" s="30">
        <v>0.82</v>
      </c>
      <c r="D12" s="30">
        <v>0.82</v>
      </c>
      <c r="E12" s="30">
        <v>0.82</v>
      </c>
      <c r="F12" s="30">
        <v>0.82</v>
      </c>
      <c r="G12" s="30">
        <v>0.82</v>
      </c>
      <c r="H12" s="23" t="s">
        <v>31</v>
      </c>
    </row>
    <row r="13" spans="1:10" s="1" customFormat="1" ht="15" customHeight="1" thickBot="1" x14ac:dyDescent="0.5">
      <c r="B13" s="12" t="s">
        <v>45</v>
      </c>
      <c r="C13" s="30">
        <v>0.05</v>
      </c>
      <c r="D13" s="30">
        <v>0.05</v>
      </c>
      <c r="E13" s="30">
        <v>0.05</v>
      </c>
      <c r="F13" s="30">
        <v>0.05</v>
      </c>
      <c r="G13" s="30">
        <v>0.05</v>
      </c>
      <c r="H13" s="23" t="s">
        <v>31</v>
      </c>
      <c r="I13" s="20"/>
    </row>
    <row r="14" spans="1:10" s="1" customFormat="1" ht="15" customHeight="1" x14ac:dyDescent="0.45">
      <c r="B14" s="14" t="s">
        <v>41</v>
      </c>
      <c r="C14" s="32">
        <f>C11*C12*C13</f>
        <v>25112.5</v>
      </c>
      <c r="D14" s="34">
        <f>(D11*(D12)*(D13))</f>
        <v>25112.5</v>
      </c>
      <c r="E14" s="34">
        <f>(E11*(E12)*(E13))</f>
        <v>25112.5</v>
      </c>
      <c r="F14" s="34">
        <f>(F11*(F12)*(F13))</f>
        <v>53792</v>
      </c>
      <c r="G14" s="34">
        <f>(G11*(G12)*(G13))</f>
        <v>53792</v>
      </c>
      <c r="H14" s="23" t="s">
        <v>20</v>
      </c>
    </row>
    <row r="15" spans="1:10" s="1" customFormat="1" x14ac:dyDescent="0.45">
      <c r="B15" s="14" t="s">
        <v>5</v>
      </c>
      <c r="C15" s="32">
        <f>C16/42</f>
        <v>15181.25</v>
      </c>
      <c r="D15" s="34">
        <f t="shared" ref="D15:G15" si="8">D16/42</f>
        <v>15181.25</v>
      </c>
      <c r="E15" s="34">
        <f t="shared" si="8"/>
        <v>15181.25</v>
      </c>
      <c r="F15" s="34">
        <f t="shared" si="8"/>
        <v>32518.857142857141</v>
      </c>
      <c r="G15" s="34">
        <f t="shared" si="8"/>
        <v>32518.857142857141</v>
      </c>
      <c r="H15" s="23" t="s">
        <v>21</v>
      </c>
    </row>
    <row r="16" spans="1:10" x14ac:dyDescent="0.45">
      <c r="B16" s="14" t="s">
        <v>8</v>
      </c>
      <c r="C16" s="32">
        <f>C11+C14</f>
        <v>637612.5</v>
      </c>
      <c r="D16" s="34">
        <f t="shared" ref="D16:F16" si="9">D11+D14</f>
        <v>637612.5</v>
      </c>
      <c r="E16" s="34">
        <f t="shared" si="9"/>
        <v>637612.5</v>
      </c>
      <c r="F16" s="34">
        <f t="shared" si="9"/>
        <v>1365792</v>
      </c>
      <c r="G16" s="34">
        <f t="shared" ref="G16" si="10">G11+G14</f>
        <v>1365792</v>
      </c>
      <c r="H16" s="22" t="s">
        <v>22</v>
      </c>
    </row>
    <row r="17" spans="1:67" x14ac:dyDescent="0.45">
      <c r="B17" s="26" t="s">
        <v>57</v>
      </c>
      <c r="C17" s="30">
        <v>0.3</v>
      </c>
      <c r="D17" s="30">
        <v>0.3</v>
      </c>
      <c r="E17" s="30">
        <v>0.3</v>
      </c>
      <c r="F17" s="30">
        <v>0.3</v>
      </c>
      <c r="G17" s="30">
        <v>0.3</v>
      </c>
      <c r="H17" s="22" t="s">
        <v>23</v>
      </c>
    </row>
    <row r="18" spans="1:67" s="1" customFormat="1" x14ac:dyDescent="0.45">
      <c r="B18" s="16" t="s">
        <v>58</v>
      </c>
      <c r="C18" s="13">
        <f>C17*C16</f>
        <v>191283.75</v>
      </c>
      <c r="D18" s="13">
        <f>D17*D16</f>
        <v>191283.75</v>
      </c>
      <c r="E18" s="13">
        <f>E17*E16</f>
        <v>191283.75</v>
      </c>
      <c r="F18" s="13">
        <f>F17*F16</f>
        <v>409737.6</v>
      </c>
      <c r="G18" s="13">
        <f>G17*G16</f>
        <v>409737.6</v>
      </c>
      <c r="H18" s="23" t="s">
        <v>63</v>
      </c>
    </row>
    <row r="19" spans="1:67" x14ac:dyDescent="0.45">
      <c r="B19" s="16" t="s">
        <v>59</v>
      </c>
      <c r="C19" s="30">
        <v>0.1</v>
      </c>
      <c r="D19" s="30">
        <v>0.1</v>
      </c>
      <c r="E19" s="30">
        <v>0.1</v>
      </c>
      <c r="F19" s="30">
        <v>0.1</v>
      </c>
      <c r="G19" s="30">
        <v>0.1</v>
      </c>
      <c r="H19" s="22" t="s">
        <v>24</v>
      </c>
    </row>
    <row r="20" spans="1:67" x14ac:dyDescent="0.45">
      <c r="B20" s="16" t="s">
        <v>60</v>
      </c>
      <c r="C20" s="13">
        <f>C19*C16</f>
        <v>63761.25</v>
      </c>
      <c r="D20" s="13">
        <f>D19*D16</f>
        <v>63761.25</v>
      </c>
      <c r="E20" s="13">
        <f>E19*E16</f>
        <v>63761.25</v>
      </c>
      <c r="F20" s="13">
        <f>F19*(F16/41)</f>
        <v>3331.2000000000003</v>
      </c>
      <c r="G20" s="13">
        <f>G19*(G16/41)</f>
        <v>3331.2000000000003</v>
      </c>
      <c r="H20" s="23" t="s">
        <v>62</v>
      </c>
    </row>
    <row r="21" spans="1:67" x14ac:dyDescent="0.45">
      <c r="B21" s="16" t="s">
        <v>46</v>
      </c>
      <c r="C21" s="13">
        <f>IF(C20&gt;9000,9000,C20)</f>
        <v>9000</v>
      </c>
      <c r="D21" s="13">
        <f t="shared" ref="D21:G21" si="11">IF(D20&gt;9000,9000,D20)</f>
        <v>9000</v>
      </c>
      <c r="E21" s="13">
        <f t="shared" si="11"/>
        <v>9000</v>
      </c>
      <c r="F21" s="13">
        <f t="shared" si="11"/>
        <v>3331.2000000000003</v>
      </c>
      <c r="G21" s="13">
        <f t="shared" si="11"/>
        <v>3331.2000000000003</v>
      </c>
      <c r="H21" s="22" t="s">
        <v>61</v>
      </c>
    </row>
    <row r="22" spans="1:67" x14ac:dyDescent="0.45">
      <c r="B22" s="14" t="s">
        <v>55</v>
      </c>
      <c r="C22" s="34">
        <f>C16-C18-C21</f>
        <v>437328.75</v>
      </c>
      <c r="D22" s="34">
        <f t="shared" ref="D22:E22" si="12">D16-D18-D21</f>
        <v>437328.75</v>
      </c>
      <c r="E22" s="34">
        <f t="shared" si="12"/>
        <v>437328.75</v>
      </c>
      <c r="F22" s="34">
        <f>F16-F18-(F21*41)</f>
        <v>819475.2</v>
      </c>
      <c r="G22" s="34">
        <f>G16-G18-(G21*41)</f>
        <v>819475.2</v>
      </c>
      <c r="H22" s="22" t="s">
        <v>25</v>
      </c>
    </row>
    <row r="23" spans="1:67" s="29" customFormat="1" x14ac:dyDescent="0.45">
      <c r="A23" s="1"/>
      <c r="B23" s="35" t="s">
        <v>49</v>
      </c>
      <c r="C23" s="36">
        <f>C22/30</f>
        <v>14577.625</v>
      </c>
      <c r="D23" s="36">
        <f t="shared" ref="D23:G23" si="13">D22/30</f>
        <v>14577.625</v>
      </c>
      <c r="E23" s="36">
        <f t="shared" si="13"/>
        <v>14577.625</v>
      </c>
      <c r="F23" s="36">
        <f t="shared" si="13"/>
        <v>27315.84</v>
      </c>
      <c r="G23" s="36">
        <f t="shared" si="13"/>
        <v>27315.84</v>
      </c>
      <c r="H23" s="46" t="s">
        <v>64</v>
      </c>
      <c r="I23" s="2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</row>
    <row r="24" spans="1:67" x14ac:dyDescent="0.45">
      <c r="A24" s="1"/>
      <c r="B24" s="35" t="s">
        <v>56</v>
      </c>
      <c r="C24" s="37">
        <f>20*C4</f>
        <v>5000</v>
      </c>
      <c r="D24" s="37">
        <f t="shared" ref="D24:G24" si="14">20*D4</f>
        <v>5000</v>
      </c>
      <c r="E24" s="37">
        <f t="shared" si="14"/>
        <v>5000</v>
      </c>
      <c r="F24" s="37">
        <f t="shared" si="14"/>
        <v>8200</v>
      </c>
      <c r="G24" s="37">
        <f t="shared" si="14"/>
        <v>8200</v>
      </c>
      <c r="H24" s="25" t="s">
        <v>32</v>
      </c>
    </row>
    <row r="25" spans="1:67" x14ac:dyDescent="0.45">
      <c r="B25" s="14" t="s">
        <v>52</v>
      </c>
      <c r="C25" s="32">
        <f>SUM(C23:C24)</f>
        <v>19577.625</v>
      </c>
      <c r="D25" s="32">
        <f t="shared" ref="D25:G25" si="15">SUM(D23:D24)</f>
        <v>19577.625</v>
      </c>
      <c r="E25" s="32">
        <f t="shared" si="15"/>
        <v>19577.625</v>
      </c>
      <c r="F25" s="32">
        <f t="shared" si="15"/>
        <v>35515.839999999997</v>
      </c>
      <c r="G25" s="32">
        <f t="shared" si="15"/>
        <v>35515.839999999997</v>
      </c>
      <c r="H25" s="25" t="s">
        <v>65</v>
      </c>
    </row>
    <row r="26" spans="1:67" x14ac:dyDescent="0.45">
      <c r="B26" s="38"/>
      <c r="C26" s="39"/>
      <c r="D26" s="40"/>
      <c r="E26" s="40"/>
      <c r="F26" s="40"/>
      <c r="G26" s="40"/>
      <c r="H26" s="25"/>
    </row>
    <row r="27" spans="1:67" x14ac:dyDescent="0.45">
      <c r="B27" s="41" t="s">
        <v>50</v>
      </c>
      <c r="C27" s="37">
        <v>36679.910000000003</v>
      </c>
      <c r="D27" s="37">
        <v>36679.910000000003</v>
      </c>
      <c r="E27" s="37">
        <v>36679.910000000003</v>
      </c>
      <c r="F27" s="37">
        <v>35049.550000000003</v>
      </c>
      <c r="G27" s="37">
        <v>35049.550000000003</v>
      </c>
      <c r="H27" s="22" t="s">
        <v>26</v>
      </c>
    </row>
    <row r="28" spans="1:67" x14ac:dyDescent="0.45">
      <c r="B28" s="41" t="s">
        <v>53</v>
      </c>
      <c r="C28" s="42">
        <f>C27-C25</f>
        <v>17102.285000000003</v>
      </c>
      <c r="D28" s="42">
        <f t="shared" ref="D28:G28" si="16">D27-D25</f>
        <v>17102.285000000003</v>
      </c>
      <c r="E28" s="42">
        <f t="shared" si="16"/>
        <v>17102.285000000003</v>
      </c>
      <c r="F28" s="42">
        <f t="shared" si="16"/>
        <v>-466.2899999999936</v>
      </c>
      <c r="G28" s="42">
        <f t="shared" si="16"/>
        <v>-466.2899999999936</v>
      </c>
      <c r="H28" s="22" t="s">
        <v>67</v>
      </c>
    </row>
    <row r="29" spans="1:67" x14ac:dyDescent="0.45">
      <c r="B29" s="14" t="s">
        <v>54</v>
      </c>
      <c r="C29" s="32">
        <f>C28/41</f>
        <v>417.1289024390245</v>
      </c>
      <c r="D29" s="32">
        <f t="shared" ref="D29:G29" si="17">D28/41</f>
        <v>417.1289024390245</v>
      </c>
      <c r="E29" s="32">
        <f t="shared" si="17"/>
        <v>417.1289024390245</v>
      </c>
      <c r="F29" s="32">
        <f t="shared" si="17"/>
        <v>-11.372926829268136</v>
      </c>
      <c r="G29" s="32">
        <f t="shared" si="17"/>
        <v>-11.372926829268136</v>
      </c>
      <c r="H29" s="22" t="s">
        <v>66</v>
      </c>
    </row>
    <row r="30" spans="1:67" x14ac:dyDescent="0.45">
      <c r="H30" s="22"/>
    </row>
    <row r="31" spans="1:67" x14ac:dyDescent="0.45">
      <c r="B31" s="17" t="s">
        <v>47</v>
      </c>
      <c r="C31" s="27" t="s">
        <v>43</v>
      </c>
      <c r="D31" s="27" t="s">
        <v>9</v>
      </c>
      <c r="E31" s="27" t="s">
        <v>9</v>
      </c>
      <c r="F31" s="27" t="s">
        <v>10</v>
      </c>
      <c r="G31" s="27" t="s">
        <v>10</v>
      </c>
      <c r="H31" s="47" t="s">
        <v>68</v>
      </c>
    </row>
    <row r="32" spans="1:67" x14ac:dyDescent="0.45">
      <c r="B32" s="17" t="s">
        <v>7</v>
      </c>
      <c r="C32" s="13">
        <v>-2915.23</v>
      </c>
      <c r="D32" s="13">
        <v>735.24</v>
      </c>
      <c r="E32" s="13">
        <v>-2769.19</v>
      </c>
      <c r="F32" s="13">
        <v>-5512</v>
      </c>
      <c r="G32" s="13">
        <v>-8407.91</v>
      </c>
      <c r="H32" s="22" t="s">
        <v>27</v>
      </c>
    </row>
    <row r="33" spans="2:8" x14ac:dyDescent="0.45">
      <c r="B33" s="14" t="s">
        <v>42</v>
      </c>
      <c r="C33" s="15">
        <v>39595.14</v>
      </c>
      <c r="D33" s="15">
        <v>37415.15</v>
      </c>
      <c r="E33" s="15">
        <v>39449.1</v>
      </c>
      <c r="F33" s="15">
        <v>40561.550000000003</v>
      </c>
      <c r="G33" s="15">
        <v>43457.46</v>
      </c>
      <c r="H33" s="22" t="s">
        <v>28</v>
      </c>
    </row>
    <row r="34" spans="2:8" x14ac:dyDescent="0.45">
      <c r="B34" s="14" t="s">
        <v>29</v>
      </c>
      <c r="C34" s="18">
        <f>437328.75/39595.14</f>
        <v>11.045010827086355</v>
      </c>
      <c r="D34" s="18">
        <f>D22/D33</f>
        <v>11.688547286326529</v>
      </c>
      <c r="E34" s="18">
        <f>E22/E33</f>
        <v>11.085899298082847</v>
      </c>
      <c r="F34" s="18">
        <f>F22/F33</f>
        <v>20.203251601578341</v>
      </c>
      <c r="G34" s="18">
        <f>G22/G33</f>
        <v>18.856951142565627</v>
      </c>
      <c r="H34" s="22" t="s">
        <v>30</v>
      </c>
    </row>
    <row r="35" spans="2:8" x14ac:dyDescent="0.45">
      <c r="B35" s="4"/>
    </row>
    <row r="36" spans="2:8" x14ac:dyDescent="0.45">
      <c r="B36" t="s">
        <v>48</v>
      </c>
    </row>
    <row r="38" spans="2:8" x14ac:dyDescent="0.45">
      <c r="C38" s="3"/>
    </row>
    <row r="39" spans="2:8" x14ac:dyDescent="0.45">
      <c r="C39" s="3"/>
    </row>
    <row r="41" spans="2:8" x14ac:dyDescent="0.45">
      <c r="F41" s="2"/>
    </row>
  </sheetData>
  <mergeCells count="1">
    <mergeCell ref="B2:H2"/>
  </mergeCells>
  <conditionalFormatting sqref="C20:G20">
    <cfRule type="cellIs" dxfId="0" priority="1" operator="greaterThan">
      <formula>9000</formula>
    </cfRule>
  </conditionalFormatting>
  <pageMargins left="0.7" right="0.7" top="0.75" bottom="0.75" header="0.3" footer="0.3"/>
  <pageSetup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