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comments+xml" PartName="/xl/comments1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23040" windowHeight="9090" activeTab="1"/>
  </bookViews>
  <sheets>
    <sheet name="Price Comparison" sheetId="4" r:id="rId1"/>
    <sheet name="Results" sheetId="2" r:id="rId2"/>
  </sheets>
  <calcPr calcId="171027"/>
</workbook>
</file>

<file path=xl/calcChain.xml><?xml version="1.0" encoding="utf-8"?>
<calcChain xmlns="http://schemas.openxmlformats.org/spreadsheetml/2006/main">
  <c r="AD41" i="4" l="1"/>
  <c r="AD40" i="4"/>
  <c r="Z41" i="4"/>
  <c r="AA41" i="4" s="1"/>
  <c r="Z40" i="4"/>
  <c r="AA40" i="4" s="1"/>
  <c r="AC41" i="4"/>
  <c r="AC40" i="4"/>
  <c r="AB40" i="4"/>
  <c r="AB41" i="4"/>
  <c r="O28" i="4" l="1"/>
  <c r="S28" i="4" s="1"/>
  <c r="O29" i="4"/>
  <c r="O30" i="4"/>
  <c r="O31" i="4"/>
  <c r="O32" i="4"/>
  <c r="O33" i="4"/>
  <c r="O34" i="4"/>
  <c r="O35" i="4"/>
  <c r="O36" i="4"/>
  <c r="O37" i="4"/>
  <c r="S37" i="4" l="1"/>
  <c r="S36" i="4"/>
  <c r="S35" i="4"/>
  <c r="S34" i="4"/>
  <c r="S33" i="4"/>
  <c r="S32" i="4"/>
  <c r="S31" i="4"/>
  <c r="S30" i="4"/>
  <c r="S29" i="4"/>
  <c r="AA37" i="4"/>
  <c r="AE37" i="4" s="1"/>
  <c r="AA36" i="4"/>
  <c r="AE36" i="4" s="1"/>
  <c r="AA35" i="4"/>
  <c r="AE35" i="4" s="1"/>
  <c r="AA34" i="4"/>
  <c r="AE34" i="4" s="1"/>
  <c r="AA33" i="4"/>
  <c r="AE33" i="4" s="1"/>
  <c r="AA32" i="4"/>
  <c r="AE32" i="4" s="1"/>
  <c r="AA31" i="4"/>
  <c r="AE31" i="4" s="1"/>
  <c r="AA30" i="4"/>
  <c r="AE30" i="4" s="1"/>
  <c r="AA29" i="4"/>
  <c r="AE29" i="4" s="1"/>
  <c r="AA28" i="4"/>
  <c r="AE28" i="4" s="1"/>
  <c r="C37" i="4"/>
  <c r="G37" i="4" s="1"/>
  <c r="C36" i="4"/>
  <c r="G36" i="4" s="1"/>
  <c r="C35" i="4"/>
  <c r="G35" i="4" s="1"/>
  <c r="C34" i="4"/>
  <c r="G34" i="4" s="1"/>
  <c r="C33" i="4"/>
  <c r="G33" i="4" s="1"/>
  <c r="C32" i="4"/>
  <c r="G32" i="4" s="1"/>
  <c r="C31" i="4"/>
  <c r="G31" i="4" s="1"/>
  <c r="C30" i="4"/>
  <c r="G30" i="4" s="1"/>
  <c r="C29" i="4"/>
  <c r="G29" i="4" s="1"/>
  <c r="C28" i="4"/>
  <c r="G28" i="4" s="1"/>
  <c r="Y4" i="4"/>
  <c r="P7" i="4"/>
  <c r="AK22" i="4" l="1"/>
  <c r="AI22" i="4"/>
  <c r="AK21" i="4"/>
  <c r="AI21" i="4"/>
  <c r="AE22" i="4"/>
  <c r="AE21" i="4"/>
  <c r="AC22" i="4"/>
  <c r="AC21" i="4"/>
  <c r="AI37" i="4"/>
  <c r="AM37" i="4" s="1"/>
  <c r="AI36" i="4"/>
  <c r="AM36" i="4" s="1"/>
  <c r="AI35" i="4"/>
  <c r="AM35" i="4" s="1"/>
  <c r="AI34" i="4"/>
  <c r="AM34" i="4" s="1"/>
  <c r="AI33" i="4"/>
  <c r="AM33" i="4" s="1"/>
  <c r="AI32" i="4"/>
  <c r="AM32" i="4" s="1"/>
  <c r="AI31" i="4"/>
  <c r="AM31" i="4" s="1"/>
  <c r="AI30" i="4"/>
  <c r="AM30" i="4" s="1"/>
  <c r="AI29" i="4"/>
  <c r="AM29" i="4" s="1"/>
  <c r="AI28" i="4"/>
  <c r="AM28" i="4" s="1"/>
  <c r="Y8" i="4" l="1"/>
  <c r="AC8" i="4" s="1" a="1"/>
  <c r="AC8" i="4" s="1"/>
  <c r="Y7" i="4"/>
  <c r="AC7" i="4" s="1" a="1"/>
  <c r="AC7" i="4" s="1"/>
  <c r="E16" i="4"/>
  <c r="G16" i="4" s="1"/>
  <c r="E15" i="4"/>
  <c r="G15" i="4" s="1"/>
  <c r="E13" i="4"/>
  <c r="G13" i="4" s="1"/>
  <c r="E11" i="4"/>
  <c r="G11" i="4" s="1"/>
  <c r="E9" i="4"/>
  <c r="G9" i="4" s="1"/>
  <c r="Q9" i="4"/>
  <c r="S9" i="4" s="1"/>
  <c r="Q10" i="4"/>
  <c r="S10" i="4" s="1"/>
  <c r="Q11" i="4"/>
  <c r="S11" i="4" s="1"/>
  <c r="Q12" i="4"/>
  <c r="S12" i="4" s="1"/>
  <c r="Q14" i="4"/>
  <c r="S14" i="4" s="1"/>
  <c r="Q15" i="4"/>
  <c r="S15" i="4" s="1"/>
  <c r="E12" i="4"/>
  <c r="G12" i="4" s="1"/>
  <c r="Q16" i="4"/>
  <c r="S16" i="4" s="1"/>
  <c r="E14" i="4"/>
  <c r="G14" i="4" s="1"/>
  <c r="Q13" i="4"/>
  <c r="S13" i="4" s="1"/>
  <c r="E10" i="4"/>
  <c r="G10" i="4" s="1"/>
  <c r="Q8" i="4"/>
  <c r="S8" i="4" s="1"/>
  <c r="E8" i="4"/>
  <c r="G8" i="4" s="1"/>
  <c r="AA7" i="4"/>
  <c r="Z8" i="4"/>
  <c r="Z7" i="4"/>
  <c r="D7" i="4"/>
  <c r="AA8" i="4"/>
  <c r="AF40" i="4" l="1"/>
  <c r="AF7" i="4" s="1"/>
  <c r="AG7" i="4"/>
  <c r="AF41" i="4"/>
  <c r="AF8" i="4" s="1"/>
  <c r="AG8" i="4"/>
  <c r="AD7" i="4"/>
  <c r="AE7" i="4"/>
  <c r="AE8" i="4"/>
  <c r="AD8" i="4"/>
  <c r="Q7" i="4"/>
  <c r="E7" i="4"/>
  <c r="AB7" i="4"/>
  <c r="AB8" i="4"/>
  <c r="F7" i="4" l="1"/>
  <c r="G7" i="4"/>
  <c r="J7" i="4" s="1"/>
  <c r="AH8" i="4"/>
  <c r="AH7" i="4"/>
  <c r="C36" i="2" s="1"/>
  <c r="R7" i="4"/>
  <c r="S7" i="4"/>
  <c r="V7" i="4" s="1"/>
  <c r="P16" i="4"/>
  <c r="P15" i="4"/>
  <c r="P14" i="4"/>
  <c r="P13" i="4"/>
  <c r="P12" i="4"/>
  <c r="P11" i="4"/>
  <c r="P10" i="4"/>
  <c r="P9" i="4"/>
  <c r="P8" i="4"/>
  <c r="D8" i="4"/>
  <c r="D11" i="4"/>
  <c r="D12" i="4"/>
  <c r="D15" i="4"/>
  <c r="D16" i="4"/>
  <c r="D14" i="4"/>
  <c r="D13" i="4"/>
  <c r="D10" i="4"/>
  <c r="D9" i="4"/>
  <c r="R8" i="4"/>
  <c r="R9" i="4"/>
  <c r="R10" i="4"/>
  <c r="R11" i="4"/>
  <c r="V11" i="4" s="1"/>
  <c r="R12" i="4"/>
  <c r="R13" i="4"/>
  <c r="V13" i="4" s="1"/>
  <c r="R14" i="4"/>
  <c r="R15" i="4"/>
  <c r="V15" i="4" s="1"/>
  <c r="R16" i="4"/>
  <c r="F8" i="4"/>
  <c r="F9" i="4"/>
  <c r="F10" i="4"/>
  <c r="F11" i="4"/>
  <c r="F12" i="4"/>
  <c r="F13" i="4"/>
  <c r="J13" i="4" s="1"/>
  <c r="F14" i="4"/>
  <c r="F15" i="4"/>
  <c r="F16" i="4"/>
  <c r="J16" i="4" s="1"/>
  <c r="J15" i="4" l="1"/>
  <c r="V12" i="4"/>
  <c r="J14" i="4"/>
  <c r="V16" i="4"/>
  <c r="V8" i="4"/>
  <c r="V14" i="4"/>
  <c r="J11" i="4"/>
  <c r="J10" i="4"/>
  <c r="J9" i="4"/>
  <c r="V10" i="4"/>
  <c r="J8" i="4"/>
  <c r="V9" i="4"/>
  <c r="J12" i="4"/>
  <c r="E36" i="2"/>
  <c r="P17" i="4"/>
  <c r="D17" i="4"/>
  <c r="J17" i="4" l="1"/>
  <c r="V17" i="4"/>
</calcChain>
</file>

<file path=xl/comments1.xml><?xml version="1.0" encoding="utf-8"?>
<comments xmlns="http://schemas.openxmlformats.org/spreadsheetml/2006/main">
  <authors>
    <author>Margarita Takou</author>
  </authors>
  <commentList>
    <comment ref="N26" authorId="0">
      <text>
        <r>
          <rPr>
            <b/>
            <sz val="9"/>
            <color indexed="81"/>
            <rFont val="Tahoma"/>
            <family val="2"/>
          </rPr>
          <t>Margarita Takou:</t>
        </r>
        <r>
          <rPr>
            <sz val="9"/>
            <color indexed="81"/>
            <rFont val="Tahoma"/>
            <family val="2"/>
          </rPr>
          <t xml:space="preserve">
I changed the OD for HDPE based on: http://www.adspipe.com/pdf/en/ADS_N12_WT_F2648_Pipe_specification.pdf</t>
        </r>
      </text>
    </comment>
  </commentList>
</comments>
</file>

<file path=xl/sharedStrings.xml><?xml version="1.0" encoding="utf-8"?>
<sst xmlns="http://schemas.openxmlformats.org/spreadsheetml/2006/main" count="220" uniqueCount="84">
  <si>
    <t xml:space="preserve">Pipe </t>
  </si>
  <si>
    <t>Diameter, in,</t>
  </si>
  <si>
    <t>O.D., in.</t>
  </si>
  <si>
    <t>Trench</t>
  </si>
  <si>
    <t>Width, in.</t>
  </si>
  <si>
    <t xml:space="preserve">Bedding </t>
  </si>
  <si>
    <t>Depth, in.</t>
  </si>
  <si>
    <t>Fill</t>
  </si>
  <si>
    <t>Point</t>
  </si>
  <si>
    <t>Fill Above</t>
  </si>
  <si>
    <t>Crown, in.</t>
  </si>
  <si>
    <t>Required</t>
  </si>
  <si>
    <t>RCP</t>
  </si>
  <si>
    <t>HDPE</t>
  </si>
  <si>
    <t>Pipe</t>
  </si>
  <si>
    <t>Qty., L.F.</t>
  </si>
  <si>
    <t>Cost</t>
  </si>
  <si>
    <t>$/L.F.</t>
  </si>
  <si>
    <t>Total Pipe</t>
  </si>
  <si>
    <t>Cost per</t>
  </si>
  <si>
    <t>Size, $</t>
  </si>
  <si>
    <t xml:space="preserve">Total </t>
  </si>
  <si>
    <t>Cost, $</t>
  </si>
  <si>
    <t>Dia., in</t>
  </si>
  <si>
    <t>Assumptions:</t>
  </si>
  <si>
    <t>1. RCP Backfill Cost</t>
  </si>
  <si>
    <t>2. HDPE Backfill Cost</t>
  </si>
  <si>
    <t>per ton @</t>
  </si>
  <si>
    <t>lbs/ft^3</t>
  </si>
  <si>
    <t>Select, ft^3/ft.</t>
  </si>
  <si>
    <t xml:space="preserve">lbs/ft^3  </t>
  </si>
  <si>
    <t>Req'd, ft^3/ft</t>
  </si>
  <si>
    <t>Pipe &amp; Aggregate</t>
  </si>
  <si>
    <t>Aggregate</t>
  </si>
  <si>
    <t>Enter length of pipe:</t>
  </si>
  <si>
    <t>Enter Diameter of Pipe:</t>
  </si>
  <si>
    <t>(inches)</t>
  </si>
  <si>
    <t>($/lf)</t>
  </si>
  <si>
    <t>($/ton)</t>
  </si>
  <si>
    <t>(lbs/cf)</t>
  </si>
  <si>
    <t>Total Cost of RCP Installed</t>
  </si>
  <si>
    <t>(linear feet)</t>
  </si>
  <si>
    <t>(includes pipe</t>
  </si>
  <si>
    <t>Total cost of Plastic Pipe Installed:</t>
  </si>
  <si>
    <t>Enter cost of RCP</t>
  </si>
  <si>
    <t>Enter cost of RCP backfill</t>
  </si>
  <si>
    <t>Enter Unit Weight of RCP backfill</t>
  </si>
  <si>
    <t>Enter cost of Plastic Pipe</t>
  </si>
  <si>
    <t>Enter cost of Plastic Pipe backfill</t>
  </si>
  <si>
    <t>Enter Unit Weight of Plastic Pipe backfill</t>
  </si>
  <si>
    <t>Installation Comparison Calculation</t>
  </si>
  <si>
    <t>RCP vs. Plastic Pipe</t>
  </si>
  <si>
    <t>backfill)*</t>
  </si>
  <si>
    <t xml:space="preserve">There are fundamental differences between concrete pipe (rigid pipe) and plastic pipe (flexible pipe).  </t>
  </si>
  <si>
    <t>One fundamental difference is that rigid pipe is a structure whereas flexible pipe is essentially a liner and the structure is built in the fields.</t>
  </si>
  <si>
    <t>American Concrete Pipe Association</t>
  </si>
  <si>
    <t>Example:  36" concrete and plastic pipe installed in a trench</t>
  </si>
  <si>
    <t>Enter disposal cost of native soil</t>
  </si>
  <si>
    <t xml:space="preserve">      Do + 1/6 Do on either side of the pipe or Do + 12" on either side of the pipe, whichever is greater</t>
  </si>
  <si>
    <t>Per AASHTO, the RCP minimum trench width for Type I, II and III installations are as follows and will be used for these pipe envelope calculations:</t>
  </si>
  <si>
    <t>Per AASHTO, the minimum trench width for Type IV installations is Do + 1/6 Do on either side of the pipe</t>
  </si>
  <si>
    <t>Per AASHTO, the following trench widths are required for plastic pipe and will be used for these pipe envelope calculations:</t>
  </si>
  <si>
    <t xml:space="preserve">      1.5Do + 12" </t>
  </si>
  <si>
    <t>Disposal</t>
  </si>
  <si>
    <t>Enter Unit Weight of native soil</t>
  </si>
  <si>
    <t>$/LF</t>
  </si>
  <si>
    <t>Cost of Post Installation Inspection</t>
  </si>
  <si>
    <t>(ft/hr)</t>
  </si>
  <si>
    <t>($/hr)</t>
  </si>
  <si>
    <t>No. of Linear ft. Compacted per Hour</t>
  </si>
  <si>
    <t xml:space="preserve">Compaction </t>
  </si>
  <si>
    <t>Inspection</t>
  </si>
  <si>
    <t>S/LF</t>
  </si>
  <si>
    <t>Compaction Cost</t>
  </si>
  <si>
    <t>$</t>
  </si>
  <si>
    <t>Inspection  Cost</t>
  </si>
  <si>
    <t xml:space="preserve">Plastic </t>
  </si>
  <si>
    <t>LF Compacted</t>
  </si>
  <si>
    <t>$/hr</t>
  </si>
  <si>
    <t xml:space="preserve">LF/HR </t>
  </si>
  <si>
    <t>ID</t>
  </si>
  <si>
    <t>OD</t>
  </si>
  <si>
    <t>lift (in)</t>
  </si>
  <si>
    <t>Diameter, 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</si>
</sst>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164" formatCode="0.0"/>
    <numFmt numFmtId="165" formatCode="0.0000"/>
    <numFmt numFmtId="166" formatCode="0.000"/>
    <numFmt numFmtId="167" formatCode="&quot;$&quot;#,##0.00"/>
  </numFmts>
  <fonts count="21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8"/>
      <color rgb="FFF38F1D"/>
      <name val="Arial"/>
      <family val="2"/>
    </font>
    <font>
      <sz val="11"/>
      <color theme="9" tint="-0.499984740745262"/>
      <name val="Calibri"/>
      <family val="2"/>
      <scheme val="minor"/>
    </font>
    <font>
      <sz val="11"/>
      <color theme="1"/>
      <name val="Aharoni"/>
      <charset val="177"/>
    </font>
    <font>
      <sz val="16"/>
      <color theme="1"/>
      <name val="Aharoni"/>
      <charset val="177"/>
    </font>
    <font>
      <sz val="12"/>
      <color theme="1"/>
      <name val="Aharoni"/>
      <charset val="177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color theme="1"/>
      <name val="Arial"/>
      <family val="2"/>
    </font>
    <font>
      <sz val="11"/>
      <color theme="9" tint="-0.499984740745262"/>
      <name val="Arial"/>
      <family val="2"/>
    </font>
    <font>
      <b/>
      <sz val="12"/>
      <color theme="1"/>
      <name val="Arial"/>
      <family val="2"/>
    </font>
    <font>
      <sz val="18"/>
      <color rgb="FFD88516"/>
      <name val="Arial"/>
      <family val="2"/>
    </font>
    <font>
      <b/>
      <sz val="12"/>
      <color theme="1"/>
      <name val="Aharoni"/>
      <charset val="177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gradientFill degree="90">
        <stop position="0">
          <color theme="0"/>
        </stop>
        <stop position="1">
          <color rgb="FFD88516"/>
        </stop>
      </gradientFill>
    </fill>
    <fill>
      <gradientFill degree="90">
        <stop position="0">
          <color theme="0"/>
        </stop>
        <stop position="1">
          <color rgb="FF655535"/>
        </stop>
      </gradientFill>
    </fill>
  </fills>
  <borders count="31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 style="thick">
        <color auto="1"/>
      </right>
      <top style="double">
        <color auto="1"/>
      </top>
      <bottom/>
      <diagonal/>
    </border>
    <border>
      <left style="double">
        <color auto="1"/>
      </left>
      <right style="thick">
        <color auto="1"/>
      </right>
      <top/>
      <bottom style="double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 style="double">
        <color auto="1"/>
      </top>
      <bottom/>
      <diagonal/>
    </border>
    <border>
      <left style="thin">
        <color auto="1"/>
      </left>
      <right style="thick">
        <color auto="1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double">
        <color auto="1"/>
      </top>
      <bottom/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03">
    <xf numFmtId="0" fontId="0" fillId="0" borderId="0" xfId="0"/>
    <xf numFmtId="0" fontId="0" fillId="0" borderId="0" xfId="0" applyAlignment="1">
      <alignment horizontal="center"/>
    </xf>
    <xf numFmtId="0" fontId="4" fillId="0" borderId="4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/>
    </xf>
    <xf numFmtId="0" fontId="4" fillId="0" borderId="6" xfId="0" applyFont="1" applyBorder="1" applyAlignment="1" applyProtection="1">
      <alignment horizontal="center"/>
    </xf>
    <xf numFmtId="1" fontId="4" fillId="2" borderId="16" xfId="0" applyNumberFormat="1" applyFont="1" applyFill="1" applyBorder="1" applyAlignment="1" applyProtection="1">
      <alignment horizontal="center"/>
      <protection locked="0"/>
    </xf>
    <xf numFmtId="44" fontId="4" fillId="2" borderId="18" xfId="1" applyFont="1" applyFill="1" applyBorder="1" applyAlignment="1" applyProtection="1">
      <alignment horizontal="center"/>
      <protection locked="0"/>
    </xf>
    <xf numFmtId="1" fontId="4" fillId="2" borderId="13" xfId="0" applyNumberFormat="1" applyFont="1" applyFill="1" applyBorder="1" applyAlignment="1" applyProtection="1">
      <alignment horizontal="center"/>
      <protection locked="0"/>
    </xf>
    <xf numFmtId="1" fontId="4" fillId="2" borderId="14" xfId="0" applyNumberFormat="1" applyFont="1" applyFill="1" applyBorder="1" applyAlignment="1" applyProtection="1">
      <alignment horizontal="center"/>
      <protection locked="0"/>
    </xf>
    <xf numFmtId="44" fontId="4" fillId="2" borderId="12" xfId="1" applyFont="1" applyFill="1" applyBorder="1" applyAlignment="1" applyProtection="1">
      <alignment horizontal="center"/>
      <protection locked="0"/>
    </xf>
    <xf numFmtId="44" fontId="4" fillId="0" borderId="18" xfId="0" applyNumberFormat="1" applyFont="1" applyBorder="1" applyAlignment="1" applyProtection="1">
      <alignment horizontal="center"/>
    </xf>
    <xf numFmtId="166" fontId="4" fillId="0" borderId="18" xfId="0" applyNumberFormat="1" applyFont="1" applyBorder="1" applyAlignment="1" applyProtection="1">
      <alignment horizontal="center"/>
    </xf>
    <xf numFmtId="44" fontId="4" fillId="0" borderId="9" xfId="1" applyFont="1" applyBorder="1" applyAlignment="1" applyProtection="1">
      <alignment horizontal="center"/>
    </xf>
    <xf numFmtId="44" fontId="4" fillId="0" borderId="29" xfId="0" applyNumberFormat="1" applyFont="1" applyBorder="1" applyAlignment="1" applyProtection="1">
      <alignment horizontal="center"/>
    </xf>
    <xf numFmtId="166" fontId="4" fillId="0" borderId="12" xfId="0" applyNumberFormat="1" applyFont="1" applyBorder="1" applyAlignment="1" applyProtection="1">
      <alignment horizontal="center"/>
    </xf>
    <xf numFmtId="164" fontId="0" fillId="0" borderId="7" xfId="0" applyNumberFormat="1" applyBorder="1" applyAlignment="1" applyProtection="1">
      <alignment horizontal="center"/>
    </xf>
    <xf numFmtId="164" fontId="0" fillId="0" borderId="12" xfId="0" applyNumberFormat="1" applyBorder="1" applyAlignment="1" applyProtection="1">
      <alignment horizontal="center"/>
    </xf>
    <xf numFmtId="2" fontId="4" fillId="0" borderId="18" xfId="0" applyNumberFormat="1" applyFont="1" applyBorder="1" applyAlignment="1" applyProtection="1">
      <alignment horizontal="center"/>
    </xf>
    <xf numFmtId="2" fontId="4" fillId="0" borderId="12" xfId="0" applyNumberFormat="1" applyFont="1" applyBorder="1" applyAlignment="1" applyProtection="1">
      <alignment horizontal="center"/>
    </xf>
    <xf numFmtId="44" fontId="0" fillId="2" borderId="26" xfId="1" applyFont="1" applyFill="1" applyBorder="1" applyAlignment="1" applyProtection="1">
      <alignment horizontal="center"/>
      <protection locked="0"/>
    </xf>
    <xf numFmtId="37" fontId="0" fillId="2" borderId="26" xfId="1" applyNumberFormat="1" applyFont="1" applyFill="1" applyBorder="1" applyAlignment="1" applyProtection="1">
      <alignment horizontal="center"/>
      <protection locked="0"/>
    </xf>
    <xf numFmtId="0" fontId="0" fillId="0" borderId="0" xfId="0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0" fontId="13" fillId="0" borderId="0" xfId="0" applyFont="1" applyProtection="1">
      <protection hidden="1"/>
    </xf>
    <xf numFmtId="0" fontId="14" fillId="0" borderId="0" xfId="0" applyFont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0" fontId="11" fillId="0" borderId="0" xfId="0" applyFont="1" applyBorder="1" applyAlignment="1" applyProtection="1">
      <alignment horizontal="right"/>
      <protection hidden="1"/>
    </xf>
    <xf numFmtId="0" fontId="8" fillId="0" borderId="0" xfId="0" applyFont="1" applyBorder="1" applyAlignment="1" applyProtection="1">
      <alignment horizontal="left"/>
      <protection hidden="1"/>
    </xf>
    <xf numFmtId="0" fontId="12" fillId="0" borderId="0" xfId="0" applyFont="1" applyBorder="1" applyProtection="1">
      <protection hidden="1"/>
    </xf>
    <xf numFmtId="0" fontId="7" fillId="0" borderId="0" xfId="0" applyFont="1" applyBorder="1" applyAlignment="1" applyProtection="1">
      <alignment horizontal="center"/>
      <protection hidden="1"/>
    </xf>
    <xf numFmtId="0" fontId="0" fillId="0" borderId="0" xfId="0" applyBorder="1"/>
    <xf numFmtId="0" fontId="8" fillId="0" borderId="0" xfId="0" applyFont="1" applyBorder="1" applyAlignment="1" applyProtection="1">
      <alignment horizontal="center"/>
      <protection hidden="1"/>
    </xf>
    <xf numFmtId="0" fontId="10" fillId="0" borderId="0" xfId="0" applyFont="1" applyBorder="1" applyProtection="1">
      <protection hidden="1"/>
    </xf>
    <xf numFmtId="0" fontId="9" fillId="0" borderId="0" xfId="0" applyFont="1" applyBorder="1" applyAlignment="1" applyProtection="1">
      <alignment horizontal="right"/>
      <protection hidden="1"/>
    </xf>
    <xf numFmtId="0" fontId="9" fillId="0" borderId="0" xfId="0" applyFont="1" applyBorder="1" applyAlignment="1" applyProtection="1">
      <alignment horizontal="left"/>
      <protection hidden="1"/>
    </xf>
    <xf numFmtId="0" fontId="15" fillId="0" borderId="0" xfId="0" applyFont="1" applyProtection="1">
      <protection hidden="1"/>
    </xf>
    <xf numFmtId="0" fontId="13" fillId="0" borderId="0" xfId="0" applyFont="1"/>
    <xf numFmtId="0" fontId="0" fillId="0" borderId="0" xfId="0" applyAlignment="1" applyProtection="1">
      <alignment horizontal="center"/>
      <protection hidden="1"/>
    </xf>
    <xf numFmtId="0" fontId="16" fillId="0" borderId="0" xfId="0" applyFont="1" applyAlignment="1" applyProtection="1">
      <alignment horizontal="center"/>
      <protection hidden="1"/>
    </xf>
    <xf numFmtId="0" fontId="0" fillId="0" borderId="0" xfId="0" applyFill="1" applyBorder="1" applyProtection="1">
      <protection hidden="1"/>
    </xf>
    <xf numFmtId="0" fontId="17" fillId="0" borderId="0" xfId="0" applyFont="1" applyAlignment="1" applyProtection="1">
      <alignment horizontal="center"/>
      <protection hidden="1"/>
    </xf>
    <xf numFmtId="0" fontId="10" fillId="3" borderId="0" xfId="0" applyFont="1" applyFill="1" applyBorder="1" applyAlignment="1" applyProtection="1">
      <alignment horizontal="center" vertical="center"/>
      <protection locked="0"/>
    </xf>
    <xf numFmtId="167" fontId="10" fillId="3" borderId="0" xfId="0" applyNumberFormat="1" applyFont="1" applyFill="1" applyBorder="1" applyAlignment="1" applyProtection="1">
      <alignment horizontal="center" vertical="center"/>
      <protection locked="0" hidden="1"/>
    </xf>
    <xf numFmtId="7" fontId="10" fillId="3" borderId="0" xfId="1" applyNumberFormat="1" applyFont="1" applyFill="1" applyBorder="1" applyAlignment="1" applyProtection="1">
      <alignment horizontal="center"/>
      <protection locked="0" hidden="1"/>
    </xf>
    <xf numFmtId="37" fontId="10" fillId="3" borderId="0" xfId="1" applyNumberFormat="1" applyFont="1" applyFill="1" applyBorder="1" applyAlignment="1" applyProtection="1">
      <alignment horizontal="center"/>
      <protection locked="0" hidden="1"/>
    </xf>
    <xf numFmtId="0" fontId="0" fillId="0" borderId="0" xfId="0" applyProtection="1"/>
    <xf numFmtId="0" fontId="4" fillId="0" borderId="0" xfId="0" applyFont="1" applyProtection="1"/>
    <xf numFmtId="0" fontId="4" fillId="0" borderId="0" xfId="0" applyFont="1" applyBorder="1" applyProtection="1"/>
    <xf numFmtId="0" fontId="4" fillId="0" borderId="20" xfId="0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</xf>
    <xf numFmtId="0" fontId="4" fillId="0" borderId="25" xfId="0" applyFont="1" applyBorder="1" applyAlignment="1" applyProtection="1">
      <alignment horizontal="center"/>
    </xf>
    <xf numFmtId="2" fontId="4" fillId="0" borderId="0" xfId="0" applyNumberFormat="1" applyFont="1" applyProtection="1"/>
    <xf numFmtId="0" fontId="4" fillId="0" borderId="19" xfId="0" applyFont="1" applyBorder="1" applyAlignment="1" applyProtection="1">
      <alignment horizontal="center"/>
    </xf>
    <xf numFmtId="0" fontId="4" fillId="0" borderId="1" xfId="0" applyFont="1" applyBorder="1" applyAlignment="1" applyProtection="1">
      <alignment horizontal="center"/>
    </xf>
    <xf numFmtId="0" fontId="4" fillId="0" borderId="24" xfId="0" applyFont="1" applyBorder="1" applyAlignment="1" applyProtection="1">
      <alignment horizontal="center"/>
    </xf>
    <xf numFmtId="0" fontId="4" fillId="0" borderId="27" xfId="0" applyFont="1" applyBorder="1" applyAlignment="1" applyProtection="1">
      <alignment horizontal="center"/>
    </xf>
    <xf numFmtId="0" fontId="4" fillId="0" borderId="28" xfId="0" applyFont="1" applyBorder="1" applyAlignment="1" applyProtection="1">
      <alignment horizontal="center"/>
    </xf>
    <xf numFmtId="0" fontId="4" fillId="0" borderId="22" xfId="0" applyFont="1" applyBorder="1" applyAlignment="1" applyProtection="1">
      <alignment horizontal="center"/>
    </xf>
    <xf numFmtId="0" fontId="4" fillId="0" borderId="21" xfId="0" applyFont="1" applyBorder="1" applyAlignment="1" applyProtection="1">
      <alignment horizontal="center"/>
    </xf>
    <xf numFmtId="0" fontId="4" fillId="0" borderId="23" xfId="0" applyFont="1" applyBorder="1" applyAlignment="1" applyProtection="1">
      <alignment horizontal="center"/>
    </xf>
    <xf numFmtId="44" fontId="4" fillId="0" borderId="0" xfId="1" applyFont="1" applyBorder="1" applyAlignment="1" applyProtection="1">
      <alignment horizontal="center"/>
    </xf>
    <xf numFmtId="44" fontId="3" fillId="0" borderId="30" xfId="0" applyNumberFormat="1" applyFont="1" applyBorder="1" applyProtection="1"/>
    <xf numFmtId="44" fontId="3" fillId="0" borderId="30" xfId="1" applyFont="1" applyBorder="1" applyProtection="1"/>
    <xf numFmtId="44" fontId="3" fillId="0" borderId="0" xfId="1" applyFont="1" applyBorder="1" applyProtection="1"/>
    <xf numFmtId="0" fontId="6" fillId="0" borderId="0" xfId="0" applyFont="1" applyProtection="1"/>
    <xf numFmtId="37" fontId="0" fillId="2" borderId="26" xfId="1" applyNumberFormat="1" applyFont="1" applyFill="1" applyBorder="1" applyAlignment="1" applyProtection="1">
      <alignment horizontal="center"/>
    </xf>
    <xf numFmtId="7" fontId="0" fillId="2" borderId="26" xfId="1" applyNumberFormat="1" applyFont="1" applyFill="1" applyBorder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0" fontId="0" fillId="0" borderId="2" xfId="0" applyBorder="1" applyAlignment="1" applyProtection="1">
      <alignment horizontal="center"/>
    </xf>
    <xf numFmtId="0" fontId="0" fillId="0" borderId="15" xfId="0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0" fontId="0" fillId="0" borderId="17" xfId="0" applyBorder="1" applyAlignment="1" applyProtection="1">
      <alignment horizontal="center"/>
    </xf>
    <xf numFmtId="0" fontId="0" fillId="0" borderId="8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16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18" xfId="0" applyBorder="1" applyAlignment="1" applyProtection="1">
      <alignment horizontal="center"/>
    </xf>
    <xf numFmtId="0" fontId="0" fillId="0" borderId="9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164" fontId="0" fillId="0" borderId="13" xfId="0" applyNumberFormat="1" applyBorder="1" applyAlignment="1" applyProtection="1">
      <alignment horizontal="center"/>
    </xf>
    <xf numFmtId="0" fontId="0" fillId="0" borderId="7" xfId="0" applyBorder="1" applyAlignment="1" applyProtection="1">
      <alignment horizontal="center"/>
    </xf>
    <xf numFmtId="9" fontId="0" fillId="0" borderId="7" xfId="0" applyNumberFormat="1" applyBorder="1" applyAlignment="1" applyProtection="1">
      <alignment horizontal="center"/>
    </xf>
    <xf numFmtId="165" fontId="0" fillId="0" borderId="10" xfId="0" applyNumberFormat="1" applyBorder="1" applyAlignment="1" applyProtection="1">
      <alignment horizontal="center"/>
    </xf>
    <xf numFmtId="0" fontId="0" fillId="0" borderId="5" xfId="0" applyBorder="1" applyAlignment="1" applyProtection="1">
      <alignment horizontal="center"/>
    </xf>
    <xf numFmtId="0" fontId="0" fillId="0" borderId="6" xfId="0" applyBorder="1" applyAlignment="1" applyProtection="1">
      <alignment horizontal="center"/>
    </xf>
    <xf numFmtId="164" fontId="0" fillId="0" borderId="14" xfId="0" applyNumberFormat="1" applyBorder="1" applyAlignment="1" applyProtection="1">
      <alignment horizontal="center"/>
    </xf>
    <xf numFmtId="0" fontId="0" fillId="0" borderId="12" xfId="0" applyBorder="1" applyAlignment="1" applyProtection="1">
      <alignment horizontal="center"/>
    </xf>
    <xf numFmtId="9" fontId="0" fillId="0" borderId="12" xfId="0" applyNumberFormat="1" applyBorder="1" applyAlignment="1" applyProtection="1">
      <alignment horizontal="center"/>
    </xf>
    <xf numFmtId="165" fontId="0" fillId="0" borderId="11" xfId="0" applyNumberFormat="1" applyBorder="1" applyAlignment="1" applyProtection="1">
      <alignment horizontal="center"/>
    </xf>
    <xf numFmtId="0" fontId="5" fillId="0" borderId="19" xfId="0" applyFont="1" applyBorder="1" applyAlignment="1" applyProtection="1">
      <alignment horizontal="center"/>
    </xf>
    <xf numFmtId="0" fontId="0" fillId="0" borderId="1" xfId="0" applyBorder="1" applyAlignment="1" applyProtection="1"/>
    <xf numFmtId="0" fontId="0" fillId="0" borderId="24" xfId="0" applyBorder="1" applyAlignment="1" applyProtection="1"/>
    <xf numFmtId="164" fontId="0" fillId="0" borderId="0" xfId="0" applyNumberFormat="1" applyFill="1" applyBorder="1" applyAlignment="1" applyProtection="1">
      <alignment horizontal="center"/>
    </xf>
    <xf numFmtId="4" fontId="10" fillId="3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1" xfId="0" applyFont="1" applyFill="1" applyBorder="1" applyAlignment="1" applyProtection="1">
      <alignment horizontal="center"/>
    </xf>
    <xf numFmtId="0" fontId="4" fillId="0" borderId="21" xfId="0" applyFont="1" applyFill="1" applyBorder="1" applyAlignment="1" applyProtection="1">
      <alignment horizontal="center"/>
    </xf>
    <xf numFmtId="167" fontId="18" fillId="4" borderId="0" xfId="0" applyNumberFormat="1" applyFont="1" applyFill="1" applyBorder="1" applyAlignment="1" applyProtection="1">
      <alignment horizontal="center" vertical="center" shrinkToFit="1"/>
      <protection hidden="1"/>
    </xf>
    <xf numFmtId="0" fontId="0" fillId="0" borderId="0" xfId="0" applyAlignment="1">
      <alignment horizontal="center" vertical="center" shrinkToFit="1"/>
    </xf>
    <xf numFmtId="0" fontId="11" fillId="0" borderId="0" xfId="0" applyFont="1" applyBorder="1" applyAlignment="1" applyProtection="1">
      <alignment horizontal="right" vertical="center"/>
      <protection hidden="1"/>
    </xf>
    <xf numFmtId="0" fontId="0" fillId="0" borderId="0" xfId="0" applyAlignment="1">
      <alignment vertical="center"/>
    </xf>
    <xf numFmtId="0" fontId="11" fillId="0" borderId="0" xfId="0" applyFont="1" applyBorder="1" applyAlignment="1" applyProtection="1">
      <alignment horizontal="left" vertical="center"/>
      <protection hidden="1"/>
    </xf>
    <xf numFmtId="0" fontId="0" fillId="0" borderId="0" xfId="0" applyAlignment="1">
      <alignment horizontal="left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79646"/>
      <color rgb="FF655535"/>
      <color rgb="FFD88516"/>
      <color rgb="FFE3770B"/>
      <color rgb="FFF38F1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worksheets/sheet2.xml" Type="http://schemas.openxmlformats.org/officeDocument/2006/relationships/worksheet"/>
<Relationship Id="rId3" Target="theme/theme1.xml" Type="http://schemas.openxmlformats.org/officeDocument/2006/relationships/theme"/>
<Relationship Id="rId4" Target="styles.xml" Type="http://schemas.openxmlformats.org/officeDocument/2006/relationships/styles"/>
<Relationship Id="rId5" Target="sharedStrings.xml" Type="http://schemas.openxmlformats.org/officeDocument/2006/relationships/sharedStrings"/>
<Relationship Id="rId6" Target="calcChain.xml" Type="http://schemas.openxmlformats.org/officeDocument/2006/relationships/calcChain"/>
</Relationships>

</file>

<file path=xl/drawings/_rels/drawing2.xml.rels><?xml version="1.0" encoding="UTF-8" standalone="no"?>
<Relationships xmlns="http://schemas.openxmlformats.org/package/2006/relationships">
<Relationship Id="rId1" Target="../media/image1.jpeg" Type="http://schemas.openxmlformats.org/officeDocument/2006/relationships/image"/>
<Relationship Id="rId2" Target="../media/image2.png" Type="http://schemas.openxmlformats.org/officeDocument/2006/relationships/image"/>
<Relationship Id="rId3" Target="../media/image3.png" Type="http://schemas.openxmlformats.org/officeDocument/2006/relationships/image"/>
<Relationship Id="rId4" Target="../media/image4.png" Type="http://schemas.openxmlformats.org/officeDocument/2006/relationships/image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761999</xdr:colOff>
      <xdr:row>40</xdr:row>
      <xdr:rowOff>28574</xdr:rowOff>
    </xdr:from>
    <xdr:to>
      <xdr:col>3</xdr:col>
      <xdr:colOff>657224</xdr:colOff>
      <xdr:row>50</xdr:row>
      <xdr:rowOff>95249</xdr:rowOff>
    </xdr:to>
    <xdr:sp macro="" textlink="">
      <xdr:nvSpPr>
        <xdr:cNvPr id="6" name="Rectangle 5"/>
        <xdr:cNvSpPr/>
      </xdr:nvSpPr>
      <xdr:spPr>
        <a:xfrm>
          <a:off x="1371599" y="3733799"/>
          <a:ext cx="2162175" cy="197167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333375</xdr:colOff>
      <xdr:row>42</xdr:row>
      <xdr:rowOff>95250</xdr:rowOff>
    </xdr:from>
    <xdr:to>
      <xdr:col>3</xdr:col>
      <xdr:colOff>352425</xdr:colOff>
      <xdr:row>49</xdr:row>
      <xdr:rowOff>123825</xdr:rowOff>
    </xdr:to>
    <xdr:sp macro="" textlink="">
      <xdr:nvSpPr>
        <xdr:cNvPr id="7" name="Donut 6"/>
        <xdr:cNvSpPr/>
      </xdr:nvSpPr>
      <xdr:spPr>
        <a:xfrm>
          <a:off x="1085850" y="8372475"/>
          <a:ext cx="1276350" cy="1362075"/>
        </a:xfrm>
        <a:prstGeom prst="donut">
          <a:avLst>
            <a:gd name="adj" fmla="val 948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749808</xdr:colOff>
      <xdr:row>39</xdr:row>
      <xdr:rowOff>99060</xdr:rowOff>
    </xdr:from>
    <xdr:to>
      <xdr:col>3</xdr:col>
      <xdr:colOff>655320</xdr:colOff>
      <xdr:row>39</xdr:row>
      <xdr:rowOff>103632</xdr:rowOff>
    </xdr:to>
    <xdr:cxnSp macro="">
      <xdr:nvCxnSpPr>
        <xdr:cNvPr id="8" name="Straight Arrow Connector 7"/>
        <xdr:cNvCxnSpPr/>
      </xdr:nvCxnSpPr>
      <xdr:spPr>
        <a:xfrm flipV="1">
          <a:off x="1359408" y="3613785"/>
          <a:ext cx="2172462" cy="4572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771525</xdr:colOff>
      <xdr:row>42</xdr:row>
      <xdr:rowOff>47625</xdr:rowOff>
    </xdr:from>
    <xdr:to>
      <xdr:col>3</xdr:col>
      <xdr:colOff>676275</xdr:colOff>
      <xdr:row>42</xdr:row>
      <xdr:rowOff>57150</xdr:rowOff>
    </xdr:to>
    <xdr:cxnSp macro="">
      <xdr:nvCxnSpPr>
        <xdr:cNvPr id="9" name="Straight Connector 8"/>
        <xdr:cNvCxnSpPr/>
      </xdr:nvCxnSpPr>
      <xdr:spPr>
        <a:xfrm flipV="1">
          <a:off x="1381125" y="4133850"/>
          <a:ext cx="2171700" cy="9525"/>
        </a:xfrm>
        <a:prstGeom prst="line">
          <a:avLst/>
        </a:prstGeom>
        <a:ln w="25400" cmpd="sng">
          <a:prstDash val="sysDash"/>
          <a:headEnd w="lg" len="med"/>
          <a:tailEnd w="lg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1981201</xdr:colOff>
      <xdr:row>0</xdr:row>
      <xdr:rowOff>76200</xdr:rowOff>
    </xdr:from>
    <xdr:to>
      <xdr:col>1</xdr:col>
      <xdr:colOff>73489</xdr:colOff>
      <xdr:row>3</xdr:row>
      <xdr:rowOff>9525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81201" y="76200"/>
          <a:ext cx="721188" cy="819150"/>
        </a:xfrm>
        <a:prstGeom prst="rect">
          <a:avLst/>
        </a:prstGeom>
      </xdr:spPr>
    </xdr:pic>
    <xdr:clientData/>
  </xdr:twoCellAnchor>
  <xdr:twoCellAnchor>
    <xdr:from>
      <xdr:col>0</xdr:col>
      <xdr:colOff>742950</xdr:colOff>
      <xdr:row>8</xdr:row>
      <xdr:rowOff>19050</xdr:rowOff>
    </xdr:from>
    <xdr:to>
      <xdr:col>8</xdr:col>
      <xdr:colOff>314325</xdr:colOff>
      <xdr:row>13</xdr:row>
      <xdr:rowOff>95250</xdr:rowOff>
    </xdr:to>
    <xdr:grpSp>
      <xdr:nvGrpSpPr>
        <xdr:cNvPr id="7" name="Group 6"/>
        <xdr:cNvGrpSpPr/>
      </xdr:nvGrpSpPr>
      <xdr:grpSpPr>
        <a:xfrm>
          <a:off x="742950" y="2066925"/>
          <a:ext cx="7723188" cy="1544638"/>
          <a:chOff x="742950" y="2333625"/>
          <a:chExt cx="7734300" cy="1552575"/>
        </a:xfrm>
      </xdr:grpSpPr>
      <xdr:pic>
        <xdr:nvPicPr>
          <xdr:cNvPr id="1027" name="Picture 3"/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/>
          <a:srcRect t="25449" r="628" b="26048"/>
          <a:stretch>
            <a:fillRect/>
          </a:stretch>
        </xdr:blipFill>
        <xdr:spPr bwMode="auto">
          <a:xfrm>
            <a:off x="1747343" y="2333625"/>
            <a:ext cx="6025057" cy="1543050"/>
          </a:xfrm>
          <a:prstGeom prst="rect">
            <a:avLst/>
          </a:prstGeom>
          <a:noFill/>
          <a:ln w="1">
            <a:noFill/>
            <a:miter lim="800000"/>
            <a:headEnd/>
            <a:tailEnd type="none" w="med" len="med"/>
          </a:ln>
          <a:effectLst/>
        </xdr:spPr>
      </xdr:pic>
      <xdr:pic>
        <xdr:nvPicPr>
          <xdr:cNvPr id="1028" name="Picture 4"/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/>
          <a:srcRect/>
          <a:stretch>
            <a:fillRect/>
          </a:stretch>
        </xdr:blipFill>
        <xdr:spPr bwMode="auto">
          <a:xfrm>
            <a:off x="742950" y="3190875"/>
            <a:ext cx="1158875" cy="695325"/>
          </a:xfrm>
          <a:prstGeom prst="rect">
            <a:avLst/>
          </a:prstGeom>
          <a:noFill/>
          <a:ln w="1">
            <a:noFill/>
            <a:miter lim="800000"/>
            <a:headEnd/>
            <a:tailEnd type="none" w="med" len="med"/>
          </a:ln>
          <a:effectLst/>
        </xdr:spPr>
      </xdr:pic>
      <xdr:pic>
        <xdr:nvPicPr>
          <xdr:cNvPr id="1029" name="Picture 5"/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/>
          <a:srcRect/>
          <a:stretch>
            <a:fillRect/>
          </a:stretch>
        </xdr:blipFill>
        <xdr:spPr bwMode="auto">
          <a:xfrm>
            <a:off x="7143750" y="3028950"/>
            <a:ext cx="1333500" cy="838200"/>
          </a:xfrm>
          <a:prstGeom prst="rect">
            <a:avLst/>
          </a:prstGeom>
          <a:noFill/>
          <a:ln w="1">
            <a:noFill/>
            <a:miter lim="800000"/>
            <a:headEnd/>
            <a:tailEnd type="none" w="med" len="med"/>
          </a:ln>
          <a:effectLst/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Relationship Id="rId2" Target="../drawings/drawing1.xml" Type="http://schemas.openxmlformats.org/officeDocument/2006/relationships/drawing"/>
<Relationship Id="rId3" Target="../drawings/vmlDrawing1.vml" Type="http://schemas.openxmlformats.org/officeDocument/2006/relationships/vmlDrawing"/>
<Relationship Id="rId4" Target="../comments1.xml" Type="http://schemas.openxmlformats.org/officeDocument/2006/relationships/comments"/>
</Relationships>

</file>

<file path=xl/worksheets/_rels/sheet2.xml.rels><?xml version="1.0" encoding="UTF-8" standalone="no"?>
<Relationships xmlns="http://schemas.openxmlformats.org/package/2006/relationships">
<Relationship Id="rId1" Target="../printerSettings/printerSettings2.bin" Type="http://schemas.openxmlformats.org/officeDocument/2006/relationships/printerSettings"/>
<Relationship Id="rId2" Target="../drawings/drawing2.xml" Type="http://schemas.openxmlformats.org/officeDocument/2006/relationships/drawing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2:AM41"/>
  <sheetViews>
    <sheetView zoomScaleNormal="100" workbookViewId="0">
      <selection activeCell="G41" sqref="G41"/>
    </sheetView>
  </sheetViews>
  <sheetFormatPr defaultColWidth="9.140625" defaultRowHeight="15" x14ac:dyDescent="0.25"/>
  <cols>
    <col min="1" max="1" width="11.28515625" style="45" customWidth="1"/>
    <col min="2" max="2" width="9.85546875" style="45" customWidth="1"/>
    <col min="3" max="3" width="9" style="45" customWidth="1"/>
    <col min="4" max="4" width="13.42578125" style="45" customWidth="1"/>
    <col min="5" max="5" width="11.7109375" style="45" customWidth="1"/>
    <col min="6" max="6" width="11.85546875" style="45" customWidth="1"/>
    <col min="7" max="7" width="13.140625" style="45" customWidth="1"/>
    <col min="8" max="8" width="12.7109375" style="45" customWidth="1"/>
    <col min="9" max="9" width="12.42578125" style="45" customWidth="1"/>
    <col min="10" max="10" width="14.28515625" style="45" customWidth="1"/>
    <col min="11" max="11" width="12" style="45" customWidth="1"/>
    <col min="12" max="12" width="9.140625" style="45" customWidth="1"/>
    <col min="13" max="13" width="11.42578125" style="45" customWidth="1"/>
    <col min="14" max="14" width="11.7109375" style="45" customWidth="1"/>
    <col min="15" max="15" width="14.5703125" style="45" customWidth="1"/>
    <col min="16" max="16" width="13.140625" style="45" customWidth="1"/>
    <col min="17" max="17" width="13.7109375" style="45" customWidth="1"/>
    <col min="18" max="18" width="12.42578125" style="45" customWidth="1"/>
    <col min="19" max="19" width="12.7109375" style="45" bestFit="1" customWidth="1"/>
    <col min="20" max="20" width="9.85546875" style="45" customWidth="1"/>
    <col min="21" max="21" width="15.140625" style="45" customWidth="1"/>
    <col min="22" max="22" width="13.85546875" style="45" customWidth="1"/>
    <col min="23" max="23" width="9.140625" style="45" customWidth="1"/>
    <col min="24" max="24" width="13.5703125" style="45" customWidth="1"/>
    <col min="25" max="25" width="15.7109375" style="45" customWidth="1"/>
    <col min="26" max="27" width="9.140625" style="45" customWidth="1"/>
    <col min="28" max="28" width="13.5703125" style="45" customWidth="1"/>
    <col min="29" max="30" width="9.140625" style="45" customWidth="1"/>
    <col min="31" max="31" width="14.5703125" style="45" customWidth="1"/>
    <col min="32" max="32" width="9.140625" style="45" customWidth="1"/>
    <col min="33" max="33" width="11.42578125" style="45" customWidth="1"/>
    <col min="34" max="34" width="15" style="45" customWidth="1"/>
    <col min="35" max="36" width="9.140625" style="45" customWidth="1"/>
    <col min="37" max="16384" width="9.140625" style="45"/>
  </cols>
  <sheetData>
    <row r="2" spans="1:34" ht="15.75" thickBot="1" x14ac:dyDescent="0.3"/>
    <row r="3" spans="1:34" ht="16.5" thickTop="1" thickBot="1" x14ac:dyDescent="0.3">
      <c r="A3" s="46"/>
      <c r="B3" s="46"/>
      <c r="C3" s="90" t="s">
        <v>12</v>
      </c>
      <c r="D3" s="91"/>
      <c r="E3" s="91"/>
      <c r="F3" s="91"/>
      <c r="G3" s="91"/>
      <c r="J3" s="92"/>
      <c r="K3" s="47"/>
      <c r="M3" s="46"/>
      <c r="N3" s="46"/>
      <c r="O3" s="90" t="s">
        <v>13</v>
      </c>
      <c r="P3" s="91"/>
      <c r="Q3" s="91"/>
      <c r="R3" s="91"/>
      <c r="S3" s="91"/>
      <c r="V3" s="92"/>
    </row>
    <row r="4" spans="1:34" ht="16.5" thickTop="1" thickBot="1" x14ac:dyDescent="0.3">
      <c r="A4" s="46"/>
      <c r="B4" s="46"/>
      <c r="C4" s="48" t="s">
        <v>14</v>
      </c>
      <c r="D4" s="49" t="s">
        <v>18</v>
      </c>
      <c r="E4" s="49" t="s">
        <v>21</v>
      </c>
      <c r="F4" s="49" t="s">
        <v>33</v>
      </c>
      <c r="G4" s="50" t="s">
        <v>63</v>
      </c>
      <c r="H4" s="50" t="s">
        <v>70</v>
      </c>
      <c r="I4" s="50" t="s">
        <v>71</v>
      </c>
      <c r="J4" s="51" t="s">
        <v>21</v>
      </c>
      <c r="K4" s="49"/>
      <c r="M4" s="46"/>
      <c r="N4" s="46"/>
      <c r="O4" s="48" t="s">
        <v>14</v>
      </c>
      <c r="P4" s="49" t="s">
        <v>18</v>
      </c>
      <c r="Q4" s="49" t="s">
        <v>21</v>
      </c>
      <c r="R4" s="49" t="s">
        <v>33</v>
      </c>
      <c r="S4" s="50" t="s">
        <v>63</v>
      </c>
      <c r="T4" s="50" t="s">
        <v>70</v>
      </c>
      <c r="U4" s="50" t="s">
        <v>71</v>
      </c>
      <c r="V4" s="51" t="s">
        <v>21</v>
      </c>
      <c r="Y4" s="52">
        <f>Results!D16</f>
        <v>0</v>
      </c>
      <c r="Z4" s="46"/>
      <c r="AA4" s="53" t="s">
        <v>14</v>
      </c>
      <c r="AB4" s="54" t="s">
        <v>18</v>
      </c>
      <c r="AC4" s="54" t="s">
        <v>21</v>
      </c>
      <c r="AD4" s="54" t="s">
        <v>33</v>
      </c>
      <c r="AE4" s="54" t="s">
        <v>63</v>
      </c>
      <c r="AF4" s="95" t="s">
        <v>70</v>
      </c>
      <c r="AG4" s="95" t="s">
        <v>71</v>
      </c>
      <c r="AH4" s="55" t="s">
        <v>21</v>
      </c>
    </row>
    <row r="5" spans="1:34" ht="15.75" thickTop="1" x14ac:dyDescent="0.25">
      <c r="A5" s="56" t="s">
        <v>0</v>
      </c>
      <c r="B5" s="54" t="s">
        <v>14</v>
      </c>
      <c r="C5" s="48" t="s">
        <v>16</v>
      </c>
      <c r="D5" s="49" t="s">
        <v>19</v>
      </c>
      <c r="E5" s="49" t="s">
        <v>33</v>
      </c>
      <c r="F5" s="49" t="s">
        <v>16</v>
      </c>
      <c r="G5" s="50" t="s">
        <v>16</v>
      </c>
      <c r="H5" s="50" t="s">
        <v>16</v>
      </c>
      <c r="I5" s="50" t="s">
        <v>16</v>
      </c>
      <c r="J5" s="51" t="s">
        <v>32</v>
      </c>
      <c r="K5" s="49"/>
      <c r="M5" s="56" t="s">
        <v>0</v>
      </c>
      <c r="N5" s="54" t="s">
        <v>14</v>
      </c>
      <c r="O5" s="48" t="s">
        <v>16</v>
      </c>
      <c r="P5" s="49" t="s">
        <v>19</v>
      </c>
      <c r="Q5" s="49" t="s">
        <v>33</v>
      </c>
      <c r="R5" s="49" t="s">
        <v>16</v>
      </c>
      <c r="S5" s="50" t="s">
        <v>16</v>
      </c>
      <c r="T5" s="50" t="s">
        <v>16</v>
      </c>
      <c r="U5" s="50" t="s">
        <v>16</v>
      </c>
      <c r="V5" s="51" t="s">
        <v>32</v>
      </c>
      <c r="Y5" s="56" t="s">
        <v>0</v>
      </c>
      <c r="Z5" s="54" t="s">
        <v>14</v>
      </c>
      <c r="AA5" s="48" t="s">
        <v>16</v>
      </c>
      <c r="AB5" s="49" t="s">
        <v>19</v>
      </c>
      <c r="AC5" s="49" t="s">
        <v>33</v>
      </c>
      <c r="AD5" s="49" t="s">
        <v>16</v>
      </c>
      <c r="AE5" s="50" t="s">
        <v>16</v>
      </c>
      <c r="AF5" s="50" t="s">
        <v>16</v>
      </c>
      <c r="AG5" s="50" t="s">
        <v>16</v>
      </c>
      <c r="AH5" s="51" t="s">
        <v>32</v>
      </c>
    </row>
    <row r="6" spans="1:34" ht="15.75" thickBot="1" x14ac:dyDescent="0.3">
      <c r="A6" s="57" t="s">
        <v>23</v>
      </c>
      <c r="B6" s="57" t="s">
        <v>15</v>
      </c>
      <c r="C6" s="58" t="s">
        <v>17</v>
      </c>
      <c r="D6" s="59" t="s">
        <v>20</v>
      </c>
      <c r="E6" s="59" t="s">
        <v>31</v>
      </c>
      <c r="F6" s="59" t="s">
        <v>74</v>
      </c>
      <c r="G6" s="59" t="s">
        <v>74</v>
      </c>
      <c r="H6" s="50" t="s">
        <v>74</v>
      </c>
      <c r="I6" s="50" t="s">
        <v>74</v>
      </c>
      <c r="J6" s="60" t="s">
        <v>22</v>
      </c>
      <c r="K6" s="49"/>
      <c r="M6" s="57" t="s">
        <v>23</v>
      </c>
      <c r="N6" s="57" t="s">
        <v>15</v>
      </c>
      <c r="O6" s="58" t="s">
        <v>17</v>
      </c>
      <c r="P6" s="59" t="s">
        <v>20</v>
      </c>
      <c r="Q6" s="59" t="s">
        <v>31</v>
      </c>
      <c r="R6" s="59" t="s">
        <v>17</v>
      </c>
      <c r="S6" s="59" t="s">
        <v>65</v>
      </c>
      <c r="T6" s="50" t="s">
        <v>65</v>
      </c>
      <c r="U6" s="50" t="s">
        <v>72</v>
      </c>
      <c r="V6" s="60" t="s">
        <v>22</v>
      </c>
      <c r="Y6" s="57" t="s">
        <v>23</v>
      </c>
      <c r="Z6" s="57" t="s">
        <v>15</v>
      </c>
      <c r="AA6" s="58" t="s">
        <v>17</v>
      </c>
      <c r="AB6" s="59" t="s">
        <v>20</v>
      </c>
      <c r="AC6" s="59" t="s">
        <v>31</v>
      </c>
      <c r="AD6" s="59" t="s">
        <v>17</v>
      </c>
      <c r="AE6" s="59" t="s">
        <v>17</v>
      </c>
      <c r="AF6" s="96" t="s">
        <v>65</v>
      </c>
      <c r="AG6" s="96" t="s">
        <v>72</v>
      </c>
      <c r="AH6" s="60" t="s">
        <v>22</v>
      </c>
    </row>
    <row r="7" spans="1:34" ht="15.75" thickTop="1" x14ac:dyDescent="0.25">
      <c r="A7" s="2">
        <v>12</v>
      </c>
      <c r="B7" s="5">
        <v>120</v>
      </c>
      <c r="C7" s="6">
        <v>120</v>
      </c>
      <c r="D7" s="10">
        <f>C7*B7</f>
        <v>14400</v>
      </c>
      <c r="E7" s="11">
        <f>G28</f>
        <v>2.3574238547578239</v>
      </c>
      <c r="F7" s="17">
        <f>((E7*G21*E21)/2000)*B7</f>
        <v>318.25222039230619</v>
      </c>
      <c r="G7" s="17">
        <f t="shared" ref="G7:G16" si="0">((E7*$M$21*$K$21)/2000)*B7</f>
        <v>530.42036732051042</v>
      </c>
      <c r="J7" s="12">
        <f t="shared" ref="J7:J16" si="1">SUM(D7,F7,G7)</f>
        <v>15248.672587712816</v>
      </c>
      <c r="K7" s="61"/>
      <c r="M7" s="2">
        <v>12</v>
      </c>
      <c r="N7" s="5">
        <v>120</v>
      </c>
      <c r="O7" s="6">
        <v>50</v>
      </c>
      <c r="P7" s="10">
        <f>O7*N7</f>
        <v>6000</v>
      </c>
      <c r="Q7" s="11">
        <f t="shared" ref="Q7:Q16" si="2">S28</f>
        <v>4.5954516399006007</v>
      </c>
      <c r="R7" s="17">
        <f>((Q7*G22*E22)/2000)*N7</f>
        <v>620.3859713865811</v>
      </c>
      <c r="S7" s="17">
        <f t="shared" ref="S7:S16" si="3">((Q7*$M$22*$K$22)/2000)*N7</f>
        <v>1033.9766189776351</v>
      </c>
      <c r="V7" s="12">
        <f t="shared" ref="V7:V16" si="4">SUM(P7,R7,S7)</f>
        <v>7654.3625903642169</v>
      </c>
      <c r="Y7" s="45">
        <f>Y4*1</f>
        <v>0</v>
      </c>
      <c r="Z7" s="45">
        <f>Results!D18</f>
        <v>0</v>
      </c>
      <c r="AA7" s="45">
        <f>Results!C20</f>
        <v>0</v>
      </c>
      <c r="AB7" s="45">
        <f>Z7*AA7</f>
        <v>0</v>
      </c>
      <c r="AC7" s="45">
        <f t="array" ref="AC7">SUM(IF(Y28:Y37=Y7,AE28:AE37,0))</f>
        <v>0</v>
      </c>
      <c r="AD7" s="45">
        <f>((AC7*AE21*AC21)/2000)*Z7</f>
        <v>0</v>
      </c>
      <c r="AE7" s="45">
        <f>((AC7*AK21*AI21)/2000)*Z7</f>
        <v>0</v>
      </c>
      <c r="AF7" s="45" t="e">
        <f>(AD40*AF40)/AC40</f>
        <v>#N/A</v>
      </c>
      <c r="AG7" s="45">
        <f>AB40*Z7</f>
        <v>0</v>
      </c>
      <c r="AH7" s="45" t="e">
        <f>SUM(AB7,AD7,AE7,AF7,AG7)</f>
        <v>#N/A</v>
      </c>
    </row>
    <row r="8" spans="1:34" x14ac:dyDescent="0.25">
      <c r="A8" s="3">
        <v>15</v>
      </c>
      <c r="B8" s="7">
        <v>0</v>
      </c>
      <c r="C8" s="6">
        <v>0</v>
      </c>
      <c r="D8" s="10">
        <f t="shared" ref="D8:D16" si="5">C8*B8</f>
        <v>0</v>
      </c>
      <c r="E8" s="11">
        <f t="shared" ref="E8:E16" si="6">G29</f>
        <v>2.8145914873893068</v>
      </c>
      <c r="F8" s="17">
        <f>((E8*G21*E21)/2000)*B8</f>
        <v>0</v>
      </c>
      <c r="G8" s="17">
        <f t="shared" si="0"/>
        <v>0</v>
      </c>
      <c r="J8" s="12">
        <f t="shared" si="1"/>
        <v>0</v>
      </c>
      <c r="K8" s="61"/>
      <c r="M8" s="3">
        <v>15</v>
      </c>
      <c r="N8" s="7">
        <v>0</v>
      </c>
      <c r="O8" s="6">
        <v>0</v>
      </c>
      <c r="P8" s="10">
        <f t="shared" ref="P8:P16" si="7">O8*N8</f>
        <v>0</v>
      </c>
      <c r="Q8" s="11">
        <f t="shared" si="2"/>
        <v>5.9080352375238707</v>
      </c>
      <c r="R8" s="17">
        <f>((Q8*G22*E22)/2000)*N8</f>
        <v>0</v>
      </c>
      <c r="S8" s="17">
        <f t="shared" si="3"/>
        <v>0</v>
      </c>
      <c r="V8" s="12">
        <f t="shared" si="4"/>
        <v>0</v>
      </c>
      <c r="Y8" s="45">
        <f>Y4*1</f>
        <v>0</v>
      </c>
      <c r="Z8" s="45">
        <f>Results!D18</f>
        <v>0</v>
      </c>
      <c r="AA8" s="45">
        <f>Results!E20</f>
        <v>0</v>
      </c>
      <c r="AB8" s="45">
        <f>Z8*AA8</f>
        <v>0</v>
      </c>
      <c r="AC8" s="45">
        <f t="array" ref="AC8">SUM(IF(AG28:AG37=Y8,AM28:AM37,0))</f>
        <v>0</v>
      </c>
      <c r="AD8" s="45">
        <f>((AC8*AE22*AC22)/2000)*Z8</f>
        <v>0</v>
      </c>
      <c r="AE8" s="45">
        <f>((AC8*AI22*AK22)/2000)*Z8</f>
        <v>0</v>
      </c>
      <c r="AF8" s="45" t="e">
        <f>(AD41*AF41)/AC41</f>
        <v>#N/A</v>
      </c>
      <c r="AG8" s="45">
        <f>AB41*Z8</f>
        <v>0</v>
      </c>
      <c r="AH8" s="45" t="e">
        <f>SUM(AB8,AD8,AE8,AF8,AG8)</f>
        <v>#N/A</v>
      </c>
    </row>
    <row r="9" spans="1:34" x14ac:dyDescent="0.25">
      <c r="A9" s="3">
        <v>18</v>
      </c>
      <c r="B9" s="7">
        <v>0</v>
      </c>
      <c r="C9" s="6">
        <v>0</v>
      </c>
      <c r="D9" s="10">
        <f t="shared" si="5"/>
        <v>0</v>
      </c>
      <c r="E9" s="11">
        <f t="shared" si="6"/>
        <v>3.2900151790373258</v>
      </c>
      <c r="F9" s="17">
        <f>((E9*G21*E21)/2000)*B9</f>
        <v>0</v>
      </c>
      <c r="G9" s="17">
        <f t="shared" si="0"/>
        <v>0</v>
      </c>
      <c r="J9" s="12">
        <f t="shared" si="1"/>
        <v>0</v>
      </c>
      <c r="K9" s="61"/>
      <c r="M9" s="3">
        <v>18</v>
      </c>
      <c r="N9" s="7">
        <v>0</v>
      </c>
      <c r="O9" s="6">
        <v>0</v>
      </c>
      <c r="P9" s="10">
        <f t="shared" si="7"/>
        <v>0</v>
      </c>
      <c r="Q9" s="11">
        <f t="shared" si="2"/>
        <v>7.3601895063585765</v>
      </c>
      <c r="R9" s="17">
        <f>((Q9*G22*E22)/2000)*N9</f>
        <v>0</v>
      </c>
      <c r="S9" s="17">
        <f t="shared" si="3"/>
        <v>0</v>
      </c>
      <c r="V9" s="12">
        <f t="shared" si="4"/>
        <v>0</v>
      </c>
    </row>
    <row r="10" spans="1:34" x14ac:dyDescent="0.25">
      <c r="A10" s="3">
        <v>24</v>
      </c>
      <c r="B10" s="7">
        <v>0</v>
      </c>
      <c r="C10" s="6">
        <v>0</v>
      </c>
      <c r="D10" s="10">
        <f t="shared" si="5"/>
        <v>0</v>
      </c>
      <c r="E10" s="11">
        <f t="shared" si="6"/>
        <v>4.2956307393829745</v>
      </c>
      <c r="F10" s="17">
        <f>((E10*G21*E21)/2000)*B10</f>
        <v>0</v>
      </c>
      <c r="G10" s="17">
        <f t="shared" si="0"/>
        <v>0</v>
      </c>
      <c r="J10" s="12">
        <f t="shared" si="1"/>
        <v>0</v>
      </c>
      <c r="K10" s="61"/>
      <c r="M10" s="3">
        <v>24</v>
      </c>
      <c r="N10" s="7">
        <v>0</v>
      </c>
      <c r="O10" s="6">
        <v>0</v>
      </c>
      <c r="P10" s="10">
        <f t="shared" si="7"/>
        <v>0</v>
      </c>
      <c r="Q10" s="11">
        <f t="shared" si="2"/>
        <v>9.9739433326138922</v>
      </c>
      <c r="R10" s="17">
        <f>((Q10*G22*E22)/2000)*N10</f>
        <v>0</v>
      </c>
      <c r="S10" s="17">
        <f t="shared" si="3"/>
        <v>0</v>
      </c>
      <c r="V10" s="12">
        <f t="shared" si="4"/>
        <v>0</v>
      </c>
    </row>
    <row r="11" spans="1:34" x14ac:dyDescent="0.25">
      <c r="A11" s="3">
        <v>30</v>
      </c>
      <c r="B11" s="7">
        <v>0</v>
      </c>
      <c r="C11" s="6">
        <v>0</v>
      </c>
      <c r="D11" s="10">
        <f t="shared" si="5"/>
        <v>0</v>
      </c>
      <c r="E11" s="11">
        <f t="shared" si="6"/>
        <v>5.3742705357947678</v>
      </c>
      <c r="F11" s="17">
        <f>((E11*G21*E21)/2000)*B11</f>
        <v>0</v>
      </c>
      <c r="G11" s="17">
        <f t="shared" si="0"/>
        <v>0</v>
      </c>
      <c r="J11" s="12">
        <f t="shared" si="1"/>
        <v>0</v>
      </c>
      <c r="K11" s="61"/>
      <c r="M11" s="3">
        <v>30</v>
      </c>
      <c r="N11" s="7">
        <v>0</v>
      </c>
      <c r="O11" s="6">
        <v>0</v>
      </c>
      <c r="P11" s="10">
        <f t="shared" si="7"/>
        <v>0</v>
      </c>
      <c r="Q11" s="11">
        <f t="shared" si="2"/>
        <v>14.014749862756299</v>
      </c>
      <c r="R11" s="17">
        <f>((Q11*G22*E22)/2000)*N11</f>
        <v>0</v>
      </c>
      <c r="S11" s="17">
        <f t="shared" si="3"/>
        <v>0</v>
      </c>
      <c r="V11" s="12">
        <f t="shared" si="4"/>
        <v>0</v>
      </c>
    </row>
    <row r="12" spans="1:34" x14ac:dyDescent="0.25">
      <c r="A12" s="3">
        <v>36</v>
      </c>
      <c r="B12" s="7">
        <v>0</v>
      </c>
      <c r="C12" s="6">
        <v>0</v>
      </c>
      <c r="D12" s="10">
        <f t="shared" si="5"/>
        <v>0</v>
      </c>
      <c r="E12" s="11">
        <f t="shared" si="6"/>
        <v>6.5259345682727083</v>
      </c>
      <c r="F12" s="17">
        <f>((E12*G21*E21)/2000)*B12</f>
        <v>0</v>
      </c>
      <c r="G12" s="17">
        <f t="shared" si="0"/>
        <v>0</v>
      </c>
      <c r="J12" s="12">
        <f t="shared" si="1"/>
        <v>0</v>
      </c>
      <c r="K12" s="61"/>
      <c r="M12" s="3">
        <v>36</v>
      </c>
      <c r="N12" s="7">
        <v>0</v>
      </c>
      <c r="O12" s="6">
        <v>0</v>
      </c>
      <c r="P12" s="10">
        <f t="shared" si="7"/>
        <v>0</v>
      </c>
      <c r="Q12" s="11">
        <f t="shared" si="2"/>
        <v>17.462205831714591</v>
      </c>
      <c r="R12" s="17">
        <f>((Q12*G22*E22)/2000)*N12</f>
        <v>0</v>
      </c>
      <c r="S12" s="17">
        <f t="shared" si="3"/>
        <v>0</v>
      </c>
      <c r="V12" s="12">
        <f t="shared" si="4"/>
        <v>0</v>
      </c>
    </row>
    <row r="13" spans="1:34" x14ac:dyDescent="0.25">
      <c r="A13" s="3">
        <v>42</v>
      </c>
      <c r="B13" s="7">
        <v>0</v>
      </c>
      <c r="C13" s="6">
        <v>0</v>
      </c>
      <c r="D13" s="10">
        <f t="shared" si="5"/>
        <v>0</v>
      </c>
      <c r="E13" s="11">
        <f t="shared" si="6"/>
        <v>7.7506228368167962</v>
      </c>
      <c r="F13" s="17">
        <f>((E13*G21*E21)/2000)*B13</f>
        <v>0</v>
      </c>
      <c r="G13" s="17">
        <f t="shared" si="0"/>
        <v>0</v>
      </c>
      <c r="J13" s="12">
        <f t="shared" si="1"/>
        <v>0</v>
      </c>
      <c r="K13" s="61"/>
      <c r="M13" s="3">
        <v>42</v>
      </c>
      <c r="N13" s="7">
        <v>0</v>
      </c>
      <c r="O13" s="6">
        <v>0</v>
      </c>
      <c r="P13" s="10">
        <f t="shared" si="7"/>
        <v>0</v>
      </c>
      <c r="Q13" s="11">
        <f t="shared" si="2"/>
        <v>21.26696271897416</v>
      </c>
      <c r="R13" s="17">
        <f>((Q13*G22*E22)/2000)*N13</f>
        <v>0</v>
      </c>
      <c r="S13" s="17">
        <f t="shared" si="3"/>
        <v>0</v>
      </c>
      <c r="V13" s="12">
        <f t="shared" si="4"/>
        <v>0</v>
      </c>
    </row>
    <row r="14" spans="1:34" x14ac:dyDescent="0.25">
      <c r="A14" s="3">
        <v>48</v>
      </c>
      <c r="B14" s="7">
        <v>0</v>
      </c>
      <c r="C14" s="6">
        <v>0</v>
      </c>
      <c r="D14" s="10">
        <f t="shared" si="5"/>
        <v>0</v>
      </c>
      <c r="E14" s="11">
        <f t="shared" si="6"/>
        <v>9.0483353414270269</v>
      </c>
      <c r="F14" s="17">
        <f>((E14*G21*E21)/2000)*B14</f>
        <v>0</v>
      </c>
      <c r="G14" s="17">
        <f t="shared" si="0"/>
        <v>0</v>
      </c>
      <c r="J14" s="12">
        <f t="shared" si="1"/>
        <v>0</v>
      </c>
      <c r="K14" s="61"/>
      <c r="M14" s="3">
        <v>48</v>
      </c>
      <c r="N14" s="7">
        <v>0</v>
      </c>
      <c r="O14" s="6">
        <v>0</v>
      </c>
      <c r="P14" s="10">
        <f t="shared" si="7"/>
        <v>0</v>
      </c>
      <c r="Q14" s="11">
        <f t="shared" si="2"/>
        <v>25.429020524535005</v>
      </c>
      <c r="R14" s="17">
        <f>((Q14*G22*E22)/2000)*N14</f>
        <v>0</v>
      </c>
      <c r="S14" s="17">
        <f t="shared" si="3"/>
        <v>0</v>
      </c>
      <c r="V14" s="12">
        <f t="shared" si="4"/>
        <v>0</v>
      </c>
    </row>
    <row r="15" spans="1:34" x14ac:dyDescent="0.25">
      <c r="A15" s="3">
        <v>54</v>
      </c>
      <c r="B15" s="7">
        <v>0</v>
      </c>
      <c r="C15" s="6">
        <v>0</v>
      </c>
      <c r="D15" s="10">
        <f t="shared" si="5"/>
        <v>0</v>
      </c>
      <c r="E15" s="11">
        <f t="shared" si="6"/>
        <v>10.419072082103405</v>
      </c>
      <c r="F15" s="17">
        <f>((E15*G21*E21)/2000)*B15</f>
        <v>0</v>
      </c>
      <c r="G15" s="17">
        <f t="shared" si="0"/>
        <v>0</v>
      </c>
      <c r="J15" s="12">
        <f t="shared" si="1"/>
        <v>0</v>
      </c>
      <c r="K15" s="61"/>
      <c r="M15" s="3">
        <v>54</v>
      </c>
      <c r="N15" s="7">
        <v>0</v>
      </c>
      <c r="O15" s="6">
        <v>0</v>
      </c>
      <c r="P15" s="10">
        <f t="shared" si="7"/>
        <v>0</v>
      </c>
      <c r="Q15" s="11">
        <f t="shared" si="2"/>
        <v>30.341120641836735</v>
      </c>
      <c r="R15" s="17">
        <f>((Q15*G22*E22)/2000)*N15</f>
        <v>0</v>
      </c>
      <c r="S15" s="17">
        <f t="shared" si="3"/>
        <v>0</v>
      </c>
      <c r="V15" s="12">
        <f t="shared" si="4"/>
        <v>0</v>
      </c>
    </row>
    <row r="16" spans="1:34" ht="15.75" thickBot="1" x14ac:dyDescent="0.3">
      <c r="A16" s="4">
        <v>60</v>
      </c>
      <c r="B16" s="8">
        <v>0</v>
      </c>
      <c r="C16" s="9">
        <v>0</v>
      </c>
      <c r="D16" s="13">
        <f t="shared" si="5"/>
        <v>0</v>
      </c>
      <c r="E16" s="14">
        <f t="shared" si="6"/>
        <v>11.862833058845931</v>
      </c>
      <c r="F16" s="18">
        <f>((E16*G21*E21)/2000)*B16</f>
        <v>0</v>
      </c>
      <c r="G16" s="18">
        <f t="shared" si="0"/>
        <v>0</v>
      </c>
      <c r="J16" s="12">
        <f t="shared" si="1"/>
        <v>0</v>
      </c>
      <c r="K16" s="61"/>
      <c r="M16" s="4">
        <v>60</v>
      </c>
      <c r="N16" s="8">
        <v>0</v>
      </c>
      <c r="O16" s="9">
        <v>0</v>
      </c>
      <c r="P16" s="13">
        <f t="shared" si="7"/>
        <v>0</v>
      </c>
      <c r="Q16" s="14">
        <f t="shared" si="2"/>
        <v>35.672553086867048</v>
      </c>
      <c r="R16" s="18">
        <f>((Q16*G22*E22)/2000)*N16</f>
        <v>0</v>
      </c>
      <c r="S16" s="18">
        <f t="shared" si="3"/>
        <v>0</v>
      </c>
      <c r="V16" s="12">
        <f t="shared" si="4"/>
        <v>0</v>
      </c>
    </row>
    <row r="17" spans="1:39" ht="16.5" thickTop="1" thickBot="1" x14ac:dyDescent="0.3">
      <c r="D17" s="62">
        <f>SUM(D7:D16)</f>
        <v>14400</v>
      </c>
      <c r="J17" s="63">
        <f>SUM(J7:J16)</f>
        <v>15248.672587712816</v>
      </c>
      <c r="K17" s="64"/>
      <c r="P17" s="62">
        <f>SUM(P7:P16)</f>
        <v>6000</v>
      </c>
      <c r="V17" s="63">
        <f>SUM(V7:V16)</f>
        <v>7654.3625903642169</v>
      </c>
    </row>
    <row r="18" spans="1:39" ht="15.75" thickTop="1" x14ac:dyDescent="0.25"/>
    <row r="20" spans="1:39" ht="15.75" thickBot="1" x14ac:dyDescent="0.3"/>
    <row r="21" spans="1:39" ht="16.5" thickTop="1" thickBot="1" x14ac:dyDescent="0.3">
      <c r="A21" s="65" t="s">
        <v>24</v>
      </c>
      <c r="C21" s="45" t="s">
        <v>25</v>
      </c>
      <c r="E21" s="19">
        <v>18</v>
      </c>
      <c r="F21" s="45" t="s">
        <v>27</v>
      </c>
      <c r="G21" s="20">
        <v>125</v>
      </c>
      <c r="H21" s="45" t="s">
        <v>30</v>
      </c>
      <c r="J21" s="45" t="s">
        <v>63</v>
      </c>
      <c r="K21" s="19">
        <v>30</v>
      </c>
      <c r="L21" s="45" t="s">
        <v>27</v>
      </c>
      <c r="M21" s="20">
        <v>125</v>
      </c>
      <c r="N21" s="45" t="s">
        <v>30</v>
      </c>
      <c r="Y21" s="65" t="s">
        <v>24</v>
      </c>
      <c r="AA21" s="45" t="s">
        <v>25</v>
      </c>
      <c r="AC21" s="67">
        <f>Results!C22</f>
        <v>0</v>
      </c>
      <c r="AD21" s="45" t="s">
        <v>27</v>
      </c>
      <c r="AE21" s="66">
        <f>Results!C24</f>
        <v>0</v>
      </c>
      <c r="AF21" s="45" t="s">
        <v>30</v>
      </c>
      <c r="AH21" s="45" t="s">
        <v>63</v>
      </c>
      <c r="AI21" s="67">
        <f>Results!C30</f>
        <v>0</v>
      </c>
      <c r="AJ21" s="45" t="s">
        <v>27</v>
      </c>
      <c r="AK21" s="66">
        <f>Results!C32</f>
        <v>0</v>
      </c>
      <c r="AL21" s="45" t="s">
        <v>30</v>
      </c>
    </row>
    <row r="22" spans="1:39" ht="16.5" thickTop="1" thickBot="1" x14ac:dyDescent="0.3">
      <c r="C22" s="45" t="s">
        <v>26</v>
      </c>
      <c r="E22" s="19">
        <v>18</v>
      </c>
      <c r="F22" s="45" t="s">
        <v>27</v>
      </c>
      <c r="G22" s="20">
        <v>125</v>
      </c>
      <c r="H22" s="45" t="s">
        <v>28</v>
      </c>
      <c r="J22" s="45" t="s">
        <v>63</v>
      </c>
      <c r="K22" s="19">
        <v>30</v>
      </c>
      <c r="L22" s="45" t="s">
        <v>27</v>
      </c>
      <c r="M22" s="20">
        <v>125</v>
      </c>
      <c r="N22" s="45" t="s">
        <v>28</v>
      </c>
      <c r="AA22" s="45" t="s">
        <v>26</v>
      </c>
      <c r="AC22" s="67">
        <f>Results!E22</f>
        <v>0</v>
      </c>
      <c r="AD22" s="45" t="s">
        <v>27</v>
      </c>
      <c r="AE22" s="66">
        <f>Results!E24</f>
        <v>0</v>
      </c>
      <c r="AF22" s="45" t="s">
        <v>28</v>
      </c>
      <c r="AH22" s="45" t="s">
        <v>63</v>
      </c>
      <c r="AI22" s="67">
        <f>Results!E30</f>
        <v>0</v>
      </c>
      <c r="AJ22" s="45" t="s">
        <v>27</v>
      </c>
      <c r="AK22" s="66">
        <f>Results!E32</f>
        <v>0</v>
      </c>
      <c r="AL22" s="45" t="s">
        <v>28</v>
      </c>
    </row>
    <row r="23" spans="1:39" ht="15.75" thickTop="1" x14ac:dyDescent="0.25"/>
    <row r="25" spans="1:39" ht="19.5" thickBot="1" x14ac:dyDescent="0.35">
      <c r="C25" s="68" t="s">
        <v>12</v>
      </c>
      <c r="O25" s="68" t="s">
        <v>13</v>
      </c>
      <c r="AA25" s="68" t="s">
        <v>12</v>
      </c>
      <c r="AI25" s="68" t="s">
        <v>13</v>
      </c>
    </row>
    <row r="26" spans="1:39" ht="15.75" thickTop="1" x14ac:dyDescent="0.25">
      <c r="A26" s="69" t="s">
        <v>0</v>
      </c>
      <c r="B26" s="70"/>
      <c r="C26" s="71" t="s">
        <v>3</v>
      </c>
      <c r="D26" s="72" t="s">
        <v>5</v>
      </c>
      <c r="E26" s="71" t="s">
        <v>7</v>
      </c>
      <c r="F26" s="72" t="s">
        <v>9</v>
      </c>
      <c r="G26" s="73" t="s">
        <v>11</v>
      </c>
      <c r="M26" s="69" t="s">
        <v>0</v>
      </c>
      <c r="N26" s="70"/>
      <c r="O26" s="71" t="s">
        <v>3</v>
      </c>
      <c r="P26" s="72" t="s">
        <v>5</v>
      </c>
      <c r="Q26" s="71" t="s">
        <v>7</v>
      </c>
      <c r="R26" s="72" t="s">
        <v>9</v>
      </c>
      <c r="S26" s="73" t="s">
        <v>11</v>
      </c>
      <c r="Y26" s="69" t="s">
        <v>0</v>
      </c>
      <c r="Z26" s="70"/>
      <c r="AA26" s="71" t="s">
        <v>3</v>
      </c>
      <c r="AB26" s="72" t="s">
        <v>5</v>
      </c>
      <c r="AC26" s="71" t="s">
        <v>7</v>
      </c>
      <c r="AD26" s="72" t="s">
        <v>9</v>
      </c>
      <c r="AE26" s="73" t="s">
        <v>11</v>
      </c>
      <c r="AG26" s="69" t="s">
        <v>0</v>
      </c>
      <c r="AH26" s="70"/>
      <c r="AI26" s="71" t="s">
        <v>3</v>
      </c>
      <c r="AJ26" s="72" t="s">
        <v>5</v>
      </c>
      <c r="AK26" s="71" t="s">
        <v>7</v>
      </c>
      <c r="AL26" s="72" t="s">
        <v>9</v>
      </c>
      <c r="AM26" s="73" t="s">
        <v>11</v>
      </c>
    </row>
    <row r="27" spans="1:39" ht="15.75" thickBot="1" x14ac:dyDescent="0.3">
      <c r="A27" s="74" t="s">
        <v>1</v>
      </c>
      <c r="B27" s="75" t="s">
        <v>2</v>
      </c>
      <c r="C27" s="76" t="s">
        <v>4</v>
      </c>
      <c r="D27" s="77" t="s">
        <v>6</v>
      </c>
      <c r="E27" s="76" t="s">
        <v>8</v>
      </c>
      <c r="F27" s="77" t="s">
        <v>10</v>
      </c>
      <c r="G27" s="78" t="s">
        <v>29</v>
      </c>
      <c r="M27" s="74" t="s">
        <v>83</v>
      </c>
      <c r="N27" s="75" t="s">
        <v>2</v>
      </c>
      <c r="O27" s="76" t="s">
        <v>4</v>
      </c>
      <c r="P27" s="77" t="s">
        <v>6</v>
      </c>
      <c r="Q27" s="76" t="s">
        <v>8</v>
      </c>
      <c r="R27" s="77" t="s">
        <v>10</v>
      </c>
      <c r="S27" s="78" t="s">
        <v>29</v>
      </c>
      <c r="Y27" s="74" t="s">
        <v>1</v>
      </c>
      <c r="Z27" s="75" t="s">
        <v>2</v>
      </c>
      <c r="AA27" s="76" t="s">
        <v>4</v>
      </c>
      <c r="AB27" s="77" t="s">
        <v>6</v>
      </c>
      <c r="AC27" s="76" t="s">
        <v>8</v>
      </c>
      <c r="AD27" s="77" t="s">
        <v>10</v>
      </c>
      <c r="AE27" s="78" t="s">
        <v>29</v>
      </c>
      <c r="AG27" s="74" t="s">
        <v>1</v>
      </c>
      <c r="AH27" s="75" t="s">
        <v>2</v>
      </c>
      <c r="AI27" s="76" t="s">
        <v>4</v>
      </c>
      <c r="AJ27" s="77" t="s">
        <v>6</v>
      </c>
      <c r="AK27" s="76" t="s">
        <v>8</v>
      </c>
      <c r="AL27" s="77" t="s">
        <v>10</v>
      </c>
      <c r="AM27" s="78" t="s">
        <v>29</v>
      </c>
    </row>
    <row r="28" spans="1:39" ht="15.75" thickTop="1" x14ac:dyDescent="0.25">
      <c r="A28" s="79">
        <v>12</v>
      </c>
      <c r="B28" s="80">
        <v>16</v>
      </c>
      <c r="C28" s="15">
        <f>MAX(B28+B28*(1/3),B28+24)</f>
        <v>40</v>
      </c>
      <c r="D28" s="81">
        <v>3</v>
      </c>
      <c r="E28" s="82">
        <v>0.5</v>
      </c>
      <c r="F28" s="81">
        <v>0</v>
      </c>
      <c r="G28" s="83">
        <f>(D28*C28+0.5*(B28*C28-(PI()*(B28^2)/4))+F28*C28)/144</f>
        <v>2.3574238547578239</v>
      </c>
      <c r="M28" s="79">
        <v>12</v>
      </c>
      <c r="N28" s="80">
        <v>14.5</v>
      </c>
      <c r="O28" s="15">
        <f t="shared" ref="O28:O37" si="8">(1.5*N28)+12</f>
        <v>33.75</v>
      </c>
      <c r="P28" s="81">
        <v>4</v>
      </c>
      <c r="Q28" s="82">
        <v>1</v>
      </c>
      <c r="R28" s="81">
        <v>6</v>
      </c>
      <c r="S28" s="83">
        <f>(P28*O28+1*(N28*O28-(PI()*(N28^2)/4))+R28*O28)/144</f>
        <v>4.5954516399006007</v>
      </c>
      <c r="Y28" s="79">
        <v>12</v>
      </c>
      <c r="Z28" s="80">
        <v>16</v>
      </c>
      <c r="AA28" s="15">
        <f>MAX(Z28+Z28*(1/3),Z28+24)</f>
        <v>40</v>
      </c>
      <c r="AB28" s="81">
        <v>3</v>
      </c>
      <c r="AC28" s="82">
        <v>0.5</v>
      </c>
      <c r="AD28" s="81">
        <v>0</v>
      </c>
      <c r="AE28" s="83">
        <f>(AB28*AA28+0.5*(Z28*AA28-(PI()*(Z28^2)/4))+AD28*AA28)/144</f>
        <v>2.3574238547578239</v>
      </c>
      <c r="AG28" s="79">
        <v>12</v>
      </c>
      <c r="AH28" s="80">
        <v>14.5</v>
      </c>
      <c r="AI28" s="15">
        <f>(1.5*AH28)+12</f>
        <v>33.75</v>
      </c>
      <c r="AJ28" s="81">
        <v>4</v>
      </c>
      <c r="AK28" s="82">
        <v>1</v>
      </c>
      <c r="AL28" s="81">
        <v>6</v>
      </c>
      <c r="AM28" s="83">
        <f>(AJ28*AI28+1*(AH28*AI28-(PI()*(AH28^2)/4))+AL28*AI28)/144</f>
        <v>4.5954516399006007</v>
      </c>
    </row>
    <row r="29" spans="1:39" x14ac:dyDescent="0.25">
      <c r="A29" s="84">
        <v>15</v>
      </c>
      <c r="B29" s="80">
        <v>19.5</v>
      </c>
      <c r="C29" s="15">
        <f t="shared" ref="C29:C37" si="9">MAX(B29+B29*(1/3),B29+24)</f>
        <v>43.5</v>
      </c>
      <c r="D29" s="81">
        <v>3</v>
      </c>
      <c r="E29" s="82">
        <v>0.5</v>
      </c>
      <c r="F29" s="81">
        <v>0</v>
      </c>
      <c r="G29" s="83">
        <f t="shared" ref="G29:G37" si="10">(D29*C29+0.5*(B29*C29-(PI()*(B29^2)/4))+F29*C29)/144</f>
        <v>2.8145914873893068</v>
      </c>
      <c r="M29" s="84">
        <v>15</v>
      </c>
      <c r="N29" s="80">
        <v>18.25</v>
      </c>
      <c r="O29" s="15">
        <f t="shared" si="8"/>
        <v>39.375</v>
      </c>
      <c r="P29" s="81">
        <v>4</v>
      </c>
      <c r="Q29" s="82">
        <v>1</v>
      </c>
      <c r="R29" s="81">
        <v>6</v>
      </c>
      <c r="S29" s="83">
        <f t="shared" ref="S29:S37" si="11">(P29*O29+1*(N29*O29-(PI()*(N29^2)/4))+R29*O29)/144</f>
        <v>5.9080352375238707</v>
      </c>
      <c r="Y29" s="84">
        <v>15</v>
      </c>
      <c r="Z29" s="80">
        <v>19.5</v>
      </c>
      <c r="AA29" s="15">
        <f t="shared" ref="AA29:AA37" si="12">MAX(Z29+Z29*(1/3),Z29+24)</f>
        <v>43.5</v>
      </c>
      <c r="AB29" s="81">
        <v>3</v>
      </c>
      <c r="AC29" s="82">
        <v>0.5</v>
      </c>
      <c r="AD29" s="81">
        <v>0</v>
      </c>
      <c r="AE29" s="83">
        <f t="shared" ref="AE29:AE37" si="13">(AB29*AA29+0.5*(Z29*AA29-(PI()*(Z29^2)/4))+AD29*AA29)/144</f>
        <v>2.8145914873893068</v>
      </c>
      <c r="AG29" s="84">
        <v>15</v>
      </c>
      <c r="AH29" s="80">
        <v>17.600000000000001</v>
      </c>
      <c r="AI29" s="15">
        <f t="shared" ref="AI29:AI37" si="14">(1.5*AH29)+12</f>
        <v>38.400000000000006</v>
      </c>
      <c r="AJ29" s="81">
        <v>4</v>
      </c>
      <c r="AK29" s="82">
        <v>1</v>
      </c>
      <c r="AL29" s="81">
        <v>6</v>
      </c>
      <c r="AM29" s="83">
        <f t="shared" ref="AM29:AM37" si="15">(AJ29*AI29+1*(AH29*AI29-(PI()*(AH29^2)/4))+AL29*AI29)/144</f>
        <v>5.6705212840694905</v>
      </c>
    </row>
    <row r="30" spans="1:39" x14ac:dyDescent="0.25">
      <c r="A30" s="84">
        <v>18</v>
      </c>
      <c r="B30" s="80">
        <v>23</v>
      </c>
      <c r="C30" s="15">
        <f t="shared" si="9"/>
        <v>47</v>
      </c>
      <c r="D30" s="81">
        <v>3</v>
      </c>
      <c r="E30" s="82">
        <v>0.5</v>
      </c>
      <c r="F30" s="81">
        <v>0</v>
      </c>
      <c r="G30" s="83">
        <f t="shared" si="10"/>
        <v>3.2900151790373258</v>
      </c>
      <c r="M30" s="84">
        <v>18</v>
      </c>
      <c r="N30" s="80">
        <v>22</v>
      </c>
      <c r="O30" s="15">
        <f t="shared" si="8"/>
        <v>45</v>
      </c>
      <c r="P30" s="81">
        <v>4</v>
      </c>
      <c r="Q30" s="82">
        <v>1</v>
      </c>
      <c r="R30" s="81">
        <v>6</v>
      </c>
      <c r="S30" s="83">
        <f t="shared" si="11"/>
        <v>7.3601895063585765</v>
      </c>
      <c r="Y30" s="84">
        <v>18</v>
      </c>
      <c r="Z30" s="80">
        <v>23</v>
      </c>
      <c r="AA30" s="15">
        <f t="shared" si="12"/>
        <v>47</v>
      </c>
      <c r="AB30" s="81">
        <v>3</v>
      </c>
      <c r="AC30" s="82">
        <v>0.5</v>
      </c>
      <c r="AD30" s="81">
        <v>0</v>
      </c>
      <c r="AE30" s="83">
        <f t="shared" si="13"/>
        <v>3.2900151790373258</v>
      </c>
      <c r="AG30" s="84">
        <v>18</v>
      </c>
      <c r="AH30" s="80">
        <v>21.2</v>
      </c>
      <c r="AI30" s="15">
        <f t="shared" si="14"/>
        <v>43.8</v>
      </c>
      <c r="AJ30" s="81">
        <v>4</v>
      </c>
      <c r="AK30" s="82">
        <v>1</v>
      </c>
      <c r="AL30" s="81">
        <v>6</v>
      </c>
      <c r="AM30" s="83">
        <f t="shared" si="15"/>
        <v>7.0386850655739641</v>
      </c>
    </row>
    <row r="31" spans="1:39" x14ac:dyDescent="0.25">
      <c r="A31" s="84">
        <v>24</v>
      </c>
      <c r="B31" s="80">
        <v>30</v>
      </c>
      <c r="C31" s="15">
        <f t="shared" si="9"/>
        <v>54</v>
      </c>
      <c r="D31" s="81">
        <v>3</v>
      </c>
      <c r="E31" s="82">
        <v>0.5</v>
      </c>
      <c r="F31" s="81">
        <v>0</v>
      </c>
      <c r="G31" s="83">
        <f t="shared" si="10"/>
        <v>4.2956307393829745</v>
      </c>
      <c r="M31" s="84">
        <v>24</v>
      </c>
      <c r="N31" s="80">
        <v>28</v>
      </c>
      <c r="O31" s="15">
        <f t="shared" si="8"/>
        <v>54</v>
      </c>
      <c r="P31" s="81">
        <v>4</v>
      </c>
      <c r="Q31" s="82">
        <v>1</v>
      </c>
      <c r="R31" s="81">
        <v>6</v>
      </c>
      <c r="S31" s="83">
        <f t="shared" si="11"/>
        <v>9.9739433326138922</v>
      </c>
      <c r="Y31" s="84">
        <v>24</v>
      </c>
      <c r="Z31" s="80">
        <v>30</v>
      </c>
      <c r="AA31" s="15">
        <f t="shared" si="12"/>
        <v>54</v>
      </c>
      <c r="AB31" s="81">
        <v>3</v>
      </c>
      <c r="AC31" s="82">
        <v>0.5</v>
      </c>
      <c r="AD31" s="81">
        <v>0</v>
      </c>
      <c r="AE31" s="83">
        <f t="shared" si="13"/>
        <v>4.2956307393829745</v>
      </c>
      <c r="AG31" s="84">
        <v>24</v>
      </c>
      <c r="AH31" s="80">
        <v>27.7</v>
      </c>
      <c r="AI31" s="15">
        <f t="shared" si="14"/>
        <v>53.55</v>
      </c>
      <c r="AJ31" s="81">
        <v>4</v>
      </c>
      <c r="AK31" s="82">
        <v>1</v>
      </c>
      <c r="AL31" s="81">
        <v>6</v>
      </c>
      <c r="AM31" s="83">
        <f t="shared" si="15"/>
        <v>9.8347697444914708</v>
      </c>
    </row>
    <row r="32" spans="1:39" x14ac:dyDescent="0.25">
      <c r="A32" s="84">
        <v>30</v>
      </c>
      <c r="B32" s="80">
        <v>37</v>
      </c>
      <c r="C32" s="15">
        <f t="shared" si="9"/>
        <v>61</v>
      </c>
      <c r="D32" s="81">
        <v>3</v>
      </c>
      <c r="E32" s="82">
        <v>0.5</v>
      </c>
      <c r="F32" s="81">
        <v>0</v>
      </c>
      <c r="G32" s="83">
        <f t="shared" si="10"/>
        <v>5.3742705357947678</v>
      </c>
      <c r="M32" s="84">
        <v>30</v>
      </c>
      <c r="N32" s="80">
        <v>36</v>
      </c>
      <c r="O32" s="15">
        <f t="shared" si="8"/>
        <v>66</v>
      </c>
      <c r="P32" s="81">
        <v>4</v>
      </c>
      <c r="Q32" s="82">
        <v>1</v>
      </c>
      <c r="R32" s="81">
        <v>6</v>
      </c>
      <c r="S32" s="83">
        <f t="shared" si="11"/>
        <v>14.014749862756299</v>
      </c>
      <c r="Y32" s="84">
        <v>30</v>
      </c>
      <c r="Z32" s="80">
        <v>37</v>
      </c>
      <c r="AA32" s="15">
        <f t="shared" si="12"/>
        <v>61</v>
      </c>
      <c r="AB32" s="81">
        <v>3</v>
      </c>
      <c r="AC32" s="82">
        <v>0.5</v>
      </c>
      <c r="AD32" s="81">
        <v>0</v>
      </c>
      <c r="AE32" s="83">
        <f t="shared" si="13"/>
        <v>5.3742705357947678</v>
      </c>
      <c r="AG32" s="84">
        <v>30</v>
      </c>
      <c r="AH32" s="80">
        <v>35.1</v>
      </c>
      <c r="AI32" s="15">
        <f t="shared" si="14"/>
        <v>64.650000000000006</v>
      </c>
      <c r="AJ32" s="81">
        <v>4</v>
      </c>
      <c r="AK32" s="82">
        <v>1</v>
      </c>
      <c r="AL32" s="81">
        <v>6</v>
      </c>
      <c r="AM32" s="83">
        <f t="shared" si="15"/>
        <v>13.52844867161604</v>
      </c>
    </row>
    <row r="33" spans="1:39" x14ac:dyDescent="0.25">
      <c r="A33" s="84">
        <v>36</v>
      </c>
      <c r="B33" s="80">
        <v>44</v>
      </c>
      <c r="C33" s="15">
        <f t="shared" si="9"/>
        <v>68</v>
      </c>
      <c r="D33" s="81">
        <v>3</v>
      </c>
      <c r="E33" s="82">
        <v>0.5</v>
      </c>
      <c r="F33" s="81">
        <v>0</v>
      </c>
      <c r="G33" s="83">
        <f t="shared" si="10"/>
        <v>6.5259345682727083</v>
      </c>
      <c r="M33" s="84">
        <v>36</v>
      </c>
      <c r="N33" s="80">
        <v>42</v>
      </c>
      <c r="O33" s="15">
        <f t="shared" si="8"/>
        <v>75</v>
      </c>
      <c r="P33" s="81">
        <v>4</v>
      </c>
      <c r="Q33" s="82">
        <v>1</v>
      </c>
      <c r="R33" s="81">
        <v>6</v>
      </c>
      <c r="S33" s="83">
        <f t="shared" si="11"/>
        <v>17.462205831714591</v>
      </c>
      <c r="Y33" s="84">
        <v>36</v>
      </c>
      <c r="Z33" s="80">
        <v>44</v>
      </c>
      <c r="AA33" s="15">
        <f t="shared" si="12"/>
        <v>68</v>
      </c>
      <c r="AB33" s="81">
        <v>3</v>
      </c>
      <c r="AC33" s="82">
        <v>0.5</v>
      </c>
      <c r="AD33" s="81">
        <v>0</v>
      </c>
      <c r="AE33" s="83">
        <f t="shared" si="13"/>
        <v>6.5259345682727083</v>
      </c>
      <c r="AG33" s="84">
        <v>36</v>
      </c>
      <c r="AH33" s="80">
        <v>41.1</v>
      </c>
      <c r="AI33" s="15">
        <f t="shared" si="14"/>
        <v>73.650000000000006</v>
      </c>
      <c r="AJ33" s="81">
        <v>4</v>
      </c>
      <c r="AK33" s="82">
        <v>1</v>
      </c>
      <c r="AL33" s="81">
        <v>6</v>
      </c>
      <c r="AM33" s="83">
        <f t="shared" si="15"/>
        <v>16.922309502829144</v>
      </c>
    </row>
    <row r="34" spans="1:39" x14ac:dyDescent="0.25">
      <c r="A34" s="84">
        <v>42</v>
      </c>
      <c r="B34" s="80">
        <v>51</v>
      </c>
      <c r="C34" s="15">
        <f t="shared" si="9"/>
        <v>75</v>
      </c>
      <c r="D34" s="81">
        <v>3</v>
      </c>
      <c r="E34" s="82">
        <v>0.5</v>
      </c>
      <c r="F34" s="81">
        <v>0</v>
      </c>
      <c r="G34" s="83">
        <f t="shared" si="10"/>
        <v>7.7506228368167962</v>
      </c>
      <c r="M34" s="84">
        <v>42</v>
      </c>
      <c r="N34" s="80">
        <v>48</v>
      </c>
      <c r="O34" s="15">
        <f t="shared" si="8"/>
        <v>84</v>
      </c>
      <c r="P34" s="81">
        <v>4</v>
      </c>
      <c r="Q34" s="82">
        <v>1</v>
      </c>
      <c r="R34" s="81">
        <v>6</v>
      </c>
      <c r="S34" s="83">
        <f t="shared" si="11"/>
        <v>21.26696271897416</v>
      </c>
      <c r="Y34" s="84">
        <v>42</v>
      </c>
      <c r="Z34" s="80">
        <v>51</v>
      </c>
      <c r="AA34" s="15">
        <f t="shared" si="12"/>
        <v>75</v>
      </c>
      <c r="AB34" s="81">
        <v>3</v>
      </c>
      <c r="AC34" s="82">
        <v>0.5</v>
      </c>
      <c r="AD34" s="81">
        <v>0</v>
      </c>
      <c r="AE34" s="83">
        <f t="shared" si="13"/>
        <v>7.7506228368167962</v>
      </c>
      <c r="AG34" s="84">
        <v>42</v>
      </c>
      <c r="AH34" s="80">
        <v>47.7</v>
      </c>
      <c r="AI34" s="15">
        <f t="shared" si="14"/>
        <v>83.550000000000011</v>
      </c>
      <c r="AJ34" s="81">
        <v>4</v>
      </c>
      <c r="AK34" s="82">
        <v>1</v>
      </c>
      <c r="AL34" s="81">
        <v>6</v>
      </c>
      <c r="AM34" s="83">
        <f t="shared" si="15"/>
        <v>21.068238977801531</v>
      </c>
    </row>
    <row r="35" spans="1:39" x14ac:dyDescent="0.25">
      <c r="A35" s="84">
        <v>48</v>
      </c>
      <c r="B35" s="80">
        <v>58</v>
      </c>
      <c r="C35" s="15">
        <f t="shared" si="9"/>
        <v>82</v>
      </c>
      <c r="D35" s="81">
        <v>3</v>
      </c>
      <c r="E35" s="82">
        <v>0.5</v>
      </c>
      <c r="F35" s="81">
        <v>0</v>
      </c>
      <c r="G35" s="83">
        <f t="shared" si="10"/>
        <v>9.0483353414270269</v>
      </c>
      <c r="M35" s="84">
        <v>48</v>
      </c>
      <c r="N35" s="80">
        <v>54</v>
      </c>
      <c r="O35" s="15">
        <f t="shared" si="8"/>
        <v>93</v>
      </c>
      <c r="P35" s="81">
        <v>4</v>
      </c>
      <c r="Q35" s="82">
        <v>1</v>
      </c>
      <c r="R35" s="81">
        <v>6</v>
      </c>
      <c r="S35" s="83">
        <f t="shared" si="11"/>
        <v>25.429020524535005</v>
      </c>
      <c r="Y35" s="84">
        <v>48</v>
      </c>
      <c r="Z35" s="80">
        <v>58</v>
      </c>
      <c r="AA35" s="15">
        <f t="shared" si="12"/>
        <v>82</v>
      </c>
      <c r="AB35" s="81">
        <v>3</v>
      </c>
      <c r="AC35" s="82">
        <v>0.5</v>
      </c>
      <c r="AD35" s="81">
        <v>0</v>
      </c>
      <c r="AE35" s="83">
        <f t="shared" si="13"/>
        <v>9.0483353414270269</v>
      </c>
      <c r="AG35" s="84">
        <v>48</v>
      </c>
      <c r="AH35" s="80">
        <v>53.7</v>
      </c>
      <c r="AI35" s="15">
        <f t="shared" si="14"/>
        <v>92.550000000000011</v>
      </c>
      <c r="AJ35" s="81">
        <v>4</v>
      </c>
      <c r="AK35" s="82">
        <v>1</v>
      </c>
      <c r="AL35" s="81">
        <v>6</v>
      </c>
      <c r="AM35" s="83">
        <f t="shared" si="15"/>
        <v>25.212431737447314</v>
      </c>
    </row>
    <row r="36" spans="1:39" x14ac:dyDescent="0.25">
      <c r="A36" s="84">
        <v>54</v>
      </c>
      <c r="B36" s="80">
        <v>65</v>
      </c>
      <c r="C36" s="15">
        <f t="shared" si="9"/>
        <v>89</v>
      </c>
      <c r="D36" s="81">
        <v>3</v>
      </c>
      <c r="E36" s="82">
        <v>0.5</v>
      </c>
      <c r="F36" s="81">
        <v>0</v>
      </c>
      <c r="G36" s="83">
        <f t="shared" si="10"/>
        <v>10.419072082103405</v>
      </c>
      <c r="M36" s="84">
        <v>54</v>
      </c>
      <c r="N36" s="80">
        <v>60.5</v>
      </c>
      <c r="O36" s="15">
        <f t="shared" si="8"/>
        <v>102.75</v>
      </c>
      <c r="P36" s="81">
        <v>4</v>
      </c>
      <c r="Q36" s="82">
        <v>1</v>
      </c>
      <c r="R36" s="81">
        <v>6</v>
      </c>
      <c r="S36" s="83">
        <f t="shared" si="11"/>
        <v>30.341120641836735</v>
      </c>
      <c r="Y36" s="84">
        <v>54</v>
      </c>
      <c r="Z36" s="80">
        <v>65</v>
      </c>
      <c r="AA36" s="15">
        <f t="shared" si="12"/>
        <v>89</v>
      </c>
      <c r="AB36" s="81">
        <v>3</v>
      </c>
      <c r="AC36" s="82">
        <v>0.5</v>
      </c>
      <c r="AD36" s="81">
        <v>0</v>
      </c>
      <c r="AE36" s="83">
        <f t="shared" si="13"/>
        <v>10.419072082103405</v>
      </c>
      <c r="AG36" s="84">
        <v>54</v>
      </c>
      <c r="AH36" s="80">
        <v>61</v>
      </c>
      <c r="AI36" s="15">
        <f t="shared" si="14"/>
        <v>103.5</v>
      </c>
      <c r="AJ36" s="81">
        <v>4</v>
      </c>
      <c r="AK36" s="82">
        <v>1</v>
      </c>
      <c r="AL36" s="81">
        <v>6</v>
      </c>
      <c r="AM36" s="83">
        <f t="shared" si="15"/>
        <v>30.736343291653434</v>
      </c>
    </row>
    <row r="37" spans="1:39" ht="15.75" thickBot="1" x14ac:dyDescent="0.3">
      <c r="A37" s="85">
        <v>60</v>
      </c>
      <c r="B37" s="86">
        <v>72</v>
      </c>
      <c r="C37" s="16">
        <f t="shared" si="9"/>
        <v>96</v>
      </c>
      <c r="D37" s="87">
        <v>3</v>
      </c>
      <c r="E37" s="88">
        <v>0.5</v>
      </c>
      <c r="F37" s="87">
        <v>0</v>
      </c>
      <c r="G37" s="89">
        <f t="shared" si="10"/>
        <v>11.862833058845931</v>
      </c>
      <c r="M37" s="85">
        <v>60</v>
      </c>
      <c r="N37" s="86">
        <v>67</v>
      </c>
      <c r="O37" s="16">
        <f t="shared" si="8"/>
        <v>112.5</v>
      </c>
      <c r="P37" s="87">
        <v>4</v>
      </c>
      <c r="Q37" s="88">
        <v>1</v>
      </c>
      <c r="R37" s="87">
        <v>6</v>
      </c>
      <c r="S37" s="89">
        <f t="shared" si="11"/>
        <v>35.672553086867048</v>
      </c>
      <c r="Y37" s="85">
        <v>60</v>
      </c>
      <c r="Z37" s="86">
        <v>72</v>
      </c>
      <c r="AA37" s="16">
        <f t="shared" si="12"/>
        <v>96</v>
      </c>
      <c r="AB37" s="87">
        <v>3</v>
      </c>
      <c r="AC37" s="88">
        <v>0.5</v>
      </c>
      <c r="AD37" s="87">
        <v>0</v>
      </c>
      <c r="AE37" s="83">
        <f t="shared" si="13"/>
        <v>11.862833058845931</v>
      </c>
      <c r="AG37" s="85">
        <v>60</v>
      </c>
      <c r="AH37" s="86">
        <v>66.3</v>
      </c>
      <c r="AI37" s="16">
        <f t="shared" si="14"/>
        <v>111.44999999999999</v>
      </c>
      <c r="AJ37" s="87">
        <v>4</v>
      </c>
      <c r="AK37" s="88">
        <v>1</v>
      </c>
      <c r="AL37" s="87">
        <v>6</v>
      </c>
      <c r="AM37" s="89">
        <f t="shared" si="15"/>
        <v>35.078251021774093</v>
      </c>
    </row>
    <row r="38" spans="1:39" ht="15.75" thickTop="1" x14ac:dyDescent="0.25"/>
    <row r="39" spans="1:39" x14ac:dyDescent="0.25">
      <c r="Z39" s="45" t="s">
        <v>80</v>
      </c>
      <c r="AA39" s="45" t="s">
        <v>81</v>
      </c>
      <c r="AB39" s="45" t="s">
        <v>75</v>
      </c>
      <c r="AC39" s="45" t="s">
        <v>79</v>
      </c>
      <c r="AD39" s="45" t="s">
        <v>78</v>
      </c>
      <c r="AE39" s="45" t="s">
        <v>82</v>
      </c>
      <c r="AF39" s="45" t="s">
        <v>77</v>
      </c>
    </row>
    <row r="40" spans="1:39" x14ac:dyDescent="0.25">
      <c r="Y40" s="45" t="s">
        <v>12</v>
      </c>
      <c r="Z40" s="45">
        <f>Results!D16*1</f>
        <v>0</v>
      </c>
      <c r="AA40" s="45" t="e">
        <f>VLOOKUP(Z40,Y28:Z37,2,FALSE)</f>
        <v>#N/A</v>
      </c>
      <c r="AB40" s="93">
        <f>Results!C34</f>
        <v>0</v>
      </c>
      <c r="AC40" s="45">
        <f>Results!C26*1</f>
        <v>0</v>
      </c>
      <c r="AD40" s="45">
        <f>Results!C28*1</f>
        <v>0</v>
      </c>
      <c r="AE40" s="45">
        <v>8</v>
      </c>
      <c r="AF40" s="45" t="e">
        <f>((AA40/2)/AE40)*Z7</f>
        <v>#N/A</v>
      </c>
    </row>
    <row r="41" spans="1:39" x14ac:dyDescent="0.25">
      <c r="Y41" s="45" t="s">
        <v>76</v>
      </c>
      <c r="Z41" s="45">
        <f>Results!D16*1</f>
        <v>0</v>
      </c>
      <c r="AA41" s="45" t="e">
        <f>VLOOKUP(Z41,AG28:AH37,2,FALSE)</f>
        <v>#N/A</v>
      </c>
      <c r="AB41" s="45">
        <f>Results!E34</f>
        <v>0</v>
      </c>
      <c r="AC41" s="45">
        <f>Results!E26*1</f>
        <v>0</v>
      </c>
      <c r="AD41" s="45">
        <f>Results!E28*1</f>
        <v>0</v>
      </c>
      <c r="AE41" s="45">
        <v>6</v>
      </c>
      <c r="AF41" s="45" t="e">
        <f>(AA41+12)/AE41*Z8</f>
        <v>#N/A</v>
      </c>
    </row>
  </sheetData>
  <sheetProtection selectLockedCells="1"/>
  <pageMargins left="0.7" right="0.7" top="0.75" bottom="0.75" header="0.3" footer="0.3"/>
  <pageSetup scale="54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Q43"/>
  <sheetViews>
    <sheetView showGridLines="0" tabSelected="1" zoomScale="120" zoomScaleNormal="120" workbookViewId="0">
      <selection activeCell="C36" sqref="C36:C37"/>
    </sheetView>
  </sheetViews>
  <sheetFormatPr defaultColWidth="9.140625" defaultRowHeight="15" x14ac:dyDescent="0.25"/>
  <cols>
    <col min="1" max="1" width="39.42578125" style="21" customWidth="1"/>
    <col min="2" max="2" width="11.5703125" style="21" customWidth="1"/>
    <col min="3" max="3" width="14.140625" style="21" customWidth="1"/>
    <col min="4" max="4" width="13.42578125" style="21" customWidth="1"/>
    <col min="5" max="6" width="14.5703125" style="21" customWidth="1"/>
    <col min="7" max="7" width="4.5703125" style="21" customWidth="1"/>
    <col min="8" max="8" width="10.140625" style="21" bestFit="1" customWidth="1"/>
    <col min="9" max="16384" width="9.140625" style="21"/>
  </cols>
  <sheetData>
    <row r="1" spans="2:8" ht="23.25" x14ac:dyDescent="0.35">
      <c r="D1" s="40" t="s">
        <v>55</v>
      </c>
    </row>
    <row r="2" spans="2:8" ht="23.25" x14ac:dyDescent="0.35">
      <c r="D2" s="24" t="s">
        <v>50</v>
      </c>
    </row>
    <row r="3" spans="2:8" ht="23.25" x14ac:dyDescent="0.35">
      <c r="D3" s="24"/>
    </row>
    <row r="4" spans="2:8" ht="23.25" x14ac:dyDescent="0.35">
      <c r="D4" s="24" t="s">
        <v>51</v>
      </c>
    </row>
    <row r="5" spans="2:8" ht="15" customHeight="1" x14ac:dyDescent="0.25">
      <c r="D5" s="37" t="s">
        <v>53</v>
      </c>
    </row>
    <row r="6" spans="2:8" x14ac:dyDescent="0.25">
      <c r="D6" s="37" t="s">
        <v>54</v>
      </c>
    </row>
    <row r="7" spans="2:8" ht="23.25" x14ac:dyDescent="0.35">
      <c r="D7" s="24"/>
    </row>
    <row r="8" spans="2:8" ht="15.75" x14ac:dyDescent="0.25">
      <c r="D8" s="38" t="s">
        <v>56</v>
      </c>
    </row>
    <row r="9" spans="2:8" ht="23.25" x14ac:dyDescent="0.35">
      <c r="D9" s="24"/>
    </row>
    <row r="10" spans="2:8" ht="23.25" x14ac:dyDescent="0.35">
      <c r="D10" s="24"/>
    </row>
    <row r="11" spans="2:8" ht="23.25" x14ac:dyDescent="0.35">
      <c r="D11" s="24"/>
    </row>
    <row r="12" spans="2:8" ht="23.25" x14ac:dyDescent="0.35">
      <c r="D12" s="24"/>
    </row>
    <row r="13" spans="2:8" ht="23.25" x14ac:dyDescent="0.35">
      <c r="D13" s="24"/>
    </row>
    <row r="14" spans="2:8" ht="23.25" x14ac:dyDescent="0.35">
      <c r="D14" s="24"/>
    </row>
    <row r="15" spans="2:8" ht="9.75" customHeight="1" x14ac:dyDescent="0.35">
      <c r="D15" s="24"/>
    </row>
    <row r="16" spans="2:8" ht="20.25" x14ac:dyDescent="0.25">
      <c r="B16" s="25"/>
      <c r="C16" s="26" t="s">
        <v>35</v>
      </c>
      <c r="D16" s="41"/>
      <c r="E16" s="27" t="s">
        <v>36</v>
      </c>
      <c r="F16" s="30"/>
      <c r="G16" s="25"/>
      <c r="H16" s="25"/>
    </row>
    <row r="17" spans="1:17" x14ac:dyDescent="0.25">
      <c r="B17" s="30"/>
      <c r="C17" s="30"/>
      <c r="D17" s="30"/>
      <c r="E17" s="30"/>
      <c r="F17" s="30"/>
      <c r="G17" s="30"/>
      <c r="H17" s="30"/>
    </row>
    <row r="18" spans="1:17" ht="17.25" customHeight="1" x14ac:dyDescent="0.25">
      <c r="B18" s="25"/>
      <c r="C18" s="26" t="s">
        <v>34</v>
      </c>
      <c r="D18" s="41"/>
      <c r="E18" s="27" t="s">
        <v>41</v>
      </c>
      <c r="F18" s="25"/>
      <c r="G18" s="30"/>
      <c r="H18" s="30"/>
    </row>
    <row r="19" spans="1:17" s="25" customFormat="1" ht="23.25" x14ac:dyDescent="0.35">
      <c r="B19" s="32"/>
      <c r="M19" s="28"/>
      <c r="N19" s="29"/>
      <c r="O19" s="30"/>
      <c r="P19" s="30"/>
      <c r="Q19" s="31"/>
    </row>
    <row r="20" spans="1:17" s="30" customFormat="1" ht="20.25" x14ac:dyDescent="0.25">
      <c r="B20" s="33" t="s">
        <v>44</v>
      </c>
      <c r="C20" s="42"/>
      <c r="D20" s="31" t="s">
        <v>37</v>
      </c>
      <c r="E20" s="42"/>
      <c r="F20" s="34" t="s">
        <v>47</v>
      </c>
      <c r="G20" s="25"/>
      <c r="H20" s="25"/>
      <c r="I20" s="25"/>
    </row>
    <row r="21" spans="1:17" s="30" customFormat="1" x14ac:dyDescent="0.25">
      <c r="B21"/>
      <c r="C21"/>
      <c r="D21" s="1"/>
      <c r="E21"/>
      <c r="F21"/>
      <c r="G21" s="25"/>
      <c r="H21" s="25"/>
    </row>
    <row r="22" spans="1:17" s="25" customFormat="1" ht="20.25" x14ac:dyDescent="0.3">
      <c r="A22" s="28"/>
      <c r="B22" s="33" t="s">
        <v>45</v>
      </c>
      <c r="C22" s="43"/>
      <c r="D22" s="31" t="s">
        <v>38</v>
      </c>
      <c r="E22" s="43"/>
      <c r="F22" s="34" t="s">
        <v>48</v>
      </c>
      <c r="G22"/>
      <c r="H22"/>
      <c r="I22" s="30"/>
    </row>
    <row r="23" spans="1:17" s="25" customFormat="1" ht="19.5" customHeight="1" x14ac:dyDescent="0.25">
      <c r="B23"/>
      <c r="C23"/>
      <c r="D23" s="1"/>
      <c r="E23"/>
      <c r="F23"/>
    </row>
    <row r="24" spans="1:17" s="25" customFormat="1" ht="20.25" x14ac:dyDescent="0.3">
      <c r="A24" s="21"/>
      <c r="B24" s="33" t="s">
        <v>46</v>
      </c>
      <c r="C24" s="44"/>
      <c r="D24" s="31" t="s">
        <v>39</v>
      </c>
      <c r="E24" s="44"/>
      <c r="F24" s="34" t="s">
        <v>49</v>
      </c>
      <c r="G24"/>
      <c r="H24"/>
      <c r="J24"/>
    </row>
    <row r="25" spans="1:17" s="25" customFormat="1" ht="19.5" customHeight="1" x14ac:dyDescent="0.25"/>
    <row r="26" spans="1:17" customFormat="1" ht="20.25" x14ac:dyDescent="0.25">
      <c r="A26" s="30"/>
      <c r="B26" s="33" t="s">
        <v>69</v>
      </c>
      <c r="C26" s="94"/>
      <c r="D26" s="31" t="s">
        <v>67</v>
      </c>
      <c r="E26" s="94"/>
      <c r="F26" s="34" t="s">
        <v>69</v>
      </c>
      <c r="G26" s="25"/>
      <c r="H26" s="25"/>
      <c r="I26" s="21"/>
      <c r="J26" s="25"/>
    </row>
    <row r="27" spans="1:17" s="25" customFormat="1" x14ac:dyDescent="0.25">
      <c r="B27"/>
      <c r="C27"/>
      <c r="D27" s="1"/>
      <c r="E27"/>
      <c r="F27"/>
    </row>
    <row r="28" spans="1:17" customFormat="1" ht="15" customHeight="1" x14ac:dyDescent="0.25">
      <c r="A28" s="30"/>
      <c r="B28" s="33" t="s">
        <v>73</v>
      </c>
      <c r="C28" s="42"/>
      <c r="D28" s="31" t="s">
        <v>68</v>
      </c>
      <c r="E28" s="42"/>
      <c r="F28" s="34" t="s">
        <v>73</v>
      </c>
      <c r="G28" s="25"/>
      <c r="H28" s="25"/>
      <c r="I28" s="21"/>
    </row>
    <row r="29" spans="1:17" s="25" customFormat="1" ht="15" customHeight="1" x14ac:dyDescent="0.25">
      <c r="I29"/>
    </row>
    <row r="30" spans="1:17" s="25" customFormat="1" ht="20.25" x14ac:dyDescent="0.3">
      <c r="A30" s="28"/>
      <c r="B30" s="33" t="s">
        <v>57</v>
      </c>
      <c r="C30" s="43"/>
      <c r="D30" s="31" t="s">
        <v>38</v>
      </c>
      <c r="E30" s="43"/>
      <c r="F30" s="34" t="s">
        <v>57</v>
      </c>
      <c r="G30"/>
      <c r="H30"/>
      <c r="J30"/>
    </row>
    <row r="31" spans="1:17" s="25" customFormat="1" x14ac:dyDescent="0.25">
      <c r="A31" s="21"/>
      <c r="B31" s="21"/>
      <c r="C31" s="21"/>
      <c r="D31" s="21"/>
      <c r="E31" s="21"/>
      <c r="F31" s="21"/>
      <c r="G31" s="21"/>
      <c r="H31" s="21"/>
      <c r="I31" s="21"/>
    </row>
    <row r="32" spans="1:17" ht="16.5" customHeight="1" x14ac:dyDescent="0.3">
      <c r="B32" s="33" t="s">
        <v>64</v>
      </c>
      <c r="C32" s="44"/>
      <c r="D32" s="31" t="s">
        <v>39</v>
      </c>
      <c r="E32" s="44"/>
      <c r="F32" s="34" t="s">
        <v>64</v>
      </c>
      <c r="G32"/>
      <c r="H32"/>
      <c r="I32" s="25"/>
      <c r="J32" s="25"/>
    </row>
    <row r="33" spans="1:10" x14ac:dyDescent="0.25">
      <c r="J33" s="25"/>
    </row>
    <row r="34" spans="1:10" customFormat="1" ht="20.25" x14ac:dyDescent="0.25">
      <c r="A34" s="30"/>
      <c r="B34" s="33" t="s">
        <v>66</v>
      </c>
      <c r="C34" s="42"/>
      <c r="D34" s="31" t="s">
        <v>37</v>
      </c>
      <c r="E34" s="42"/>
      <c r="F34" s="34" t="s">
        <v>66</v>
      </c>
      <c r="G34" s="25"/>
      <c r="H34" s="25"/>
      <c r="I34" s="21"/>
      <c r="J34" s="21"/>
    </row>
    <row r="35" spans="1:10" customFormat="1" x14ac:dyDescent="0.25">
      <c r="A35" s="21"/>
      <c r="B35" s="21"/>
      <c r="C35" s="21"/>
      <c r="D35" s="21"/>
      <c r="E35" s="21"/>
      <c r="F35" s="21"/>
      <c r="G35" s="21"/>
      <c r="H35" s="21"/>
      <c r="I35" s="21"/>
      <c r="J35" s="21"/>
    </row>
    <row r="36" spans="1:10" customFormat="1" x14ac:dyDescent="0.25">
      <c r="A36" s="99" t="s">
        <v>40</v>
      </c>
      <c r="B36" s="100"/>
      <c r="C36" s="97" t="str">
        <f>IF(OR(AND(C20=0,C22=0,C30=0),AND(C20=0,C22=0),AND(C20=0,C30=0),AND(C22=0,C30=0)),"Enter Cost",IF(C20=0,"Enter Cost Of Pipe",IF(C22=0,"Enter Cost of Backfill",IF(C30=0,"Enter Cost of Disposal",'Price Comparison'!AH7))))</f>
        <v>Enter Cost</v>
      </c>
      <c r="D36" s="27" t="s">
        <v>42</v>
      </c>
      <c r="E36" s="97" t="str">
        <f>IF(OR(AND(E20=0,E22=0,E30=0),AND(E20=0,E22=0),AND(E20=0,E30=0),AND(E22=0,E30=0)),"Enter Cost",IF(E20=0,"Enter Cost Of Pipe",IF(E22=0,"Enter Cost of Backfill",IF(E30=0,"Enter Cost of Disposal",'Price Comparison'!AH8))))</f>
        <v>Enter Cost</v>
      </c>
      <c r="F36" s="101" t="s">
        <v>43</v>
      </c>
      <c r="G36" s="102"/>
      <c r="H36" s="102"/>
      <c r="I36" s="102"/>
    </row>
    <row r="37" spans="1:10" customFormat="1" x14ac:dyDescent="0.25">
      <c r="A37" s="100"/>
      <c r="B37" s="100"/>
      <c r="C37" s="98"/>
      <c r="D37" s="22" t="s">
        <v>52</v>
      </c>
      <c r="E37" s="98"/>
      <c r="F37" s="102"/>
      <c r="G37" s="102"/>
      <c r="H37" s="102"/>
      <c r="I37" s="102"/>
    </row>
    <row r="38" spans="1:10" customFormat="1" x14ac:dyDescent="0.25">
      <c r="A38" s="25"/>
      <c r="B38" s="21"/>
      <c r="C38" s="21"/>
      <c r="D38" s="21"/>
      <c r="E38" s="21"/>
      <c r="F38" s="21"/>
      <c r="G38" s="21"/>
      <c r="H38" s="21"/>
      <c r="I38" s="25"/>
    </row>
    <row r="39" spans="1:10" customFormat="1" x14ac:dyDescent="0.25">
      <c r="A39" s="25" t="s">
        <v>59</v>
      </c>
      <c r="B39" s="35"/>
      <c r="C39" s="21"/>
      <c r="D39" s="21"/>
      <c r="E39" s="21"/>
      <c r="G39" s="21"/>
      <c r="H39" s="21"/>
      <c r="I39" s="25"/>
    </row>
    <row r="40" spans="1:10" customFormat="1" x14ac:dyDescent="0.25">
      <c r="A40" s="21" t="s">
        <v>58</v>
      </c>
      <c r="B40" s="23"/>
      <c r="F40" s="36"/>
      <c r="I40" s="21"/>
    </row>
    <row r="41" spans="1:10" x14ac:dyDescent="0.25">
      <c r="A41" s="21" t="s">
        <v>60</v>
      </c>
      <c r="B41"/>
      <c r="C41"/>
      <c r="D41"/>
      <c r="E41"/>
      <c r="F41" s="23"/>
      <c r="G41"/>
      <c r="H41"/>
    </row>
    <row r="42" spans="1:10" x14ac:dyDescent="0.25">
      <c r="A42" s="25" t="s">
        <v>61</v>
      </c>
      <c r="B42"/>
      <c r="C42"/>
      <c r="D42"/>
      <c r="E42"/>
      <c r="F42"/>
      <c r="G42"/>
      <c r="H42"/>
      <c r="I42"/>
    </row>
    <row r="43" spans="1:10" x14ac:dyDescent="0.25">
      <c r="A43" s="39" t="s">
        <v>62</v>
      </c>
      <c r="B43"/>
      <c r="C43"/>
      <c r="D43"/>
      <c r="E43"/>
      <c r="F43"/>
      <c r="G43"/>
      <c r="H43"/>
      <c r="I43"/>
    </row>
  </sheetData>
  <sheetProtection selectLockedCells="1"/>
  <mergeCells count="4">
    <mergeCell ref="C36:C37"/>
    <mergeCell ref="A36:B37"/>
    <mergeCell ref="F36:I37"/>
    <mergeCell ref="E36:E3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baseType="variant" size="2">
      <vt:variant>
        <vt:lpstr>Worksheets</vt:lpstr>
      </vt:variant>
      <vt:variant>
        <vt:i4>2</vt:i4>
      </vt:variant>
    </vt:vector>
  </HeadingPairs>
  <TitlesOfParts>
    <vt:vector baseType="lpstr" size="2">
      <vt:lpstr>Price Comparison</vt:lpstr>
      <vt:lpstr>Results</vt:lpstr>
    </vt:vector>
  </TitlesOfParts>
  <LinksUpToDate>false</LinksUpToDate>
  <SharedDoc>false</SharedDoc>
  <HyperlinksChanged>false</HyperlinksChanged>
  <AppVersion>14.0300</AppVersion>
  <Company/>
  <Template/>
  <Manager/>
  <TotalTime>0</TotalTim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