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Market Value" sheetId="1" r:id="rId3"/>
    <sheet state="visible" name="Market Cap" sheetId="2" r:id="rId4"/>
  </sheets>
  <definedNames/>
  <calcPr/>
</workbook>
</file>

<file path=xl/sharedStrings.xml><?xml version="1.0" encoding="utf-8"?>
<sst xmlns="http://schemas.openxmlformats.org/spreadsheetml/2006/main" count="146" uniqueCount="90">
  <si>
    <t>Today's Date</t>
  </si>
  <si>
    <t>Current Market Value of Funds</t>
  </si>
  <si>
    <t>52 WK Low Price</t>
  </si>
  <si>
    <t xml:space="preserve">Fund Ticker </t>
  </si>
  <si>
    <t xml:space="preserve"> Market Value </t>
  </si>
  <si>
    <t>Date/ Price</t>
  </si>
  <si>
    <t>VWO (ETF)</t>
  </si>
  <si>
    <t>VBR (ETF)</t>
  </si>
  <si>
    <t>VTSAX (MUTUAL)*</t>
  </si>
  <si>
    <t>2/09 - 45.59</t>
  </si>
  <si>
    <t>* Mutual Funds: Price shown is yesterday's closing price</t>
  </si>
  <si>
    <t xml:space="preserve">Price of Funds at Close, Yesterday </t>
  </si>
  <si>
    <t xml:space="preserve">Ticker / Price </t>
  </si>
  <si>
    <t>VWO</t>
  </si>
  <si>
    <t>VBR</t>
  </si>
  <si>
    <t>VTSAX*</t>
  </si>
  <si>
    <t>* Price as of the day before yesterday. "Current Price" of mutual funds reflects yesterday's price.</t>
  </si>
  <si>
    <t>Cost Basis &amp; Market Value of Portfolio</t>
  </si>
  <si>
    <t>Fund Attributes</t>
  </si>
  <si>
    <t>Fund Ticker</t>
  </si>
  <si>
    <t xml:space="preserve"> Price Paid</t>
  </si>
  <si>
    <t>Current Market Value</t>
  </si>
  <si>
    <t>Gain/Loss</t>
  </si>
  <si>
    <t xml:space="preserve">Total Shares </t>
  </si>
  <si>
    <t>Avg Cost/Share</t>
  </si>
  <si>
    <t>Settlement Account</t>
  </si>
  <si>
    <t>Percent USA</t>
  </si>
  <si>
    <t>Percent INTL</t>
  </si>
  <si>
    <t>Bonds</t>
  </si>
  <si>
    <t>Cash</t>
  </si>
  <si>
    <t xml:space="preserve">REITS </t>
  </si>
  <si>
    <t>Checkings</t>
  </si>
  <si>
    <t>2362,85</t>
  </si>
  <si>
    <t>Bank + Roth IRA</t>
  </si>
  <si>
    <t>VTSAX</t>
  </si>
  <si>
    <t>Total Contributed</t>
  </si>
  <si>
    <t>Market Capitalization Break Down</t>
  </si>
  <si>
    <t>% of Portfolio</t>
  </si>
  <si>
    <t>Market Cap.</t>
  </si>
  <si>
    <t xml:space="preserve"> Value</t>
  </si>
  <si>
    <t>Blend</t>
  </si>
  <si>
    <t>Growth</t>
  </si>
  <si>
    <t>Total</t>
  </si>
  <si>
    <t>Total in Portfolio</t>
  </si>
  <si>
    <t>LARGE CAP</t>
  </si>
  <si>
    <t>Total Purchases*</t>
  </si>
  <si>
    <t>MID CAP</t>
  </si>
  <si>
    <t>Increase %*</t>
  </si>
  <si>
    <t>SMALL CAP</t>
  </si>
  <si>
    <t>* Without respect to dividends reinvested</t>
  </si>
  <si>
    <t>Contributions</t>
  </si>
  <si>
    <t>Market Value Today</t>
  </si>
  <si>
    <t>Remaining Contributions</t>
  </si>
  <si>
    <t>Projected Total</t>
  </si>
  <si>
    <t xml:space="preserve">Asset Allocation   </t>
  </si>
  <si>
    <t>AA of Current</t>
  </si>
  <si>
    <t>AA of Projected Total</t>
  </si>
  <si>
    <t>AA Ideal</t>
  </si>
  <si>
    <t>Amount Needed</t>
  </si>
  <si>
    <t>To Invest</t>
  </si>
  <si>
    <t xml:space="preserve">VBR </t>
  </si>
  <si>
    <t xml:space="preserve">VTSAX </t>
  </si>
  <si>
    <t>Share Purchase Testing</t>
  </si>
  <si>
    <t>New Shares</t>
  </si>
  <si>
    <t xml:space="preserve"> Market Value Shares</t>
  </si>
  <si>
    <t>New Cost/ Share</t>
  </si>
  <si>
    <t xml:space="preserve">Settlement </t>
  </si>
  <si>
    <t>Portfolio Attributes incuding Cash Holdings</t>
  </si>
  <si>
    <t>US Funds</t>
  </si>
  <si>
    <t>EM Funds</t>
  </si>
  <si>
    <t>REITS</t>
  </si>
  <si>
    <t>-</t>
  </si>
  <si>
    <t>Checking</t>
  </si>
  <si>
    <t xml:space="preserve">Contributions Rem. After </t>
  </si>
  <si>
    <t xml:space="preserve">   *Beige colored box indicates that a manual entry is required*</t>
  </si>
  <si>
    <t xml:space="preserve">   *The "Market Value" row starting on Line B5 is programmed to automatically update stocks share price*</t>
  </si>
  <si>
    <r>
      <rPr>
        <b/>
      </rPr>
      <t>1.</t>
    </r>
    <r>
      <t xml:space="preserve"> Edit Function(FX) for "Market Value" and "Price Yesterday" Alter the funds ticker name (in the function) to display price;</t>
    </r>
  </si>
  <si>
    <t xml:space="preserve">    Manually change the name of funds in row A.</t>
  </si>
  <si>
    <t xml:space="preserve">Total </t>
  </si>
  <si>
    <r>
      <rPr>
        <b/>
      </rPr>
      <t>2.</t>
    </r>
    <r>
      <t xml:space="preserve"> From brokerage data/ website, input the "Total Price Paid" for each fund and the number of "Total Shares" owned per fund;</t>
    </r>
  </si>
  <si>
    <r>
      <rPr>
        <b/>
      </rPr>
      <t>3.</t>
    </r>
    <r>
      <t xml:space="preserve"> Input remaining IRA contributions for current contribution period (January 1 through April 18);</t>
    </r>
  </si>
  <si>
    <t xml:space="preserve">    If funds are in settlement account but are not allocated to the funds, do not include that amount.</t>
  </si>
  <si>
    <r>
      <rPr>
        <b/>
      </rPr>
      <t>4.</t>
    </r>
    <r>
      <t xml:space="preserve"> Input desired asset allocation (%AA Desired); The total should add up to 100%;</t>
    </r>
  </si>
  <si>
    <r>
      <rPr>
        <b/>
      </rPr>
      <t xml:space="preserve">5. </t>
    </r>
    <r>
      <t xml:space="preserve">The "To Invest" row reflects the amount needed to reach desired asset allocation; </t>
    </r>
  </si>
  <si>
    <r>
      <rPr>
        <b/>
      </rPr>
      <t>6.</t>
    </r>
    <r>
      <t xml:space="preserve"> Under "New Shares" you can test the exact amount needed for whole share ETF purchases, to arrive at ideal AA;</t>
    </r>
  </si>
  <si>
    <t xml:space="preserve">    ETF funds must be purchased as whole shares when using Vanguard Personal Investments </t>
  </si>
  <si>
    <t>Of Total Portfolio*</t>
  </si>
  <si>
    <t>*Incuding Cash Holdings</t>
  </si>
  <si>
    <t>Portfolio Summary via Market Cap. Allocation</t>
  </si>
  <si>
    <t>Settlement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</si>
</sst>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$]#,##0.00"/>
    <numFmt numFmtId="165" formatCode="&quot;$&quot;#,##0.00"/>
  </numFmts>
  <fonts count="28">
    <font>
      <sz val="10.0"/>
      <color rgb="FF000000"/>
      <name val="Arial"/>
    </font>
    <font>
      <sz val="14.0"/>
      <color rgb="FF000000"/>
    </font>
    <font/>
    <font>
      <sz val="14.0"/>
      <color rgb="FFB45F06"/>
    </font>
    <font>
      <b/>
      <sz val="11.0"/>
    </font>
    <font>
      <b/>
      <sz val="10.0"/>
    </font>
    <font>
      <sz val="11.0"/>
    </font>
    <font>
      <sz val="10.0"/>
      <name val="Arial"/>
    </font>
    <font>
      <b/>
      <sz val="10.0"/>
      <color rgb="FF000000"/>
      <name val="Arial"/>
    </font>
    <font>
      <b/>
      <sz val="10.0"/>
      <name val="Arial"/>
    </font>
    <font>
      <sz val="11.0"/>
      <color rgb="FF000000"/>
    </font>
    <font>
      <b/>
    </font>
    <font>
      <sz val="11.0"/>
      <color rgb="FF000000"/>
      <name val="Arial"/>
    </font>
    <font>
      <sz val="11.0"/>
      <color rgb="FF000000"/>
      <name val="Inconsolata"/>
    </font>
    <font>
      <color rgb="FF000000"/>
      <name val="Arial"/>
    </font>
    <font>
      <b/>
      <sz val="11.0"/>
      <color rgb="FFFF0000"/>
    </font>
    <font>
      <i/>
      <sz val="11.0"/>
      <color rgb="FF000000"/>
    </font>
    <font>
      <i/>
      <sz val="11.0"/>
      <color rgb="FF000000"/>
      <name val="Arial"/>
    </font>
    <font>
      <b/>
      <i/>
      <sz val="11.0"/>
      <color rgb="FF000000"/>
    </font>
    <font>
      <b/>
      <sz val="11.0"/>
      <color rgb="FF000000"/>
    </font>
    <font>
      <sz val="11.0"/>
      <color rgb="FFD9D9D9"/>
    </font>
    <font>
      <b/>
      <sz val="11.0"/>
      <color rgb="FFD9D9D9"/>
    </font>
    <font>
      <b/>
      <i/>
      <sz val="11.0"/>
      <color rgb="FFD9D9D9"/>
    </font>
    <font>
      <color rgb="FF000000"/>
    </font>
    <font>
      <sz val="11.0"/>
      <color rgb="FFB7B7B7"/>
    </font>
    <font>
      <b/>
      <color rgb="FF000000"/>
    </font>
    <font>
      <i/>
      <sz val="11.0"/>
    </font>
    <font>
      <i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  <fill>
      <patternFill patternType="solid">
        <fgColor rgb="FFD9EAD3"/>
        <bgColor rgb="FFD9EAD3"/>
      </patternFill>
    </fill>
  </fills>
  <borders count="16">
    <border>
      <left/>
      <right/>
      <top/>
      <bottom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hair">
        <color rgb="FF000000"/>
      </left>
      <right/>
      <top style="hair">
        <color rgb="FF000000"/>
      </top>
      <bottom/>
    </border>
    <border>
      <left/>
      <right/>
      <top style="hair">
        <color rgb="FF000000"/>
      </top>
      <bottom/>
    </border>
    <border>
      <left/>
      <right style="hair">
        <color rgb="FF000000"/>
      </right>
      <top style="hair">
        <color rgb="FF000000"/>
      </top>
      <bottom/>
    </border>
    <border>
      <left style="hair">
        <color rgb="FF000000"/>
      </left>
      <right/>
      <top/>
      <bottom/>
    </border>
    <border>
      <left/>
      <right style="hair">
        <color rgb="FF000000"/>
      </right>
      <top/>
      <bottom/>
    </border>
    <border>
      <left style="hair">
        <color rgb="FF000000"/>
      </left>
      <right/>
      <top/>
      <bottom style="hair">
        <color rgb="FF000000"/>
      </bottom>
    </border>
    <border>
      <left/>
      <right/>
      <top/>
      <bottom style="hair">
        <color rgb="FF000000"/>
      </bottom>
    </border>
    <border>
      <left/>
      <right style="hair">
        <color rgb="FF000000"/>
      </right>
      <top/>
      <bottom style="hair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133">
    <xf borderId="0" fillId="0" fontId="0" numFmtId="0" xfId="0" applyAlignment="1" applyFont="1">
      <alignment/>
    </xf>
    <xf borderId="1" fillId="2" fontId="1" numFmtId="0" xfId="0" applyAlignment="1" applyBorder="1" applyFill="1" applyFont="1">
      <alignment horizontal="left"/>
    </xf>
    <xf borderId="0" fillId="2" fontId="2" numFmtId="0" xfId="0" applyFont="1"/>
    <xf borderId="1" fillId="2" fontId="3" numFmtId="14" xfId="0" applyAlignment="1" applyBorder="1" applyFont="1" applyNumberFormat="1">
      <alignment horizontal="left"/>
    </xf>
    <xf borderId="0" fillId="2" fontId="2" numFmtId="0" xfId="0" applyAlignment="1" applyFont="1">
      <alignment/>
    </xf>
    <xf borderId="2" fillId="3" fontId="4" numFmtId="0" xfId="0" applyAlignment="1" applyBorder="1" applyFill="1" applyFont="1">
      <alignment/>
    </xf>
    <xf borderId="2" fillId="3" fontId="2" numFmtId="0" xfId="0" applyBorder="1" applyFont="1"/>
    <xf borderId="2" fillId="3" fontId="4" numFmtId="0" xfId="0" applyAlignment="1" applyBorder="1" applyFont="1">
      <alignment horizontal="center"/>
    </xf>
    <xf borderId="2" fillId="4" fontId="5" numFmtId="0" xfId="0" applyAlignment="1" applyBorder="1" applyFill="1" applyFont="1">
      <alignment/>
    </xf>
    <xf borderId="2" fillId="4" fontId="5" numFmtId="0" xfId="0" applyAlignment="1" applyBorder="1" applyFont="1">
      <alignment horizontal="center"/>
    </xf>
    <xf borderId="2" fillId="5" fontId="6" numFmtId="0" xfId="0" applyAlignment="1" applyBorder="1" applyFill="1" applyFont="1">
      <alignment/>
    </xf>
    <xf borderId="2" fillId="2" fontId="6" numFmtId="164" xfId="0" applyAlignment="1" applyBorder="1" applyFont="1" applyNumberFormat="1">
      <alignment horizontal="center"/>
    </xf>
    <xf borderId="2" fillId="2" fontId="6" numFmtId="164" xfId="0" applyAlignment="1" applyBorder="1" applyFont="1" applyNumberFormat="1">
      <alignment horizontal="center"/>
    </xf>
    <xf borderId="2" fillId="6" fontId="6" numFmtId="0" xfId="0" applyAlignment="1" applyBorder="1" applyFill="1" applyFont="1">
      <alignment horizontal="center"/>
    </xf>
    <xf borderId="0" fillId="2" fontId="6" numFmtId="0" xfId="0" applyAlignment="1" applyFont="1">
      <alignment/>
    </xf>
    <xf borderId="0" fillId="2" fontId="6" numFmtId="0" xfId="0" applyAlignment="1" applyFont="1">
      <alignment horizontal="center"/>
    </xf>
    <xf borderId="3" fillId="7" fontId="4" numFmtId="0" xfId="0" applyAlignment="1" applyBorder="1" applyFill="1" applyFont="1">
      <alignment horizontal="left"/>
    </xf>
    <xf borderId="4" fillId="7" fontId="4" numFmtId="0" xfId="0" applyAlignment="1" applyBorder="1" applyFont="1">
      <alignment horizontal="left"/>
    </xf>
    <xf borderId="5" fillId="7" fontId="4" numFmtId="0" xfId="0" applyAlignment="1" applyBorder="1" applyFont="1">
      <alignment horizontal="left"/>
    </xf>
    <xf borderId="0" fillId="0" fontId="2" numFmtId="0" xfId="0" applyFont="1"/>
    <xf borderId="2" fillId="5" fontId="5" numFmtId="0" xfId="0" applyAlignment="1" applyBorder="1" applyFont="1">
      <alignment horizontal="left"/>
    </xf>
    <xf borderId="2" fillId="5" fontId="7" numFmtId="0" xfId="0" applyAlignment="1" applyBorder="1" applyFont="1">
      <alignment horizontal="center"/>
    </xf>
    <xf borderId="2" fillId="2" fontId="8" numFmtId="0" xfId="0" applyAlignment="1" applyBorder="1" applyFont="1">
      <alignment horizontal="center"/>
    </xf>
    <xf borderId="2" fillId="2" fontId="9" numFmtId="0" xfId="0" applyAlignment="1" applyBorder="1" applyFont="1">
      <alignment horizontal="center"/>
    </xf>
    <xf borderId="0" fillId="2" fontId="1" numFmtId="0" xfId="0" applyAlignment="1" applyFont="1">
      <alignment horizontal="left"/>
    </xf>
    <xf borderId="0" fillId="2" fontId="3" numFmtId="14" xfId="0" applyAlignment="1" applyFont="1" applyNumberFormat="1">
      <alignment horizontal="left"/>
    </xf>
    <xf borderId="0" fillId="2" fontId="6" numFmtId="0" xfId="0" applyAlignment="1" applyFont="1">
      <alignment horizontal="left"/>
    </xf>
    <xf borderId="0" fillId="2" fontId="6" numFmtId="0" xfId="0" applyFont="1"/>
    <xf borderId="3" fillId="3" fontId="4" numFmtId="0" xfId="0" applyAlignment="1" applyBorder="1" applyFont="1">
      <alignment/>
    </xf>
    <xf borderId="4" fillId="3" fontId="6" numFmtId="0" xfId="0" applyAlignment="1" applyBorder="1" applyFont="1">
      <alignment horizontal="center"/>
    </xf>
    <xf borderId="4" fillId="3" fontId="4" numFmtId="0" xfId="0" applyAlignment="1" applyBorder="1" applyFont="1">
      <alignment/>
    </xf>
    <xf borderId="5" fillId="3" fontId="6" numFmtId="0" xfId="0" applyAlignment="1" applyBorder="1" applyFont="1">
      <alignment horizontal="center"/>
    </xf>
    <xf borderId="2" fillId="4" fontId="6" numFmtId="0" xfId="0" applyAlignment="1" applyBorder="1" applyFont="1">
      <alignment/>
    </xf>
    <xf borderId="6" fillId="4" fontId="5" numFmtId="0" xfId="0" applyAlignment="1" applyBorder="1" applyFont="1">
      <alignment/>
    </xf>
    <xf borderId="2" fillId="6" fontId="6" numFmtId="164" xfId="0" applyAlignment="1" applyBorder="1" applyFont="1" applyNumberFormat="1">
      <alignment horizontal="center"/>
    </xf>
    <xf borderId="6" fillId="4" fontId="5" numFmtId="0" xfId="0" applyAlignment="1" applyBorder="1" applyFont="1">
      <alignment horizontal="center"/>
    </xf>
    <xf borderId="6" fillId="4" fontId="4" numFmtId="0" xfId="0" applyAlignment="1" applyBorder="1" applyFont="1">
      <alignment/>
    </xf>
    <xf borderId="2" fillId="4" fontId="6" numFmtId="164" xfId="0" applyAlignment="1" applyBorder="1" applyFont="1" applyNumberFormat="1">
      <alignment horizontal="center"/>
    </xf>
    <xf borderId="6" fillId="6" fontId="2" numFmtId="10" xfId="0" applyAlignment="1" applyBorder="1" applyFont="1" applyNumberFormat="1">
      <alignment horizontal="center"/>
    </xf>
    <xf borderId="2" fillId="6" fontId="6" numFmtId="4" xfId="0" applyAlignment="1" applyBorder="1" applyFont="1" applyNumberFormat="1">
      <alignment horizontal="center"/>
    </xf>
    <xf borderId="6" fillId="6" fontId="10" numFmtId="10" xfId="0" applyAlignment="1" applyBorder="1" applyFont="1" applyNumberFormat="1">
      <alignment horizontal="center"/>
    </xf>
    <xf borderId="6" fillId="6" fontId="2" numFmtId="164" xfId="0" applyAlignment="1" applyBorder="1" applyFont="1" applyNumberFormat="1">
      <alignment horizontal="center"/>
    </xf>
    <xf borderId="2" fillId="0" fontId="6" numFmtId="164" xfId="0" applyAlignment="1" applyBorder="1" applyFont="1" applyNumberFormat="1">
      <alignment horizontal="center"/>
    </xf>
    <xf borderId="0" fillId="0" fontId="2" numFmtId="10" xfId="0" applyFont="1" applyNumberFormat="1"/>
    <xf borderId="0" fillId="2" fontId="2" numFmtId="4" xfId="0" applyAlignment="1" applyFont="1" applyNumberFormat="1">
      <alignment/>
    </xf>
    <xf borderId="6" fillId="8" fontId="11" numFmtId="164" xfId="0" applyAlignment="1" applyBorder="1" applyFill="1" applyFont="1" applyNumberFormat="1">
      <alignment horizontal="center"/>
    </xf>
    <xf borderId="2" fillId="0" fontId="6" numFmtId="164" xfId="0" applyAlignment="1" applyBorder="1" applyFont="1" applyNumberFormat="1">
      <alignment horizontal="center"/>
    </xf>
    <xf borderId="2" fillId="4" fontId="4" numFmtId="0" xfId="0" applyAlignment="1" applyBorder="1" applyFont="1">
      <alignment/>
    </xf>
    <xf borderId="2" fillId="6" fontId="2" numFmtId="10" xfId="0" applyAlignment="1" applyBorder="1" applyFont="1" applyNumberFormat="1">
      <alignment horizontal="center"/>
    </xf>
    <xf borderId="0" fillId="6" fontId="12" numFmtId="164" xfId="0" applyAlignment="1" applyFont="1" applyNumberFormat="1">
      <alignment horizontal="center"/>
    </xf>
    <xf borderId="2" fillId="6" fontId="10" numFmtId="10" xfId="0" applyAlignment="1" applyBorder="1" applyFont="1" applyNumberFormat="1">
      <alignment horizontal="center"/>
    </xf>
    <xf borderId="2" fillId="6" fontId="6" numFmtId="10" xfId="0" applyAlignment="1" applyBorder="1" applyFont="1" applyNumberFormat="1">
      <alignment horizontal="center"/>
    </xf>
    <xf borderId="0" fillId="2" fontId="13" numFmtId="0" xfId="0" applyAlignment="1" applyFont="1">
      <alignment/>
    </xf>
    <xf borderId="2" fillId="6" fontId="12" numFmtId="10" xfId="0" applyAlignment="1" applyBorder="1" applyFont="1" applyNumberFormat="1">
      <alignment horizontal="center"/>
    </xf>
    <xf borderId="2" fillId="6" fontId="14" numFmtId="10" xfId="0" applyAlignment="1" applyBorder="1" applyFont="1" applyNumberFormat="1">
      <alignment horizontal="center"/>
    </xf>
    <xf borderId="2" fillId="0" fontId="4" numFmtId="164" xfId="0" applyAlignment="1" applyBorder="1" applyFont="1" applyNumberFormat="1">
      <alignment horizontal="center"/>
    </xf>
    <xf borderId="2" fillId="4" fontId="11" numFmtId="10" xfId="0" applyAlignment="1" applyBorder="1" applyFont="1" applyNumberFormat="1">
      <alignment horizontal="center"/>
    </xf>
    <xf borderId="2" fillId="0" fontId="15" numFmtId="164" xfId="0" applyAlignment="1" applyBorder="1" applyFont="1" applyNumberFormat="1">
      <alignment horizontal="center"/>
    </xf>
    <xf borderId="2" fillId="4" fontId="6" numFmtId="0" xfId="0" applyAlignment="1" applyBorder="1" applyFont="1">
      <alignment horizontal="center"/>
    </xf>
    <xf borderId="2" fillId="2" fontId="16" numFmtId="4" xfId="0" applyAlignment="1" applyBorder="1" applyFont="1" applyNumberFormat="1">
      <alignment horizontal="center"/>
    </xf>
    <xf borderId="2" fillId="6" fontId="4" numFmtId="165" xfId="0" applyAlignment="1" applyBorder="1" applyFont="1" applyNumberFormat="1">
      <alignment horizontal="center"/>
    </xf>
    <xf borderId="2" fillId="2" fontId="10" numFmtId="10" xfId="0" applyAlignment="1" applyBorder="1" applyFont="1" applyNumberFormat="1">
      <alignment horizontal="center"/>
    </xf>
    <xf borderId="2" fillId="0" fontId="4" numFmtId="0" xfId="0" applyAlignment="1" applyBorder="1" applyFont="1">
      <alignment horizontal="center"/>
    </xf>
    <xf borderId="0" fillId="2" fontId="17" numFmtId="4" xfId="0" applyAlignment="1" applyFont="1" applyNumberFormat="1">
      <alignment horizontal="center"/>
    </xf>
    <xf borderId="2" fillId="2" fontId="4" numFmtId="10" xfId="0" applyAlignment="1" applyBorder="1" applyFont="1" applyNumberFormat="1">
      <alignment horizontal="center"/>
    </xf>
    <xf borderId="2" fillId="4" fontId="18" numFmtId="0" xfId="0" applyAlignment="1" applyBorder="1" applyFont="1">
      <alignment horizontal="center"/>
    </xf>
    <xf borderId="2" fillId="4" fontId="19" numFmtId="10" xfId="0" applyAlignment="1" applyBorder="1" applyFont="1" applyNumberFormat="1">
      <alignment horizontal="center"/>
    </xf>
    <xf borderId="2" fillId="4" fontId="10" numFmtId="10" xfId="0" applyAlignment="1" applyBorder="1" applyFont="1" applyNumberFormat="1">
      <alignment horizontal="center"/>
    </xf>
    <xf borderId="0" fillId="4" fontId="8" numFmtId="0" xfId="0" applyAlignment="1" applyFont="1">
      <alignment horizontal="left"/>
    </xf>
    <xf borderId="2" fillId="4" fontId="20" numFmtId="0" xfId="0" applyAlignment="1" applyBorder="1" applyFont="1">
      <alignment/>
    </xf>
    <xf borderId="6" fillId="2" fontId="6" numFmtId="10" xfId="0" applyAlignment="1" applyBorder="1" applyFont="1" applyNumberFormat="1">
      <alignment horizontal="center"/>
    </xf>
    <xf borderId="2" fillId="4" fontId="21" numFmtId="0" xfId="0" applyAlignment="1" applyBorder="1" applyFont="1">
      <alignment/>
    </xf>
    <xf borderId="6" fillId="0" fontId="6" numFmtId="10" xfId="0" applyAlignment="1" applyBorder="1" applyFont="1" applyNumberFormat="1">
      <alignment horizontal="center"/>
    </xf>
    <xf borderId="6" fillId="6" fontId="6" numFmtId="10" xfId="0" applyAlignment="1" applyBorder="1" applyFont="1" applyNumberFormat="1">
      <alignment horizontal="center"/>
    </xf>
    <xf borderId="6" fillId="0" fontId="6" numFmtId="164" xfId="0" applyAlignment="1" applyBorder="1" applyFont="1" applyNumberFormat="1">
      <alignment horizontal="center"/>
    </xf>
    <xf borderId="6" fillId="0" fontId="6" numFmtId="164" xfId="0" applyAlignment="1" applyBorder="1" applyFont="1" applyNumberFormat="1">
      <alignment horizontal="center"/>
    </xf>
    <xf borderId="2" fillId="4" fontId="22" numFmtId="0" xfId="0" applyAlignment="1" applyBorder="1" applyFont="1">
      <alignment horizontal="center"/>
    </xf>
    <xf borderId="2" fillId="4" fontId="21" numFmtId="10" xfId="0" applyAlignment="1" applyBorder="1" applyFont="1" applyNumberFormat="1">
      <alignment horizontal="center"/>
    </xf>
    <xf borderId="2" fillId="2" fontId="6" numFmtId="10" xfId="0" applyAlignment="1" applyBorder="1" applyFont="1" applyNumberFormat="1">
      <alignment horizontal="center"/>
    </xf>
    <xf borderId="2" fillId="4" fontId="20" numFmtId="10" xfId="0" applyAlignment="1" applyBorder="1" applyFont="1" applyNumberFormat="1">
      <alignment horizontal="center"/>
    </xf>
    <xf borderId="2" fillId="0" fontId="6" numFmtId="10" xfId="0" applyAlignment="1" applyBorder="1" applyFont="1" applyNumberFormat="1">
      <alignment horizontal="center"/>
    </xf>
    <xf borderId="2" fillId="4" fontId="19" numFmtId="10" xfId="0" applyAlignment="1" applyBorder="1" applyFont="1" applyNumberFormat="1">
      <alignment horizontal="center"/>
    </xf>
    <xf borderId="2" fillId="6" fontId="23" numFmtId="10" xfId="0" applyAlignment="1" applyBorder="1" applyFont="1" applyNumberFormat="1">
      <alignment horizontal="center"/>
    </xf>
    <xf borderId="2" fillId="4" fontId="6" numFmtId="10" xfId="0" applyAlignment="1" applyBorder="1" applyFont="1" applyNumberFormat="1">
      <alignment horizontal="center"/>
    </xf>
    <xf borderId="2" fillId="0" fontId="4" numFmtId="10" xfId="0" applyAlignment="1" applyBorder="1" applyFont="1" applyNumberFormat="1">
      <alignment horizontal="center"/>
    </xf>
    <xf borderId="2" fillId="6" fontId="2" numFmtId="10" xfId="0" applyAlignment="1" applyBorder="1" applyFont="1" applyNumberFormat="1">
      <alignment horizontal="center"/>
    </xf>
    <xf borderId="6" fillId="4" fontId="8" numFmtId="0" xfId="0" applyAlignment="1" applyBorder="1" applyFont="1">
      <alignment horizontal="left"/>
    </xf>
    <xf borderId="0" fillId="2" fontId="4" numFmtId="0" xfId="0" applyAlignment="1" applyFont="1">
      <alignment horizontal="center"/>
    </xf>
    <xf borderId="6" fillId="4" fontId="6" numFmtId="0" xfId="0" applyAlignment="1" applyBorder="1" applyFont="1">
      <alignment/>
    </xf>
    <xf borderId="6" fillId="6" fontId="6" numFmtId="0" xfId="0" applyAlignment="1" applyBorder="1" applyFont="1">
      <alignment horizontal="center"/>
    </xf>
    <xf borderId="2" fillId="4" fontId="19" numFmtId="0" xfId="0" applyAlignment="1" applyBorder="1" applyFont="1">
      <alignment horizontal="center"/>
    </xf>
    <xf borderId="6" fillId="2" fontId="6" numFmtId="165" xfId="0" applyAlignment="1" applyBorder="1" applyFont="1" applyNumberFormat="1">
      <alignment horizontal="center"/>
    </xf>
    <xf borderId="6" fillId="0" fontId="24" numFmtId="164" xfId="0" applyAlignment="1" applyBorder="1" applyFont="1" applyNumberFormat="1">
      <alignment horizontal="center"/>
    </xf>
    <xf borderId="2" fillId="4" fontId="2" numFmtId="0" xfId="0" applyAlignment="1" applyBorder="1" applyFont="1">
      <alignment horizontal="center"/>
    </xf>
    <xf borderId="6" fillId="0" fontId="6" numFmtId="0" xfId="0" applyAlignment="1" applyBorder="1" applyFont="1">
      <alignment horizontal="center"/>
    </xf>
    <xf borderId="2" fillId="4" fontId="2" numFmtId="10" xfId="0" applyAlignment="1" applyBorder="1" applyFont="1" applyNumberFormat="1">
      <alignment horizontal="center"/>
    </xf>
    <xf borderId="6" fillId="0" fontId="6" numFmtId="165" xfId="0" applyAlignment="1" applyBorder="1" applyFont="1" applyNumberFormat="1">
      <alignment horizontal="center"/>
    </xf>
    <xf borderId="6" fillId="0" fontId="2" numFmtId="4" xfId="0" applyAlignment="1" applyBorder="1" applyFont="1" applyNumberFormat="1">
      <alignment horizontal="center"/>
    </xf>
    <xf borderId="0" fillId="2" fontId="4" numFmtId="4" xfId="0" applyAlignment="1" applyFont="1" applyNumberFormat="1">
      <alignment horizontal="center"/>
    </xf>
    <xf borderId="6" fillId="0" fontId="2" numFmtId="10" xfId="0" applyAlignment="1" applyBorder="1" applyFont="1" applyNumberFormat="1">
      <alignment horizontal="center"/>
    </xf>
    <xf borderId="2" fillId="4" fontId="2" numFmtId="0" xfId="0" applyAlignment="1" applyBorder="1" applyFont="1">
      <alignment horizontal="center"/>
    </xf>
    <xf borderId="2" fillId="2" fontId="2" numFmtId="10" xfId="0" applyAlignment="1" applyBorder="1" applyFont="1" applyNumberFormat="1">
      <alignment horizontal="center"/>
    </xf>
    <xf borderId="2" fillId="0" fontId="11" numFmtId="164" xfId="0" applyAlignment="1" applyBorder="1" applyFont="1" applyNumberFormat="1">
      <alignment horizontal="center"/>
    </xf>
    <xf borderId="2" fillId="4" fontId="4" numFmtId="4" xfId="0" applyAlignment="1" applyBorder="1" applyFont="1" applyNumberFormat="1">
      <alignment horizontal="center"/>
    </xf>
    <xf borderId="2" fillId="2" fontId="10" numFmtId="10" xfId="0" applyAlignment="1" applyBorder="1" applyFont="1" applyNumberFormat="1">
      <alignment horizontal="center"/>
    </xf>
    <xf borderId="2" fillId="0" fontId="25" numFmtId="164" xfId="0" applyAlignment="1" applyBorder="1" applyFont="1" applyNumberFormat="1">
      <alignment horizontal="center"/>
    </xf>
    <xf borderId="2" fillId="0" fontId="2" numFmtId="10" xfId="0" applyAlignment="1" applyBorder="1" applyFont="1" applyNumberFormat="1">
      <alignment horizontal="center"/>
    </xf>
    <xf borderId="7" fillId="2" fontId="26" numFmtId="0" xfId="0" applyAlignment="1" applyBorder="1" applyFont="1">
      <alignment/>
    </xf>
    <xf borderId="8" fillId="2" fontId="26" numFmtId="0" xfId="0" applyBorder="1" applyFont="1"/>
    <xf borderId="9" fillId="2" fontId="26" numFmtId="0" xfId="0" applyBorder="1" applyFont="1"/>
    <xf borderId="0" fillId="2" fontId="26" numFmtId="0" xfId="0" applyFont="1"/>
    <xf borderId="0" fillId="2" fontId="27" numFmtId="0" xfId="0" applyFont="1"/>
    <xf borderId="2" fillId="2" fontId="6" numFmtId="10" xfId="0" applyAlignment="1" applyBorder="1" applyFont="1" applyNumberFormat="1">
      <alignment horizontal="center"/>
    </xf>
    <xf borderId="0" fillId="0" fontId="27" numFmtId="0" xfId="0" applyFont="1"/>
    <xf borderId="2" fillId="2" fontId="12" numFmtId="10" xfId="0" applyAlignment="1" applyBorder="1" applyFont="1" applyNumberFormat="1">
      <alignment horizontal="center"/>
    </xf>
    <xf borderId="10" fillId="2" fontId="26" numFmtId="0" xfId="0" applyAlignment="1" applyBorder="1" applyFont="1">
      <alignment/>
    </xf>
    <xf borderId="11" fillId="2" fontId="26" numFmtId="0" xfId="0" applyBorder="1" applyFont="1"/>
    <xf borderId="10" fillId="2" fontId="6" numFmtId="0" xfId="0" applyAlignment="1" applyBorder="1" applyFont="1">
      <alignment/>
    </xf>
    <xf borderId="11" fillId="2" fontId="6" numFmtId="0" xfId="0" applyBorder="1" applyFont="1"/>
    <xf borderId="2" fillId="2" fontId="14" numFmtId="10" xfId="0" applyAlignment="1" applyBorder="1" applyFont="1" applyNumberFormat="1">
      <alignment horizontal="center"/>
    </xf>
    <xf borderId="2" fillId="2" fontId="4" numFmtId="10" xfId="0" applyAlignment="1" applyBorder="1" applyFont="1" applyNumberFormat="1">
      <alignment horizontal="center"/>
    </xf>
    <xf borderId="12" fillId="2" fontId="6" numFmtId="0" xfId="0" applyAlignment="1" applyBorder="1" applyFont="1">
      <alignment/>
    </xf>
    <xf borderId="13" fillId="2" fontId="6" numFmtId="0" xfId="0" applyBorder="1" applyFont="1"/>
    <xf borderId="14" fillId="2" fontId="6" numFmtId="0" xfId="0" applyBorder="1" applyFont="1"/>
    <xf borderId="0" fillId="4" fontId="4" numFmtId="0" xfId="0" applyAlignment="1" applyFont="1">
      <alignment/>
    </xf>
    <xf borderId="0" fillId="0" fontId="2" numFmtId="0" xfId="0" applyAlignment="1" applyFont="1">
      <alignment/>
    </xf>
    <xf borderId="4" fillId="3" fontId="2" numFmtId="0" xfId="0" applyBorder="1" applyFont="1"/>
    <xf borderId="5" fillId="3" fontId="2" numFmtId="0" xfId="0" applyBorder="1" applyFont="1"/>
    <xf borderId="15" fillId="4" fontId="5" numFmtId="0" xfId="0" applyAlignment="1" applyBorder="1" applyFont="1">
      <alignment horizontal="center"/>
    </xf>
    <xf borderId="5" fillId="2" fontId="10" numFmtId="10" xfId="0" applyAlignment="1" applyBorder="1" applyFont="1" applyNumberFormat="1">
      <alignment horizontal="center"/>
    </xf>
    <xf borderId="2" fillId="2" fontId="17" numFmtId="4" xfId="0" applyAlignment="1" applyBorder="1" applyFont="1" applyNumberFormat="1">
      <alignment horizontal="center"/>
    </xf>
    <xf borderId="2" fillId="4" fontId="19" numFmtId="0" xfId="0" applyAlignment="1" applyBorder="1" applyFont="1">
      <alignment horizontal="center"/>
    </xf>
    <xf borderId="5" fillId="4" fontId="19" numFmtId="10" xfId="0" applyAlignment="1" applyBorder="1" applyFont="1" applyNumberFormat="1">
      <alignment horizontal="center"/>
    </xf>
  </cellXfs>
  <cellStyles count="1">
    <cellStyle xfId="0" name="Normal" builtinId="0"/>
  </cellStyles>
  <dxfs count="5">
    <dxf>
      <font>
        <color rgb="FF000000"/>
      </font>
      <fill>
        <patternFill patternType="solid">
          <fgColor rgb="FFEA9999"/>
          <bgColor rgb="FFEA9999"/>
        </patternFill>
      </fill>
      <alignment/>
      <border>
        <left/>
        <right/>
        <top/>
        <bottom/>
      </border>
    </dxf>
    <dxf>
      <font/>
      <fill>
        <patternFill patternType="solid">
          <fgColor rgb="FFEA9999"/>
          <bgColor rgb="FFEA9999"/>
        </patternFill>
      </fill>
      <alignment/>
      <border>
        <left/>
        <right/>
        <top/>
        <bottom/>
      </border>
    </dxf>
    <dxf>
      <font/>
      <fill>
        <patternFill patternType="solid">
          <fgColor rgb="FFB7E1CD"/>
          <bgColor rgb="FFB7E1CD"/>
        </patternFill>
      </fill>
      <alignment/>
      <border>
        <left/>
        <right/>
        <top/>
        <bottom/>
      </border>
    </dxf>
    <dxf>
      <font>
        <color rgb="FF000000"/>
      </font>
      <fill>
        <patternFill patternType="solid">
          <fgColor rgb="FFB7E1CD"/>
          <bgColor rgb="FFB7E1CD"/>
        </patternFill>
      </fill>
      <alignment/>
      <border>
        <left/>
        <right/>
        <top/>
        <bottom/>
      </border>
    </dxf>
    <dxf>
      <font/>
      <fill>
        <patternFill patternType="solid">
          <fgColor rgb="FFF4C7C3"/>
          <bgColor rgb="FFF4C7C3"/>
        </patternFill>
      </fill>
      <alignment/>
      <border>
        <left/>
        <right/>
        <top/>
        <bottom/>
      </border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600">
                <a:solidFill>
                  <a:srgbClr val="000000"/>
                </a:solidFill>
              </a:defRPr>
            </a:pPr>
            <a:r>
              <a:t>Total Price Paid and Current Market Value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tx>
            <c:strRef>
              <c:f>'Market Value'!$B$18</c:f>
            </c:strRef>
          </c:tx>
          <c:spPr>
            <a:solidFill>
              <a:srgbClr val="6D9EEB"/>
            </a:solidFill>
          </c:spPr>
          <c:cat>
            <c:strRef>
              <c:f>'Market Value'!$A$19:$A$22</c:f>
            </c:strRef>
          </c:cat>
          <c:val>
            <c:numRef>
              <c:f>'Market Value'!$B$19:$B$22</c:f>
            </c:numRef>
          </c:val>
        </c:ser>
        <c:ser>
          <c:idx val="1"/>
          <c:order val="1"/>
          <c:tx>
            <c:strRef>
              <c:f>'Market Value'!$C$18</c:f>
            </c:strRef>
          </c:tx>
          <c:spPr>
            <a:solidFill>
              <a:srgbClr val="93C47D"/>
            </a:solidFill>
          </c:spPr>
          <c:cat>
            <c:strRef>
              <c:f>'Market Value'!$A$19:$A$22</c:f>
            </c:strRef>
          </c:cat>
          <c:val>
            <c:numRef>
              <c:f>'Market Value'!$C$19:$C$22</c:f>
            </c:numRef>
          </c:val>
        </c:ser>
        <c:axId val="180100319"/>
        <c:axId val="1207668907"/>
      </c:barChart>
      <c:catAx>
        <c:axId val="180100319"/>
        <c:scaling>
          <c:orientation val="maxMin"/>
        </c:scaling>
        <c:delete val="0"/>
        <c:axPos val="l"/>
        <c:txPr>
          <a:bodyPr/>
          <a:lstStyle/>
          <a:p>
            <a:pPr lvl="0">
              <a:defRPr/>
            </a:pPr>
          </a:p>
        </c:txPr>
        <c:crossAx val="1207668907"/>
      </c:catAx>
      <c:valAx>
        <c:axId val="1207668907"/>
        <c:scaling>
          <c:orientation val="minMax"/>
          <c:max val="13500.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</a:p>
        </c:txPr>
        <c:crossAx val="180100319"/>
        <c:crosses val="max"/>
      </c:valAx>
    </c:plotArea>
    <c:legend>
      <c:legendPos val="b"/>
      <c:overlay val="0"/>
    </c:legend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600">
                <a:solidFill>
                  <a:srgbClr val="000000"/>
                </a:solidFill>
              </a:defRPr>
            </a:pPr>
            <a:r>
              <a:t>Market Cap. Allocation</a:t>
            </a:r>
          </a:p>
        </c:rich>
      </c:tx>
      <c:overlay val="0"/>
    </c:title>
    <c:plotArea>
      <c:layout/>
      <c:barChart>
        <c:barDir val="bar"/>
        <c:grouping val="stacked"/>
        <c:ser>
          <c:idx val="0"/>
          <c:order val="0"/>
          <c:tx>
            <c:strRef>
              <c:f>'Market Cap'!$A$34</c:f>
            </c:strRef>
          </c:tx>
          <c:spPr>
            <a:solidFill>
              <a:srgbClr val="3366CC"/>
            </a:solidFill>
          </c:spPr>
          <c:cat>
            <c:strRef>
              <c:f>'Market Cap'!$B$33:$F$33</c:f>
            </c:strRef>
          </c:cat>
          <c:val>
            <c:numRef>
              <c:f>'Market Cap'!$B$34:$F$34</c:f>
            </c:numRef>
          </c:val>
        </c:ser>
        <c:ser>
          <c:idx val="1"/>
          <c:order val="1"/>
          <c:tx>
            <c:strRef>
              <c:f>'Market Cap'!$A$35</c:f>
            </c:strRef>
          </c:tx>
          <c:spPr>
            <a:solidFill>
              <a:srgbClr val="DC3912"/>
            </a:solidFill>
          </c:spPr>
          <c:cat>
            <c:strRef>
              <c:f>'Market Cap'!$B$33:$F$33</c:f>
            </c:strRef>
          </c:cat>
          <c:val>
            <c:numRef>
              <c:f>'Market Cap'!$B$35:$F$35</c:f>
            </c:numRef>
          </c:val>
        </c:ser>
        <c:ser>
          <c:idx val="2"/>
          <c:order val="2"/>
          <c:tx>
            <c:strRef>
              <c:f>'Market Cap'!$A$36</c:f>
            </c:strRef>
          </c:tx>
          <c:spPr>
            <a:solidFill>
              <a:srgbClr val="FF9900"/>
            </a:solidFill>
          </c:spPr>
          <c:cat>
            <c:strRef>
              <c:f>'Market Cap'!$B$33:$F$33</c:f>
            </c:strRef>
          </c:cat>
          <c:val>
            <c:numRef>
              <c:f>'Market Cap'!$B$36:$F$36</c:f>
            </c:numRef>
          </c:val>
        </c:ser>
        <c:ser>
          <c:idx val="3"/>
          <c:order val="3"/>
          <c:tx>
            <c:strRef>
              <c:f>'Market Cap'!$A$37</c:f>
            </c:strRef>
          </c:tx>
          <c:spPr>
            <a:solidFill>
              <a:srgbClr val="109618"/>
            </a:solidFill>
          </c:spPr>
          <c:cat>
            <c:strRef>
              <c:f>'Market Cap'!$B$33:$F$33</c:f>
            </c:strRef>
          </c:cat>
          <c:val>
            <c:numRef>
              <c:f>'Market Cap'!$B$37:$F$37</c:f>
            </c:numRef>
          </c:val>
        </c:ser>
        <c:ser>
          <c:idx val="4"/>
          <c:order val="4"/>
          <c:tx>
            <c:strRef>
              <c:f>'Market Cap'!$A$38</c:f>
            </c:strRef>
          </c:tx>
          <c:spPr>
            <a:solidFill>
              <a:srgbClr val="990099"/>
            </a:solidFill>
          </c:spPr>
          <c:cat>
            <c:strRef>
              <c:f>'Market Cap'!$B$33:$F$33</c:f>
            </c:strRef>
          </c:cat>
          <c:val>
            <c:numRef>
              <c:f>'Market Cap'!$B$38:$F$38</c:f>
            </c:numRef>
          </c:val>
        </c:ser>
        <c:overlap val="100"/>
        <c:axId val="1671616041"/>
        <c:axId val="1992592051"/>
      </c:barChart>
      <c:catAx>
        <c:axId val="1671616041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/>
                </a:pPr>
                <a:r>
                  <a:t>Fund Ticker</a:t>
                </a:r>
              </a:p>
            </c:rich>
          </c:tx>
          <c:overlay val="0"/>
        </c:title>
        <c:txPr>
          <a:bodyPr/>
          <a:lstStyle/>
          <a:p>
            <a:pPr lvl="0">
              <a:defRPr/>
            </a:pPr>
          </a:p>
        </c:txPr>
        <c:crossAx val="1992592051"/>
      </c:catAx>
      <c:valAx>
        <c:axId val="1992592051"/>
        <c:scaling>
          <c:orientation val="minMax"/>
          <c:max val="0.9"/>
          <c:min val="0.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</a:p>
        </c:txPr>
        <c:crossAx val="1671616041"/>
        <c:crosses val="max"/>
      </c:valAx>
    </c:plotArea>
    <c:legend>
      <c:legendPos val="r"/>
      <c:overlay val="0"/>
    </c:legend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600">
                <a:solidFill>
                  <a:srgbClr val="000000"/>
                </a:solidFill>
              </a:defRPr>
            </a:pPr>
            <a:r>
              <a:t>Market Cap Graph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'Market Cap'!$B$44</c:f>
            </c:strRef>
          </c:tx>
          <c:spPr>
            <a:solidFill>
              <a:srgbClr val="3366CC"/>
            </a:solidFill>
          </c:spPr>
          <c:cat>
            <c:strRef>
              <c:f>'Market Cap'!$A$45:$A$48</c:f>
            </c:strRef>
          </c:cat>
          <c:val>
            <c:numRef>
              <c:f>'Market Cap'!$B$45:$B$48</c:f>
            </c:numRef>
          </c:val>
        </c:ser>
        <c:ser>
          <c:idx val="1"/>
          <c:order val="1"/>
          <c:tx>
            <c:strRef>
              <c:f>'Market Cap'!$C$44</c:f>
            </c:strRef>
          </c:tx>
          <c:spPr>
            <a:solidFill>
              <a:srgbClr val="DC3912"/>
            </a:solidFill>
          </c:spPr>
          <c:cat>
            <c:strRef>
              <c:f>'Market Cap'!$A$45:$A$48</c:f>
            </c:strRef>
          </c:cat>
          <c:val>
            <c:numRef>
              <c:f>'Market Cap'!$C$45:$C$48</c:f>
            </c:numRef>
          </c:val>
        </c:ser>
        <c:ser>
          <c:idx val="2"/>
          <c:order val="2"/>
          <c:tx>
            <c:strRef>
              <c:f>'Market Cap'!$D$44</c:f>
            </c:strRef>
          </c:tx>
          <c:spPr>
            <a:solidFill>
              <a:srgbClr val="FF9900"/>
            </a:solidFill>
          </c:spPr>
          <c:cat>
            <c:strRef>
              <c:f>'Market Cap'!$A$45:$A$48</c:f>
            </c:strRef>
          </c:cat>
          <c:val>
            <c:numRef>
              <c:f>'Market Cap'!$D$45:$D$48</c:f>
            </c:numRef>
          </c:val>
        </c:ser>
        <c:axId val="476483489"/>
        <c:axId val="1709662644"/>
      </c:barChart>
      <c:catAx>
        <c:axId val="47648348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/>
                </a:pPr>
                <a:r>
                  <a:t>Market Cap.</a:t>
                </a:r>
              </a:p>
            </c:rich>
          </c:tx>
          <c:overlay val="0"/>
        </c:title>
        <c:txPr>
          <a:bodyPr/>
          <a:lstStyle/>
          <a:p>
            <a:pPr lvl="0">
              <a:defRPr/>
            </a:pPr>
          </a:p>
        </c:txPr>
        <c:crossAx val="1709662644"/>
      </c:catAx>
      <c:valAx>
        <c:axId val="1709662644"/>
        <c:scaling>
          <c:orientation val="minMax"/>
          <c:max val="0.3"/>
          <c:min val="0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</a:p>
        </c:txPr>
        <c:crossAx val="476483489"/>
      </c:valAx>
    </c:plotArea>
    <c:legend>
      <c:legendPos val="r"/>
      <c:overlay val="0"/>
    </c:legend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0</xdr:col>
      <xdr:colOff>0</xdr:colOff>
      <xdr:row>64</xdr:row>
      <xdr:rowOff>57150</xdr:rowOff>
    </xdr:from>
    <xdr:to>
      <xdr:col>6</xdr:col>
      <xdr:colOff>619125</xdr:colOff>
      <xdr:row>79</xdr:row>
      <xdr:rowOff>47625</xdr:rowOff>
    </xdr:to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0</xdr:col>
      <xdr:colOff>0</xdr:colOff>
      <xdr:row>50</xdr:row>
      <xdr:rowOff>0</xdr:rowOff>
    </xdr:from>
    <xdr:to>
      <xdr:col>7</xdr:col>
      <xdr:colOff>942975</xdr:colOff>
      <xdr:row>61</xdr:row>
      <xdr:rowOff>190500</xdr:rowOff>
    </xdr:to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twoCellAnchor>
  <xdr:twoCellAnchor>
    <xdr:from>
      <xdr:col>0</xdr:col>
      <xdr:colOff>0</xdr:colOff>
      <xdr:row>62</xdr:row>
      <xdr:rowOff>0</xdr:rowOff>
    </xdr:from>
    <xdr:to>
      <xdr:col>7</xdr:col>
      <xdr:colOff>942975</xdr:colOff>
      <xdr:row>75</xdr:row>
      <xdr:rowOff>9525</xdr:rowOff>
    </xdr:to>
    <xdr:graphicFrame>
      <xdr:nvGraphicFramePr>
        <xdr:cNvPr id="3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showGridLines="0" workbookViewId="0"/>
  </sheetViews>
  <sheetFormatPr customHeight="1" defaultColWidth="14.43" defaultRowHeight="15.75"/>
  <cols>
    <col customWidth="1" min="1" max="1" width="23.71"/>
    <col customWidth="1" min="2" max="2" width="15.29"/>
    <col customWidth="1" min="3" max="3" width="24.57"/>
    <col customWidth="1" min="4" max="4" width="15.29"/>
    <col customWidth="1" min="5" max="5" width="19.57"/>
    <col customWidth="1" min="6" max="6" width="19.0"/>
    <col customWidth="1" min="7" max="7" width="11.14"/>
    <col customWidth="1" min="8" max="8" width="12.71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tr">
        <f>TODAY()</f>
        <v>9/26/2016</v>
      </c>
      <c r="B2" s="2"/>
      <c r="C2" s="4"/>
      <c r="D2" s="4"/>
      <c r="E2" s="2"/>
      <c r="F2" s="2"/>
      <c r="G2" s="2"/>
      <c r="H2" s="2"/>
      <c r="I2" s="2"/>
      <c r="J2" s="2"/>
      <c r="K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>
      <c r="A4" s="5" t="s">
        <v>1</v>
      </c>
      <c r="B4" s="6"/>
      <c r="C4" s="7" t="s">
        <v>2</v>
      </c>
      <c r="J4" s="2"/>
      <c r="K4" s="2"/>
    </row>
    <row r="5">
      <c r="A5" s="8" t="s">
        <v>3</v>
      </c>
      <c r="B5" s="9" t="s">
        <v>4</v>
      </c>
      <c r="C5" s="9" t="s">
        <v>5</v>
      </c>
      <c r="J5" s="2"/>
      <c r="K5" s="2"/>
    </row>
    <row r="6">
      <c r="A6" s="10" t="s">
        <v>6</v>
      </c>
      <c r="B6" s="11" t="str">
        <f>IFERROR(__xludf.DUMMYFUNCTION("GoogleFinance(""vwo"")"),"$37.24")</f>
        <v>$37.24</v>
      </c>
      <c r="C6" s="12" t="str">
        <f>IFERROR(__xludf.DUMMYFUNCTION("GoogleFinance(""vwo"", ""low52"")"),"$27.98")</f>
        <v>$27.98</v>
      </c>
      <c r="J6" s="2"/>
      <c r="K6" s="2"/>
    </row>
    <row r="7">
      <c r="A7" s="10" t="s">
        <v>7</v>
      </c>
      <c r="B7" s="12" t="str">
        <f>IFERROR(__xludf.DUMMYFUNCTION("GoogleFinance(""vbr"")"),"$109.65")</f>
        <v>$109.65</v>
      </c>
      <c r="C7" s="12" t="str">
        <f>IFERROR(__xludf.DUMMYFUNCTION("GoogleFinance(""vbr"", ""low52"")"),"$84.84")</f>
        <v>$84.84</v>
      </c>
      <c r="J7" s="2"/>
      <c r="K7" s="2"/>
    </row>
    <row r="8">
      <c r="A8" s="10" t="s">
        <v>8</v>
      </c>
      <c r="B8" s="12" t="str">
        <f>IFERROR(__xludf.DUMMYFUNCTION("GoogleFinance(""vtsax"")"),"$54.11")</f>
        <v>$54.11</v>
      </c>
      <c r="C8" s="13" t="s">
        <v>9</v>
      </c>
      <c r="J8" s="2"/>
      <c r="K8" s="2"/>
    </row>
    <row r="9">
      <c r="A9" s="14" t="s">
        <v>10</v>
      </c>
      <c r="B9" s="15"/>
      <c r="C9" s="15"/>
      <c r="D9" s="15"/>
      <c r="E9" s="15"/>
      <c r="F9" s="15"/>
      <c r="G9" s="15"/>
      <c r="H9" s="2"/>
      <c r="I9" s="2"/>
      <c r="J9" s="2"/>
      <c r="K9" s="2"/>
    </row>
    <row r="10">
      <c r="A10" s="14"/>
      <c r="B10" s="15"/>
      <c r="C10" s="15"/>
      <c r="D10" s="15"/>
      <c r="E10" s="15"/>
      <c r="F10" s="15"/>
      <c r="G10" s="15"/>
      <c r="H10" s="2"/>
      <c r="I10" s="2"/>
      <c r="J10" s="2"/>
      <c r="K10" s="2"/>
    </row>
    <row r="11">
      <c r="A11" s="16" t="s">
        <v>11</v>
      </c>
      <c r="B11" s="17"/>
      <c r="C11" s="18"/>
      <c r="D11" s="19"/>
      <c r="E11" s="19"/>
      <c r="F11" s="19"/>
      <c r="G11" s="15"/>
      <c r="H11" s="2"/>
      <c r="I11" s="2"/>
      <c r="J11" s="2"/>
      <c r="K11" s="2"/>
    </row>
    <row r="12">
      <c r="A12" s="20" t="s">
        <v>12</v>
      </c>
      <c r="B12" s="20" t="s">
        <v>12</v>
      </c>
      <c r="C12" s="20" t="s">
        <v>12</v>
      </c>
      <c r="D12" s="19"/>
      <c r="F12" s="19"/>
      <c r="G12" s="15"/>
      <c r="H12" s="2"/>
      <c r="I12" s="2"/>
      <c r="J12" s="2"/>
      <c r="K12" s="2"/>
    </row>
    <row r="13">
      <c r="A13" s="21" t="s">
        <v>13</v>
      </c>
      <c r="B13" s="21" t="s">
        <v>14</v>
      </c>
      <c r="C13" s="21" t="s">
        <v>15</v>
      </c>
      <c r="G13" s="15"/>
      <c r="H13" s="2"/>
      <c r="I13" s="2"/>
      <c r="J13" s="2"/>
      <c r="K13" s="2"/>
    </row>
    <row r="14">
      <c r="A14" s="22" t="str">
        <f>IFERROR(__xludf.DUMMYFUNCTION("GOOGLEFINANCE(""VWO"", ""closeyest"")"),"37.69")</f>
        <v>37.69</v>
      </c>
      <c r="B14" s="23" t="str">
        <f>IFERROR(__xludf.DUMMYFUNCTION("GOOGLEFINANCE(""VBR"", ""closeyest"")"),"110.25")</f>
        <v>110.25</v>
      </c>
      <c r="C14" s="23" t="str">
        <f>IFERROR(__xludf.DUMMYFUNCTION("INDEX(GOOGLEFINANCE(""VTSAX"",""price"",date(2016,8,9)),2,2)
"),"#REF!")</f>
        <v>#REF!</v>
      </c>
      <c r="G14" s="15"/>
      <c r="H14" s="2"/>
      <c r="I14" s="2"/>
      <c r="J14" s="2"/>
      <c r="K14" s="2"/>
    </row>
    <row r="15">
      <c r="A15" s="26" t="s">
        <v>16</v>
      </c>
      <c r="B15" s="15"/>
      <c r="C15" s="15"/>
      <c r="D15" s="15"/>
      <c r="E15" s="2"/>
      <c r="F15" s="2"/>
      <c r="G15" s="15"/>
      <c r="H15" s="2"/>
      <c r="I15" s="2"/>
      <c r="J15" s="2"/>
      <c r="K15" s="2"/>
    </row>
    <row r="16">
      <c r="A16" s="26"/>
      <c r="B16" s="15"/>
      <c r="C16" s="15"/>
      <c r="D16" s="15"/>
      <c r="E16" s="2"/>
      <c r="F16" s="2"/>
      <c r="G16" s="15"/>
      <c r="H16" s="2"/>
      <c r="I16" s="2"/>
      <c r="J16" s="2"/>
      <c r="K16" s="2"/>
    </row>
    <row r="17">
      <c r="A17" s="28" t="s">
        <v>17</v>
      </c>
      <c r="B17" s="29"/>
      <c r="C17" s="29"/>
      <c r="D17" s="29"/>
      <c r="E17" s="29"/>
      <c r="F17" s="31"/>
      <c r="G17" s="15"/>
      <c r="H17" s="2"/>
      <c r="I17" s="2"/>
      <c r="J17" s="2"/>
      <c r="K17" s="2"/>
    </row>
    <row r="18">
      <c r="A18" s="8" t="s">
        <v>19</v>
      </c>
      <c r="B18" s="9" t="s">
        <v>20</v>
      </c>
      <c r="C18" s="9" t="s">
        <v>21</v>
      </c>
      <c r="D18" s="9" t="s">
        <v>22</v>
      </c>
      <c r="E18" s="9" t="s">
        <v>23</v>
      </c>
      <c r="F18" s="9" t="s">
        <v>24</v>
      </c>
      <c r="G18" s="15"/>
      <c r="H18" s="2"/>
      <c r="I18" s="2"/>
      <c r="J18" s="2"/>
      <c r="K18" s="2"/>
    </row>
    <row r="19">
      <c r="A19" s="32" t="s">
        <v>25</v>
      </c>
      <c r="B19" s="34">
        <v>2362.85</v>
      </c>
      <c r="C19" s="12" t="str">
        <f>B19*F19</f>
        <v>$2,362.85</v>
      </c>
      <c r="D19" s="37"/>
      <c r="E19" s="39" t="s">
        <v>32</v>
      </c>
      <c r="F19" s="42">
        <v>1.0</v>
      </c>
      <c r="G19" s="15"/>
      <c r="H19" s="2"/>
      <c r="I19" s="2"/>
      <c r="J19" s="2"/>
      <c r="K19" s="2"/>
      <c r="L19" s="44"/>
    </row>
    <row r="20">
      <c r="A20" s="32" t="s">
        <v>13</v>
      </c>
      <c r="B20" s="34">
        <v>4476.66</v>
      </c>
      <c r="C20" s="12" t="str">
        <f t="shared" ref="C20:C22" si="1">B6*E20</f>
        <v>$4,780.57</v>
      </c>
      <c r="D20" s="37" t="str">
        <f t="shared" ref="D20:D23" si="2">C20-B20</f>
        <v>$303.91</v>
      </c>
      <c r="E20" s="39">
        <v>128.372</v>
      </c>
      <c r="F20" s="46" t="str">
        <f t="shared" ref="F20:F22" si="3">B20/E20</f>
        <v>$34.87</v>
      </c>
      <c r="G20" s="15"/>
      <c r="H20" s="2"/>
      <c r="I20" s="2"/>
      <c r="J20" s="2"/>
      <c r="K20" s="2"/>
      <c r="L20" s="44"/>
    </row>
    <row r="21">
      <c r="A21" s="32" t="s">
        <v>14</v>
      </c>
      <c r="B21" s="49">
        <v>3923.29</v>
      </c>
      <c r="C21" s="12" t="str">
        <f t="shared" si="1"/>
        <v>$4,248.39</v>
      </c>
      <c r="D21" s="37" t="str">
        <f t="shared" si="2"/>
        <v>$325.10</v>
      </c>
      <c r="E21" s="39">
        <v>38.745</v>
      </c>
      <c r="F21" s="46" t="str">
        <f t="shared" si="3"/>
        <v>$101.26</v>
      </c>
      <c r="G21" s="15"/>
      <c r="H21" s="2"/>
      <c r="I21" s="2"/>
      <c r="J21" s="2"/>
      <c r="K21" s="2"/>
    </row>
    <row r="22">
      <c r="A22" s="32" t="s">
        <v>34</v>
      </c>
      <c r="B22" s="34">
        <v>12694.24</v>
      </c>
      <c r="C22" s="12" t="str">
        <f t="shared" si="1"/>
        <v>$13,949.83</v>
      </c>
      <c r="D22" s="37" t="str">
        <f t="shared" si="2"/>
        <v>$1,255.59</v>
      </c>
      <c r="E22" s="39">
        <v>257.805</v>
      </c>
      <c r="F22" s="46" t="str">
        <f t="shared" si="3"/>
        <v>$49.24</v>
      </c>
      <c r="G22" s="15"/>
      <c r="H22" s="2"/>
      <c r="I22" s="2"/>
      <c r="J22" s="2"/>
      <c r="K22" s="2"/>
      <c r="L22" s="52"/>
    </row>
    <row r="23">
      <c r="A23" s="47" t="s">
        <v>35</v>
      </c>
      <c r="B23" s="55" t="str">
        <f t="shared" ref="B23:C23" si="4">Sum(B19:B22)</f>
        <v>$23,457.04</v>
      </c>
      <c r="C23" s="55" t="str">
        <f t="shared" si="4"/>
        <v>$25,341.64</v>
      </c>
      <c r="D23" s="57" t="str">
        <f t="shared" si="2"/>
        <v>$1,884.60</v>
      </c>
      <c r="E23" s="58"/>
      <c r="F23" s="58"/>
      <c r="G23" s="15"/>
      <c r="H23" s="2"/>
      <c r="I23" s="2"/>
      <c r="J23" s="2"/>
      <c r="K23" s="2"/>
    </row>
    <row r="24">
      <c r="A24" s="47" t="s">
        <v>45</v>
      </c>
      <c r="B24" s="60">
        <v>22317.94</v>
      </c>
      <c r="C24" s="62"/>
      <c r="D24" s="57" t="str">
        <f>C23-B24</f>
        <v>$3,023.70</v>
      </c>
      <c r="E24" s="58"/>
      <c r="F24" s="58"/>
      <c r="G24" s="15"/>
      <c r="H24" s="2"/>
      <c r="I24" s="2"/>
      <c r="J24" s="2"/>
      <c r="K24" s="2"/>
    </row>
    <row r="25">
      <c r="A25" s="47" t="s">
        <v>47</v>
      </c>
      <c r="B25" s="58"/>
      <c r="C25" s="58"/>
      <c r="D25" s="64" t="str">
        <f>(D24/B24)</f>
        <v>13.55%</v>
      </c>
      <c r="E25" s="58"/>
      <c r="F25" s="32"/>
      <c r="G25" s="15"/>
      <c r="H25" s="2"/>
      <c r="I25" s="2"/>
      <c r="J25" s="2"/>
      <c r="K25" s="2"/>
    </row>
    <row r="26">
      <c r="A26" s="14" t="s">
        <v>49</v>
      </c>
      <c r="B26" s="15"/>
      <c r="C26" s="15"/>
      <c r="D26" s="15"/>
      <c r="E26" s="15"/>
      <c r="F26" s="15"/>
      <c r="G26" s="15"/>
      <c r="H26" s="2"/>
      <c r="I26" s="2"/>
      <c r="J26" s="2"/>
      <c r="K26" s="2"/>
    </row>
    <row r="27">
      <c r="A27" s="14"/>
      <c r="B27" s="15"/>
      <c r="C27" s="15"/>
      <c r="D27" s="15"/>
      <c r="E27" s="15"/>
      <c r="F27" s="15"/>
      <c r="G27" s="15"/>
      <c r="H27" s="2"/>
      <c r="I27" s="2"/>
      <c r="J27" s="2"/>
      <c r="K27" s="2"/>
    </row>
    <row r="28">
      <c r="A28" s="28" t="s">
        <v>50</v>
      </c>
      <c r="B28" s="31"/>
      <c r="C28" s="15"/>
      <c r="D28" s="15"/>
      <c r="E28" s="15"/>
      <c r="F28" s="15"/>
      <c r="G28" s="15"/>
      <c r="H28" s="2"/>
      <c r="I28" s="2"/>
      <c r="J28" s="2"/>
      <c r="K28" s="2"/>
    </row>
    <row r="29">
      <c r="A29" s="32" t="s">
        <v>51</v>
      </c>
      <c r="B29" s="46" t="str">
        <f>C23</f>
        <v>$25,341.64</v>
      </c>
      <c r="C29" s="15"/>
      <c r="D29" s="15"/>
      <c r="E29" s="15"/>
      <c r="F29" s="15"/>
      <c r="G29" s="15"/>
      <c r="H29" s="2"/>
      <c r="I29" s="2"/>
      <c r="J29" s="2"/>
      <c r="K29" s="2"/>
    </row>
    <row r="30">
      <c r="A30" s="32" t="s">
        <v>52</v>
      </c>
      <c r="B30" s="34">
        <v>0.0</v>
      </c>
      <c r="C30" s="15"/>
      <c r="D30" s="15"/>
      <c r="E30" s="15"/>
      <c r="F30" s="15"/>
      <c r="G30" s="15"/>
      <c r="H30" s="2"/>
      <c r="I30" s="2"/>
      <c r="J30" s="2"/>
      <c r="K30" s="2"/>
    </row>
    <row r="31">
      <c r="A31" s="47" t="s">
        <v>53</v>
      </c>
      <c r="B31" s="55" t="str">
        <f>Sum(B29:B30)</f>
        <v>$25,341.64</v>
      </c>
      <c r="C31" s="15"/>
      <c r="D31" s="15"/>
      <c r="E31" s="15"/>
      <c r="F31" s="15"/>
      <c r="G31" s="15"/>
      <c r="H31" s="2"/>
      <c r="I31" s="2"/>
      <c r="J31" s="2"/>
      <c r="K31" s="2"/>
    </row>
    <row r="32">
      <c r="A32" s="27"/>
      <c r="B32" s="15"/>
      <c r="C32" s="15"/>
      <c r="D32" s="15"/>
      <c r="E32" s="15"/>
      <c r="F32" s="15"/>
      <c r="G32" s="15"/>
      <c r="H32" s="2"/>
      <c r="I32" s="2"/>
      <c r="J32" s="2"/>
      <c r="K32" s="2"/>
    </row>
    <row r="33">
      <c r="A33" s="27"/>
      <c r="B33" s="15"/>
      <c r="C33" s="15"/>
      <c r="D33" s="15"/>
      <c r="E33" s="15"/>
      <c r="F33" s="15"/>
      <c r="G33" s="15"/>
      <c r="H33" s="2"/>
      <c r="I33" s="2"/>
      <c r="J33" s="2"/>
      <c r="K33" s="2"/>
    </row>
    <row r="34">
      <c r="A34" s="28" t="s">
        <v>54</v>
      </c>
      <c r="B34" s="29"/>
      <c r="C34" s="29"/>
      <c r="D34" s="29"/>
      <c r="E34" s="29"/>
      <c r="F34" s="31"/>
      <c r="G34" s="15"/>
      <c r="H34" s="2"/>
      <c r="I34" s="2"/>
      <c r="J34" s="2"/>
      <c r="K34" s="2"/>
    </row>
    <row r="35">
      <c r="A35" s="68" t="s">
        <v>19</v>
      </c>
      <c r="B35" s="35" t="s">
        <v>55</v>
      </c>
      <c r="C35" s="35" t="s">
        <v>56</v>
      </c>
      <c r="D35" s="35" t="s">
        <v>57</v>
      </c>
      <c r="E35" s="35" t="s">
        <v>58</v>
      </c>
      <c r="F35" s="35" t="s">
        <v>59</v>
      </c>
      <c r="G35" s="2"/>
      <c r="H35" s="2"/>
      <c r="I35" s="2"/>
      <c r="J35" s="2"/>
      <c r="K35" s="2"/>
    </row>
    <row r="36">
      <c r="A36" s="32" t="s">
        <v>25</v>
      </c>
      <c r="B36" s="70" t="str">
        <f>C19/C23</f>
        <v>9.32%</v>
      </c>
      <c r="C36" s="72" t="str">
        <f>C19/B31</f>
        <v>9.32%</v>
      </c>
      <c r="D36" s="73">
        <v>0.0</v>
      </c>
      <c r="E36" s="74">
        <v>0.0</v>
      </c>
      <c r="F36" s="75"/>
      <c r="G36" s="2"/>
      <c r="H36" s="2"/>
      <c r="I36" s="2"/>
      <c r="J36" s="2"/>
      <c r="K36" s="2"/>
    </row>
    <row r="37">
      <c r="A37" s="32" t="s">
        <v>13</v>
      </c>
      <c r="B37" s="78" t="str">
        <f>C20/C23</f>
        <v>18.86%</v>
      </c>
      <c r="C37" s="80" t="str">
        <f>C20/B31</f>
        <v>18.86%</v>
      </c>
      <c r="D37" s="51">
        <v>0.18</v>
      </c>
      <c r="E37" s="46" t="str">
        <f>B31*D37</f>
        <v>$4,561.50</v>
      </c>
      <c r="F37" s="46" t="str">
        <f t="shared" ref="F37:F38" si="5">E37-C20</f>
        <v>-$219.08</v>
      </c>
      <c r="G37" s="2"/>
      <c r="H37" s="2"/>
      <c r="I37" s="2"/>
      <c r="J37" s="2"/>
      <c r="K37" s="2"/>
    </row>
    <row r="38">
      <c r="A38" s="32" t="s">
        <v>14</v>
      </c>
      <c r="B38" s="78" t="str">
        <f>C21/C23</f>
        <v>16.76%</v>
      </c>
      <c r="C38" s="80" t="str">
        <f>C21/B31</f>
        <v>16.76%</v>
      </c>
      <c r="D38" s="51">
        <v>0.18</v>
      </c>
      <c r="E38" s="46" t="str">
        <f>B31*D38</f>
        <v>$4,561.50</v>
      </c>
      <c r="F38" s="46" t="str">
        <f t="shared" si="5"/>
        <v>$313.11</v>
      </c>
      <c r="G38" s="2"/>
      <c r="H38" s="2"/>
      <c r="I38" s="2"/>
      <c r="J38" s="2"/>
      <c r="K38" s="2"/>
    </row>
    <row r="39">
      <c r="A39" s="32" t="s">
        <v>34</v>
      </c>
      <c r="B39" s="78" t="str">
        <f>C22/C23</f>
        <v>55.05%</v>
      </c>
      <c r="C39" s="80" t="str">
        <f>C22/B31</f>
        <v>55.05%</v>
      </c>
      <c r="D39" s="51">
        <v>0.64</v>
      </c>
      <c r="E39" s="46" t="str">
        <f>B31*D39</f>
        <v>$16,218.65</v>
      </c>
      <c r="F39" s="46" t="str">
        <f>SUM(E39-C22)</f>
        <v>$2,268.82</v>
      </c>
      <c r="G39" s="2"/>
      <c r="H39" s="2"/>
      <c r="I39" s="2"/>
      <c r="J39" s="2"/>
      <c r="K39" s="2"/>
    </row>
    <row r="40">
      <c r="A40" s="47" t="s">
        <v>42</v>
      </c>
      <c r="B40" s="83" t="str">
        <f t="shared" ref="B40:D40" si="6">sum(B36:B39)</f>
        <v>100.00%</v>
      </c>
      <c r="C40" s="83" t="str">
        <f t="shared" si="6"/>
        <v>100.00%</v>
      </c>
      <c r="D40" s="84" t="str">
        <f t="shared" si="6"/>
        <v>100.00%</v>
      </c>
      <c r="E40" s="55" t="str">
        <f>Sum(E36:E39)</f>
        <v>$25,341.64</v>
      </c>
      <c r="F40" s="55"/>
      <c r="G40" s="2"/>
      <c r="H40" s="2"/>
      <c r="I40" s="2"/>
      <c r="J40" s="2"/>
      <c r="K40" s="2"/>
    </row>
    <row r="41">
      <c r="A41" s="27"/>
      <c r="B41" s="15"/>
      <c r="C41" s="15"/>
      <c r="D41" s="15"/>
      <c r="E41" s="15"/>
      <c r="F41" s="15"/>
      <c r="G41" s="15"/>
      <c r="H41" s="2"/>
      <c r="I41" s="2"/>
      <c r="J41" s="2"/>
      <c r="K41" s="2"/>
    </row>
    <row r="42">
      <c r="A42" s="27"/>
      <c r="B42" s="15"/>
      <c r="C42" s="15"/>
      <c r="D42" s="15"/>
      <c r="E42" s="15"/>
      <c r="F42" s="15"/>
      <c r="G42" s="15"/>
      <c r="H42" s="2"/>
      <c r="I42" s="2"/>
      <c r="J42" s="2"/>
      <c r="K42" s="2"/>
    </row>
    <row r="43">
      <c r="A43" s="28" t="s">
        <v>62</v>
      </c>
      <c r="B43" s="29"/>
      <c r="C43" s="29"/>
      <c r="D43" s="29"/>
      <c r="E43" s="31"/>
      <c r="F43" s="15"/>
      <c r="G43" s="15"/>
      <c r="H43" s="2"/>
      <c r="I43" s="2"/>
      <c r="J43" s="2"/>
      <c r="K43" s="2"/>
    </row>
    <row r="44">
      <c r="A44" s="86" t="s">
        <v>19</v>
      </c>
      <c r="B44" s="35" t="s">
        <v>63</v>
      </c>
      <c r="C44" s="35" t="s">
        <v>64</v>
      </c>
      <c r="D44" s="35" t="s">
        <v>42</v>
      </c>
      <c r="E44" s="35" t="s">
        <v>65</v>
      </c>
      <c r="F44" s="87"/>
      <c r="G44" s="15"/>
      <c r="H44" s="2"/>
      <c r="I44" s="2"/>
      <c r="J44" s="2"/>
      <c r="K44" s="2"/>
    </row>
    <row r="45">
      <c r="A45" s="88" t="s">
        <v>25</v>
      </c>
      <c r="B45" s="89"/>
      <c r="C45" s="91"/>
      <c r="D45" s="92" t="str">
        <f>B19*-1</f>
        <v>-$2,362.85</v>
      </c>
      <c r="E45" s="94"/>
      <c r="F45" s="15"/>
      <c r="G45" s="15"/>
      <c r="H45" s="2"/>
      <c r="I45" s="2"/>
      <c r="J45" s="2"/>
      <c r="K45" s="2"/>
    </row>
    <row r="46">
      <c r="A46" s="88" t="s">
        <v>13</v>
      </c>
      <c r="B46" s="89">
        <v>0.0</v>
      </c>
      <c r="C46" s="91" t="str">
        <f t="shared" ref="C46:C48" si="7">B6</f>
        <v>$37.24</v>
      </c>
      <c r="D46" s="96" t="str">
        <f t="shared" ref="D46:D48" si="8">B46*C46</f>
        <v>$0.00</v>
      </c>
      <c r="E46" s="96" t="str">
        <f t="shared" ref="E46:E48" si="9">Sum (D46+B20)/(B46+E20)</f>
        <v>$34.87</v>
      </c>
      <c r="F46" s="15"/>
      <c r="G46" s="15"/>
      <c r="H46" s="2"/>
      <c r="I46" s="2"/>
      <c r="J46" s="2"/>
      <c r="K46" s="2"/>
    </row>
    <row r="47">
      <c r="A47" s="32" t="s">
        <v>14</v>
      </c>
      <c r="B47" s="13">
        <v>0.0</v>
      </c>
      <c r="C47" s="12" t="str">
        <f t="shared" si="7"/>
        <v>$109.65</v>
      </c>
      <c r="D47" s="46" t="str">
        <f t="shared" si="8"/>
        <v>$0.00</v>
      </c>
      <c r="E47" s="46" t="str">
        <f t="shared" si="9"/>
        <v>$101.26</v>
      </c>
      <c r="F47" s="15"/>
      <c r="G47" s="15"/>
      <c r="H47" s="2"/>
      <c r="I47" s="2"/>
      <c r="J47" s="2"/>
      <c r="K47" s="2"/>
    </row>
    <row r="48">
      <c r="A48" s="32" t="s">
        <v>34</v>
      </c>
      <c r="B48" s="13">
        <v>44.067</v>
      </c>
      <c r="C48" s="12" t="str">
        <f t="shared" si="7"/>
        <v>$54.11</v>
      </c>
      <c r="D48" s="46" t="str">
        <f t="shared" si="8"/>
        <v>$2,384.47</v>
      </c>
      <c r="E48" s="11" t="str">
        <f t="shared" si="9"/>
        <v>$49.95</v>
      </c>
      <c r="F48" s="98"/>
      <c r="G48" s="2"/>
      <c r="H48" s="2"/>
      <c r="I48" s="2"/>
      <c r="J48" s="2"/>
      <c r="K48" s="2"/>
    </row>
    <row r="49">
      <c r="A49" s="47" t="s">
        <v>42</v>
      </c>
      <c r="B49" s="100"/>
      <c r="C49" s="58"/>
      <c r="D49" s="102" t="str">
        <f>sum(D45:D48)</f>
        <v>$21.62</v>
      </c>
      <c r="E49" s="103"/>
      <c r="F49" s="98"/>
      <c r="G49" s="2"/>
      <c r="H49" s="2"/>
      <c r="I49" s="2"/>
      <c r="J49" s="2"/>
      <c r="K49" s="2"/>
    </row>
    <row r="50">
      <c r="A50" s="32" t="s">
        <v>73</v>
      </c>
      <c r="B50" s="100"/>
      <c r="C50" s="58"/>
      <c r="D50" s="105" t="str">
        <f>B30-D49</f>
        <v>-$21.62</v>
      </c>
      <c r="E50" s="103"/>
      <c r="F50" s="2"/>
      <c r="G50" s="2"/>
      <c r="H50" s="2"/>
      <c r="I50" s="2"/>
      <c r="J50" s="2"/>
      <c r="K50" s="2"/>
    </row>
    <row r="51" ht="18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>
      <c r="A52" s="107" t="s">
        <v>74</v>
      </c>
      <c r="B52" s="108"/>
      <c r="C52" s="108"/>
      <c r="D52" s="108"/>
      <c r="E52" s="108"/>
      <c r="F52" s="109"/>
      <c r="G52" s="110"/>
      <c r="H52" s="111"/>
      <c r="I52" s="111"/>
      <c r="J52" s="111"/>
      <c r="K52" s="111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</row>
    <row r="53">
      <c r="A53" s="115" t="s">
        <v>75</v>
      </c>
      <c r="B53" s="110"/>
      <c r="C53" s="110"/>
      <c r="D53" s="110"/>
      <c r="E53" s="110"/>
      <c r="F53" s="116"/>
      <c r="G53" s="110"/>
      <c r="H53" s="111"/>
      <c r="I53" s="111"/>
      <c r="J53" s="111"/>
      <c r="K53" s="111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</row>
    <row r="54">
      <c r="A54" s="117"/>
      <c r="B54" s="27"/>
      <c r="C54" s="27"/>
      <c r="D54" s="27"/>
      <c r="E54" s="27"/>
      <c r="F54" s="118"/>
      <c r="G54" s="27"/>
      <c r="H54" s="2"/>
      <c r="I54" s="2"/>
      <c r="J54" s="2"/>
      <c r="K54" s="2"/>
    </row>
    <row r="55">
      <c r="A55" s="117" t="s">
        <v>76</v>
      </c>
      <c r="B55" s="27"/>
      <c r="C55" s="27"/>
      <c r="D55" s="27"/>
      <c r="E55" s="27"/>
      <c r="F55" s="118"/>
      <c r="G55" s="27"/>
      <c r="H55" s="2"/>
      <c r="I55" s="2"/>
      <c r="J55" s="2"/>
      <c r="K55" s="2"/>
    </row>
    <row r="56">
      <c r="A56" s="117" t="s">
        <v>77</v>
      </c>
      <c r="B56" s="27"/>
      <c r="C56" s="27"/>
      <c r="D56" s="27"/>
      <c r="E56" s="27"/>
      <c r="F56" s="118"/>
      <c r="G56" s="27"/>
      <c r="H56" s="2"/>
      <c r="I56" s="2"/>
      <c r="J56" s="2"/>
      <c r="K56" s="2"/>
    </row>
    <row r="57">
      <c r="A57" s="117" t="s">
        <v>79</v>
      </c>
      <c r="B57" s="27"/>
      <c r="C57" s="27"/>
      <c r="D57" s="27"/>
      <c r="E57" s="27"/>
      <c r="F57" s="118"/>
      <c r="G57" s="27"/>
      <c r="H57" s="2"/>
      <c r="I57" s="2"/>
      <c r="J57" s="2"/>
      <c r="K57" s="2"/>
    </row>
    <row r="58">
      <c r="A58" s="117" t="s">
        <v>80</v>
      </c>
      <c r="B58" s="27"/>
      <c r="C58" s="27"/>
      <c r="D58" s="27"/>
      <c r="E58" s="27"/>
      <c r="F58" s="118"/>
      <c r="G58" s="27"/>
      <c r="H58" s="2"/>
      <c r="I58" s="2"/>
      <c r="J58" s="2"/>
      <c r="K58" s="2"/>
    </row>
    <row r="59">
      <c r="A59" s="117" t="s">
        <v>81</v>
      </c>
      <c r="B59" s="27"/>
      <c r="C59" s="27"/>
      <c r="D59" s="27"/>
      <c r="E59" s="27"/>
      <c r="F59" s="118"/>
      <c r="G59" s="27"/>
      <c r="H59" s="2"/>
      <c r="I59" s="2"/>
      <c r="J59" s="2"/>
      <c r="K59" s="2"/>
    </row>
    <row r="60">
      <c r="A60" s="117" t="s">
        <v>82</v>
      </c>
      <c r="B60" s="27"/>
      <c r="C60" s="27"/>
      <c r="D60" s="27"/>
      <c r="E60" s="27"/>
      <c r="F60" s="118"/>
      <c r="G60" s="27"/>
      <c r="H60" s="2"/>
      <c r="I60" s="2"/>
      <c r="J60" s="2"/>
      <c r="K60" s="2"/>
    </row>
    <row r="61">
      <c r="A61" s="117" t="s">
        <v>83</v>
      </c>
      <c r="B61" s="27"/>
      <c r="C61" s="27"/>
      <c r="D61" s="27"/>
      <c r="E61" s="27"/>
      <c r="F61" s="118"/>
      <c r="G61" s="27"/>
      <c r="H61" s="2"/>
      <c r="I61" s="2"/>
      <c r="J61" s="2"/>
      <c r="K61" s="2"/>
    </row>
    <row r="62">
      <c r="A62" s="117" t="s">
        <v>84</v>
      </c>
      <c r="B62" s="27"/>
      <c r="C62" s="27"/>
      <c r="D62" s="27"/>
      <c r="E62" s="27"/>
      <c r="F62" s="118"/>
      <c r="G62" s="27"/>
      <c r="H62" s="2"/>
      <c r="I62" s="2"/>
      <c r="J62" s="2"/>
      <c r="K62" s="2"/>
    </row>
    <row r="63">
      <c r="A63" s="121" t="s">
        <v>85</v>
      </c>
      <c r="B63" s="122"/>
      <c r="C63" s="122"/>
      <c r="D63" s="122"/>
      <c r="E63" s="122"/>
      <c r="F63" s="123"/>
      <c r="G63" s="27"/>
      <c r="H63" s="2"/>
      <c r="I63" s="2"/>
      <c r="J63" s="2"/>
      <c r="K63" s="2"/>
    </row>
    <row r="64">
      <c r="G64" s="2"/>
    </row>
    <row r="65">
      <c r="G65" s="2"/>
    </row>
    <row r="66">
      <c r="G66" s="2"/>
    </row>
  </sheetData>
  <conditionalFormatting sqref="D23:D24">
    <cfRule type="cellIs" dxfId="0" priority="1" operator="lessThan">
      <formula>0</formula>
    </cfRule>
  </conditionalFormatting>
  <conditionalFormatting sqref="D40">
    <cfRule type="cellIs" dxfId="1" priority="2" operator="greaterThan">
      <formula>100%</formula>
    </cfRule>
  </conditionalFormatting>
  <conditionalFormatting sqref="D40">
    <cfRule type="cellIs" dxfId="1" priority="3" operator="notEqual">
      <formula>100%</formula>
    </cfRule>
  </conditionalFormatting>
  <conditionalFormatting sqref="D40">
    <cfRule type="cellIs" dxfId="2" priority="4" operator="equal">
      <formula>"100%"</formula>
    </cfRule>
  </conditionalFormatting>
  <conditionalFormatting sqref="D23:D24">
    <cfRule type="cellIs" dxfId="3" priority="5" operator="greaterThanOrEqual">
      <formula>0</formula>
    </cfRule>
  </conditionalFormatting>
  <conditionalFormatting sqref="D19:D20">
    <cfRule type="cellIs" dxfId="1" priority="6" operator="lessThan">
      <formula>0</formula>
    </cfRule>
  </conditionalFormatting>
  <conditionalFormatting sqref="D19:D20">
    <cfRule type="cellIs" dxfId="2" priority="7" operator="greaterThanOrEqual">
      <formula>0</formula>
    </cfRule>
  </conditionalFormatting>
  <conditionalFormatting sqref="D21">
    <cfRule type="cellIs" dxfId="2" priority="8" operator="greaterThanOrEqual">
      <formula>0</formula>
    </cfRule>
  </conditionalFormatting>
  <conditionalFormatting sqref="D21">
    <cfRule type="cellIs" dxfId="1" priority="9" operator="lessThan">
      <formula>0</formula>
    </cfRule>
  </conditionalFormatting>
  <conditionalFormatting sqref="D22">
    <cfRule type="cellIs" dxfId="4" priority="10" operator="lessThan">
      <formula>0</formula>
    </cfRule>
  </conditionalFormatting>
  <conditionalFormatting sqref="D22">
    <cfRule type="cellIs" dxfId="2" priority="11" operator="greaterThanOrEqual">
      <formula>0</formula>
    </cfRule>
  </conditionalFormatting>
  <conditionalFormatting sqref="D25">
    <cfRule type="cellIs" dxfId="4" priority="12" operator="lessThan">
      <formula>0</formula>
    </cfRule>
  </conditionalFormatting>
  <conditionalFormatting sqref="D25">
    <cfRule type="cellIs" dxfId="2" priority="13" operator="greaterThanOrEqual">
      <formula>0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showGridLines="0" workbookViewId="0"/>
  </sheetViews>
  <sheetFormatPr customHeight="1" defaultColWidth="14.43" defaultRowHeight="15.75"/>
  <cols>
    <col customWidth="1" min="1" max="1" width="19.86"/>
    <col customWidth="1" min="2" max="2" width="13.86"/>
    <col customWidth="1" min="3" max="3" width="15.14"/>
    <col customWidth="1" min="4" max="4" width="11.57"/>
    <col customWidth="1" min="5" max="5" width="12.43"/>
    <col customWidth="1" min="6" max="7" width="11.71"/>
    <col customWidth="1" min="8" max="8" width="18.57"/>
    <col customWidth="1" min="9" max="9" width="13.14"/>
    <col customWidth="1" min="10" max="10" width="12.71"/>
  </cols>
  <sheetData>
    <row r="1">
      <c r="A1" s="1" t="s">
        <v>0</v>
      </c>
      <c r="B1" s="24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>
      <c r="A2" s="3" t="str">
        <f>TODAY()</f>
        <v>9/26/2016</v>
      </c>
      <c r="B2" s="25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>
      <c r="A3" s="27"/>
      <c r="B3" s="27"/>
      <c r="C3" s="15"/>
      <c r="D3" s="15"/>
      <c r="E3" s="15"/>
      <c r="F3" s="15"/>
      <c r="G3" s="15"/>
      <c r="H3" s="15"/>
      <c r="I3" s="15"/>
      <c r="J3" s="2"/>
      <c r="K3" s="2"/>
      <c r="L3" s="2"/>
      <c r="M3" s="2"/>
    </row>
    <row r="4">
      <c r="A4" s="28" t="s">
        <v>18</v>
      </c>
      <c r="B4" s="30"/>
      <c r="C4" s="29"/>
      <c r="D4" s="29"/>
      <c r="E4" s="29"/>
      <c r="F4" s="31"/>
      <c r="I4" s="15"/>
      <c r="J4" s="2"/>
      <c r="K4" s="2"/>
      <c r="L4" s="2"/>
      <c r="M4" s="2"/>
    </row>
    <row r="5">
      <c r="A5" s="33" t="s">
        <v>19</v>
      </c>
      <c r="B5" s="35" t="s">
        <v>26</v>
      </c>
      <c r="C5" s="35" t="s">
        <v>27</v>
      </c>
      <c r="D5" s="35" t="s">
        <v>28</v>
      </c>
      <c r="E5" s="35" t="s">
        <v>29</v>
      </c>
      <c r="F5" s="35" t="s">
        <v>30</v>
      </c>
      <c r="G5" s="19"/>
      <c r="H5" s="19"/>
      <c r="I5" s="15"/>
      <c r="J5" s="2"/>
      <c r="K5" s="2"/>
      <c r="L5" s="2"/>
      <c r="M5" s="2"/>
    </row>
    <row r="6">
      <c r="A6" s="36" t="s">
        <v>31</v>
      </c>
      <c r="B6" s="38"/>
      <c r="C6" s="40"/>
      <c r="D6" s="38"/>
      <c r="E6" s="41">
        <v>24896.82</v>
      </c>
      <c r="F6" s="38"/>
      <c r="G6" s="43"/>
      <c r="H6" s="43"/>
      <c r="I6" s="15"/>
      <c r="J6" s="2"/>
      <c r="K6" s="2"/>
      <c r="L6" s="2"/>
      <c r="M6" s="2"/>
    </row>
    <row r="7">
      <c r="A7" s="36" t="s">
        <v>33</v>
      </c>
      <c r="B7" s="38"/>
      <c r="C7" s="40"/>
      <c r="D7" s="38"/>
      <c r="E7" s="45" t="str">
        <f>'Market Value'!C23+E6</f>
        <v>$50,238.46</v>
      </c>
      <c r="F7" s="38"/>
      <c r="G7" s="43"/>
      <c r="H7" s="43"/>
      <c r="I7" s="15"/>
      <c r="J7" s="2"/>
      <c r="K7" s="2"/>
      <c r="L7" s="2"/>
      <c r="M7" s="2"/>
    </row>
    <row r="8">
      <c r="A8" s="47" t="s">
        <v>13</v>
      </c>
      <c r="B8" s="48">
        <v>0.0</v>
      </c>
      <c r="C8" s="50">
        <v>1.0</v>
      </c>
      <c r="D8" s="48">
        <v>0.0</v>
      </c>
      <c r="E8" s="48"/>
      <c r="F8" s="48">
        <v>0.0374</v>
      </c>
      <c r="G8" s="43"/>
      <c r="H8" s="43"/>
      <c r="I8" s="15"/>
      <c r="J8" s="2"/>
      <c r="K8" s="2"/>
      <c r="L8" s="2"/>
      <c r="M8" s="2"/>
    </row>
    <row r="9">
      <c r="A9" s="47" t="s">
        <v>14</v>
      </c>
      <c r="B9" s="51">
        <v>1.0</v>
      </c>
      <c r="C9" s="53">
        <v>0.0</v>
      </c>
      <c r="D9" s="48">
        <v>0.0</v>
      </c>
      <c r="E9" s="48">
        <v>0.0</v>
      </c>
      <c r="F9" s="48">
        <v>0.108</v>
      </c>
      <c r="G9" s="43"/>
      <c r="H9" s="43"/>
      <c r="I9" s="15"/>
      <c r="J9" s="2"/>
      <c r="K9" s="2"/>
      <c r="L9" s="2"/>
      <c r="M9" s="2"/>
    </row>
    <row r="10">
      <c r="A10" s="47" t="s">
        <v>34</v>
      </c>
      <c r="B10" s="51">
        <v>1.0</v>
      </c>
      <c r="C10" s="50">
        <v>0.0</v>
      </c>
      <c r="D10" s="48">
        <v>0.0</v>
      </c>
      <c r="E10" s="48">
        <v>0.0</v>
      </c>
      <c r="F10" s="54">
        <v>0.0338</v>
      </c>
      <c r="G10" s="43"/>
      <c r="H10" s="43"/>
      <c r="I10" s="15"/>
      <c r="J10" s="2"/>
      <c r="K10" s="2"/>
      <c r="L10" s="2"/>
      <c r="M10" s="2"/>
    </row>
    <row r="11">
      <c r="A11" s="27"/>
      <c r="B11" s="27"/>
      <c r="C11" s="15"/>
      <c r="D11" s="15"/>
      <c r="E11" s="15"/>
      <c r="F11" s="15"/>
      <c r="G11" s="15"/>
      <c r="H11" s="15"/>
      <c r="I11" s="15"/>
      <c r="J11" s="2"/>
      <c r="K11" s="2"/>
      <c r="L11" s="2"/>
      <c r="M11" s="2"/>
    </row>
    <row r="12">
      <c r="A12" s="28" t="s">
        <v>36</v>
      </c>
      <c r="B12" s="30"/>
      <c r="C12" s="29"/>
      <c r="D12" s="29"/>
      <c r="E12" s="29"/>
      <c r="F12" s="29"/>
      <c r="G12" s="29"/>
      <c r="H12" s="31"/>
      <c r="I12" s="15"/>
      <c r="J12" s="2"/>
      <c r="K12" s="2"/>
      <c r="L12" s="2"/>
      <c r="M12" s="2"/>
    </row>
    <row r="13">
      <c r="A13" s="33" t="s">
        <v>19</v>
      </c>
      <c r="B13" s="33" t="s">
        <v>37</v>
      </c>
      <c r="C13" s="35" t="s">
        <v>38</v>
      </c>
      <c r="D13" s="35" t="s">
        <v>39</v>
      </c>
      <c r="E13" s="35" t="s">
        <v>40</v>
      </c>
      <c r="F13" s="35" t="s">
        <v>41</v>
      </c>
      <c r="G13" s="35" t="s">
        <v>42</v>
      </c>
      <c r="H13" s="35" t="s">
        <v>43</v>
      </c>
      <c r="I13" s="15"/>
      <c r="J13" s="2"/>
      <c r="K13" s="2"/>
      <c r="L13" s="2"/>
      <c r="M13" s="2"/>
    </row>
    <row r="14">
      <c r="A14" s="47" t="s">
        <v>13</v>
      </c>
      <c r="B14" s="56" t="str">
        <f>'Market Value'!B37</f>
        <v>18.86%</v>
      </c>
      <c r="C14" s="59" t="s">
        <v>44</v>
      </c>
      <c r="D14" s="50">
        <v>0.3</v>
      </c>
      <c r="E14" s="50">
        <v>0.31</v>
      </c>
      <c r="F14" s="50">
        <v>0.24</v>
      </c>
      <c r="G14" s="61" t="str">
        <f t="shared" ref="G14:G16" si="1">Sum(D14, E14, F14)</f>
        <v>85.00%</v>
      </c>
      <c r="H14" s="61" t="str">
        <f>B14*G14</f>
        <v>16.03%</v>
      </c>
      <c r="I14" s="15"/>
      <c r="J14" s="2"/>
      <c r="K14" s="2"/>
      <c r="L14" s="2"/>
      <c r="M14" s="2"/>
      <c r="N14" s="44"/>
    </row>
    <row r="15">
      <c r="A15" s="32"/>
      <c r="B15" s="32"/>
      <c r="C15" s="63" t="s">
        <v>46</v>
      </c>
      <c r="D15" s="50">
        <v>0.06</v>
      </c>
      <c r="E15" s="50">
        <v>0.03</v>
      </c>
      <c r="F15" s="50">
        <v>0.03</v>
      </c>
      <c r="G15" s="61" t="str">
        <f t="shared" si="1"/>
        <v>12.00%</v>
      </c>
      <c r="H15" s="61" t="str">
        <f>B14*G15</f>
        <v>2.26%</v>
      </c>
      <c r="I15" s="15"/>
      <c r="J15" s="2"/>
      <c r="K15" s="2"/>
      <c r="L15" s="2"/>
      <c r="M15" s="2"/>
    </row>
    <row r="16">
      <c r="A16" s="32"/>
      <c r="B16" s="32"/>
      <c r="C16" s="59" t="s">
        <v>48</v>
      </c>
      <c r="D16" s="50">
        <v>0.02</v>
      </c>
      <c r="E16" s="50">
        <v>0.01</v>
      </c>
      <c r="F16" s="50">
        <v>0.0</v>
      </c>
      <c r="G16" s="61" t="str">
        <f t="shared" si="1"/>
        <v>3.00%</v>
      </c>
      <c r="H16" s="61" t="str">
        <f>B14*G16</f>
        <v>0.57%</v>
      </c>
      <c r="I16" s="15"/>
      <c r="J16" s="2"/>
      <c r="K16" s="2"/>
      <c r="L16" s="2"/>
      <c r="M16" s="2"/>
      <c r="N16" s="52"/>
    </row>
    <row r="17">
      <c r="A17" s="32" t="s">
        <v>42</v>
      </c>
      <c r="B17" s="47"/>
      <c r="C17" s="65"/>
      <c r="D17" s="66"/>
      <c r="E17" s="66"/>
      <c r="F17" s="67"/>
      <c r="G17" s="66" t="str">
        <f t="shared" ref="G17:H17" si="2">SUM (G14, G15, G16)</f>
        <v>100.00%</v>
      </c>
      <c r="H17" s="66" t="str">
        <f t="shared" si="2"/>
        <v>18.86%</v>
      </c>
      <c r="I17" s="15"/>
      <c r="J17" s="2"/>
      <c r="K17" s="2"/>
      <c r="L17" s="2"/>
      <c r="M17" s="2"/>
    </row>
    <row r="18">
      <c r="A18" s="69"/>
      <c r="B18" s="71"/>
      <c r="C18" s="76"/>
      <c r="D18" s="77"/>
      <c r="E18" s="77"/>
      <c r="F18" s="79"/>
      <c r="G18" s="79"/>
      <c r="H18" s="79"/>
      <c r="I18" s="15"/>
      <c r="J18" s="2"/>
      <c r="K18" s="2"/>
      <c r="L18" s="2"/>
      <c r="M18" s="2"/>
    </row>
    <row r="19">
      <c r="A19" s="47" t="s">
        <v>60</v>
      </c>
      <c r="B19" s="81" t="str">
        <f>'Market Value'!B38</f>
        <v>16.76%</v>
      </c>
      <c r="C19" s="59" t="s">
        <v>44</v>
      </c>
      <c r="D19" s="50">
        <v>0.0</v>
      </c>
      <c r="E19" s="50">
        <v>0.0</v>
      </c>
      <c r="F19" s="50">
        <v>0.0</v>
      </c>
      <c r="G19" s="61" t="str">
        <f t="shared" ref="G19:G21" si="3">Sum(D19, E19, F19)</f>
        <v>0.00%</v>
      </c>
      <c r="H19" s="61" t="str">
        <f>B19*G19</f>
        <v>0.00%</v>
      </c>
      <c r="I19" s="15"/>
      <c r="J19" s="2"/>
      <c r="K19" s="2"/>
      <c r="L19" s="2"/>
      <c r="M19" s="2"/>
    </row>
    <row r="20">
      <c r="A20" s="32"/>
      <c r="B20" s="47"/>
      <c r="C20" s="63" t="s">
        <v>46</v>
      </c>
      <c r="D20" s="82">
        <v>0.16</v>
      </c>
      <c r="E20" s="82">
        <v>0.14</v>
      </c>
      <c r="F20" s="82">
        <v>0.05</v>
      </c>
      <c r="G20" s="61" t="str">
        <f t="shared" si="3"/>
        <v>35.00%</v>
      </c>
      <c r="H20" s="61" t="str">
        <f>B19*G20</f>
        <v>5.87%</v>
      </c>
    </row>
    <row r="21">
      <c r="A21" s="32"/>
      <c r="B21" s="47"/>
      <c r="C21" s="59" t="s">
        <v>48</v>
      </c>
      <c r="D21" s="82">
        <v>0.34</v>
      </c>
      <c r="E21" s="82">
        <v>0.25</v>
      </c>
      <c r="F21" s="82">
        <v>0.06</v>
      </c>
      <c r="G21" s="61" t="str">
        <f t="shared" si="3"/>
        <v>65.00%</v>
      </c>
      <c r="H21" s="61" t="str">
        <f>B19*G21</f>
        <v>10.90%</v>
      </c>
    </row>
    <row r="22">
      <c r="A22" s="32" t="s">
        <v>42</v>
      </c>
      <c r="B22" s="47"/>
      <c r="C22" s="65"/>
      <c r="D22" s="66"/>
      <c r="E22" s="66"/>
      <c r="F22" s="67"/>
      <c r="G22" s="66" t="str">
        <f t="shared" ref="G22:H22" si="4">SUM (G19, G20, G21)</f>
        <v>100.00%</v>
      </c>
      <c r="H22" s="66" t="str">
        <f t="shared" si="4"/>
        <v>16.76%</v>
      </c>
    </row>
    <row r="23">
      <c r="A23" s="32"/>
      <c r="B23" s="47"/>
      <c r="C23" s="65"/>
      <c r="D23" s="66"/>
      <c r="E23" s="66"/>
      <c r="F23" s="67"/>
      <c r="G23" s="67"/>
      <c r="H23" s="67"/>
    </row>
    <row r="24">
      <c r="A24" s="47" t="s">
        <v>61</v>
      </c>
      <c r="B24" s="81" t="str">
        <f>'Market Value'!B39</f>
        <v>55.05%</v>
      </c>
      <c r="C24" s="59" t="s">
        <v>44</v>
      </c>
      <c r="D24" s="85">
        <v>0.23</v>
      </c>
      <c r="E24" s="48">
        <v>0.24</v>
      </c>
      <c r="F24" s="48">
        <v>0.25</v>
      </c>
      <c r="G24" s="61" t="str">
        <f t="shared" ref="G24:G26" si="5">Sum(D24, E24, F24)</f>
        <v>72.00%</v>
      </c>
      <c r="H24" s="61" t="str">
        <f>B24*G24</f>
        <v>39.63%</v>
      </c>
    </row>
    <row r="25">
      <c r="A25" s="47"/>
      <c r="B25" s="47"/>
      <c r="C25" s="63" t="s">
        <v>46</v>
      </c>
      <c r="D25" s="48">
        <v>0.06</v>
      </c>
      <c r="E25" s="48">
        <v>0.06</v>
      </c>
      <c r="F25" s="48">
        <v>0.07</v>
      </c>
      <c r="G25" s="61" t="str">
        <f t="shared" si="5"/>
        <v>19.00%</v>
      </c>
      <c r="H25" s="61" t="str">
        <f>B24*G25</f>
        <v>10.46%</v>
      </c>
    </row>
    <row r="26">
      <c r="A26" s="47"/>
      <c r="B26" s="47"/>
      <c r="C26" s="59" t="s">
        <v>48</v>
      </c>
      <c r="D26" s="48">
        <v>0.03</v>
      </c>
      <c r="E26" s="48">
        <v>0.03</v>
      </c>
      <c r="F26" s="48">
        <v>0.03</v>
      </c>
      <c r="G26" s="61" t="str">
        <f t="shared" si="5"/>
        <v>9.00%</v>
      </c>
      <c r="H26" s="61" t="str">
        <f>B24*G26</f>
        <v>4.95%</v>
      </c>
    </row>
    <row r="27">
      <c r="A27" s="32" t="s">
        <v>42</v>
      </c>
      <c r="B27" s="47"/>
      <c r="C27" s="90"/>
      <c r="D27" s="66"/>
      <c r="E27" s="66"/>
      <c r="F27" s="67"/>
      <c r="G27" s="66" t="str">
        <f t="shared" ref="G27:H27" si="6">SUM (G24, G25, G26)</f>
        <v>100.00%</v>
      </c>
      <c r="H27" s="66" t="str">
        <f t="shared" si="6"/>
        <v>55.05%</v>
      </c>
    </row>
    <row r="28">
      <c r="A28" s="32"/>
      <c r="B28" s="47"/>
      <c r="C28" s="65"/>
      <c r="D28" s="66"/>
      <c r="E28" s="66"/>
      <c r="F28" s="67"/>
      <c r="G28" s="67"/>
      <c r="H28" s="67"/>
    </row>
    <row r="29">
      <c r="A29" s="47" t="s">
        <v>66</v>
      </c>
      <c r="B29" s="81" t="str">
        <f>'Market Value'!B36</f>
        <v>9.32%</v>
      </c>
      <c r="C29" s="59" t="s">
        <v>29</v>
      </c>
      <c r="D29" s="93"/>
      <c r="E29" s="95"/>
      <c r="F29" s="95"/>
      <c r="G29" s="67"/>
      <c r="H29" s="61" t="str">
        <f>B29</f>
        <v>9.32%</v>
      </c>
    </row>
    <row r="30">
      <c r="A30" s="47"/>
      <c r="B30" s="47"/>
      <c r="C30" s="90"/>
      <c r="D30" s="66"/>
      <c r="E30" s="66"/>
      <c r="F30" s="67"/>
      <c r="G30" s="66"/>
      <c r="H30" s="66" t="str">
        <f>SUM (H29)</f>
        <v>9.32%</v>
      </c>
    </row>
    <row r="32">
      <c r="A32" s="28" t="s">
        <v>67</v>
      </c>
      <c r="B32" s="30"/>
      <c r="C32" s="29"/>
      <c r="D32" s="29"/>
      <c r="E32" s="29"/>
      <c r="F32" s="31"/>
    </row>
    <row r="33">
      <c r="A33" s="33" t="s">
        <v>19</v>
      </c>
      <c r="B33" s="35" t="s">
        <v>68</v>
      </c>
      <c r="C33" s="35" t="s">
        <v>69</v>
      </c>
      <c r="D33" s="35" t="s">
        <v>28</v>
      </c>
      <c r="E33" s="35" t="s">
        <v>29</v>
      </c>
      <c r="F33" s="35" t="s">
        <v>70</v>
      </c>
    </row>
    <row r="34">
      <c r="A34" s="88" t="s">
        <v>66</v>
      </c>
      <c r="B34" s="97" t="s">
        <v>71</v>
      </c>
      <c r="C34" s="97" t="s">
        <v>71</v>
      </c>
      <c r="D34" s="97" t="s">
        <v>71</v>
      </c>
      <c r="E34" s="99" t="str">
        <f>'Market Value'!C19/'Market Value'!C23</f>
        <v>9.32%</v>
      </c>
      <c r="F34" s="97" t="s">
        <v>71</v>
      </c>
    </row>
    <row r="35">
      <c r="A35" s="88" t="s">
        <v>72</v>
      </c>
      <c r="B35" s="97" t="s">
        <v>71</v>
      </c>
      <c r="C35" s="97" t="s">
        <v>71</v>
      </c>
      <c r="D35" s="97" t="s">
        <v>71</v>
      </c>
      <c r="E35" s="99" t="str">
        <f>E6/E7</f>
        <v>49.56%</v>
      </c>
      <c r="F35" s="99"/>
    </row>
    <row r="36">
      <c r="A36" s="32" t="s">
        <v>13</v>
      </c>
      <c r="B36" s="101" t="str">
        <f>B8*B14</f>
        <v>0.00%</v>
      </c>
      <c r="C36" s="104" t="str">
        <f>C8*B14</f>
        <v>18.86%</v>
      </c>
      <c r="D36" s="106" t="str">
        <f>D8*B14</f>
        <v>0.00%</v>
      </c>
      <c r="E36" s="106" t="str">
        <f t="shared" ref="E36:E38" si="7">E8</f>
        <v/>
      </c>
      <c r="F36" s="106" t="str">
        <f>F8*B14</f>
        <v>0.71%</v>
      </c>
    </row>
    <row r="37">
      <c r="A37" s="32" t="s">
        <v>14</v>
      </c>
      <c r="B37" s="112" t="str">
        <f>B9*B19</f>
        <v>16.76%</v>
      </c>
      <c r="C37" s="114" t="str">
        <f>C9*B19</f>
        <v>0.00%</v>
      </c>
      <c r="D37" s="106" t="str">
        <f>D9*B19</f>
        <v>0.00%</v>
      </c>
      <c r="E37" s="106" t="str">
        <f t="shared" si="7"/>
        <v>0.00%</v>
      </c>
      <c r="F37" s="106" t="str">
        <f>F9*B19</f>
        <v>1.81%</v>
      </c>
    </row>
    <row r="38">
      <c r="A38" s="32" t="s">
        <v>34</v>
      </c>
      <c r="B38" s="112" t="str">
        <f>B10*B24</f>
        <v>55.05%</v>
      </c>
      <c r="C38" s="104" t="str">
        <f>C10*B24</f>
        <v>0.00%</v>
      </c>
      <c r="D38" s="106" t="str">
        <f>D10*B24</f>
        <v>0.00%</v>
      </c>
      <c r="E38" s="106" t="str">
        <f t="shared" si="7"/>
        <v>0.00%</v>
      </c>
      <c r="F38" s="119" t="str">
        <f>F10*B24</f>
        <v>1.86%</v>
      </c>
    </row>
    <row r="39">
      <c r="A39" s="32" t="s">
        <v>78</v>
      </c>
      <c r="B39" s="120" t="str">
        <f>Sum(B36,B37,B38)</f>
        <v>71.81%</v>
      </c>
      <c r="C39" s="120" t="str">
        <f>Sum(C33,C36,C37)</f>
        <v>18.86%</v>
      </c>
      <c r="D39" s="120" t="str">
        <f>Sum(D36:D38)</f>
        <v>0.00%</v>
      </c>
      <c r="E39" s="120" t="str">
        <f>Sum(E34:E38)</f>
        <v>58.88%</v>
      </c>
      <c r="F39" s="120" t="str">
        <f>Sum(F36,F37,F38)</f>
        <v>4.38%</v>
      </c>
    </row>
    <row r="40">
      <c r="A40" s="124" t="s">
        <v>86</v>
      </c>
      <c r="B40" s="120" t="str">
        <f>B39*E39</f>
        <v>42.28%</v>
      </c>
      <c r="C40" s="120" t="str">
        <f>C39*E39</f>
        <v>11.11%</v>
      </c>
      <c r="D40" s="120" t="str">
        <f>D39*E39</f>
        <v>0.00%</v>
      </c>
      <c r="E40" s="120" t="str">
        <f>E39</f>
        <v>58.88%</v>
      </c>
      <c r="F40" s="120" t="str">
        <f>F39*E39</f>
        <v>2.58%</v>
      </c>
    </row>
    <row r="41">
      <c r="A41" s="125" t="s">
        <v>87</v>
      </c>
    </row>
    <row r="43">
      <c r="A43" s="28" t="s">
        <v>88</v>
      </c>
      <c r="B43" s="126"/>
      <c r="C43" s="126"/>
      <c r="D43" s="126"/>
      <c r="E43" s="127"/>
    </row>
    <row r="44">
      <c r="A44" s="9" t="s">
        <v>38</v>
      </c>
      <c r="B44" s="128" t="s">
        <v>39</v>
      </c>
      <c r="C44" s="35" t="s">
        <v>40</v>
      </c>
      <c r="D44" s="35" t="s">
        <v>41</v>
      </c>
      <c r="E44" s="35" t="s">
        <v>42</v>
      </c>
    </row>
    <row r="45">
      <c r="A45" s="59" t="s">
        <v>44</v>
      </c>
      <c r="B45" s="129" t="str">
        <f>D14*B14 + (D19*B19) + (D24*B24)</f>
        <v>18.32%</v>
      </c>
      <c r="C45" s="104" t="str">
        <f>E14*B14 + (E19*B19) + (E24*B24)</f>
        <v>19.06%</v>
      </c>
      <c r="D45" s="104" t="str">
        <f>F14*B14 + (F19*B19) + (F24*B24)</f>
        <v>18.29%</v>
      </c>
      <c r="E45" s="104" t="str">
        <f t="shared" ref="E45:E47" si="8">Sum (B45, C45, D45)</f>
        <v>55.67%</v>
      </c>
    </row>
    <row r="46">
      <c r="A46" s="130" t="s">
        <v>46</v>
      </c>
      <c r="B46" s="129" t="str">
        <f>D15*B14 + (D20*B19) + (D25*B24)</f>
        <v>7.12%</v>
      </c>
      <c r="C46" s="104" t="str">
        <f>E15*B14 + (E20*B19) + (E25*B24)</f>
        <v>6.22%</v>
      </c>
      <c r="D46" s="104" t="str">
        <f>F15*B14 + (F20*B19) + (F25*B24)</f>
        <v>5.26%</v>
      </c>
      <c r="E46" s="104" t="str">
        <f t="shared" si="8"/>
        <v>18.59%</v>
      </c>
    </row>
    <row r="47">
      <c r="A47" s="59" t="s">
        <v>48</v>
      </c>
      <c r="B47" s="129" t="str">
        <f>D16*B14 + (D21*B19) + (D26*B24)</f>
        <v>7.73%</v>
      </c>
      <c r="C47" s="104" t="str">
        <f>E16*B14 + (E21*B19) + (E26*B24)</f>
        <v>6.03%</v>
      </c>
      <c r="D47" s="104" t="str">
        <f>F16*B14 + (F21*B19) + (F26*B24)</f>
        <v>2.66%</v>
      </c>
      <c r="E47" s="104" t="str">
        <f t="shared" si="8"/>
        <v>16.42%</v>
      </c>
    </row>
    <row r="48">
      <c r="A48" s="59" t="s">
        <v>89</v>
      </c>
      <c r="B48" s="129" t="str">
        <f>B29</f>
        <v>9.32%</v>
      </c>
      <c r="C48" s="104"/>
      <c r="D48" s="104"/>
      <c r="E48" s="104" t="str">
        <f>B29</f>
        <v>9.32%</v>
      </c>
    </row>
    <row r="49">
      <c r="A49" s="131" t="s">
        <v>42</v>
      </c>
      <c r="B49" s="132"/>
      <c r="C49" s="66"/>
      <c r="D49" s="67"/>
      <c r="E49" s="66" t="str">
        <f>SUM (E45, E46, E47, E48)</f>
        <v>100.00%</v>
      </c>
    </row>
  </sheetData>
  <conditionalFormatting sqref="E17:E19 E22:E23 E27:E28 E30 C49">
    <cfRule type="cellIs" dxfId="0" priority="1" operator="lessThan">
      <formula>0</formula>
    </cfRule>
  </conditionalFormatting>
  <conditionalFormatting sqref="E17:E19 E22:E23 E27:E28 E30 C49">
    <cfRule type="cellIs" dxfId="2" priority="2" operator="greaterThan">
      <formula>0</formula>
    </cfRule>
  </conditionalFormatting>
  <conditionalFormatting sqref="G17">
    <cfRule type="cellIs" dxfId="4" priority="3" operator="lessThan">
      <formula>100%</formula>
    </cfRule>
  </conditionalFormatting>
  <conditionalFormatting sqref="G17">
    <cfRule type="cellIs" dxfId="4" priority="4" operator="greaterThan">
      <formula>100%</formula>
    </cfRule>
  </conditionalFormatting>
  <conditionalFormatting sqref="G17">
    <cfRule type="cellIs" dxfId="2" priority="5" operator="equal">
      <formula>"100%"</formula>
    </cfRule>
  </conditionalFormatting>
  <conditionalFormatting sqref="G22">
    <cfRule type="cellIs" dxfId="4" priority="6" operator="greaterThan">
      <formula>100%</formula>
    </cfRule>
  </conditionalFormatting>
  <conditionalFormatting sqref="G22">
    <cfRule type="cellIs" dxfId="4" priority="7" operator="lessThan">
      <formula>100%</formula>
    </cfRule>
  </conditionalFormatting>
  <conditionalFormatting sqref="G22">
    <cfRule type="cellIs" dxfId="2" priority="8" operator="equal">
      <formula>"100%"</formula>
    </cfRule>
  </conditionalFormatting>
  <conditionalFormatting sqref="G27 G30 E49">
    <cfRule type="cellIs" dxfId="4" priority="9" operator="lessThan">
      <formula>100%</formula>
    </cfRule>
  </conditionalFormatting>
  <conditionalFormatting sqref="G27 G30 E49">
    <cfRule type="cellIs" dxfId="4" priority="10" operator="greaterThan">
      <formula>100%</formula>
    </cfRule>
  </conditionalFormatting>
  <conditionalFormatting sqref="G27 G30 E49">
    <cfRule type="cellIs" dxfId="2" priority="11" operator="equal">
      <formula>"100%"</formula>
    </cfRule>
  </conditionalFormatting>
  <drawing r:id="rId1"/>
</worksheet>
</file>