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investment tracking spreadsheet\"/>
    </mc:Choice>
  </mc:AlternateContent>
  <bookViews>
    <workbookView xWindow="0" yWindow="0" windowWidth="20490" windowHeight="7755"/>
  </bookViews>
  <sheets>
    <sheet name="Dividend Portfolio TRACKER" sheetId="1" r:id="rId1"/>
  </sheets>
  <calcPr calcId="152511"/>
</workbook>
</file>

<file path=xl/calcChain.xml><?xml version="1.0" encoding="utf-8"?>
<calcChain xmlns="http://schemas.openxmlformats.org/spreadsheetml/2006/main">
  <c r="F140" i="1" l="1"/>
  <c r="F130" i="1"/>
  <c r="D130" i="1"/>
  <c r="Q129" i="1"/>
  <c r="F129" i="1"/>
  <c r="O129" i="1" s="1"/>
  <c r="Q128" i="1"/>
  <c r="F128" i="1"/>
  <c r="O128" i="1" s="1"/>
  <c r="Q127" i="1"/>
  <c r="F127" i="1"/>
  <c r="O127" i="1" s="1"/>
  <c r="F126" i="1"/>
  <c r="O126" i="1" s="1"/>
  <c r="E126" i="1"/>
  <c r="B126" i="1"/>
  <c r="Q126" i="1" s="1"/>
  <c r="A126" i="1"/>
  <c r="F125" i="1"/>
  <c r="O125" i="1" s="1"/>
  <c r="E125" i="1"/>
  <c r="B125" i="1"/>
  <c r="Q125" i="1" s="1"/>
  <c r="A125" i="1"/>
  <c r="G124" i="1"/>
  <c r="F124" i="1"/>
  <c r="E124" i="1"/>
  <c r="O124" i="1" s="1"/>
  <c r="B124" i="1"/>
  <c r="Q124" i="1" s="1"/>
  <c r="A124" i="1"/>
  <c r="F123" i="1"/>
  <c r="O123" i="1" s="1"/>
  <c r="E123" i="1"/>
  <c r="G123" i="1" s="1"/>
  <c r="B123" i="1"/>
  <c r="Q123" i="1" s="1"/>
  <c r="A123" i="1"/>
  <c r="Q122" i="1"/>
  <c r="O122" i="1"/>
  <c r="Q121" i="1"/>
  <c r="O121" i="1"/>
  <c r="G121" i="1"/>
  <c r="Q120" i="1"/>
  <c r="F120" i="1"/>
  <c r="O120" i="1" s="1"/>
  <c r="E120" i="1"/>
  <c r="B120" i="1"/>
  <c r="A120" i="1"/>
  <c r="Q119" i="1"/>
  <c r="O119" i="1"/>
  <c r="A119" i="1"/>
  <c r="Q118" i="1"/>
  <c r="F118" i="1"/>
  <c r="O118" i="1" s="1"/>
  <c r="E118" i="1"/>
  <c r="B118" i="1"/>
  <c r="Q117" i="1"/>
  <c r="F117" i="1"/>
  <c r="O117" i="1" s="1"/>
  <c r="E117" i="1"/>
  <c r="B117" i="1"/>
  <c r="A117" i="1"/>
  <c r="Q116" i="1"/>
  <c r="F116" i="1"/>
  <c r="O116" i="1" s="1"/>
  <c r="Q115" i="1"/>
  <c r="F115" i="1"/>
  <c r="O115" i="1" s="1"/>
  <c r="E115" i="1"/>
  <c r="F114" i="1"/>
  <c r="O114" i="1" s="1"/>
  <c r="E114" i="1"/>
  <c r="B114" i="1"/>
  <c r="Q114" i="1" s="1"/>
  <c r="A114" i="1"/>
  <c r="F113" i="1"/>
  <c r="O113" i="1" s="1"/>
  <c r="E113" i="1"/>
  <c r="B113" i="1"/>
  <c r="Q113" i="1" s="1"/>
  <c r="A113" i="1"/>
  <c r="F112" i="1"/>
  <c r="O112" i="1" s="1"/>
  <c r="E112" i="1"/>
  <c r="B112" i="1"/>
  <c r="Q112" i="1" s="1"/>
  <c r="F111" i="1"/>
  <c r="O111" i="1" s="1"/>
  <c r="E111" i="1"/>
  <c r="B111" i="1"/>
  <c r="Q111" i="1" s="1"/>
  <c r="A111" i="1"/>
  <c r="F110" i="1"/>
  <c r="O110" i="1" s="1"/>
  <c r="E110" i="1"/>
  <c r="B110" i="1"/>
  <c r="Q110" i="1" s="1"/>
  <c r="A110" i="1"/>
  <c r="F109" i="1"/>
  <c r="O109" i="1" s="1"/>
  <c r="B109" i="1"/>
  <c r="Q109" i="1" s="1"/>
  <c r="Q108" i="1"/>
  <c r="F108" i="1"/>
  <c r="O108" i="1" s="1"/>
  <c r="E108" i="1"/>
  <c r="B108" i="1"/>
  <c r="A108" i="1"/>
  <c r="Q107" i="1"/>
  <c r="F107" i="1"/>
  <c r="O107" i="1" s="1"/>
  <c r="E107" i="1"/>
  <c r="B107" i="1"/>
  <c r="A107" i="1"/>
  <c r="Q106" i="1"/>
  <c r="F106" i="1"/>
  <c r="O106" i="1" s="1"/>
  <c r="E106" i="1"/>
  <c r="B106" i="1"/>
  <c r="A106" i="1"/>
  <c r="Q105" i="1"/>
  <c r="F105" i="1"/>
  <c r="O105" i="1" s="1"/>
  <c r="E105" i="1"/>
  <c r="B105" i="1"/>
  <c r="A105" i="1"/>
  <c r="Q104" i="1"/>
  <c r="F104" i="1"/>
  <c r="O104" i="1" s="1"/>
  <c r="E104" i="1"/>
  <c r="B104" i="1"/>
  <c r="A104" i="1"/>
  <c r="Q103" i="1"/>
  <c r="F103" i="1"/>
  <c r="O103" i="1" s="1"/>
  <c r="E103" i="1"/>
  <c r="B103" i="1"/>
  <c r="F102" i="1"/>
  <c r="O102" i="1" s="1"/>
  <c r="E102" i="1"/>
  <c r="B102" i="1"/>
  <c r="Q102" i="1" s="1"/>
  <c r="F101" i="1"/>
  <c r="O101" i="1" s="1"/>
  <c r="E101" i="1"/>
  <c r="B101" i="1"/>
  <c r="Q101" i="1" s="1"/>
  <c r="F100" i="1"/>
  <c r="O100" i="1" s="1"/>
  <c r="E100" i="1"/>
  <c r="B100" i="1"/>
  <c r="Q100" i="1" s="1"/>
  <c r="Q99" i="1"/>
  <c r="F99" i="1"/>
  <c r="O99" i="1" s="1"/>
  <c r="E99" i="1"/>
  <c r="B99" i="1"/>
  <c r="A99" i="1"/>
  <c r="F98" i="1"/>
  <c r="O98" i="1" s="1"/>
  <c r="E98" i="1"/>
  <c r="B98" i="1"/>
  <c r="Q98" i="1" s="1"/>
  <c r="A98" i="1"/>
  <c r="F97" i="1"/>
  <c r="O97" i="1" s="1"/>
  <c r="E97" i="1"/>
  <c r="B97" i="1"/>
  <c r="Q97" i="1" s="1"/>
  <c r="A97" i="1"/>
  <c r="Q96" i="1"/>
  <c r="O96" i="1"/>
  <c r="F95" i="1"/>
  <c r="E95" i="1"/>
  <c r="B95" i="1"/>
  <c r="Q95" i="1" s="1"/>
  <c r="O94" i="1"/>
  <c r="F94" i="1"/>
  <c r="E94" i="1"/>
  <c r="B94" i="1"/>
  <c r="Q94" i="1" s="1"/>
  <c r="A94" i="1"/>
  <c r="Q93" i="1"/>
  <c r="O93" i="1"/>
  <c r="A93" i="1"/>
  <c r="F92" i="1"/>
  <c r="E92" i="1"/>
  <c r="O92" i="1" s="1"/>
  <c r="B92" i="1"/>
  <c r="Q92" i="1" s="1"/>
  <c r="F91" i="1"/>
  <c r="E91" i="1"/>
  <c r="O91" i="1" s="1"/>
  <c r="B91" i="1"/>
  <c r="Q91" i="1" s="1"/>
  <c r="Q90" i="1"/>
  <c r="F90" i="1"/>
  <c r="E90" i="1"/>
  <c r="B90" i="1"/>
  <c r="A90" i="1"/>
  <c r="Q89" i="1"/>
  <c r="F89" i="1"/>
  <c r="E89" i="1"/>
  <c r="B89" i="1"/>
  <c r="F88" i="1"/>
  <c r="O88" i="1" s="1"/>
  <c r="E88" i="1"/>
  <c r="B88" i="1"/>
  <c r="Q88" i="1" s="1"/>
  <c r="A88" i="1"/>
  <c r="F87" i="1"/>
  <c r="O87" i="1" s="1"/>
  <c r="E87" i="1"/>
  <c r="B87" i="1"/>
  <c r="Q87" i="1" s="1"/>
  <c r="F86" i="1"/>
  <c r="O86" i="1" s="1"/>
  <c r="E86" i="1"/>
  <c r="B86" i="1"/>
  <c r="Q86" i="1" s="1"/>
  <c r="A86" i="1"/>
  <c r="Q85" i="1"/>
  <c r="F85" i="1"/>
  <c r="O85" i="1" s="1"/>
  <c r="F84" i="1"/>
  <c r="O84" i="1" s="1"/>
  <c r="E84" i="1"/>
  <c r="B84" i="1"/>
  <c r="Q84" i="1" s="1"/>
  <c r="F83" i="1"/>
  <c r="O83" i="1" s="1"/>
  <c r="E83" i="1"/>
  <c r="B83" i="1"/>
  <c r="Q83" i="1" s="1"/>
  <c r="Q82" i="1"/>
  <c r="F82" i="1"/>
  <c r="O82" i="1" s="1"/>
  <c r="E82" i="1"/>
  <c r="B82" i="1"/>
  <c r="Q81" i="1"/>
  <c r="F81" i="1"/>
  <c r="O81" i="1" s="1"/>
  <c r="E81" i="1"/>
  <c r="B81" i="1"/>
  <c r="A81" i="1"/>
  <c r="Q80" i="1"/>
  <c r="F80" i="1"/>
  <c r="O80" i="1" s="1"/>
  <c r="E80" i="1"/>
  <c r="B80" i="1"/>
  <c r="Q79" i="1"/>
  <c r="O79" i="1"/>
  <c r="F78" i="1"/>
  <c r="O78" i="1" s="1"/>
  <c r="E78" i="1"/>
  <c r="B78" i="1"/>
  <c r="Q78" i="1" s="1"/>
  <c r="A78" i="1"/>
  <c r="F77" i="1"/>
  <c r="O77" i="1" s="1"/>
  <c r="E77" i="1"/>
  <c r="B77" i="1"/>
  <c r="Q77" i="1" s="1"/>
  <c r="A77" i="1"/>
  <c r="F76" i="1"/>
  <c r="O76" i="1" s="1"/>
  <c r="E76" i="1"/>
  <c r="B76" i="1"/>
  <c r="Q76" i="1" s="1"/>
  <c r="A76" i="1"/>
  <c r="Q75" i="1"/>
  <c r="O75" i="1"/>
  <c r="H75" i="1"/>
  <c r="G75" i="1"/>
  <c r="O74" i="1"/>
  <c r="F74" i="1"/>
  <c r="E74" i="1"/>
  <c r="B74" i="1"/>
  <c r="Q74" i="1" s="1"/>
  <c r="Q73" i="1"/>
  <c r="F73" i="1"/>
  <c r="O73" i="1" s="1"/>
  <c r="Q72" i="1"/>
  <c r="O72" i="1"/>
  <c r="F71" i="1"/>
  <c r="O71" i="1" s="1"/>
  <c r="E71" i="1"/>
  <c r="B71" i="1"/>
  <c r="Q71" i="1" s="1"/>
  <c r="Q70" i="1"/>
  <c r="F70" i="1"/>
  <c r="E70" i="1"/>
  <c r="B70" i="1"/>
  <c r="Q69" i="1"/>
  <c r="F69" i="1"/>
  <c r="O69" i="1" s="1"/>
  <c r="E69" i="1"/>
  <c r="B69" i="1"/>
  <c r="A69" i="1"/>
  <c r="Q68" i="1"/>
  <c r="F68" i="1"/>
  <c r="O68" i="1" s="1"/>
  <c r="E68" i="1"/>
  <c r="B68" i="1"/>
  <c r="A68" i="1"/>
  <c r="Q67" i="1"/>
  <c r="F67" i="1"/>
  <c r="O67" i="1" s="1"/>
  <c r="E67" i="1"/>
  <c r="B67" i="1"/>
  <c r="A67" i="1"/>
  <c r="Q66" i="1"/>
  <c r="F66" i="1"/>
  <c r="O66" i="1" s="1"/>
  <c r="E66" i="1"/>
  <c r="B66" i="1"/>
  <c r="A66" i="1"/>
  <c r="Q65" i="1"/>
  <c r="O65" i="1"/>
  <c r="A65" i="1"/>
  <c r="Q64" i="1"/>
  <c r="O64" i="1"/>
  <c r="Q63" i="1"/>
  <c r="F63" i="1"/>
  <c r="O63" i="1" s="1"/>
  <c r="E63" i="1"/>
  <c r="B63" i="1"/>
  <c r="A63" i="1"/>
  <c r="Q62" i="1"/>
  <c r="F62" i="1"/>
  <c r="O62" i="1" s="1"/>
  <c r="E62" i="1"/>
  <c r="B62" i="1"/>
  <c r="A62" i="1"/>
  <c r="Q61" i="1"/>
  <c r="F61" i="1"/>
  <c r="O61" i="1" s="1"/>
  <c r="E61" i="1"/>
  <c r="B61" i="1"/>
  <c r="A61" i="1"/>
  <c r="Q60" i="1"/>
  <c r="O60" i="1"/>
  <c r="A60" i="1"/>
  <c r="F59" i="1"/>
  <c r="E59" i="1"/>
  <c r="O59" i="1" s="1"/>
  <c r="B59" i="1"/>
  <c r="Q59" i="1" s="1"/>
  <c r="A59" i="1"/>
  <c r="Q58" i="1"/>
  <c r="O58" i="1"/>
  <c r="F57" i="1"/>
  <c r="O57" i="1" s="1"/>
  <c r="E57" i="1"/>
  <c r="B57" i="1"/>
  <c r="Q57" i="1" s="1"/>
  <c r="Q56" i="1"/>
  <c r="F56" i="1"/>
  <c r="O56" i="1" s="1"/>
  <c r="E56" i="1"/>
  <c r="B56" i="1"/>
  <c r="A56" i="1"/>
  <c r="Q55" i="1"/>
  <c r="F55" i="1"/>
  <c r="O55" i="1" s="1"/>
  <c r="F54" i="1"/>
  <c r="O54" i="1" s="1"/>
  <c r="E54" i="1"/>
  <c r="B54" i="1"/>
  <c r="Q54" i="1" s="1"/>
  <c r="A54" i="1"/>
  <c r="Q53" i="1"/>
  <c r="O53" i="1"/>
  <c r="F53" i="1"/>
  <c r="F52" i="1"/>
  <c r="O52" i="1" s="1"/>
  <c r="E52" i="1"/>
  <c r="B52" i="1"/>
  <c r="Q52" i="1" s="1"/>
  <c r="F51" i="1"/>
  <c r="O51" i="1" s="1"/>
  <c r="E51" i="1"/>
  <c r="B51" i="1"/>
  <c r="Q51" i="1" s="1"/>
  <c r="Q50" i="1"/>
  <c r="F50" i="1"/>
  <c r="O50" i="1" s="1"/>
  <c r="E50" i="1"/>
  <c r="B50" i="1"/>
  <c r="Q49" i="1"/>
  <c r="F49" i="1"/>
  <c r="O49" i="1" s="1"/>
  <c r="E49" i="1"/>
  <c r="B49" i="1"/>
  <c r="F48" i="1"/>
  <c r="O48" i="1" s="1"/>
  <c r="E48" i="1"/>
  <c r="B48" i="1"/>
  <c r="Q48" i="1" s="1"/>
  <c r="A48" i="1"/>
  <c r="F47" i="1"/>
  <c r="O47" i="1" s="1"/>
  <c r="E47" i="1"/>
  <c r="B47" i="1"/>
  <c r="Q47" i="1" s="1"/>
  <c r="F46" i="1"/>
  <c r="O46" i="1" s="1"/>
  <c r="E46" i="1"/>
  <c r="B46" i="1"/>
  <c r="Q46" i="1" s="1"/>
  <c r="A46" i="1"/>
  <c r="F45" i="1"/>
  <c r="O45" i="1" s="1"/>
  <c r="E45" i="1"/>
  <c r="B45" i="1"/>
  <c r="Q45" i="1" s="1"/>
  <c r="A45" i="1"/>
  <c r="F44" i="1"/>
  <c r="O44" i="1" s="1"/>
  <c r="E44" i="1"/>
  <c r="B44" i="1"/>
  <c r="Q44" i="1" s="1"/>
  <c r="A44" i="1"/>
  <c r="Q43" i="1"/>
  <c r="O43" i="1"/>
  <c r="A43" i="1"/>
  <c r="F42" i="1"/>
  <c r="O42" i="1" s="1"/>
  <c r="E42" i="1"/>
  <c r="B42" i="1"/>
  <c r="Q42" i="1" s="1"/>
  <c r="A42" i="1"/>
  <c r="F41" i="1"/>
  <c r="O41" i="1" s="1"/>
  <c r="E41" i="1"/>
  <c r="B41" i="1"/>
  <c r="Q41" i="1" s="1"/>
  <c r="A41" i="1"/>
  <c r="F40" i="1"/>
  <c r="O40" i="1" s="1"/>
  <c r="E40" i="1"/>
  <c r="B40" i="1"/>
  <c r="Q40" i="1" s="1"/>
  <c r="A40" i="1"/>
  <c r="O39" i="1"/>
  <c r="F39" i="1"/>
  <c r="G39" i="1" s="1"/>
  <c r="E39" i="1"/>
  <c r="B39" i="1"/>
  <c r="Q39" i="1" s="1"/>
  <c r="A39" i="1"/>
  <c r="Q38" i="1"/>
  <c r="F38" i="1"/>
  <c r="O38" i="1" s="1"/>
  <c r="B38" i="1"/>
  <c r="A38" i="1"/>
  <c r="F37" i="1"/>
  <c r="O37" i="1" s="1"/>
  <c r="E37" i="1"/>
  <c r="B37" i="1"/>
  <c r="Q37" i="1" s="1"/>
  <c r="A37" i="1"/>
  <c r="F36" i="1"/>
  <c r="O36" i="1" s="1"/>
  <c r="E36" i="1"/>
  <c r="B36" i="1"/>
  <c r="Q36" i="1" s="1"/>
  <c r="A36" i="1"/>
  <c r="F35" i="1"/>
  <c r="O35" i="1" s="1"/>
  <c r="E35" i="1"/>
  <c r="B35" i="1"/>
  <c r="Q35" i="1" s="1"/>
  <c r="Q34" i="1"/>
  <c r="F34" i="1"/>
  <c r="O34" i="1" s="1"/>
  <c r="E34" i="1"/>
  <c r="B34" i="1"/>
  <c r="Q33" i="1"/>
  <c r="F33" i="1"/>
  <c r="O33" i="1" s="1"/>
  <c r="E33" i="1"/>
  <c r="B33" i="1"/>
  <c r="O32" i="1"/>
  <c r="F32" i="1"/>
  <c r="G32" i="1" s="1"/>
  <c r="E32" i="1"/>
  <c r="B32" i="1"/>
  <c r="Q32" i="1" s="1"/>
  <c r="A32" i="1"/>
  <c r="Q31" i="1"/>
  <c r="F31" i="1"/>
  <c r="O31" i="1" s="1"/>
  <c r="E31" i="1"/>
  <c r="B31" i="1"/>
  <c r="A31" i="1"/>
  <c r="Q30" i="1"/>
  <c r="F30" i="1"/>
  <c r="O30" i="1" s="1"/>
  <c r="E30" i="1"/>
  <c r="B30" i="1"/>
  <c r="A30" i="1"/>
  <c r="Q29" i="1"/>
  <c r="F29" i="1"/>
  <c r="O29" i="1" s="1"/>
  <c r="E29" i="1"/>
  <c r="B29" i="1"/>
  <c r="A29" i="1"/>
  <c r="Q28" i="1"/>
  <c r="O28" i="1"/>
  <c r="G28" i="1"/>
  <c r="A28" i="1"/>
  <c r="Q27" i="1"/>
  <c r="F27" i="1"/>
  <c r="O27" i="1" s="1"/>
  <c r="E27" i="1"/>
  <c r="B27" i="1"/>
  <c r="Q26" i="1"/>
  <c r="O26" i="1"/>
  <c r="O25" i="1"/>
  <c r="F25" i="1"/>
  <c r="E25" i="1"/>
  <c r="B25" i="1"/>
  <c r="Q25" i="1" s="1"/>
  <c r="A25" i="1"/>
  <c r="F24" i="1"/>
  <c r="O24" i="1" s="1"/>
  <c r="E24" i="1"/>
  <c r="B24" i="1"/>
  <c r="Q24" i="1" s="1"/>
  <c r="A24" i="1"/>
  <c r="O23" i="1"/>
  <c r="F23" i="1"/>
  <c r="E23" i="1"/>
  <c r="B23" i="1"/>
  <c r="Q23" i="1" s="1"/>
  <c r="A23" i="1"/>
  <c r="O22" i="1"/>
  <c r="F22" i="1"/>
  <c r="E22" i="1"/>
  <c r="G22" i="1" s="1"/>
  <c r="B22" i="1"/>
  <c r="Q22" i="1" s="1"/>
  <c r="A22" i="1"/>
  <c r="Q21" i="1"/>
  <c r="O21" i="1"/>
  <c r="A21" i="1"/>
  <c r="O20" i="1"/>
  <c r="G20" i="1"/>
  <c r="F20" i="1"/>
  <c r="E20" i="1"/>
  <c r="B20" i="1"/>
  <c r="Q20" i="1" s="1"/>
  <c r="A20" i="1"/>
  <c r="Q19" i="1"/>
  <c r="F19" i="1"/>
  <c r="O19" i="1" s="1"/>
  <c r="E19" i="1"/>
  <c r="B19" i="1"/>
  <c r="F18" i="1"/>
  <c r="E18" i="1"/>
  <c r="O18" i="1" s="1"/>
  <c r="B18" i="1"/>
  <c r="Q18" i="1" s="1"/>
  <c r="A18" i="1"/>
  <c r="Q17" i="1"/>
  <c r="O17" i="1"/>
  <c r="A17" i="1"/>
  <c r="Q16" i="1"/>
  <c r="O16" i="1"/>
  <c r="G16" i="1"/>
  <c r="F15" i="1"/>
  <c r="G15" i="1" s="1"/>
  <c r="E15" i="1"/>
  <c r="B15" i="1"/>
  <c r="Q15" i="1" s="1"/>
  <c r="A15" i="1"/>
  <c r="Q14" i="1"/>
  <c r="O14" i="1"/>
  <c r="F13" i="1"/>
  <c r="O13" i="1" s="1"/>
  <c r="E13" i="1"/>
  <c r="B13" i="1"/>
  <c r="Q13" i="1" s="1"/>
  <c r="Q12" i="1"/>
  <c r="H12" i="1"/>
  <c r="G12" i="1"/>
  <c r="F12" i="1"/>
  <c r="O12" i="1" s="1"/>
  <c r="E12" i="1"/>
  <c r="B12" i="1"/>
  <c r="A12" i="1"/>
  <c r="F11" i="1"/>
  <c r="G11" i="1" s="1"/>
  <c r="E11" i="1"/>
  <c r="B11" i="1"/>
  <c r="Q11" i="1" s="1"/>
  <c r="A11" i="1"/>
  <c r="G10" i="1"/>
  <c r="F10" i="1"/>
  <c r="E10" i="1"/>
  <c r="O10" i="1" s="1"/>
  <c r="B10" i="1"/>
  <c r="Q10" i="1" s="1"/>
  <c r="A10" i="1"/>
  <c r="Q9" i="1"/>
  <c r="G9" i="1"/>
  <c r="F9" i="1"/>
  <c r="O9" i="1" s="1"/>
  <c r="F8" i="1"/>
  <c r="O8" i="1" s="1"/>
  <c r="E8" i="1"/>
  <c r="B8" i="1"/>
  <c r="Q8" i="1" s="1"/>
  <c r="G7" i="1"/>
  <c r="F7" i="1"/>
  <c r="O7" i="1" s="1"/>
  <c r="E7" i="1"/>
  <c r="B7" i="1"/>
  <c r="Q7" i="1" s="1"/>
  <c r="Q6" i="1"/>
  <c r="O6" i="1"/>
  <c r="G6" i="1"/>
  <c r="A6" i="1"/>
  <c r="G5" i="1"/>
  <c r="F5" i="1"/>
  <c r="O5" i="1" s="1"/>
  <c r="E5" i="1"/>
  <c r="B5" i="1"/>
  <c r="Q5" i="1" s="1"/>
  <c r="A5" i="1"/>
  <c r="Q4" i="1"/>
  <c r="O4" i="1"/>
  <c r="G4" i="1"/>
  <c r="A4" i="1"/>
  <c r="H3" i="1"/>
  <c r="H131" i="1" s="1"/>
  <c r="F3" i="1"/>
  <c r="F131" i="1" s="1"/>
  <c r="E3" i="1"/>
  <c r="O3" i="1" s="1"/>
  <c r="B3" i="1"/>
  <c r="Q3" i="1" s="1"/>
  <c r="A3" i="1"/>
  <c r="I123" i="1"/>
  <c r="C118" i="1"/>
  <c r="C115" i="1"/>
  <c r="C109" i="1"/>
  <c r="C100" i="1"/>
  <c r="C129" i="1"/>
  <c r="C126" i="1"/>
  <c r="C125" i="1"/>
  <c r="C123" i="1"/>
  <c r="C121" i="1"/>
  <c r="C119" i="1"/>
  <c r="C111" i="1"/>
  <c r="C110" i="1"/>
  <c r="C101" i="1"/>
  <c r="C128" i="1"/>
  <c r="I124" i="1"/>
  <c r="I121" i="1"/>
  <c r="C116" i="1"/>
  <c r="C114" i="1"/>
  <c r="C113" i="1"/>
  <c r="C112" i="1"/>
  <c r="C102" i="1"/>
  <c r="C94" i="1"/>
  <c r="C91" i="1"/>
  <c r="C127" i="1"/>
  <c r="C124" i="1"/>
  <c r="C122" i="1"/>
  <c r="C120" i="1"/>
  <c r="C117" i="1"/>
  <c r="C108" i="1"/>
  <c r="C107" i="1"/>
  <c r="C106" i="1"/>
  <c r="C105" i="1"/>
  <c r="C104" i="1"/>
  <c r="C99" i="1"/>
  <c r="C98" i="1"/>
  <c r="C97" i="1"/>
  <c r="C96" i="1"/>
  <c r="C86" i="1"/>
  <c r="C83" i="1"/>
  <c r="C74" i="1"/>
  <c r="C71" i="1"/>
  <c r="C65" i="1"/>
  <c r="C59" i="1"/>
  <c r="C57" i="1"/>
  <c r="C54" i="1"/>
  <c r="C93" i="1"/>
  <c r="C92" i="1"/>
  <c r="C88" i="1"/>
  <c r="C87" i="1"/>
  <c r="C84" i="1"/>
  <c r="C78" i="1"/>
  <c r="C77" i="1"/>
  <c r="C103" i="1"/>
  <c r="C95" i="1"/>
  <c r="C89" i="1"/>
  <c r="C81" i="1"/>
  <c r="C80" i="1"/>
  <c r="I75" i="1"/>
  <c r="C75" i="1"/>
  <c r="C73" i="1"/>
  <c r="C72" i="1"/>
  <c r="C69" i="1"/>
  <c r="C68" i="1"/>
  <c r="C67" i="1"/>
  <c r="C90" i="1"/>
  <c r="C85" i="1"/>
  <c r="C82" i="1"/>
  <c r="C79" i="1"/>
  <c r="C70" i="1"/>
  <c r="C63" i="1"/>
  <c r="C62" i="1"/>
  <c r="C61" i="1"/>
  <c r="C56" i="1"/>
  <c r="C53" i="1"/>
  <c r="C60" i="1"/>
  <c r="C58" i="1"/>
  <c r="C50" i="1"/>
  <c r="C39" i="1"/>
  <c r="C34" i="1"/>
  <c r="C32" i="1"/>
  <c r="C31" i="1"/>
  <c r="C30" i="1"/>
  <c r="C29" i="1"/>
  <c r="C28" i="1"/>
  <c r="C26" i="1"/>
  <c r="C22" i="1"/>
  <c r="C76" i="1"/>
  <c r="C51" i="1"/>
  <c r="C46" i="1"/>
  <c r="C45" i="1"/>
  <c r="C44" i="1"/>
  <c r="I38" i="1"/>
  <c r="C38" i="1"/>
  <c r="C37" i="1"/>
  <c r="C36" i="1"/>
  <c r="C35" i="1"/>
  <c r="I28" i="1"/>
  <c r="C66" i="1"/>
  <c r="C52" i="1"/>
  <c r="C48" i="1"/>
  <c r="C47" i="1"/>
  <c r="C42" i="1"/>
  <c r="C41" i="1"/>
  <c r="C40" i="1"/>
  <c r="C25" i="1"/>
  <c r="C24" i="1"/>
  <c r="C23" i="1"/>
  <c r="C21" i="1"/>
  <c r="C64" i="1"/>
  <c r="C55" i="1"/>
  <c r="C49" i="1"/>
  <c r="C43" i="1"/>
  <c r="I39" i="1"/>
  <c r="C33" i="1"/>
  <c r="I32" i="1"/>
  <c r="C27" i="1"/>
  <c r="C20" i="1"/>
  <c r="C16" i="1"/>
  <c r="C15" i="1"/>
  <c r="C13" i="1"/>
  <c r="I12" i="1"/>
  <c r="C11" i="1"/>
  <c r="C7" i="1"/>
  <c r="I6" i="1"/>
  <c r="C5" i="1"/>
  <c r="C4" i="1"/>
  <c r="C17" i="1"/>
  <c r="I16" i="1"/>
  <c r="I10" i="1"/>
  <c r="I4" i="1"/>
  <c r="C19" i="1"/>
  <c r="C14" i="1"/>
  <c r="C12" i="1"/>
  <c r="C10" i="1"/>
  <c r="I8" i="1"/>
  <c r="C3" i="1"/>
  <c r="I3" i="1"/>
  <c r="I22" i="1"/>
  <c r="I20" i="1"/>
  <c r="C18" i="1"/>
  <c r="I15" i="1"/>
  <c r="I11" i="1"/>
  <c r="I9" i="1"/>
  <c r="C9" i="1"/>
  <c r="C8" i="1"/>
  <c r="I7" i="1"/>
  <c r="C6" i="1"/>
  <c r="I5" i="1"/>
  <c r="N6" i="1" l="1"/>
  <c r="D6" i="1"/>
  <c r="D8" i="1"/>
  <c r="N8" i="1"/>
  <c r="N9" i="1"/>
  <c r="D9" i="1"/>
  <c r="N18" i="1"/>
  <c r="D18" i="1"/>
  <c r="D3" i="1"/>
  <c r="N3" i="1"/>
  <c r="D10" i="1"/>
  <c r="N10" i="1"/>
  <c r="N12" i="1"/>
  <c r="D12" i="1"/>
  <c r="D14" i="1"/>
  <c r="N14" i="1"/>
  <c r="N19" i="1"/>
  <c r="D19" i="1"/>
  <c r="D17" i="1"/>
  <c r="N17" i="1"/>
  <c r="N4" i="1"/>
  <c r="D4" i="1"/>
  <c r="N5" i="1"/>
  <c r="D5" i="1"/>
  <c r="N7" i="1"/>
  <c r="D7" i="1"/>
  <c r="N11" i="1"/>
  <c r="D11" i="1"/>
  <c r="N13" i="1"/>
  <c r="D13" i="1"/>
  <c r="N15" i="1"/>
  <c r="D15" i="1"/>
  <c r="N16" i="1"/>
  <c r="D16" i="1"/>
  <c r="N20" i="1"/>
  <c r="D20" i="1"/>
  <c r="N27" i="1"/>
  <c r="D27" i="1"/>
  <c r="N33" i="1"/>
  <c r="D33" i="1"/>
  <c r="D43" i="1"/>
  <c r="N43" i="1"/>
  <c r="N49" i="1"/>
  <c r="D49" i="1"/>
  <c r="D55" i="1"/>
  <c r="N55" i="1"/>
  <c r="D64" i="1"/>
  <c r="N64" i="1"/>
  <c r="D21" i="1"/>
  <c r="N21" i="1"/>
  <c r="N23" i="1"/>
  <c r="D23" i="1"/>
  <c r="N24" i="1"/>
  <c r="D24" i="1"/>
  <c r="N25" i="1"/>
  <c r="D25" i="1"/>
  <c r="N40" i="1"/>
  <c r="D40" i="1"/>
  <c r="N41" i="1"/>
  <c r="D41" i="1"/>
  <c r="N42" i="1"/>
  <c r="D42" i="1"/>
  <c r="N47" i="1"/>
  <c r="D47" i="1"/>
  <c r="N48" i="1"/>
  <c r="D48" i="1"/>
  <c r="N52" i="1"/>
  <c r="D52" i="1"/>
  <c r="N66" i="1"/>
  <c r="D66" i="1"/>
  <c r="D35" i="1"/>
  <c r="N35" i="1"/>
  <c r="D36" i="1"/>
  <c r="N36" i="1"/>
  <c r="D37" i="1"/>
  <c r="N37" i="1"/>
  <c r="D38" i="1"/>
  <c r="N38" i="1"/>
  <c r="D44" i="1"/>
  <c r="N44" i="1"/>
  <c r="D45" i="1"/>
  <c r="N45" i="1"/>
  <c r="D46" i="1"/>
  <c r="N46" i="1"/>
  <c r="D51" i="1"/>
  <c r="N51" i="1"/>
  <c r="D76" i="1"/>
  <c r="N76" i="1"/>
  <c r="N22" i="1"/>
  <c r="D22" i="1"/>
  <c r="N26" i="1"/>
  <c r="D26" i="1"/>
  <c r="N28" i="1"/>
  <c r="D28" i="1"/>
  <c r="N29" i="1"/>
  <c r="D29" i="1"/>
  <c r="N30" i="1"/>
  <c r="D30" i="1"/>
  <c r="N31" i="1"/>
  <c r="D31" i="1"/>
  <c r="N32" i="1"/>
  <c r="D32" i="1"/>
  <c r="N34" i="1"/>
  <c r="D34" i="1"/>
  <c r="N39" i="1"/>
  <c r="D39" i="1"/>
  <c r="N50" i="1"/>
  <c r="D50" i="1"/>
  <c r="N58" i="1"/>
  <c r="D58" i="1"/>
  <c r="D60" i="1"/>
  <c r="N60" i="1"/>
  <c r="N53" i="1"/>
  <c r="D53" i="1"/>
  <c r="N56" i="1"/>
  <c r="D56" i="1"/>
  <c r="N61" i="1"/>
  <c r="D61" i="1"/>
  <c r="N62" i="1"/>
  <c r="D62" i="1"/>
  <c r="N63" i="1"/>
  <c r="D63" i="1"/>
  <c r="D70" i="1"/>
  <c r="N70" i="1"/>
  <c r="D79" i="1"/>
  <c r="N79" i="1"/>
  <c r="N82" i="1"/>
  <c r="D82" i="1"/>
  <c r="N85" i="1"/>
  <c r="D85" i="1"/>
  <c r="N90" i="1"/>
  <c r="D90" i="1"/>
  <c r="N67" i="1"/>
  <c r="D67" i="1"/>
  <c r="N68" i="1"/>
  <c r="D68" i="1"/>
  <c r="N69" i="1"/>
  <c r="D69" i="1"/>
  <c r="N72" i="1"/>
  <c r="D72" i="1"/>
  <c r="N73" i="1"/>
  <c r="D73" i="1"/>
  <c r="N75" i="1"/>
  <c r="D75" i="1"/>
  <c r="N80" i="1"/>
  <c r="D80" i="1"/>
  <c r="N81" i="1"/>
  <c r="D81" i="1"/>
  <c r="N89" i="1"/>
  <c r="D89" i="1"/>
  <c r="D95" i="1"/>
  <c r="N95" i="1"/>
  <c r="N103" i="1"/>
  <c r="D103" i="1"/>
  <c r="D77" i="1"/>
  <c r="N77" i="1"/>
  <c r="D78" i="1"/>
  <c r="N78" i="1"/>
  <c r="D84" i="1"/>
  <c r="N84" i="1"/>
  <c r="D87" i="1"/>
  <c r="N87" i="1"/>
  <c r="D88" i="1"/>
  <c r="N88" i="1"/>
  <c r="D92" i="1"/>
  <c r="N92" i="1"/>
  <c r="D93" i="1"/>
  <c r="N93" i="1"/>
  <c r="D54" i="1"/>
  <c r="N54" i="1"/>
  <c r="D57" i="1"/>
  <c r="N57" i="1"/>
  <c r="D59" i="1"/>
  <c r="N59" i="1"/>
  <c r="N65" i="1"/>
  <c r="D65" i="1"/>
  <c r="N71" i="1"/>
  <c r="D71" i="1"/>
  <c r="N74" i="1"/>
  <c r="D74" i="1"/>
  <c r="N83" i="1"/>
  <c r="D83" i="1"/>
  <c r="N86" i="1"/>
  <c r="D86" i="1"/>
  <c r="D96" i="1"/>
  <c r="N96" i="1"/>
  <c r="D97" i="1"/>
  <c r="N97" i="1"/>
  <c r="D98" i="1"/>
  <c r="N98" i="1"/>
  <c r="D99" i="1"/>
  <c r="N99" i="1"/>
  <c r="N104" i="1"/>
  <c r="D104" i="1"/>
  <c r="N105" i="1"/>
  <c r="D105" i="1"/>
  <c r="N106" i="1"/>
  <c r="D106" i="1"/>
  <c r="N107" i="1"/>
  <c r="D107" i="1"/>
  <c r="N108" i="1"/>
  <c r="D108" i="1"/>
  <c r="N117" i="1"/>
  <c r="D117" i="1"/>
  <c r="N120" i="1"/>
  <c r="D120" i="1"/>
  <c r="D122" i="1"/>
  <c r="N122" i="1"/>
  <c r="D124" i="1"/>
  <c r="N124" i="1"/>
  <c r="N127" i="1"/>
  <c r="D127" i="1"/>
  <c r="N91" i="1"/>
  <c r="D91" i="1"/>
  <c r="N94" i="1"/>
  <c r="D94" i="1"/>
  <c r="N102" i="1"/>
  <c r="D102" i="1"/>
  <c r="N112" i="1"/>
  <c r="D112" i="1"/>
  <c r="N113" i="1"/>
  <c r="D113" i="1"/>
  <c r="N114" i="1"/>
  <c r="D114" i="1"/>
  <c r="N116" i="1"/>
  <c r="D116" i="1"/>
  <c r="N128" i="1"/>
  <c r="D128" i="1"/>
  <c r="D101" i="1"/>
  <c r="N101" i="1"/>
  <c r="D110" i="1"/>
  <c r="N110" i="1"/>
  <c r="D111" i="1"/>
  <c r="N111" i="1"/>
  <c r="D119" i="1"/>
  <c r="N119" i="1"/>
  <c r="D121" i="1"/>
  <c r="N121" i="1"/>
  <c r="D123" i="1"/>
  <c r="N123" i="1"/>
  <c r="D125" i="1"/>
  <c r="N125" i="1"/>
  <c r="D126" i="1"/>
  <c r="N126" i="1"/>
  <c r="N129" i="1"/>
  <c r="D129" i="1"/>
  <c r="N100" i="1"/>
  <c r="D100" i="1"/>
  <c r="N109" i="1"/>
  <c r="D109" i="1"/>
  <c r="N115" i="1"/>
  <c r="D115" i="1"/>
  <c r="N118" i="1"/>
  <c r="D118" i="1"/>
  <c r="Q132" i="1"/>
  <c r="Q131" i="1"/>
  <c r="O131" i="1" s="1"/>
  <c r="G8" i="1"/>
  <c r="O11" i="1"/>
  <c r="O15" i="1"/>
  <c r="G3" i="1"/>
  <c r="G38" i="1"/>
  <c r="O70" i="1"/>
  <c r="O89" i="1"/>
  <c r="O90" i="1"/>
  <c r="O95" i="1"/>
  <c r="J115" i="1" l="1"/>
  <c r="K115" i="1"/>
  <c r="J100" i="1"/>
  <c r="K100" i="1"/>
  <c r="K128" i="1"/>
  <c r="J128" i="1"/>
  <c r="K114" i="1"/>
  <c r="J114" i="1"/>
  <c r="K112" i="1"/>
  <c r="J112" i="1"/>
  <c r="J94" i="1"/>
  <c r="K94" i="1"/>
  <c r="J127" i="1"/>
  <c r="F146" i="1"/>
  <c r="K127" i="1"/>
  <c r="K117" i="1"/>
  <c r="J117" i="1"/>
  <c r="K107" i="1"/>
  <c r="J107" i="1"/>
  <c r="K105" i="1"/>
  <c r="J105" i="1"/>
  <c r="J86" i="1"/>
  <c r="K86" i="1"/>
  <c r="J74" i="1"/>
  <c r="K74" i="1"/>
  <c r="K65" i="1"/>
  <c r="J65" i="1"/>
  <c r="K81" i="1"/>
  <c r="J81" i="1"/>
  <c r="K75" i="1"/>
  <c r="J75" i="1"/>
  <c r="J72" i="1"/>
  <c r="K72" i="1"/>
  <c r="J68" i="1"/>
  <c r="K68" i="1"/>
  <c r="K90" i="1"/>
  <c r="J90" i="1"/>
  <c r="K82" i="1"/>
  <c r="J82" i="1"/>
  <c r="J62" i="1"/>
  <c r="K62" i="1"/>
  <c r="J56" i="1"/>
  <c r="K56" i="1"/>
  <c r="J50" i="1"/>
  <c r="K50" i="1"/>
  <c r="J34" i="1"/>
  <c r="K34" i="1"/>
  <c r="J31" i="1"/>
  <c r="K31" i="1"/>
  <c r="J29" i="1"/>
  <c r="K29" i="1"/>
  <c r="K26" i="1"/>
  <c r="J26" i="1"/>
  <c r="K52" i="1"/>
  <c r="J52" i="1"/>
  <c r="K47" i="1"/>
  <c r="J47" i="1"/>
  <c r="F137" i="1"/>
  <c r="K41" i="1"/>
  <c r="J41" i="1"/>
  <c r="K25" i="1"/>
  <c r="J25" i="1"/>
  <c r="K23" i="1"/>
  <c r="J23" i="1"/>
  <c r="K49" i="1"/>
  <c r="J49" i="1"/>
  <c r="F143" i="1"/>
  <c r="K33" i="1"/>
  <c r="J33" i="1"/>
  <c r="F136" i="1"/>
  <c r="K20" i="1"/>
  <c r="J20" i="1"/>
  <c r="K15" i="1"/>
  <c r="J15" i="1"/>
  <c r="F135" i="1"/>
  <c r="K11" i="1"/>
  <c r="J11" i="1"/>
  <c r="F134" i="1"/>
  <c r="K5" i="1"/>
  <c r="J5" i="1"/>
  <c r="K18" i="1"/>
  <c r="J18" i="1"/>
  <c r="K126" i="1"/>
  <c r="J126" i="1"/>
  <c r="K123" i="1"/>
  <c r="J123" i="1"/>
  <c r="K119" i="1"/>
  <c r="J119" i="1"/>
  <c r="K110" i="1"/>
  <c r="J110" i="1"/>
  <c r="K122" i="1"/>
  <c r="J122" i="1"/>
  <c r="K99" i="1"/>
  <c r="J99" i="1"/>
  <c r="K97" i="1"/>
  <c r="J97" i="1"/>
  <c r="J57" i="1"/>
  <c r="K57" i="1"/>
  <c r="J93" i="1"/>
  <c r="K93" i="1"/>
  <c r="K88" i="1"/>
  <c r="J88" i="1"/>
  <c r="K84" i="1"/>
  <c r="J84" i="1"/>
  <c r="K77" i="1"/>
  <c r="J77" i="1"/>
  <c r="K95" i="1"/>
  <c r="J95" i="1"/>
  <c r="K70" i="1"/>
  <c r="J70" i="1"/>
  <c r="J60" i="1"/>
  <c r="K60" i="1"/>
  <c r="K76" i="1"/>
  <c r="J76" i="1"/>
  <c r="K46" i="1"/>
  <c r="J46" i="1"/>
  <c r="K44" i="1"/>
  <c r="J44" i="1"/>
  <c r="K37" i="1"/>
  <c r="J37" i="1"/>
  <c r="K35" i="1"/>
  <c r="J35" i="1"/>
  <c r="J64" i="1"/>
  <c r="K64" i="1"/>
  <c r="K17" i="1"/>
  <c r="J17" i="1"/>
  <c r="J14" i="1"/>
  <c r="K14" i="1"/>
  <c r="J10" i="1"/>
  <c r="K10" i="1"/>
  <c r="F133" i="1"/>
  <c r="K8" i="1"/>
  <c r="J8" i="1"/>
  <c r="J118" i="1"/>
  <c r="K118" i="1"/>
  <c r="K109" i="1"/>
  <c r="J109" i="1"/>
  <c r="K129" i="1"/>
  <c r="J129" i="1"/>
  <c r="K116" i="1"/>
  <c r="J116" i="1"/>
  <c r="K113" i="1"/>
  <c r="J113" i="1"/>
  <c r="K102" i="1"/>
  <c r="J102" i="1"/>
  <c r="J91" i="1"/>
  <c r="K91" i="1"/>
  <c r="K120" i="1"/>
  <c r="J120" i="1"/>
  <c r="K108" i="1"/>
  <c r="J108" i="1"/>
  <c r="K106" i="1"/>
  <c r="J106" i="1"/>
  <c r="K104" i="1"/>
  <c r="J104" i="1"/>
  <c r="J83" i="1"/>
  <c r="K83" i="1"/>
  <c r="J71" i="1"/>
  <c r="K71" i="1"/>
  <c r="K103" i="1"/>
  <c r="J103" i="1"/>
  <c r="K89" i="1"/>
  <c r="J89" i="1"/>
  <c r="K80" i="1"/>
  <c r="J80" i="1"/>
  <c r="K73" i="1"/>
  <c r="J73" i="1"/>
  <c r="J69" i="1"/>
  <c r="K69" i="1"/>
  <c r="J67" i="1"/>
  <c r="K67" i="1"/>
  <c r="J85" i="1"/>
  <c r="K85" i="1"/>
  <c r="J63" i="1"/>
  <c r="K63" i="1"/>
  <c r="J61" i="1"/>
  <c r="K61" i="1"/>
  <c r="J53" i="1"/>
  <c r="K53" i="1"/>
  <c r="J58" i="1"/>
  <c r="K58" i="1"/>
  <c r="K39" i="1"/>
  <c r="J39" i="1"/>
  <c r="K32" i="1"/>
  <c r="J32" i="1"/>
  <c r="J30" i="1"/>
  <c r="K30" i="1"/>
  <c r="J28" i="1"/>
  <c r="K28" i="1"/>
  <c r="F142" i="1"/>
  <c r="K22" i="1"/>
  <c r="J22" i="1"/>
  <c r="K66" i="1"/>
  <c r="J66" i="1"/>
  <c r="K48" i="1"/>
  <c r="J48" i="1"/>
  <c r="K42" i="1"/>
  <c r="J42" i="1"/>
  <c r="K40" i="1"/>
  <c r="J40" i="1"/>
  <c r="K24" i="1"/>
  <c r="J24" i="1"/>
  <c r="F139" i="1"/>
  <c r="K27" i="1"/>
  <c r="J27" i="1"/>
  <c r="J16" i="1"/>
  <c r="K16" i="1"/>
  <c r="J13" i="1"/>
  <c r="K13" i="1"/>
  <c r="K7" i="1"/>
  <c r="J7" i="1"/>
  <c r="F145" i="1"/>
  <c r="E145" i="1" s="1"/>
  <c r="J4" i="1"/>
  <c r="K4" i="1"/>
  <c r="K19" i="1"/>
  <c r="J19" i="1"/>
  <c r="K12" i="1"/>
  <c r="J12" i="1"/>
  <c r="K9" i="1"/>
  <c r="J9" i="1"/>
  <c r="F138" i="1"/>
  <c r="K6" i="1"/>
  <c r="J6" i="1"/>
  <c r="K125" i="1"/>
  <c r="J125" i="1"/>
  <c r="K121" i="1"/>
  <c r="J121" i="1"/>
  <c r="F141" i="1"/>
  <c r="K111" i="1"/>
  <c r="J111" i="1"/>
  <c r="K101" i="1"/>
  <c r="J101" i="1"/>
  <c r="K124" i="1"/>
  <c r="J124" i="1"/>
  <c r="K98" i="1"/>
  <c r="J98" i="1"/>
  <c r="K96" i="1"/>
  <c r="J96" i="1"/>
  <c r="J59" i="1"/>
  <c r="K59" i="1"/>
  <c r="J54" i="1"/>
  <c r="K54" i="1"/>
  <c r="K92" i="1"/>
  <c r="J92" i="1"/>
  <c r="K87" i="1"/>
  <c r="J87" i="1"/>
  <c r="K78" i="1"/>
  <c r="J78" i="1"/>
  <c r="K79" i="1"/>
  <c r="J79" i="1"/>
  <c r="K51" i="1"/>
  <c r="J51" i="1"/>
  <c r="K45" i="1"/>
  <c r="J45" i="1"/>
  <c r="J38" i="1"/>
  <c r="K38" i="1"/>
  <c r="K36" i="1"/>
  <c r="J36" i="1"/>
  <c r="J21" i="1"/>
  <c r="K21" i="1"/>
  <c r="J55" i="1"/>
  <c r="K55" i="1"/>
  <c r="K43" i="1"/>
  <c r="J43" i="1"/>
  <c r="F144" i="1"/>
  <c r="D131" i="1"/>
  <c r="P45" i="1" s="1"/>
  <c r="K3" i="1"/>
  <c r="J3" i="1"/>
  <c r="P12" i="1" l="1"/>
  <c r="P19" i="1"/>
  <c r="P111" i="1"/>
  <c r="P78" i="1"/>
  <c r="P96" i="1"/>
  <c r="E144" i="1"/>
  <c r="P87" i="1"/>
  <c r="P101" i="1"/>
  <c r="P3" i="1"/>
  <c r="P21" i="1"/>
  <c r="P43" i="1"/>
  <c r="P55" i="1"/>
  <c r="K131" i="1"/>
  <c r="J131" i="1"/>
  <c r="P130" i="1"/>
  <c r="E140" i="1"/>
  <c r="P36" i="1"/>
  <c r="P38" i="1"/>
  <c r="P79" i="1"/>
  <c r="P92" i="1"/>
  <c r="P59" i="1"/>
  <c r="P98" i="1"/>
  <c r="P124" i="1"/>
  <c r="E141" i="1"/>
  <c r="P6" i="1"/>
  <c r="P9" i="1"/>
  <c r="P16" i="1"/>
  <c r="E139" i="1"/>
  <c r="P42" i="1"/>
  <c r="P61" i="1"/>
  <c r="P69" i="1"/>
  <c r="P104" i="1"/>
  <c r="P129" i="1"/>
  <c r="P37" i="1"/>
  <c r="P84" i="1"/>
  <c r="P119" i="1"/>
  <c r="P5" i="1"/>
  <c r="P11" i="1"/>
  <c r="P15" i="1"/>
  <c r="P41" i="1"/>
  <c r="P47" i="1"/>
  <c r="P34" i="1"/>
  <c r="P65" i="1"/>
  <c r="P86" i="1"/>
  <c r="P117" i="1"/>
  <c r="P94" i="1"/>
  <c r="P128" i="1"/>
  <c r="P100" i="1"/>
  <c r="P51" i="1"/>
  <c r="P54" i="1"/>
  <c r="P125" i="1"/>
  <c r="P7" i="1"/>
  <c r="P13" i="1"/>
  <c r="P40" i="1"/>
  <c r="P22" i="1"/>
  <c r="P30" i="1"/>
  <c r="P53" i="1"/>
  <c r="P67" i="1"/>
  <c r="P80" i="1"/>
  <c r="P120" i="1"/>
  <c r="P91" i="1"/>
  <c r="P116" i="1"/>
  <c r="P8" i="1"/>
  <c r="P14" i="1"/>
  <c r="P35" i="1"/>
  <c r="P76" i="1"/>
  <c r="P60" i="1"/>
  <c r="P77" i="1"/>
  <c r="P110" i="1"/>
  <c r="E136" i="1"/>
  <c r="E143" i="1"/>
  <c r="P25" i="1"/>
  <c r="P31" i="1"/>
  <c r="P62" i="1"/>
  <c r="P72" i="1"/>
  <c r="P74" i="1"/>
  <c r="P107" i="1"/>
  <c r="P127" i="1"/>
  <c r="P114" i="1"/>
  <c r="P121" i="1"/>
  <c r="E138" i="1"/>
  <c r="P4" i="1"/>
  <c r="P27" i="1"/>
  <c r="P24" i="1"/>
  <c r="P28" i="1"/>
  <c r="P39" i="1"/>
  <c r="P58" i="1"/>
  <c r="P85" i="1"/>
  <c r="P73" i="1"/>
  <c r="P83" i="1"/>
  <c r="P108" i="1"/>
  <c r="P113" i="1"/>
  <c r="P10" i="1"/>
  <c r="P46" i="1"/>
  <c r="P95" i="1"/>
  <c r="P57" i="1"/>
  <c r="P99" i="1"/>
  <c r="P122" i="1"/>
  <c r="P126" i="1"/>
  <c r="P18" i="1"/>
  <c r="E134" i="1"/>
  <c r="E135" i="1"/>
  <c r="P23" i="1"/>
  <c r="E137" i="1"/>
  <c r="P52" i="1"/>
  <c r="P26" i="1"/>
  <c r="P29" i="1"/>
  <c r="P56" i="1"/>
  <c r="P68" i="1"/>
  <c r="P81" i="1"/>
  <c r="P105" i="1"/>
  <c r="P112" i="1"/>
  <c r="P48" i="1"/>
  <c r="P66" i="1"/>
  <c r="E142" i="1"/>
  <c r="P32" i="1"/>
  <c r="P63" i="1"/>
  <c r="P89" i="1"/>
  <c r="P103" i="1"/>
  <c r="P71" i="1"/>
  <c r="P106" i="1"/>
  <c r="P102" i="1"/>
  <c r="P109" i="1"/>
  <c r="P118" i="1"/>
  <c r="E133" i="1"/>
  <c r="P17" i="1"/>
  <c r="P64" i="1"/>
  <c r="P44" i="1"/>
  <c r="P70" i="1"/>
  <c r="P88" i="1"/>
  <c r="P93" i="1"/>
  <c r="P97" i="1"/>
  <c r="P123" i="1"/>
  <c r="P20" i="1"/>
  <c r="P33" i="1"/>
  <c r="P49" i="1"/>
  <c r="P50" i="1"/>
  <c r="P82" i="1"/>
  <c r="P90" i="1"/>
  <c r="P75" i="1"/>
  <c r="E146" i="1"/>
  <c r="P115" i="1"/>
  <c r="P131" i="1" l="1"/>
  <c r="E147" i="1"/>
</calcChain>
</file>

<file path=xl/sharedStrings.xml><?xml version="1.0" encoding="utf-8"?>
<sst xmlns="http://schemas.openxmlformats.org/spreadsheetml/2006/main" count="217" uniqueCount="88">
  <si>
    <t>Click on the Ticker Symbol for Dividend Yield Data - Charts and Graphs</t>
  </si>
  <si>
    <t>Symbol</t>
  </si>
  <si>
    <t>Total Shares</t>
  </si>
  <si>
    <t>Current Price</t>
  </si>
  <si>
    <t>Market Value</t>
  </si>
  <si>
    <t>Initial Shares</t>
  </si>
  <si>
    <t>Purchase Price</t>
  </si>
  <si>
    <t>Commission</t>
  </si>
  <si>
    <t>Day Change</t>
  </si>
  <si>
    <t>Total Return</t>
  </si>
  <si>
    <t>% Return</t>
  </si>
  <si>
    <t>Sector</t>
  </si>
  <si>
    <t>Quarterly Dividend</t>
  </si>
  <si>
    <t>Current Yield</t>
  </si>
  <si>
    <t>Yield ON Cost</t>
  </si>
  <si>
    <t>Portfolio Weighting</t>
  </si>
  <si>
    <t>Estimated Annual Income</t>
  </si>
  <si>
    <t>Telecommunication Services</t>
  </si>
  <si>
    <t>Utilities</t>
  </si>
  <si>
    <t>Consumer Staples</t>
  </si>
  <si>
    <t>Industrials</t>
  </si>
  <si>
    <t>DAL</t>
  </si>
  <si>
    <t>F</t>
  </si>
  <si>
    <t>Consumer Discretionary</t>
  </si>
  <si>
    <t>HOG</t>
  </si>
  <si>
    <t>Energy</t>
  </si>
  <si>
    <t>TOT</t>
  </si>
  <si>
    <t>BP</t>
  </si>
  <si>
    <t>NYSE:BBL</t>
  </si>
  <si>
    <t>IP</t>
  </si>
  <si>
    <t>Financials</t>
  </si>
  <si>
    <t>Real Estate</t>
  </si>
  <si>
    <t>STOR</t>
  </si>
  <si>
    <t>AAPL</t>
  </si>
  <si>
    <t>Information Technology</t>
  </si>
  <si>
    <t>DWDP</t>
  </si>
  <si>
    <t>Materials</t>
  </si>
  <si>
    <t>BASFY</t>
  </si>
  <si>
    <t>EMN</t>
  </si>
  <si>
    <t>Health Care</t>
  </si>
  <si>
    <t>BK</t>
  </si>
  <si>
    <t>TD</t>
  </si>
  <si>
    <t>RY</t>
  </si>
  <si>
    <t>BMO</t>
  </si>
  <si>
    <t>PRU</t>
  </si>
  <si>
    <t>KMI</t>
  </si>
  <si>
    <t>UL</t>
  </si>
  <si>
    <t>ITW</t>
  </si>
  <si>
    <t>SWK</t>
  </si>
  <si>
    <t>TSCO</t>
  </si>
  <si>
    <t>RHHBY</t>
  </si>
  <si>
    <t>NSRGY</t>
  </si>
  <si>
    <t>BRDCY</t>
  </si>
  <si>
    <t>DEO</t>
  </si>
  <si>
    <t>BTI</t>
  </si>
  <si>
    <t>VOD</t>
  </si>
  <si>
    <t>INTC</t>
  </si>
  <si>
    <t>AVGO</t>
  </si>
  <si>
    <t>BEN</t>
  </si>
  <si>
    <t>PSA</t>
  </si>
  <si>
    <t>PSX</t>
  </si>
  <si>
    <t>NTR</t>
  </si>
  <si>
    <t>GT</t>
  </si>
  <si>
    <t>KHC</t>
  </si>
  <si>
    <t>FDX</t>
  </si>
  <si>
    <t>AXP</t>
  </si>
  <si>
    <t>ABBV</t>
  </si>
  <si>
    <t>MRK</t>
  </si>
  <si>
    <t>TAP</t>
  </si>
  <si>
    <t>STZ</t>
  </si>
  <si>
    <t>BUD</t>
  </si>
  <si>
    <t>MDLZ</t>
  </si>
  <si>
    <t>WRI</t>
  </si>
  <si>
    <t>VTR</t>
  </si>
  <si>
    <t>WPC</t>
  </si>
  <si>
    <t>CCI</t>
  </si>
  <si>
    <t>TXN</t>
  </si>
  <si>
    <t>PGX</t>
  </si>
  <si>
    <t>Other</t>
  </si>
  <si>
    <t>CBRL</t>
  </si>
  <si>
    <t>QQQ</t>
  </si>
  <si>
    <t>ETF</t>
  </si>
  <si>
    <t>SCHD</t>
  </si>
  <si>
    <t>SWPPX</t>
  </si>
  <si>
    <t>CASH</t>
  </si>
  <si>
    <t>Cash</t>
  </si>
  <si>
    <t>Total</t>
  </si>
  <si>
    <t>Portfolio Sector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</si>
</sst>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;\(#,##0.00\)"/>
  </numFmts>
  <fonts count="26">
    <font>
      <sz val="10"/>
      <color rgb="FF000000"/>
      <name val="Arial"/>
    </font>
    <font>
      <b/>
      <sz val="10"/>
      <color rgb="FF274E13"/>
      <name val="Arial"/>
    </font>
    <font>
      <sz val="10"/>
      <name val="Arial"/>
    </font>
    <font>
      <u/>
      <sz val="10"/>
      <name val="Arial"/>
    </font>
    <font>
      <b/>
      <sz val="10"/>
      <name val="Arial"/>
    </font>
    <font>
      <b/>
      <sz val="10"/>
      <color rgb="FF000000"/>
      <name val="Arial"/>
    </font>
    <font>
      <b/>
      <sz val="10"/>
      <name val="Arial"/>
    </font>
    <font>
      <b/>
      <u/>
      <sz val="10"/>
      <name val="Arial"/>
    </font>
    <font>
      <b/>
      <u/>
      <sz val="10"/>
      <color rgb="FF0000FF"/>
      <name val="Arial"/>
    </font>
    <font>
      <sz val="11"/>
      <color rgb="FF000000"/>
      <name val="Inconsolata"/>
    </font>
    <font>
      <sz val="10"/>
      <name val="Arial"/>
    </font>
    <font>
      <sz val="10"/>
      <name val="Arial"/>
    </font>
    <font>
      <b/>
      <sz val="10"/>
      <color rgb="FF0000FF"/>
      <name val="Arial"/>
    </font>
    <font>
      <u/>
      <sz val="1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FFFFFF"/>
      <name val="Arial"/>
    </font>
    <font>
      <u/>
      <sz val="10"/>
      <color rgb="FFFFFFFF"/>
      <name val="Arial"/>
    </font>
    <font>
      <b/>
      <u/>
      <sz val="10"/>
      <name val="Arial"/>
    </font>
    <font>
      <b/>
      <u/>
      <sz val="10"/>
      <name val="Arial"/>
    </font>
    <font>
      <u/>
      <sz val="10"/>
      <name val="Arial"/>
    </font>
    <font>
      <u/>
      <sz val="10"/>
      <name val="Arial"/>
    </font>
    <font>
      <u/>
      <sz val="10"/>
      <name val="Arial"/>
    </font>
    <font>
      <u/>
      <sz val="10"/>
      <name val="Arial"/>
    </font>
    <font>
      <u/>
      <sz val="10"/>
      <name val="Arial"/>
    </font>
    <font>
      <u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0B8043"/>
        <bgColor rgb="FF0B8043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164" fontId="4" fillId="4" borderId="4" xfId="0" applyNumberFormat="1" applyFont="1" applyFill="1" applyBorder="1" applyAlignment="1">
      <alignment horizontal="center" wrapText="1"/>
    </xf>
    <xf numFmtId="165" fontId="5" fillId="4" borderId="4" xfId="0" applyNumberFormat="1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4" fontId="6" fillId="4" borderId="5" xfId="0" applyNumberFormat="1" applyFon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 wrapText="1"/>
    </xf>
    <xf numFmtId="164" fontId="7" fillId="4" borderId="4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0" fontId="4" fillId="0" borderId="2" xfId="0" applyNumberFormat="1" applyFont="1" applyBorder="1"/>
    <xf numFmtId="164" fontId="9" fillId="5" borderId="5" xfId="0" applyNumberFormat="1" applyFont="1" applyFill="1" applyBorder="1" applyAlignment="1"/>
    <xf numFmtId="10" fontId="10" fillId="0" borderId="6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5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/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/>
    <xf numFmtId="164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0" fontId="4" fillId="6" borderId="2" xfId="0" applyNumberFormat="1" applyFont="1" applyFill="1" applyBorder="1" applyAlignment="1"/>
    <xf numFmtId="0" fontId="10" fillId="0" borderId="5" xfId="0" applyFont="1" applyBorder="1" applyAlignment="1"/>
    <xf numFmtId="10" fontId="10" fillId="6" borderId="2" xfId="0" applyNumberFormat="1" applyFont="1" applyFill="1" applyBorder="1" applyAlignment="1">
      <alignment horizontal="center"/>
    </xf>
    <xf numFmtId="10" fontId="10" fillId="6" borderId="1" xfId="0" applyNumberFormat="1" applyFont="1" applyFill="1" applyBorder="1" applyAlignment="1">
      <alignment horizontal="center"/>
    </xf>
    <xf numFmtId="10" fontId="10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left"/>
    </xf>
    <xf numFmtId="0" fontId="15" fillId="7" borderId="2" xfId="0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/>
    <xf numFmtId="165" fontId="15" fillId="7" borderId="2" xfId="0" applyNumberFormat="1" applyFont="1" applyFill="1" applyBorder="1" applyAlignment="1">
      <alignment horizontal="center"/>
    </xf>
    <xf numFmtId="10" fontId="4" fillId="5" borderId="2" xfId="0" applyNumberFormat="1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10" fontId="16" fillId="7" borderId="1" xfId="0" applyNumberFormat="1" applyFont="1" applyFill="1" applyBorder="1" applyAlignment="1">
      <alignment horizontal="center"/>
    </xf>
    <xf numFmtId="10" fontId="10" fillId="7" borderId="1" xfId="0" applyNumberFormat="1" applyFont="1" applyFill="1" applyBorder="1" applyAlignment="1">
      <alignment horizontal="right"/>
    </xf>
    <xf numFmtId="164" fontId="17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9" fillId="0" borderId="2" xfId="0" applyNumberFormat="1" applyFont="1" applyBorder="1" applyAlignment="1">
      <alignment horizontal="center"/>
    </xf>
    <xf numFmtId="164" fontId="20" fillId="0" borderId="3" xfId="0" applyNumberFormat="1" applyFont="1" applyBorder="1" applyAlignment="1"/>
    <xf numFmtId="10" fontId="10" fillId="0" borderId="4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1" fillId="0" borderId="9" xfId="0" applyNumberFormat="1" applyFont="1" applyBorder="1" applyAlignment="1"/>
    <xf numFmtId="10" fontId="10" fillId="0" borderId="10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10" fillId="0" borderId="9" xfId="0" applyNumberFormat="1" applyFont="1" applyBorder="1" applyAlignment="1"/>
    <xf numFmtId="164" fontId="23" fillId="0" borderId="9" xfId="0" applyNumberFormat="1" applyFont="1" applyBorder="1" applyAlignment="1"/>
    <xf numFmtId="164" fontId="24" fillId="0" borderId="7" xfId="0" applyNumberFormat="1" applyFont="1" applyBorder="1" applyAlignment="1"/>
    <xf numFmtId="164" fontId="10" fillId="0" borderId="12" xfId="0" applyNumberFormat="1" applyFont="1" applyBorder="1" applyAlignment="1">
      <alignment horizontal="center"/>
    </xf>
    <xf numFmtId="164" fontId="25" fillId="0" borderId="0" xfId="0" applyNumberFormat="1" applyFont="1" applyAlignment="1"/>
    <xf numFmtId="0" fontId="4" fillId="0" borderId="5" xfId="0" applyFont="1" applyBorder="1" applyAlignment="1">
      <alignment horizontal="right"/>
    </xf>
    <xf numFmtId="0" fontId="2" fillId="0" borderId="1" xfId="0" applyFont="1" applyBorder="1"/>
    <xf numFmtId="164" fontId="18" fillId="0" borderId="5" xfId="0" applyNumberFormat="1" applyFont="1" applyBorder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9"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C0000"/>
          <bgColor rgb="FFCC0000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cat>
            <c:strRef>
              <c:f>'Dividend Portfolio TRACKER'!$D$133:$D$146</c:f>
              <c:strCache>
                <c:ptCount val="14"/>
                <c:pt idx="0">
                  <c:v>Consumer Discretionary</c:v>
                </c:pt>
                <c:pt idx="1">
                  <c:v>Consumer Staples</c:v>
                </c:pt>
                <c:pt idx="2">
                  <c:v>Energy</c:v>
                </c:pt>
                <c:pt idx="3">
                  <c:v>Financials</c:v>
                </c:pt>
                <c:pt idx="4">
                  <c:v>Health Care</c:v>
                </c:pt>
                <c:pt idx="5">
                  <c:v>Industrials</c:v>
                </c:pt>
                <c:pt idx="6">
                  <c:v>Information Technology</c:v>
                </c:pt>
                <c:pt idx="7">
                  <c:v>Cash</c:v>
                </c:pt>
                <c:pt idx="8">
                  <c:v>Other</c:v>
                </c:pt>
                <c:pt idx="9">
                  <c:v>Real Estate</c:v>
                </c:pt>
                <c:pt idx="10">
                  <c:v>Materials</c:v>
                </c:pt>
                <c:pt idx="11">
                  <c:v>Telecommunication Services</c:v>
                </c:pt>
                <c:pt idx="12">
                  <c:v>Utilities</c:v>
                </c:pt>
                <c:pt idx="13">
                  <c:v>ETF</c:v>
                </c:pt>
              </c:strCache>
            </c:strRef>
          </c:cat>
          <c:val>
            <c:numRef>
              <c:f>'Dividend Portfolio TRACKER'!$F$133:$F$146</c:f>
              <c:numCache>
                <c:formatCode>"$"#,##0.00</c:formatCode>
                <c:ptCount val="14"/>
                <c:pt idx="0">
                  <c:v>45458.132655000001</c:v>
                </c:pt>
                <c:pt idx="1">
                  <c:v>50630.344469999996</c:v>
                </c:pt>
                <c:pt idx="2">
                  <c:v>10588.200290000001</c:v>
                </c:pt>
                <c:pt idx="3">
                  <c:v>15737.323910000003</c:v>
                </c:pt>
                <c:pt idx="4">
                  <c:v>12080.884285</c:v>
                </c:pt>
                <c:pt idx="5">
                  <c:v>23163.215620500003</c:v>
                </c:pt>
                <c:pt idx="6">
                  <c:v>14093.759515000002</c:v>
                </c:pt>
                <c:pt idx="7">
                  <c:v>9210.02</c:v>
                </c:pt>
                <c:pt idx="8">
                  <c:v>1438.2810000000002</c:v>
                </c:pt>
                <c:pt idx="9">
                  <c:v>27146.793650000003</c:v>
                </c:pt>
                <c:pt idx="10">
                  <c:v>2490.9500000000003</c:v>
                </c:pt>
                <c:pt idx="11">
                  <c:v>13556.901560000002</c:v>
                </c:pt>
                <c:pt idx="12">
                  <c:v>6965.8478599999999</c:v>
                </c:pt>
                <c:pt idx="13">
                  <c:v>13910.5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132</xdr:row>
      <xdr:rowOff>9525</xdr:rowOff>
    </xdr:from>
    <xdr:ext cx="4343400" cy="271462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47"/>
  <sheetViews>
    <sheetView tabSelected="1" workbookViewId="0">
      <pane xSplit="1" topLeftCell="B1" activePane="topRight" state="frozen"/>
      <selection pane="topRight" activeCell="C2" sqref="C2"/>
    </sheetView>
  </sheetViews>
  <sheetFormatPr defaultColWidth="14.42578125" defaultRowHeight="15.75" customHeight="1"/>
  <cols>
    <col min="1" max="1" width="10.42578125" customWidth="1"/>
    <col min="2" max="3" width="8.42578125" customWidth="1"/>
    <col min="4" max="4" width="12" customWidth="1"/>
    <col min="5" max="5" width="7.7109375" customWidth="1"/>
    <col min="6" max="6" width="10.7109375" customWidth="1"/>
    <col min="7" max="8" width="11.28515625" hidden="1" customWidth="1"/>
    <col min="9" max="9" width="14.85546875" hidden="1" customWidth="1"/>
    <col min="10" max="10" width="11.140625" customWidth="1"/>
    <col min="11" max="11" width="8.7109375" customWidth="1"/>
    <col min="12" max="12" width="8.7109375" hidden="1" customWidth="1"/>
    <col min="13" max="13" width="9.5703125" hidden="1" customWidth="1"/>
    <col min="14" max="15" width="8.85546875" customWidth="1"/>
    <col min="16" max="16" width="10.140625" customWidth="1"/>
    <col min="17" max="17" width="17.5703125" customWidth="1"/>
  </cols>
  <sheetData>
    <row r="1" spans="1:17" ht="15.75" customHeight="1">
      <c r="A1" s="1" t="s">
        <v>0</v>
      </c>
      <c r="B1" s="2"/>
      <c r="C1" s="3"/>
      <c r="D1" s="4"/>
      <c r="E1" s="5"/>
      <c r="F1" s="6"/>
      <c r="G1" s="6"/>
      <c r="H1" s="6"/>
      <c r="I1" s="7"/>
      <c r="J1" s="7"/>
      <c r="K1" s="8"/>
      <c r="L1" s="8"/>
      <c r="M1" s="9"/>
      <c r="N1" s="9"/>
      <c r="O1" s="10"/>
      <c r="P1" s="9"/>
      <c r="Q1" s="11"/>
    </row>
    <row r="2" spans="1:17" ht="15.75" customHeight="1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4" t="s">
        <v>6</v>
      </c>
      <c r="G2" s="14" t="s">
        <v>6</v>
      </c>
      <c r="H2" s="14" t="s">
        <v>7</v>
      </c>
      <c r="I2" s="15" t="s">
        <v>8</v>
      </c>
      <c r="J2" s="16" t="s">
        <v>9</v>
      </c>
      <c r="K2" s="13" t="s">
        <v>10</v>
      </c>
      <c r="L2" s="17" t="s">
        <v>11</v>
      </c>
      <c r="M2" s="13" t="s">
        <v>12</v>
      </c>
      <c r="N2" s="13" t="s">
        <v>13</v>
      </c>
      <c r="O2" s="18" t="s">
        <v>14</v>
      </c>
      <c r="P2" s="13" t="s">
        <v>15</v>
      </c>
      <c r="Q2" s="19" t="s">
        <v>16</v>
      </c>
    </row>
    <row r="3" spans="1:17" ht="15.75" customHeight="1">
      <c r="A3" s="20" t="str">
        <f>HYPERLINK("http://www.thedividendpig.com/dividend-stocks/technology/telecom-services-domestic/t-atandt-inc/","T")</f>
        <v>T</v>
      </c>
      <c r="B3" s="21">
        <f>61.0696+30+50+49+30+1+20+37+26+20+5+4+5+10+30+10+5+1</f>
        <v>394.06960000000004</v>
      </c>
      <c r="C3" s="3">
        <f t="shared" ref="C3:C129" ca="1" si="0">IFERROR(__xludf.DUMMYFUNCTION("GOOGLEFINANCE(A3,""PRICE"")"),32.35)</f>
        <v>32.35</v>
      </c>
      <c r="D3" s="4">
        <f t="shared" ref="D3:D129" ca="1" si="1">C3*B3</f>
        <v>12748.151560000002</v>
      </c>
      <c r="E3" s="21">
        <f>27+15+30+50+49+30+10+37+26+20+5+10+30+10</f>
        <v>349</v>
      </c>
      <c r="F3" s="22">
        <f>983.07+493.64+1095.3+1995.5+1646.89+1085.7+714.8+1358.27+859.04+651.2+157.95+304.6+913.8+298.6</f>
        <v>12558.36</v>
      </c>
      <c r="G3" s="22">
        <f t="shared" ref="G3:G12" si="2">F3/E3</f>
        <v>35.983839541547283</v>
      </c>
      <c r="H3" s="22">
        <f>12.95+8.95</f>
        <v>21.9</v>
      </c>
      <c r="I3" s="7" t="str">
        <f t="shared" ref="I3:I12" ca="1" si="3">IFERROR(__xludf.DUMMYFUNCTION("GoogleFinance(A3,""change"") &amp; ""  ("" &amp; GoogleFinance(A3,""changepct"") &amp; ""%)"""),"0.37  (1.16%)")</f>
        <v>0.37  (1.16%)</v>
      </c>
      <c r="J3" s="7">
        <f t="shared" ref="J3:J129" ca="1" si="4">D3-(F3+H3)</f>
        <v>167.89156000000185</v>
      </c>
      <c r="K3" s="23">
        <f t="shared" ref="K3:K129" ca="1" si="5">(D3-F3)/F3</f>
        <v>1.5112766316621078E-2</v>
      </c>
      <c r="L3" s="24" t="s">
        <v>17</v>
      </c>
      <c r="M3" s="21">
        <v>0.51</v>
      </c>
      <c r="N3" s="25">
        <f t="shared" ref="N3:N14" ca="1" si="6">(M3*4)/C3</f>
        <v>6.306027820710973E-2</v>
      </c>
      <c r="O3" s="26">
        <f t="shared" ref="O3:O14" si="7">(M3*4)/(F3/E3)</f>
        <v>5.6692115849521746E-2</v>
      </c>
      <c r="P3" s="26">
        <f t="shared" ref="P3:P130" ca="1" si="8">D3/$D$131</f>
        <v>5.1722691726513961E-2</v>
      </c>
      <c r="Q3" s="27">
        <f t="shared" ref="Q3:Q14" si="9">(M3*4)*B3</f>
        <v>803.90198400000008</v>
      </c>
    </row>
    <row r="4" spans="1:17" ht="15.75" customHeight="1">
      <c r="A4" s="20" t="str">
        <f>HYPERLINK("http://www.thedividendpig.com/dividend-stocks/utilities/electric-utilities/duk-duke-energy-corp/","DUK")</f>
        <v>DUK</v>
      </c>
      <c r="B4" s="21">
        <v>36.327599999999997</v>
      </c>
      <c r="C4" s="3">
        <f t="shared" ca="1" si="0"/>
        <v>32.35</v>
      </c>
      <c r="D4" s="4">
        <f t="shared" ca="1" si="1"/>
        <v>1175.19786</v>
      </c>
      <c r="E4" s="21">
        <v>33</v>
      </c>
      <c r="F4" s="22">
        <v>1843</v>
      </c>
      <c r="G4" s="22">
        <f t="shared" si="2"/>
        <v>55.848484848484851</v>
      </c>
      <c r="H4" s="22">
        <v>12.95</v>
      </c>
      <c r="I4" s="7" t="str">
        <f t="shared" ca="1" si="3"/>
        <v>0.37  (1.16%)</v>
      </c>
      <c r="J4" s="7">
        <f t="shared" ca="1" si="4"/>
        <v>-680.75214000000005</v>
      </c>
      <c r="K4" s="23">
        <f t="shared" ca="1" si="5"/>
        <v>-0.36234516549104723</v>
      </c>
      <c r="L4" s="28" t="s">
        <v>18</v>
      </c>
      <c r="M4" s="21">
        <v>0.92749999999999999</v>
      </c>
      <c r="N4" s="29">
        <f t="shared" ca="1" si="6"/>
        <v>0.11468315301391035</v>
      </c>
      <c r="O4" s="30">
        <f t="shared" si="7"/>
        <v>6.6429734129137274E-2</v>
      </c>
      <c r="P4" s="30">
        <f t="shared" ca="1" si="8"/>
        <v>4.7680949151218677E-3</v>
      </c>
      <c r="Q4" s="31">
        <f t="shared" si="9"/>
        <v>134.775396</v>
      </c>
    </row>
    <row r="5" spans="1:17" ht="15.75" customHeight="1">
      <c r="A5" s="20" t="str">
        <f>HYPERLINK("http://www.thedividendpig.com/dividend-stocks/consumer-goods/beverages-soft-drinks/ko-coca-cola-company/","KO")</f>
        <v>KO</v>
      </c>
      <c r="B5" s="21">
        <f>53.641+25+35</f>
        <v>113.64099999999999</v>
      </c>
      <c r="C5" s="3">
        <f t="shared" ca="1" si="0"/>
        <v>32.35</v>
      </c>
      <c r="D5" s="4">
        <f t="shared" ca="1" si="1"/>
        <v>3676.2863499999999</v>
      </c>
      <c r="E5" s="21">
        <f>50+25+35</f>
        <v>110</v>
      </c>
      <c r="F5" s="22">
        <f>1987.25+1100+1590.4</f>
        <v>4677.6499999999996</v>
      </c>
      <c r="G5" s="22">
        <f t="shared" si="2"/>
        <v>42.524090909090908</v>
      </c>
      <c r="H5" s="22">
        <v>8.9499999999999993</v>
      </c>
      <c r="I5" s="7" t="str">
        <f t="shared" ca="1" si="3"/>
        <v>0.37  (1.16%)</v>
      </c>
      <c r="J5" s="7">
        <f t="shared" ca="1" si="4"/>
        <v>-1010.3136499999996</v>
      </c>
      <c r="K5" s="23">
        <f t="shared" ca="1" si="5"/>
        <v>-0.21407408634677666</v>
      </c>
      <c r="L5" s="28" t="s">
        <v>19</v>
      </c>
      <c r="M5" s="21">
        <v>0.39</v>
      </c>
      <c r="N5" s="29">
        <f t="shared" ca="1" si="6"/>
        <v>4.8222565687789799E-2</v>
      </c>
      <c r="O5" s="30">
        <f t="shared" si="7"/>
        <v>3.6685087597404679E-2</v>
      </c>
      <c r="P5" s="30">
        <f t="shared" ca="1" si="8"/>
        <v>1.4915685986670304E-2</v>
      </c>
      <c r="Q5" s="31">
        <f t="shared" si="9"/>
        <v>177.27995999999999</v>
      </c>
    </row>
    <row r="6" spans="1:17" ht="15.75" customHeight="1">
      <c r="A6" s="20" t="str">
        <f>HYPERLINK("http://www.thedividendpig.com/dividend-stocks/industrial-goods/diversified-machinery/ge-general-electric-co/","GE")</f>
        <v>GE</v>
      </c>
      <c r="B6" s="21">
        <v>106.0288</v>
      </c>
      <c r="C6" s="3">
        <f t="shared" ca="1" si="0"/>
        <v>32.35</v>
      </c>
      <c r="D6" s="4">
        <f t="shared" ca="1" si="1"/>
        <v>3430.0316800000001</v>
      </c>
      <c r="E6" s="21">
        <v>100</v>
      </c>
      <c r="F6" s="22">
        <v>2566</v>
      </c>
      <c r="G6" s="22">
        <f t="shared" si="2"/>
        <v>25.66</v>
      </c>
      <c r="H6" s="22">
        <v>8.9499999999999993</v>
      </c>
      <c r="I6" s="7" t="str">
        <f t="shared" ca="1" si="3"/>
        <v>0.37  (1.16%)</v>
      </c>
      <c r="J6" s="7">
        <f t="shared" ca="1" si="4"/>
        <v>855.08168000000023</v>
      </c>
      <c r="K6" s="23">
        <f t="shared" ca="1" si="5"/>
        <v>0.33672318004676544</v>
      </c>
      <c r="L6" s="28" t="s">
        <v>20</v>
      </c>
      <c r="M6" s="21">
        <v>0.01</v>
      </c>
      <c r="N6" s="29">
        <f t="shared" ca="1" si="6"/>
        <v>1.2364760432766616E-3</v>
      </c>
      <c r="O6" s="30">
        <f t="shared" si="7"/>
        <v>1.558846453624318E-3</v>
      </c>
      <c r="P6" s="30">
        <f t="shared" ca="1" si="8"/>
        <v>1.3916564323998104E-2</v>
      </c>
      <c r="Q6" s="31">
        <f t="shared" si="9"/>
        <v>4.2411520000000005</v>
      </c>
    </row>
    <row r="7" spans="1:17" ht="15.75" customHeight="1">
      <c r="A7" s="32" t="s">
        <v>21</v>
      </c>
      <c r="B7" s="21">
        <f>15+35+50</f>
        <v>100</v>
      </c>
      <c r="C7" s="3">
        <f t="shared" ca="1" si="0"/>
        <v>32.35</v>
      </c>
      <c r="D7" s="4">
        <f t="shared" ca="1" si="1"/>
        <v>3235</v>
      </c>
      <c r="E7" s="21">
        <f>15+35+50</f>
        <v>100</v>
      </c>
      <c r="F7" s="22">
        <f>821.85+1937.95+2465</f>
        <v>5224.8</v>
      </c>
      <c r="G7" s="22">
        <f t="shared" si="2"/>
        <v>52.248000000000005</v>
      </c>
      <c r="H7" s="22">
        <v>8.9499999999999993</v>
      </c>
      <c r="I7" s="7" t="str">
        <f t="shared" ca="1" si="3"/>
        <v>0.37  (1.16%)</v>
      </c>
      <c r="J7" s="7">
        <f t="shared" ca="1" si="4"/>
        <v>-1998.75</v>
      </c>
      <c r="K7" s="23">
        <f t="shared" ca="1" si="5"/>
        <v>-0.38083754402082376</v>
      </c>
      <c r="L7" s="28" t="s">
        <v>20</v>
      </c>
      <c r="M7" s="21">
        <v>0.30499999999999999</v>
      </c>
      <c r="N7" s="29">
        <f t="shared" ca="1" si="6"/>
        <v>3.7712519319938173E-2</v>
      </c>
      <c r="O7" s="30">
        <f t="shared" si="7"/>
        <v>2.3350176083295052E-2</v>
      </c>
      <c r="P7" s="30">
        <f t="shared" ca="1" si="8"/>
        <v>1.312526815732905E-2</v>
      </c>
      <c r="Q7" s="31">
        <f t="shared" si="9"/>
        <v>122</v>
      </c>
    </row>
    <row r="8" spans="1:17" ht="15.75" customHeight="1">
      <c r="A8" s="32" t="s">
        <v>22</v>
      </c>
      <c r="B8" s="21">
        <f>72.7528+25+25+100+100+3+1+4+3+3+1</f>
        <v>337.75279999999998</v>
      </c>
      <c r="C8" s="3">
        <f t="shared" ca="1" si="0"/>
        <v>32.35</v>
      </c>
      <c r="D8" s="4">
        <f t="shared" ca="1" si="1"/>
        <v>10926.30308</v>
      </c>
      <c r="E8" s="21">
        <f>67+25+25+100+100</f>
        <v>317</v>
      </c>
      <c r="F8" s="22">
        <f>990.93+330.5+299.75+1165.5+1091</f>
        <v>3877.68</v>
      </c>
      <c r="G8" s="22">
        <f t="shared" si="2"/>
        <v>12.232429022082018</v>
      </c>
      <c r="H8" s="22">
        <v>8.9499999999999993</v>
      </c>
      <c r="I8" s="7" t="str">
        <f t="shared" ca="1" si="3"/>
        <v>0.37  (1.16%)</v>
      </c>
      <c r="J8" s="7">
        <f t="shared" ca="1" si="4"/>
        <v>7039.6730800000005</v>
      </c>
      <c r="K8" s="23">
        <f t="shared" ca="1" si="5"/>
        <v>1.8177423304656393</v>
      </c>
      <c r="L8" s="28" t="s">
        <v>23</v>
      </c>
      <c r="M8" s="21">
        <v>0.15</v>
      </c>
      <c r="N8" s="29">
        <f t="shared" ca="1" si="6"/>
        <v>1.8547140649149921E-2</v>
      </c>
      <c r="O8" s="30">
        <f t="shared" si="7"/>
        <v>4.9049947391223619E-2</v>
      </c>
      <c r="P8" s="30">
        <f t="shared" ca="1" si="8"/>
        <v>4.4330960708887271E-2</v>
      </c>
      <c r="Q8" s="31">
        <f t="shared" si="9"/>
        <v>202.65167999999997</v>
      </c>
    </row>
    <row r="9" spans="1:17" ht="15.75" customHeight="1">
      <c r="A9" s="33" t="s">
        <v>24</v>
      </c>
      <c r="B9" s="21">
        <v>20</v>
      </c>
      <c r="C9" s="3">
        <f t="shared" ca="1" si="0"/>
        <v>32.35</v>
      </c>
      <c r="D9" s="4">
        <f t="shared" ca="1" si="1"/>
        <v>647</v>
      </c>
      <c r="E9" s="21">
        <v>20</v>
      </c>
      <c r="F9" s="22">
        <f>704.8</f>
        <v>704.8</v>
      </c>
      <c r="G9" s="22">
        <f t="shared" si="2"/>
        <v>35.239999999999995</v>
      </c>
      <c r="H9" s="22"/>
      <c r="I9" s="7" t="str">
        <f t="shared" ca="1" si="3"/>
        <v>0.37  (1.16%)</v>
      </c>
      <c r="J9" s="7">
        <f t="shared" ca="1" si="4"/>
        <v>-57.799999999999955</v>
      </c>
      <c r="K9" s="23">
        <f t="shared" ca="1" si="5"/>
        <v>-8.2009080590238301E-2</v>
      </c>
      <c r="L9" s="28" t="s">
        <v>23</v>
      </c>
      <c r="M9" s="21">
        <v>0.37</v>
      </c>
      <c r="N9" s="29">
        <f t="shared" ca="1" si="6"/>
        <v>4.5749613601236472E-2</v>
      </c>
      <c r="O9" s="30">
        <f t="shared" si="7"/>
        <v>4.1997729852440414E-2</v>
      </c>
      <c r="P9" s="30">
        <f t="shared" ca="1" si="8"/>
        <v>2.6250536314658098E-3</v>
      </c>
      <c r="Q9" s="31">
        <f t="shared" si="9"/>
        <v>29.6</v>
      </c>
    </row>
    <row r="10" spans="1:17" ht="15.75" customHeight="1">
      <c r="A10" s="20" t="str">
        <f>HYPERLINK("http://www.thedividendpig.com/dividend-stocks/consumer-goods/processed-and-packaged-goods/gis-general-mills/","GIS")</f>
        <v>GIS</v>
      </c>
      <c r="B10" s="21">
        <f>31.4052+35+25+30+20+20+1+8+1+9+20+15+2</f>
        <v>217.40520000000001</v>
      </c>
      <c r="C10" s="3">
        <f t="shared" ca="1" si="0"/>
        <v>32.35</v>
      </c>
      <c r="D10" s="4">
        <f t="shared" ca="1" si="1"/>
        <v>7033.0582200000008</v>
      </c>
      <c r="E10" s="21">
        <f>30+35+25+30+20+20+8+9+20+15</f>
        <v>212</v>
      </c>
      <c r="F10" s="22">
        <f>1555.45+1990.1+1335.5+1511.1+1027.6+824+352+366.3+777+561.9</f>
        <v>10300.949999999999</v>
      </c>
      <c r="G10" s="22">
        <f t="shared" si="2"/>
        <v>48.589386792452828</v>
      </c>
      <c r="H10" s="22">
        <v>8.9499999999999993</v>
      </c>
      <c r="I10" s="7" t="str">
        <f t="shared" ca="1" si="3"/>
        <v>0.37  (1.16%)</v>
      </c>
      <c r="J10" s="7">
        <f t="shared" ca="1" si="4"/>
        <v>-3276.8417799999988</v>
      </c>
      <c r="K10" s="23">
        <f t="shared" ca="1" si="5"/>
        <v>-0.3172417864371731</v>
      </c>
      <c r="L10" s="28" t="s">
        <v>19</v>
      </c>
      <c r="M10" s="21">
        <v>0.49</v>
      </c>
      <c r="N10" s="29">
        <f t="shared" ca="1" si="6"/>
        <v>6.0587326120556409E-2</v>
      </c>
      <c r="O10" s="30">
        <f t="shared" si="7"/>
        <v>4.0338027075172679E-2</v>
      </c>
      <c r="P10" s="30">
        <f t="shared" ca="1" si="8"/>
        <v>2.8535015487977537E-2</v>
      </c>
      <c r="Q10" s="31">
        <f t="shared" si="9"/>
        <v>426.114192</v>
      </c>
    </row>
    <row r="11" spans="1:17" ht="15.75" customHeight="1">
      <c r="A11" s="20" t="str">
        <f>HYPERLINK("http://www.thedividendpig.com/dividend-stocks/basic-materials/major-integrated-oil-and-gas/cvx-chevron-corp/","CVX")</f>
        <v>CVX</v>
      </c>
      <c r="B11" s="21">
        <f>27.93+6+5+10+15</f>
        <v>63.93</v>
      </c>
      <c r="C11" s="3">
        <f t="shared" ca="1" si="0"/>
        <v>32.35</v>
      </c>
      <c r="D11" s="4">
        <f t="shared" ca="1" si="1"/>
        <v>2068.1354999999999</v>
      </c>
      <c r="E11" s="21">
        <f>15+11+6+5+10+15</f>
        <v>62</v>
      </c>
      <c r="F11" s="22">
        <f>1631.1+1118.25+544.72+390.3+1138.6+1719.15</f>
        <v>6542.119999999999</v>
      </c>
      <c r="G11" s="22">
        <f t="shared" si="2"/>
        <v>105.51806451612902</v>
      </c>
      <c r="H11" s="22">
        <v>8.9499999999999993</v>
      </c>
      <c r="I11" s="7" t="str">
        <f t="shared" ca="1" si="3"/>
        <v>0.37  (1.16%)</v>
      </c>
      <c r="J11" s="7">
        <f t="shared" ca="1" si="4"/>
        <v>-4482.9344999999994</v>
      </c>
      <c r="K11" s="23">
        <f t="shared" ca="1" si="5"/>
        <v>-0.68387380543310106</v>
      </c>
      <c r="L11" s="28" t="s">
        <v>25</v>
      </c>
      <c r="M11" s="21">
        <v>1.1200000000000001</v>
      </c>
      <c r="N11" s="29">
        <f t="shared" ca="1" si="6"/>
        <v>0.13848531684698609</v>
      </c>
      <c r="O11" s="30">
        <f t="shared" si="7"/>
        <v>4.2457185132648144E-2</v>
      </c>
      <c r="P11" s="30">
        <f t="shared" ca="1" si="8"/>
        <v>8.3909839329804614E-3</v>
      </c>
      <c r="Q11" s="31">
        <f t="shared" si="9"/>
        <v>286.40640000000002</v>
      </c>
    </row>
    <row r="12" spans="1:17" ht="15.75" customHeight="1">
      <c r="A12" s="20" t="str">
        <f>HYPERLINK("http://www.thedividendpig.com/dividend-stocks/basic-materials/major-integrated-oil-and-gas/xom-exxonmobil-corp/","XOM")</f>
        <v>XOM</v>
      </c>
      <c r="B12" s="21">
        <f>26.3714+14+5+30+15+12+10+5+3+5+10+5+5</f>
        <v>145.37139999999999</v>
      </c>
      <c r="C12" s="3">
        <f t="shared" ca="1" si="0"/>
        <v>32.35</v>
      </c>
      <c r="D12" s="4">
        <f t="shared" ca="1" si="1"/>
        <v>4702.7647900000002</v>
      </c>
      <c r="E12" s="21">
        <f>15+10+5+5+4+5+30+15+12+10+5+3+5+10+5+5</f>
        <v>144</v>
      </c>
      <c r="F12" s="22">
        <f>1421.24+888.39+395.85+378.05+321.64+370.3+2426.1+1203.15+967.2+742.6+382.3+238.71+375.5+748.6+359.3+328.3</f>
        <v>11547.229999999998</v>
      </c>
      <c r="G12" s="22">
        <f t="shared" si="2"/>
        <v>80.189097222222202</v>
      </c>
      <c r="H12" s="22">
        <f>8.95+8.95</f>
        <v>17.899999999999999</v>
      </c>
      <c r="I12" s="7" t="str">
        <f t="shared" ca="1" si="3"/>
        <v>0.37  (1.16%)</v>
      </c>
      <c r="J12" s="7">
        <f t="shared" ca="1" si="4"/>
        <v>-6862.3652099999972</v>
      </c>
      <c r="K12" s="23">
        <f t="shared" ca="1" si="5"/>
        <v>-0.59273654460853376</v>
      </c>
      <c r="L12" s="28" t="s">
        <v>25</v>
      </c>
      <c r="M12" s="21">
        <v>0.82</v>
      </c>
      <c r="N12" s="29">
        <f t="shared" ca="1" si="6"/>
        <v>0.10139103554868624</v>
      </c>
      <c r="O12" s="30">
        <f t="shared" si="7"/>
        <v>4.0903316206570763E-2</v>
      </c>
      <c r="P12" s="30">
        <f t="shared" ca="1" si="8"/>
        <v>1.9080386074063441E-2</v>
      </c>
      <c r="Q12" s="31">
        <f t="shared" si="9"/>
        <v>476.81819199999995</v>
      </c>
    </row>
    <row r="13" spans="1:17" ht="15.75" customHeight="1">
      <c r="A13" s="33" t="s">
        <v>26</v>
      </c>
      <c r="B13" s="21">
        <f>25+8+10</f>
        <v>43</v>
      </c>
      <c r="C13" s="3">
        <f t="shared" ca="1" si="0"/>
        <v>32.35</v>
      </c>
      <c r="D13" s="4">
        <f t="shared" ca="1" si="1"/>
        <v>1391.05</v>
      </c>
      <c r="E13" s="21">
        <f>25+8+10</f>
        <v>43</v>
      </c>
      <c r="F13" s="22">
        <f>1372.75+430.56+544.8</f>
        <v>2348.1099999999997</v>
      </c>
      <c r="G13" s="22"/>
      <c r="H13" s="22"/>
      <c r="I13" s="7"/>
      <c r="J13" s="7">
        <f t="shared" ca="1" si="4"/>
        <v>-957.05999999999972</v>
      </c>
      <c r="K13" s="23">
        <f t="shared" ca="1" si="5"/>
        <v>-0.40758737878549123</v>
      </c>
      <c r="L13" s="28" t="s">
        <v>25</v>
      </c>
      <c r="M13" s="21">
        <v>0.54300000000000004</v>
      </c>
      <c r="N13" s="29">
        <f t="shared" ca="1" si="6"/>
        <v>6.7140649149922724E-2</v>
      </c>
      <c r="O13" s="30">
        <f t="shared" si="7"/>
        <v>3.9774967952949401E-2</v>
      </c>
      <c r="P13" s="30">
        <f t="shared" ca="1" si="8"/>
        <v>5.6438653076514907E-3</v>
      </c>
      <c r="Q13" s="31">
        <f t="shared" si="9"/>
        <v>93.396000000000001</v>
      </c>
    </row>
    <row r="14" spans="1:17" ht="15.75" customHeight="1">
      <c r="A14" s="33" t="s">
        <v>27</v>
      </c>
      <c r="B14" s="21">
        <v>10</v>
      </c>
      <c r="C14" s="3">
        <f t="shared" ca="1" si="0"/>
        <v>32.35</v>
      </c>
      <c r="D14" s="4">
        <f t="shared" ca="1" si="1"/>
        <v>323.5</v>
      </c>
      <c r="E14" s="21">
        <v>10</v>
      </c>
      <c r="F14" s="22">
        <v>399.1</v>
      </c>
      <c r="G14" s="22"/>
      <c r="H14" s="22"/>
      <c r="I14" s="7"/>
      <c r="J14" s="7">
        <f t="shared" ca="1" si="4"/>
        <v>-75.600000000000023</v>
      </c>
      <c r="K14" s="23">
        <f t="shared" ca="1" si="5"/>
        <v>-0.18942620897018295</v>
      </c>
      <c r="L14" s="28" t="s">
        <v>25</v>
      </c>
      <c r="M14" s="21">
        <v>0.61499999999999999</v>
      </c>
      <c r="N14" s="29">
        <f t="shared" ca="1" si="6"/>
        <v>7.6043276661514683E-2</v>
      </c>
      <c r="O14" s="30">
        <f t="shared" si="7"/>
        <v>6.1638687045853166E-2</v>
      </c>
      <c r="P14" s="30">
        <f t="shared" ca="1" si="8"/>
        <v>1.3125268157329049E-3</v>
      </c>
      <c r="Q14" s="31">
        <f t="shared" si="9"/>
        <v>24.6</v>
      </c>
    </row>
    <row r="15" spans="1:17" ht="15.75" customHeight="1">
      <c r="A15" s="20" t="str">
        <f>HYPERLINK("http://www.thedividendpig.com/dividend-stocks/services/entertainment-diversified/dis-walt-disney-company/","DIS")</f>
        <v>DIS</v>
      </c>
      <c r="B15" s="21">
        <f>15.3728+7+5+20+45+10+10+15+15+15+8+20+8+2+6+5+1+4+3+2+5</f>
        <v>221.37279999999998</v>
      </c>
      <c r="C15" s="3">
        <f t="shared" ca="1" si="0"/>
        <v>32.35</v>
      </c>
      <c r="D15" s="4">
        <f t="shared" ca="1" si="1"/>
        <v>7161.4100799999997</v>
      </c>
      <c r="E15" s="21">
        <f>15+7+5+20+45+10+10+15+15+15+8+20+8+2+6+5+4+3+2+5</f>
        <v>220</v>
      </c>
      <c r="F15" s="22">
        <f>1345.49+737.21+464.3+2187.6+4875.9+1042.9+1052.1+1591.65+1517.7+1467.9+776.08+2122+827.04+211.94+623.4+497.15+448.12+326.4+211.72+544.5</f>
        <v>22871.100000000006</v>
      </c>
      <c r="G15" s="22">
        <f t="shared" ref="G15:G16" si="10">F15/E15</f>
        <v>103.95954545454548</v>
      </c>
      <c r="H15" s="22">
        <v>8.9499999999999993</v>
      </c>
      <c r="I15" s="7" t="str">
        <f t="shared" ref="I15:I16" ca="1" si="11">IFERROR(__xludf.DUMMYFUNCTION("GoogleFinance(A15,""change"") &amp; ""  ("" &amp; GoogleFinance(A15,""changepct"") &amp; ""%)"""),"0.28  (0.24%)")</f>
        <v>0.28  (0.24%)</v>
      </c>
      <c r="J15" s="7">
        <f t="shared" ca="1" si="4"/>
        <v>-15718.639920000007</v>
      </c>
      <c r="K15" s="23">
        <f t="shared" ca="1" si="5"/>
        <v>-0.6868795082003053</v>
      </c>
      <c r="L15" s="28" t="s">
        <v>23</v>
      </c>
      <c r="M15" s="21">
        <v>0.88</v>
      </c>
      <c r="N15" s="29">
        <f t="shared" ref="N15:N17" ca="1" si="12">(M15*2)/C15</f>
        <v>5.4404945904173108E-2</v>
      </c>
      <c r="O15" s="30">
        <f t="shared" ref="O15:O17" si="13">(M15*2)/(F15/E15)</f>
        <v>1.6929662324942828E-2</v>
      </c>
      <c r="P15" s="30">
        <f t="shared" ca="1" si="8"/>
        <v>2.9055773627387722E-2</v>
      </c>
      <c r="Q15" s="31">
        <f t="shared" ref="Q15:Q18" si="14">(M15*2)*B15</f>
        <v>389.61612799999995</v>
      </c>
    </row>
    <row r="16" spans="1:17" ht="15.75" customHeight="1">
      <c r="A16" s="32" t="s">
        <v>28</v>
      </c>
      <c r="B16" s="21">
        <v>28.235399999999998</v>
      </c>
      <c r="C16" s="3">
        <f t="shared" ca="1" si="0"/>
        <v>32.35</v>
      </c>
      <c r="D16" s="4">
        <f t="shared" ca="1" si="1"/>
        <v>913.41518999999994</v>
      </c>
      <c r="E16" s="21">
        <v>26</v>
      </c>
      <c r="F16" s="22">
        <v>1216.51</v>
      </c>
      <c r="G16" s="22">
        <f t="shared" si="10"/>
        <v>46.788846153846151</v>
      </c>
      <c r="H16" s="22">
        <v>8.9499999999999993</v>
      </c>
      <c r="I16" s="7" t="str">
        <f t="shared" ca="1" si="11"/>
        <v>0.28  (0.24%)</v>
      </c>
      <c r="J16" s="7">
        <f t="shared" ca="1" si="4"/>
        <v>-312.0448100000001</v>
      </c>
      <c r="K16" s="23">
        <f t="shared" ca="1" si="5"/>
        <v>-0.24915110438878435</v>
      </c>
      <c r="L16" s="28" t="s">
        <v>20</v>
      </c>
      <c r="M16" s="21">
        <v>1.26</v>
      </c>
      <c r="N16" s="29">
        <f t="shared" ca="1" si="12"/>
        <v>7.7897990726429667E-2</v>
      </c>
      <c r="O16" s="30">
        <f t="shared" si="13"/>
        <v>5.3858990061733981E-2</v>
      </c>
      <c r="P16" s="30">
        <f t="shared" ca="1" si="8"/>
        <v>3.705971965294486E-3</v>
      </c>
      <c r="Q16" s="31">
        <f t="shared" si="14"/>
        <v>71.153207999999992</v>
      </c>
    </row>
    <row r="17" spans="1:17" ht="15.75" customHeight="1">
      <c r="A17" s="20" t="str">
        <f>HYPERLINK("http://www.thedividendpig.com/dividend-stocks/services/lodging/mar-marriott-international-inc/","MAR")</f>
        <v>MAR</v>
      </c>
      <c r="B17" s="21">
        <v>6</v>
      </c>
      <c r="C17" s="3">
        <f t="shared" ca="1" si="0"/>
        <v>32.35</v>
      </c>
      <c r="D17" s="4">
        <f t="shared" ca="1" si="1"/>
        <v>194.10000000000002</v>
      </c>
      <c r="E17" s="21">
        <v>6</v>
      </c>
      <c r="F17" s="22">
        <v>407.2</v>
      </c>
      <c r="G17" s="22"/>
      <c r="H17" s="22"/>
      <c r="I17" s="7"/>
      <c r="J17" s="7">
        <f t="shared" ca="1" si="4"/>
        <v>-213.09999999999997</v>
      </c>
      <c r="K17" s="23">
        <f t="shared" ca="1" si="5"/>
        <v>-0.52333005893909623</v>
      </c>
      <c r="L17" s="28" t="s">
        <v>23</v>
      </c>
      <c r="M17" s="21">
        <v>0.33</v>
      </c>
      <c r="N17" s="29">
        <f t="shared" ca="1" si="12"/>
        <v>2.0401854714064915E-2</v>
      </c>
      <c r="O17" s="30">
        <f t="shared" si="13"/>
        <v>9.724950884086446E-3</v>
      </c>
      <c r="P17" s="30">
        <f t="shared" ca="1" si="8"/>
        <v>7.8751608943974309E-4</v>
      </c>
      <c r="Q17" s="31">
        <f t="shared" si="14"/>
        <v>3.96</v>
      </c>
    </row>
    <row r="18" spans="1:17" ht="15.75" customHeight="1">
      <c r="A18" s="20" t="str">
        <f>HYPERLINK("http://www.thedividendpig.com/dividend-stocks/services/specialty-eateries/sbux-starbucks-corp/","SBUX")</f>
        <v>SBUX</v>
      </c>
      <c r="B18" s="21">
        <f>14+6+50+20+10+10+10+3</f>
        <v>123</v>
      </c>
      <c r="C18" s="3">
        <f t="shared" ca="1" si="0"/>
        <v>32.35</v>
      </c>
      <c r="D18" s="4">
        <f t="shared" ca="1" si="1"/>
        <v>3979.05</v>
      </c>
      <c r="E18" s="21">
        <f>14+6+50+20+10+10+10+3</f>
        <v>123</v>
      </c>
      <c r="F18" s="22">
        <f>757.24+350.28+2762.5+1160.4+520.3+525.3+508.6+142.98</f>
        <v>6727.6</v>
      </c>
      <c r="G18" s="22"/>
      <c r="H18" s="22"/>
      <c r="I18" s="7"/>
      <c r="J18" s="7">
        <f t="shared" ca="1" si="4"/>
        <v>-2748.55</v>
      </c>
      <c r="K18" s="23">
        <f t="shared" ca="1" si="5"/>
        <v>-0.40854836791723648</v>
      </c>
      <c r="L18" s="28" t="s">
        <v>23</v>
      </c>
      <c r="M18" s="21">
        <v>0.36</v>
      </c>
      <c r="N18" s="29">
        <f t="shared" ref="N18:N20" ca="1" si="15">(M18*4)/C18</f>
        <v>4.4513137557959812E-2</v>
      </c>
      <c r="O18" s="30">
        <f t="shared" ref="O18:O20" si="16">(M18*4)/(F18/E18)</f>
        <v>2.632736785777989E-2</v>
      </c>
      <c r="P18" s="30">
        <f t="shared" ca="1" si="8"/>
        <v>1.6144079833514732E-2</v>
      </c>
      <c r="Q18" s="31">
        <f t="shared" si="14"/>
        <v>88.56</v>
      </c>
    </row>
    <row r="19" spans="1:17" ht="15.75" customHeight="1">
      <c r="A19" s="33" t="s">
        <v>29</v>
      </c>
      <c r="B19" s="21">
        <f>5+5+5+3+3+5</f>
        <v>26</v>
      </c>
      <c r="C19" s="3">
        <f t="shared" ca="1" si="0"/>
        <v>32.35</v>
      </c>
      <c r="D19" s="4">
        <f t="shared" ca="1" si="1"/>
        <v>841.1</v>
      </c>
      <c r="E19" s="21">
        <f>5+5+5+3+3+5</f>
        <v>26</v>
      </c>
      <c r="F19" s="22">
        <f>254.3+253+247.5+141.54+129+190.55</f>
        <v>1215.8899999999999</v>
      </c>
      <c r="G19" s="22"/>
      <c r="H19" s="22"/>
      <c r="I19" s="7"/>
      <c r="J19" s="7">
        <f t="shared" ca="1" si="4"/>
        <v>-374.78999999999985</v>
      </c>
      <c r="K19" s="23">
        <f t="shared" ca="1" si="5"/>
        <v>-0.30824334438148177</v>
      </c>
      <c r="L19" s="28" t="s">
        <v>23</v>
      </c>
      <c r="M19" s="21">
        <v>0.5</v>
      </c>
      <c r="N19" s="29">
        <f t="shared" ca="1" si="15"/>
        <v>6.1823802163833076E-2</v>
      </c>
      <c r="O19" s="30">
        <f t="shared" si="16"/>
        <v>4.2767026622474079E-2</v>
      </c>
      <c r="P19" s="30">
        <f t="shared" ca="1" si="8"/>
        <v>3.412569720905553E-3</v>
      </c>
      <c r="Q19" s="31">
        <f t="shared" ref="Q19:Q20" si="17">(M19*4)*B19</f>
        <v>52</v>
      </c>
    </row>
    <row r="20" spans="1:17" ht="15.75" customHeight="1">
      <c r="A20" s="20" t="str">
        <f>HYPERLINK("http://www.thedividendpig.com/dividend-stocks/financial/asset-management/ivz-invesco-limited/","IVZ")</f>
        <v>IVZ</v>
      </c>
      <c r="B20" s="21">
        <f>15+12+10+13</f>
        <v>50</v>
      </c>
      <c r="C20" s="3">
        <f t="shared" ca="1" si="0"/>
        <v>32.35</v>
      </c>
      <c r="D20" s="4">
        <f t="shared" ca="1" si="1"/>
        <v>1617.5</v>
      </c>
      <c r="E20" s="21">
        <f>15+12+10+13</f>
        <v>50</v>
      </c>
      <c r="F20" s="22">
        <f>429+329.63+26.95+314.99</f>
        <v>1100.5700000000002</v>
      </c>
      <c r="G20" s="22">
        <f>F20/E20</f>
        <v>22.011400000000002</v>
      </c>
      <c r="H20" s="22"/>
      <c r="I20" s="7" t="str">
        <f ca="1">IFERROR(__xludf.DUMMYFUNCTION("GoogleFinance(A20,""change"") &amp; ""  ("" &amp; GoogleFinance(A20,""changepct"") &amp; ""%)"""),"0.3  (1.49%)")</f>
        <v>0.3  (1.49%)</v>
      </c>
      <c r="J20" s="7">
        <f t="shared" ca="1" si="4"/>
        <v>516.92999999999984</v>
      </c>
      <c r="K20" s="23">
        <f t="shared" ca="1" si="5"/>
        <v>0.46969297727541159</v>
      </c>
      <c r="L20" s="28" t="s">
        <v>30</v>
      </c>
      <c r="M20" s="21">
        <v>0.3</v>
      </c>
      <c r="N20" s="29">
        <f t="shared" ca="1" si="15"/>
        <v>3.7094281298299843E-2</v>
      </c>
      <c r="O20" s="30">
        <f t="shared" si="16"/>
        <v>5.451720472118992E-2</v>
      </c>
      <c r="P20" s="30">
        <f t="shared" ca="1" si="8"/>
        <v>6.5626340786645249E-3</v>
      </c>
      <c r="Q20" s="31">
        <f t="shared" si="17"/>
        <v>60</v>
      </c>
    </row>
    <row r="21" spans="1:17" ht="15.75" customHeight="1">
      <c r="A21" s="20" t="str">
        <f>HYPERLINK("http://www.thedividendpig.com/dividend-stocks/financial/reit-diversified/stwd-starwood-property-trust-inc/","STWD")</f>
        <v>STWD</v>
      </c>
      <c r="B21" s="21">
        <v>20</v>
      </c>
      <c r="C21" s="3">
        <f t="shared" ca="1" si="0"/>
        <v>32.35</v>
      </c>
      <c r="D21" s="4">
        <f t="shared" ca="1" si="1"/>
        <v>647</v>
      </c>
      <c r="E21" s="21">
        <v>20</v>
      </c>
      <c r="F21" s="22">
        <v>417.2</v>
      </c>
      <c r="G21" s="22"/>
      <c r="H21" s="22"/>
      <c r="I21" s="7"/>
      <c r="J21" s="7">
        <f t="shared" ca="1" si="4"/>
        <v>229.8</v>
      </c>
      <c r="K21" s="23">
        <f t="shared" ca="1" si="5"/>
        <v>0.5508149568552253</v>
      </c>
      <c r="L21" s="28" t="s">
        <v>30</v>
      </c>
      <c r="M21" s="21">
        <v>0.48</v>
      </c>
      <c r="N21" s="29">
        <f ca="1">(M21*2)/C21</f>
        <v>2.9675425038639874E-2</v>
      </c>
      <c r="O21" s="30">
        <f>(M21*2)/(F21/E21)</f>
        <v>4.6021093000958774E-2</v>
      </c>
      <c r="P21" s="30">
        <f t="shared" ca="1" si="8"/>
        <v>2.6250536314658098E-3</v>
      </c>
      <c r="Q21" s="31">
        <f>(M21*2)*B21</f>
        <v>19.2</v>
      </c>
    </row>
    <row r="22" spans="1:17" ht="15.75" customHeight="1">
      <c r="A22" s="20" t="str">
        <f>HYPERLINK("http://www.thedividendpig.com/dividend-stocks/financial/reit-healthcare-facilities/ohi-omega-healthcare-investors/","OHI")</f>
        <v>OHI</v>
      </c>
      <c r="B22" s="21">
        <f>43.4454+15+12+2+2</f>
        <v>74.445400000000006</v>
      </c>
      <c r="C22" s="3">
        <f t="shared" ca="1" si="0"/>
        <v>32.35</v>
      </c>
      <c r="D22" s="4">
        <f t="shared" ca="1" si="1"/>
        <v>2408.3086900000003</v>
      </c>
      <c r="E22" s="21">
        <f>40+15+12</f>
        <v>67</v>
      </c>
      <c r="F22" s="22">
        <f>1513.56+479.85+390.84</f>
        <v>2384.25</v>
      </c>
      <c r="G22" s="22">
        <f>F22/E22</f>
        <v>35.585820895522389</v>
      </c>
      <c r="H22" s="22">
        <v>8.9499999999999993</v>
      </c>
      <c r="I22" s="7" t="str">
        <f ca="1">IFERROR(__xludf.DUMMYFUNCTION("GoogleFinance(A22,""change"") &amp; ""  ("" &amp; GoogleFinance(A22,""changepct"") &amp; ""%)"""),"0.09  (0.24%)")</f>
        <v>0.09  (0.24%)</v>
      </c>
      <c r="J22" s="7">
        <f t="shared" ca="1" si="4"/>
        <v>15.108690000000479</v>
      </c>
      <c r="K22" s="23">
        <f t="shared" ca="1" si="5"/>
        <v>1.0090674216210673E-2</v>
      </c>
      <c r="L22" s="28" t="s">
        <v>31</v>
      </c>
      <c r="M22" s="21">
        <v>0.66</v>
      </c>
      <c r="N22" s="29">
        <f ca="1">(M22*4)/C22</f>
        <v>8.1607418856259661E-2</v>
      </c>
      <c r="O22" s="30">
        <f>(M22*4)/(F22/E22)</f>
        <v>7.4186851211072671E-2</v>
      </c>
      <c r="P22" s="30">
        <f t="shared" ca="1" si="8"/>
        <v>9.771158380796242E-3</v>
      </c>
      <c r="Q22" s="31">
        <f>(M22*4)*B22</f>
        <v>196.53585600000002</v>
      </c>
    </row>
    <row r="23" spans="1:17" ht="15.75" customHeight="1">
      <c r="A23" s="20" t="str">
        <f>HYPERLINK("http://www.thedividendpig.com/dividend-stocks/financial/reit-retail/o-realty-income-corp/","O")</f>
        <v>O</v>
      </c>
      <c r="B23" s="21">
        <f>68.7136+5+50+50+35+35+5</f>
        <v>248.71359999999999</v>
      </c>
      <c r="C23" s="3">
        <f t="shared" ca="1" si="0"/>
        <v>32.35</v>
      </c>
      <c r="D23" s="4">
        <f t="shared" ca="1" si="1"/>
        <v>8045.8849600000003</v>
      </c>
      <c r="E23" s="21">
        <f>65+5+50+50+35+35+5</f>
        <v>245</v>
      </c>
      <c r="F23" s="22">
        <f>2908.75+224+2954.5+2784.73+1943.9+1721.3+240.8</f>
        <v>12777.979999999998</v>
      </c>
      <c r="G23" s="22"/>
      <c r="H23" s="22"/>
      <c r="I23" s="7"/>
      <c r="J23" s="7">
        <f t="shared" ca="1" si="4"/>
        <v>-4732.0950399999974</v>
      </c>
      <c r="K23" s="23">
        <f t="shared" ca="1" si="5"/>
        <v>-0.37033201178903069</v>
      </c>
      <c r="L23" s="28" t="s">
        <v>31</v>
      </c>
      <c r="M23" s="21">
        <v>0.221</v>
      </c>
      <c r="N23" s="29">
        <f t="shared" ref="N23:N25" ca="1" si="18">(M23*12)/C23</f>
        <v>8.1978361669242661E-2</v>
      </c>
      <c r="O23" s="30">
        <f t="shared" ref="O23:O25" si="19">(M23*12)/(F23/E23)</f>
        <v>5.0848412659904009E-2</v>
      </c>
      <c r="P23" s="30">
        <f t="shared" ca="1" si="8"/>
        <v>3.2644326943746742E-2</v>
      </c>
      <c r="Q23" s="31">
        <f t="shared" ref="Q23:Q25" si="20">(M23*12)*B23</f>
        <v>659.58846719999997</v>
      </c>
    </row>
    <row r="24" spans="1:17" ht="12.75">
      <c r="A24" s="20" t="str">
        <f>HYPERLINK("http://www.thedividendpig.com/dividend-stocks/financial/diversified-investments/main-main-street-capital-corp/","MAIN")</f>
        <v>MAIN</v>
      </c>
      <c r="B24" s="21">
        <f>15+40</f>
        <v>55</v>
      </c>
      <c r="C24" s="3">
        <f t="shared" ca="1" si="0"/>
        <v>32.35</v>
      </c>
      <c r="D24" s="4">
        <f t="shared" ca="1" si="1"/>
        <v>1779.25</v>
      </c>
      <c r="E24" s="21">
        <f>15+40</f>
        <v>55</v>
      </c>
      <c r="F24" s="22">
        <f>432.9+1427.2</f>
        <v>1860.1</v>
      </c>
      <c r="G24" s="22"/>
      <c r="H24" s="22"/>
      <c r="I24" s="7"/>
      <c r="J24" s="7">
        <f t="shared" ca="1" si="4"/>
        <v>-80.849999999999909</v>
      </c>
      <c r="K24" s="23">
        <f t="shared" ca="1" si="5"/>
        <v>-4.3465405085748032E-2</v>
      </c>
      <c r="L24" s="28" t="s">
        <v>30</v>
      </c>
      <c r="M24" s="21">
        <v>0.19500000000000001</v>
      </c>
      <c r="N24" s="29">
        <f t="shared" ca="1" si="18"/>
        <v>7.2333848531684689E-2</v>
      </c>
      <c r="O24" s="30">
        <f t="shared" si="19"/>
        <v>6.9189828503843878E-2</v>
      </c>
      <c r="P24" s="30">
        <f t="shared" ca="1" si="8"/>
        <v>7.2188974865309771E-3</v>
      </c>
      <c r="Q24" s="31">
        <f t="shared" si="20"/>
        <v>128.69999999999999</v>
      </c>
    </row>
    <row r="25" spans="1:17" ht="12.75">
      <c r="A25" s="20" t="str">
        <f>HYPERLINK("http://www.thedividendpig.com/dividend-stocks/financial/reit-industrial/stag-stag-industrial-inc/","STAG")</f>
        <v>STAG</v>
      </c>
      <c r="B25" s="21">
        <f>40+60+20</f>
        <v>120</v>
      </c>
      <c r="C25" s="3">
        <f t="shared" ca="1" si="0"/>
        <v>32.35</v>
      </c>
      <c r="D25" s="4">
        <f t="shared" ca="1" si="1"/>
        <v>3882</v>
      </c>
      <c r="E25" s="21">
        <f>40+60+20</f>
        <v>120</v>
      </c>
      <c r="F25" s="34">
        <f>1106+1382.5+273.3+502.2</f>
        <v>3264</v>
      </c>
      <c r="G25" s="22"/>
      <c r="H25" s="22"/>
      <c r="I25" s="7"/>
      <c r="J25" s="7">
        <f t="shared" ca="1" si="4"/>
        <v>618</v>
      </c>
      <c r="K25" s="23">
        <f t="shared" ca="1" si="5"/>
        <v>0.18933823529411764</v>
      </c>
      <c r="L25" s="28" t="s">
        <v>31</v>
      </c>
      <c r="M25" s="21">
        <v>0.11700000000000001</v>
      </c>
      <c r="N25" s="29">
        <f t="shared" ca="1" si="18"/>
        <v>4.340030911901082E-2</v>
      </c>
      <c r="O25" s="30">
        <f t="shared" si="19"/>
        <v>5.1617647058823539E-2</v>
      </c>
      <c r="P25" s="30">
        <f t="shared" ca="1" si="8"/>
        <v>1.575032178879486E-2</v>
      </c>
      <c r="Q25" s="31">
        <f t="shared" si="20"/>
        <v>168.48000000000002</v>
      </c>
    </row>
    <row r="26" spans="1:17" ht="12.75">
      <c r="A26" s="32" t="s">
        <v>32</v>
      </c>
      <c r="B26" s="21">
        <v>50</v>
      </c>
      <c r="C26" s="3">
        <f t="shared" ca="1" si="0"/>
        <v>32.35</v>
      </c>
      <c r="D26" s="4">
        <f t="shared" ca="1" si="1"/>
        <v>1617.5</v>
      </c>
      <c r="E26" s="21">
        <v>50</v>
      </c>
      <c r="F26" s="34">
        <v>1170.5</v>
      </c>
      <c r="G26" s="22"/>
      <c r="H26" s="22"/>
      <c r="I26" s="7"/>
      <c r="J26" s="7">
        <f t="shared" ca="1" si="4"/>
        <v>447</v>
      </c>
      <c r="K26" s="23">
        <f t="shared" ca="1" si="5"/>
        <v>0.38188808201623237</v>
      </c>
      <c r="L26" s="28" t="s">
        <v>31</v>
      </c>
      <c r="M26" s="21">
        <v>0.33</v>
      </c>
      <c r="N26" s="29">
        <f t="shared" ref="N26:N33" ca="1" si="21">(M26*4)/C26</f>
        <v>4.0803709428129831E-2</v>
      </c>
      <c r="O26" s="30">
        <f t="shared" ref="O26:O33" si="22">(M26*4)/(F26/E26)</f>
        <v>5.6386159760785988E-2</v>
      </c>
      <c r="P26" s="30">
        <f t="shared" ca="1" si="8"/>
        <v>6.5626340786645249E-3</v>
      </c>
      <c r="Q26" s="31">
        <f t="shared" ref="Q26:Q35" si="23">(M26*4)*B26</f>
        <v>66</v>
      </c>
    </row>
    <row r="27" spans="1:17" ht="12.75">
      <c r="A27" s="32" t="s">
        <v>33</v>
      </c>
      <c r="B27" s="21">
        <f>8+10+10+5+2+2</f>
        <v>37</v>
      </c>
      <c r="C27" s="3">
        <f t="shared" ca="1" si="0"/>
        <v>32.35</v>
      </c>
      <c r="D27" s="4">
        <f t="shared" ca="1" si="1"/>
        <v>1196.95</v>
      </c>
      <c r="E27" s="21">
        <f>8+10+10+5+2+2</f>
        <v>37</v>
      </c>
      <c r="F27" s="34">
        <f>412.44+371.44+1590+1618.9+934.3+313+297.04</f>
        <v>5537.12</v>
      </c>
      <c r="G27" s="22"/>
      <c r="H27" s="22"/>
      <c r="I27" s="7"/>
      <c r="J27" s="7">
        <f t="shared" ca="1" si="4"/>
        <v>-4340.17</v>
      </c>
      <c r="K27" s="23">
        <f t="shared" ca="1" si="5"/>
        <v>-0.78383166700378537</v>
      </c>
      <c r="L27" s="28" t="s">
        <v>34</v>
      </c>
      <c r="M27" s="21">
        <v>0.73</v>
      </c>
      <c r="N27" s="29">
        <f t="shared" ca="1" si="21"/>
        <v>9.0262751159196283E-2</v>
      </c>
      <c r="O27" s="30">
        <f t="shared" si="22"/>
        <v>1.9511948449735601E-2</v>
      </c>
      <c r="P27" s="30">
        <f t="shared" ca="1" si="8"/>
        <v>4.8563492182117484E-3</v>
      </c>
      <c r="Q27" s="31">
        <f t="shared" si="23"/>
        <v>108.03999999999999</v>
      </c>
    </row>
    <row r="28" spans="1:17" ht="12.75">
      <c r="A28" s="20" t="str">
        <f>HYPERLINK("http://www.thedividendpig.com/dividend-stocks/industrial-goods/farm-and-construction-machinery/cat-caterpillar-inc/","CAT")</f>
        <v>CAT</v>
      </c>
      <c r="B28" s="21">
        <v>24.220330000000001</v>
      </c>
      <c r="C28" s="3">
        <f t="shared" ca="1" si="0"/>
        <v>32.35</v>
      </c>
      <c r="D28" s="4">
        <f t="shared" ca="1" si="1"/>
        <v>783.5276755000001</v>
      </c>
      <c r="E28" s="21">
        <v>23</v>
      </c>
      <c r="F28" s="22">
        <v>1861.39</v>
      </c>
      <c r="G28" s="22">
        <f>F28/E28</f>
        <v>80.930000000000007</v>
      </c>
      <c r="H28" s="22">
        <v>8.9499999999999993</v>
      </c>
      <c r="I28" s="7" t="str">
        <f ca="1">IFERROR(__xludf.DUMMYFUNCTION("GoogleFinance(A28,""change"") &amp; ""  ("" &amp; GoogleFinance(A28,""changepct"") &amp; ""%)"""),"0.21  (0.15%)")</f>
        <v>0.21  (0.15%)</v>
      </c>
      <c r="J28" s="7">
        <f t="shared" ca="1" si="4"/>
        <v>-1086.8123245000002</v>
      </c>
      <c r="K28" s="23">
        <f t="shared" ca="1" si="5"/>
        <v>-0.57906313265892684</v>
      </c>
      <c r="L28" s="28" t="s">
        <v>20</v>
      </c>
      <c r="M28" s="21">
        <v>0.86</v>
      </c>
      <c r="N28" s="29">
        <f t="shared" ca="1" si="21"/>
        <v>0.10633693972179288</v>
      </c>
      <c r="O28" s="30">
        <f t="shared" si="22"/>
        <v>4.2505869269739274E-2</v>
      </c>
      <c r="P28" s="30">
        <f t="shared" ca="1" si="8"/>
        <v>3.1789832610900153E-3</v>
      </c>
      <c r="Q28" s="31">
        <f t="shared" si="23"/>
        <v>83.317935199999994</v>
      </c>
    </row>
    <row r="29" spans="1:17" ht="12.75">
      <c r="A29" s="20" t="str">
        <f>HYPERLINK("http://www.thedividendpig.com/dividend-stocks/consumer-goods/personal-products/cl-colgate-palmolive-co/","CL")</f>
        <v>CL</v>
      </c>
      <c r="B29" s="21">
        <f>4+8</f>
        <v>12</v>
      </c>
      <c r="C29" s="3">
        <f t="shared" ca="1" si="0"/>
        <v>32.35</v>
      </c>
      <c r="D29" s="4">
        <f t="shared" ca="1" si="1"/>
        <v>388.20000000000005</v>
      </c>
      <c r="E29" s="21">
        <f>4+8</f>
        <v>12</v>
      </c>
      <c r="F29" s="34">
        <f>248.44+491.52</f>
        <v>739.96</v>
      </c>
      <c r="G29" s="22"/>
      <c r="H29" s="22"/>
      <c r="I29" s="7"/>
      <c r="J29" s="7">
        <f t="shared" ca="1" si="4"/>
        <v>-351.76</v>
      </c>
      <c r="K29" s="23">
        <f t="shared" ca="1" si="5"/>
        <v>-0.47537704740796799</v>
      </c>
      <c r="L29" s="28" t="s">
        <v>19</v>
      </c>
      <c r="M29" s="21">
        <v>0.42</v>
      </c>
      <c r="N29" s="29">
        <f t="shared" ca="1" si="21"/>
        <v>5.193199381761978E-2</v>
      </c>
      <c r="O29" s="30">
        <f t="shared" si="22"/>
        <v>2.7244715930590843E-2</v>
      </c>
      <c r="P29" s="30">
        <f t="shared" ca="1" si="8"/>
        <v>1.5750321788794862E-3</v>
      </c>
      <c r="Q29" s="31">
        <f t="shared" si="23"/>
        <v>20.16</v>
      </c>
    </row>
    <row r="30" spans="1:17" ht="12.75">
      <c r="A30" s="20" t="str">
        <f>HYPERLINK("http://www.thedividendpig.com/dividend-stocks/consumer-goods/housewares-and-accessories/clx-clorox-company/","CLX")</f>
        <v>CLX</v>
      </c>
      <c r="B30" s="21">
        <f>10+5+5</f>
        <v>20</v>
      </c>
      <c r="C30" s="3">
        <f t="shared" ca="1" si="0"/>
        <v>32.35</v>
      </c>
      <c r="D30" s="4">
        <f t="shared" ca="1" si="1"/>
        <v>647</v>
      </c>
      <c r="E30" s="21">
        <f>10+5+5</f>
        <v>20</v>
      </c>
      <c r="F30" s="34">
        <f>1287+641.25+649.15</f>
        <v>2577.4</v>
      </c>
      <c r="G30" s="22"/>
      <c r="H30" s="22"/>
      <c r="I30" s="7"/>
      <c r="J30" s="7">
        <f t="shared" ca="1" si="4"/>
        <v>-1930.4</v>
      </c>
      <c r="K30" s="23">
        <f t="shared" ca="1" si="5"/>
        <v>-0.74897183207883911</v>
      </c>
      <c r="L30" s="28" t="s">
        <v>19</v>
      </c>
      <c r="M30" s="21">
        <v>0.96</v>
      </c>
      <c r="N30" s="29">
        <f t="shared" ca="1" si="21"/>
        <v>0.1187017001545595</v>
      </c>
      <c r="O30" s="30">
        <f t="shared" si="22"/>
        <v>2.9797470318926048E-2</v>
      </c>
      <c r="P30" s="30">
        <f t="shared" ca="1" si="8"/>
        <v>2.6250536314658098E-3</v>
      </c>
      <c r="Q30" s="31">
        <f t="shared" si="23"/>
        <v>76.8</v>
      </c>
    </row>
    <row r="31" spans="1:17" ht="12.75">
      <c r="A31" s="20" t="str">
        <f>HYPERLINK("http://www.thedividendpig.com/dividend-stocks/services/industrial-equipment-wholesale/gww-ww-grainger-inc/","GWW")</f>
        <v>GWW</v>
      </c>
      <c r="B31" s="21">
        <f>10+10</f>
        <v>20</v>
      </c>
      <c r="C31" s="3">
        <f t="shared" ca="1" si="0"/>
        <v>32.35</v>
      </c>
      <c r="D31" s="4">
        <f t="shared" ca="1" si="1"/>
        <v>647</v>
      </c>
      <c r="E31" s="21">
        <f>10+10</f>
        <v>20</v>
      </c>
      <c r="F31" s="34">
        <f>1916.6+1845.72</f>
        <v>3762.3199999999997</v>
      </c>
      <c r="G31" s="22"/>
      <c r="H31" s="22"/>
      <c r="I31" s="7"/>
      <c r="J31" s="7">
        <f t="shared" ca="1" si="4"/>
        <v>-3115.3199999999997</v>
      </c>
      <c r="K31" s="23">
        <f t="shared" ca="1" si="5"/>
        <v>-0.8280316400518829</v>
      </c>
      <c r="L31" s="28" t="s">
        <v>20</v>
      </c>
      <c r="M31" s="21">
        <v>1.36</v>
      </c>
      <c r="N31" s="29">
        <f t="shared" ca="1" si="21"/>
        <v>0.16816074188562596</v>
      </c>
      <c r="O31" s="30">
        <f t="shared" si="22"/>
        <v>2.8918326989729747E-2</v>
      </c>
      <c r="P31" s="30">
        <f t="shared" ca="1" si="8"/>
        <v>2.6250536314658098E-3</v>
      </c>
      <c r="Q31" s="31">
        <f t="shared" si="23"/>
        <v>108.80000000000001</v>
      </c>
    </row>
    <row r="32" spans="1:17" ht="12.75">
      <c r="A32" s="20" t="str">
        <f>HYPERLINK("http://www.thedividendpig.com/dividend-stocks/consumer-goods/personal-products/pg-procter-and-gamble-co/","PG")</f>
        <v>PG</v>
      </c>
      <c r="B32" s="21">
        <f>15.6429+25+8+10+3</f>
        <v>61.642899999999997</v>
      </c>
      <c r="C32" s="3">
        <f t="shared" ca="1" si="0"/>
        <v>32.35</v>
      </c>
      <c r="D32" s="4">
        <f t="shared" ca="1" si="1"/>
        <v>1994.147815</v>
      </c>
      <c r="E32" s="21">
        <f>15+25+8+10+3</f>
        <v>61</v>
      </c>
      <c r="F32" s="22">
        <f>1271+1996.75+580+718.6+212.97</f>
        <v>4779.3200000000006</v>
      </c>
      <c r="G32" s="22">
        <f>F32/E32</f>
        <v>78.349508196721317</v>
      </c>
      <c r="H32" s="22">
        <v>8.9499999999999993</v>
      </c>
      <c r="I32" s="7" t="str">
        <f ca="1">IFERROR(__xludf.DUMMYFUNCTION("GoogleFinance(A32,""change"") &amp; ""  ("" &amp; GoogleFinance(A32,""changepct"") &amp; ""%)"""),"0.21  (0.2%)")</f>
        <v>0.21  (0.2%)</v>
      </c>
      <c r="J32" s="7">
        <f t="shared" ca="1" si="4"/>
        <v>-2794.1221850000002</v>
      </c>
      <c r="K32" s="23">
        <f t="shared" ca="1" si="5"/>
        <v>-0.58275490760191828</v>
      </c>
      <c r="L32" s="28" t="s">
        <v>19</v>
      </c>
      <c r="M32" s="21">
        <v>0.72</v>
      </c>
      <c r="N32" s="29">
        <f t="shared" ca="1" si="21"/>
        <v>8.9026275115919623E-2</v>
      </c>
      <c r="O32" s="30">
        <f t="shared" si="22"/>
        <v>3.6758367299113678E-2</v>
      </c>
      <c r="P32" s="30">
        <f t="shared" ca="1" si="8"/>
        <v>8.0907959249541892E-3</v>
      </c>
      <c r="Q32" s="31">
        <f t="shared" si="23"/>
        <v>177.53155199999998</v>
      </c>
    </row>
    <row r="33" spans="1:17" ht="12.75">
      <c r="A33" s="33" t="s">
        <v>35</v>
      </c>
      <c r="B33" s="21">
        <f>8+5+3+5</f>
        <v>21</v>
      </c>
      <c r="C33" s="3">
        <f t="shared" ca="1" si="0"/>
        <v>32.35</v>
      </c>
      <c r="D33" s="4">
        <f t="shared" ca="1" si="1"/>
        <v>679.35</v>
      </c>
      <c r="E33" s="21">
        <f>8+5+3+5</f>
        <v>21</v>
      </c>
      <c r="F33" s="22">
        <f>530+331.35+179.28+283.35</f>
        <v>1323.98</v>
      </c>
      <c r="G33" s="22"/>
      <c r="H33" s="22"/>
      <c r="I33" s="7"/>
      <c r="J33" s="7">
        <f t="shared" ca="1" si="4"/>
        <v>-644.63</v>
      </c>
      <c r="K33" s="23">
        <f t="shared" ca="1" si="5"/>
        <v>-0.48688801945648724</v>
      </c>
      <c r="L33" s="35" t="s">
        <v>36</v>
      </c>
      <c r="M33" s="21">
        <v>0.38</v>
      </c>
      <c r="N33" s="29">
        <f t="shared" ca="1" si="21"/>
        <v>4.6986089644513139E-2</v>
      </c>
      <c r="O33" s="30">
        <f t="shared" si="22"/>
        <v>2.4109125515491169E-2</v>
      </c>
      <c r="P33" s="30">
        <f t="shared" ca="1" si="8"/>
        <v>2.7563063130391003E-3</v>
      </c>
      <c r="Q33" s="31">
        <f t="shared" si="23"/>
        <v>31.92</v>
      </c>
    </row>
    <row r="34" spans="1:17" ht="12.75">
      <c r="A34" s="33" t="s">
        <v>37</v>
      </c>
      <c r="B34" s="21">
        <f>20+5+8+5+5</f>
        <v>43</v>
      </c>
      <c r="C34" s="3">
        <f t="shared" ca="1" si="0"/>
        <v>32.35</v>
      </c>
      <c r="D34" s="4">
        <f t="shared" ca="1" si="1"/>
        <v>1391.05</v>
      </c>
      <c r="E34" s="21">
        <f>20+5+8+5+5</f>
        <v>43</v>
      </c>
      <c r="F34" s="22">
        <f>499.6+122.5+156.8+96.95+94.05</f>
        <v>969.90000000000009</v>
      </c>
      <c r="G34" s="22"/>
      <c r="H34" s="22"/>
      <c r="I34" s="7"/>
      <c r="J34" s="7">
        <f t="shared" ca="1" si="4"/>
        <v>421.14999999999986</v>
      </c>
      <c r="K34" s="23">
        <f t="shared" ca="1" si="5"/>
        <v>0.43422002268275062</v>
      </c>
      <c r="L34" s="35" t="s">
        <v>36</v>
      </c>
      <c r="M34" s="21">
        <v>0.92</v>
      </c>
      <c r="N34" s="29">
        <f ca="1">(M34*1)/C34</f>
        <v>2.8438948995363214E-2</v>
      </c>
      <c r="O34" s="30">
        <f>(M34*1)/(F34/E34)</f>
        <v>4.078771007320342E-2</v>
      </c>
      <c r="P34" s="30">
        <f t="shared" ca="1" si="8"/>
        <v>5.6438653076514907E-3</v>
      </c>
      <c r="Q34" s="31">
        <f t="shared" si="23"/>
        <v>158.24</v>
      </c>
    </row>
    <row r="35" spans="1:17" ht="12.75">
      <c r="A35" s="33" t="s">
        <v>38</v>
      </c>
      <c r="B35" s="21">
        <f>5+3+5</f>
        <v>13</v>
      </c>
      <c r="C35" s="3">
        <f t="shared" ca="1" si="0"/>
        <v>32.35</v>
      </c>
      <c r="D35" s="4">
        <f t="shared" ca="1" si="1"/>
        <v>420.55</v>
      </c>
      <c r="E35" s="21">
        <f>5+3+5</f>
        <v>13</v>
      </c>
      <c r="F35" s="22">
        <f>391.2+233.58+384.3</f>
        <v>1009.0799999999999</v>
      </c>
      <c r="G35" s="22"/>
      <c r="H35" s="22"/>
      <c r="I35" s="7"/>
      <c r="J35" s="7">
        <f t="shared" ca="1" si="4"/>
        <v>-588.53</v>
      </c>
      <c r="K35" s="23">
        <f t="shared" ca="1" si="5"/>
        <v>-0.58323423316288103</v>
      </c>
      <c r="L35" s="35" t="s">
        <v>36</v>
      </c>
      <c r="M35" s="21">
        <v>0.62</v>
      </c>
      <c r="N35" s="29">
        <f t="shared" ref="N35:N69" ca="1" si="24">(M35*4)/C35</f>
        <v>7.6661514683153006E-2</v>
      </c>
      <c r="O35" s="30">
        <f t="shared" ref="O35:O69" si="25">(M35*4)/(F35/E35)</f>
        <v>3.1949894953819329E-2</v>
      </c>
      <c r="P35" s="30">
        <f t="shared" ca="1" si="8"/>
        <v>1.7062848604527765E-3</v>
      </c>
      <c r="Q35" s="31">
        <f t="shared" si="23"/>
        <v>32.24</v>
      </c>
    </row>
    <row r="36" spans="1:17" ht="12.75">
      <c r="A36" s="20" t="str">
        <f>HYPERLINK("https://www.thedividendpig.com/dividend-stocks/consumer-goods/personal-products/kmb-kimberly-clark-corp/","KMB")</f>
        <v>KMB</v>
      </c>
      <c r="B36" s="21">
        <f>25+10+5+4</f>
        <v>44</v>
      </c>
      <c r="C36" s="3">
        <f t="shared" ca="1" si="0"/>
        <v>32.35</v>
      </c>
      <c r="D36" s="4">
        <f t="shared" ca="1" si="1"/>
        <v>1423.4</v>
      </c>
      <c r="E36" s="21">
        <f>25+10+5+4</f>
        <v>44</v>
      </c>
      <c r="F36" s="22">
        <f>2771.5+1158.5+553.95+416.56</f>
        <v>4900.51</v>
      </c>
      <c r="G36" s="22"/>
      <c r="H36" s="22"/>
      <c r="I36" s="7"/>
      <c r="J36" s="7">
        <f t="shared" ca="1" si="4"/>
        <v>-3477.11</v>
      </c>
      <c r="K36" s="23">
        <f t="shared" ca="1" si="5"/>
        <v>-0.70954043558731639</v>
      </c>
      <c r="L36" s="28" t="s">
        <v>19</v>
      </c>
      <c r="M36" s="21">
        <v>0.97</v>
      </c>
      <c r="N36" s="29">
        <f t="shared" ca="1" si="24"/>
        <v>0.11993817619783616</v>
      </c>
      <c r="O36" s="30">
        <f t="shared" si="25"/>
        <v>3.4837190414875187E-2</v>
      </c>
      <c r="P36" s="30">
        <f t="shared" ca="1" si="8"/>
        <v>5.7751179892247817E-3</v>
      </c>
      <c r="Q36" s="31">
        <f>(M36*1)*B36</f>
        <v>42.68</v>
      </c>
    </row>
    <row r="37" spans="1:17" ht="12.75">
      <c r="A37" s="20" t="str">
        <f>HYPERLINK("http://www.thedividendpig.com/dividend-stocks/financial/property-and-casualty-insurance/trv-travelers-companies/","TRV")</f>
        <v>TRV</v>
      </c>
      <c r="B37" s="21">
        <f>11+15</f>
        <v>26</v>
      </c>
      <c r="C37" s="3">
        <f t="shared" ca="1" si="0"/>
        <v>32.35</v>
      </c>
      <c r="D37" s="4">
        <f t="shared" ca="1" si="1"/>
        <v>841.1</v>
      </c>
      <c r="E37" s="21">
        <f>11+15</f>
        <v>26</v>
      </c>
      <c r="F37" s="22">
        <f>1209.84+1806</f>
        <v>3015.84</v>
      </c>
      <c r="G37" s="22"/>
      <c r="H37" s="22"/>
      <c r="I37" s="7"/>
      <c r="J37" s="7">
        <f t="shared" ca="1" si="4"/>
        <v>-2174.7400000000002</v>
      </c>
      <c r="K37" s="23">
        <f t="shared" ca="1" si="5"/>
        <v>-0.72110589421189453</v>
      </c>
      <c r="L37" s="28" t="s">
        <v>30</v>
      </c>
      <c r="M37" s="21">
        <v>0.77</v>
      </c>
      <c r="N37" s="29">
        <f t="shared" ca="1" si="24"/>
        <v>9.5208655332302938E-2</v>
      </c>
      <c r="O37" s="30">
        <f t="shared" si="25"/>
        <v>2.6553132792190567E-2</v>
      </c>
      <c r="P37" s="30">
        <f t="shared" ca="1" si="8"/>
        <v>3.412569720905553E-3</v>
      </c>
      <c r="Q37" s="31">
        <f t="shared" ref="Q37:Q69" si="26">(M37*4)*B37</f>
        <v>80.08</v>
      </c>
    </row>
    <row r="38" spans="1:17" ht="12.75">
      <c r="A38" s="20" t="str">
        <f>HYPERLINK("http://www.thedividendpig.com/dividend-stocks/services/discount-variety-stores/wmt-wal-mart-stores-inc/","WMT")</f>
        <v>WMT</v>
      </c>
      <c r="B38" s="21">
        <f>20.5973+20.8578+6</f>
        <v>47.455100000000002</v>
      </c>
      <c r="C38" s="3">
        <f t="shared" ca="1" si="0"/>
        <v>32.35</v>
      </c>
      <c r="D38" s="4">
        <f t="shared" ca="1" si="1"/>
        <v>1535.1724850000001</v>
      </c>
      <c r="E38" s="21">
        <v>40</v>
      </c>
      <c r="F38" s="22">
        <f>1649.6+1444.4+350.82</f>
        <v>3444.82</v>
      </c>
      <c r="G38" s="22">
        <f t="shared" ref="G38:G39" si="27">F38/E38</f>
        <v>86.120500000000007</v>
      </c>
      <c r="H38" s="22">
        <v>8.9499999999999993</v>
      </c>
      <c r="I38" s="7" t="str">
        <f t="shared" ref="I38:I39" ca="1" si="28">IFERROR(__xludf.DUMMYFUNCTION("GoogleFinance(A38,""change"") &amp; ""  ("" &amp; GoogleFinance(A38,""changepct"") &amp; ""%)"""),"0.72  (0.73%)")</f>
        <v>0.72  (0.73%)</v>
      </c>
      <c r="J38" s="7">
        <f t="shared" ca="1" si="4"/>
        <v>-1918.5975149999999</v>
      </c>
      <c r="K38" s="23">
        <f t="shared" ca="1" si="5"/>
        <v>-0.55435335227965465</v>
      </c>
      <c r="L38" s="28" t="s">
        <v>19</v>
      </c>
      <c r="M38" s="21">
        <v>0.52</v>
      </c>
      <c r="N38" s="29">
        <f t="shared" ca="1" si="24"/>
        <v>6.4296754250386404E-2</v>
      </c>
      <c r="O38" s="30">
        <f t="shared" si="25"/>
        <v>2.415220534019194E-2</v>
      </c>
      <c r="P38" s="30">
        <f t="shared" ca="1" si="8"/>
        <v>6.2286091293286576E-3</v>
      </c>
      <c r="Q38" s="31">
        <f t="shared" si="26"/>
        <v>98.706608000000003</v>
      </c>
    </row>
    <row r="39" spans="1:17" ht="12.75">
      <c r="A39" s="20" t="str">
        <f>HYPERLINK("http://www.thedividendpig.com/dividend-stocks/technology/business-software-and-services/msft-microsoft-corp/","MSFT")</f>
        <v>MSFT</v>
      </c>
      <c r="B39" s="21">
        <f>49.6649+7+7+2</f>
        <v>65.664900000000003</v>
      </c>
      <c r="C39" s="3">
        <f t="shared" ca="1" si="0"/>
        <v>32.35</v>
      </c>
      <c r="D39" s="4">
        <f t="shared" ca="1" si="1"/>
        <v>2124.2595150000002</v>
      </c>
      <c r="E39" s="21">
        <f>48+7+7+2</f>
        <v>64</v>
      </c>
      <c r="F39" s="22">
        <f>1950+354.13+360.57+190.9</f>
        <v>2855.6000000000004</v>
      </c>
      <c r="G39" s="22">
        <f t="shared" si="27"/>
        <v>44.618750000000006</v>
      </c>
      <c r="H39" s="22">
        <v>8.9499999999999993</v>
      </c>
      <c r="I39" s="7" t="str">
        <f t="shared" ca="1" si="28"/>
        <v>0.72  (0.73%)</v>
      </c>
      <c r="J39" s="7">
        <f t="shared" ca="1" si="4"/>
        <v>-740.29048499999999</v>
      </c>
      <c r="K39" s="23">
        <f t="shared" ca="1" si="5"/>
        <v>-0.25610746778260263</v>
      </c>
      <c r="L39" s="28" t="s">
        <v>34</v>
      </c>
      <c r="M39" s="21">
        <v>0.46</v>
      </c>
      <c r="N39" s="29">
        <f t="shared" ca="1" si="24"/>
        <v>5.6877897990726428E-2</v>
      </c>
      <c r="O39" s="30">
        <f t="shared" si="25"/>
        <v>4.1238268665079139E-2</v>
      </c>
      <c r="P39" s="30">
        <f t="shared" ca="1" si="8"/>
        <v>8.6186942102419641E-3</v>
      </c>
      <c r="Q39" s="31">
        <f t="shared" si="26"/>
        <v>120.82341600000001</v>
      </c>
    </row>
    <row r="40" spans="1:17" ht="12.75">
      <c r="A40" s="20" t="str">
        <f>HYPERLINK("http://www.thedividendpig.com/dividend-stocks/services/railroads/unp-union-pacific/","UNP")</f>
        <v>UNP</v>
      </c>
      <c r="B40" s="21">
        <f>15.2844+8+4+4</f>
        <v>31.284399999999998</v>
      </c>
      <c r="C40" s="3">
        <f t="shared" ca="1" si="0"/>
        <v>32.35</v>
      </c>
      <c r="D40" s="4">
        <f t="shared" ca="1" si="1"/>
        <v>1012.05034</v>
      </c>
      <c r="E40" s="21">
        <f>15+8+4+4</f>
        <v>31</v>
      </c>
      <c r="F40" s="22">
        <f>1538.25+761.36+313.64+327.44</f>
        <v>2940.69</v>
      </c>
      <c r="G40" s="22"/>
      <c r="H40" s="22"/>
      <c r="I40" s="7"/>
      <c r="J40" s="7">
        <f t="shared" ca="1" si="4"/>
        <v>-1928.63966</v>
      </c>
      <c r="K40" s="23">
        <f t="shared" ca="1" si="5"/>
        <v>-0.65584596132200268</v>
      </c>
      <c r="L40" s="28" t="s">
        <v>20</v>
      </c>
      <c r="M40" s="21">
        <v>0.8</v>
      </c>
      <c r="N40" s="29">
        <f t="shared" ca="1" si="24"/>
        <v>9.8918083462132919E-2</v>
      </c>
      <c r="O40" s="30">
        <f t="shared" si="25"/>
        <v>3.3733579534054932E-2</v>
      </c>
      <c r="P40" s="30">
        <f t="shared" ca="1" si="8"/>
        <v>4.1061613914114489E-3</v>
      </c>
      <c r="Q40" s="31">
        <f t="shared" si="26"/>
        <v>100.11008</v>
      </c>
    </row>
    <row r="41" spans="1:17" ht="12.75">
      <c r="A41" s="20" t="str">
        <f>HYPERLINK("http://www.thedividendpig.com/dividend-stocks/healthcare/health-care-plans/unh-unitedhealth-group-inc/","UNH")</f>
        <v>UNH</v>
      </c>
      <c r="B41" s="21">
        <f>5+2+6</f>
        <v>13</v>
      </c>
      <c r="C41" s="3">
        <f t="shared" ca="1" si="0"/>
        <v>32.35</v>
      </c>
      <c r="D41" s="4">
        <f t="shared" ca="1" si="1"/>
        <v>420.55</v>
      </c>
      <c r="E41" s="21">
        <f>5+2+6</f>
        <v>13</v>
      </c>
      <c r="F41" s="34">
        <f>559.99+495+1500.66</f>
        <v>2555.65</v>
      </c>
      <c r="G41" s="22"/>
      <c r="H41" s="22"/>
      <c r="I41" s="7"/>
      <c r="J41" s="7">
        <f t="shared" ca="1" si="4"/>
        <v>-2135.1</v>
      </c>
      <c r="K41" s="23">
        <f t="shared" ca="1" si="5"/>
        <v>-0.83544303797468344</v>
      </c>
      <c r="L41" s="28" t="s">
        <v>39</v>
      </c>
      <c r="M41" s="21">
        <v>0.9</v>
      </c>
      <c r="N41" s="29">
        <f t="shared" ca="1" si="24"/>
        <v>0.11128284389489954</v>
      </c>
      <c r="O41" s="30">
        <f t="shared" si="25"/>
        <v>1.8312366716882199E-2</v>
      </c>
      <c r="P41" s="30">
        <f t="shared" ca="1" si="8"/>
        <v>1.7062848604527765E-3</v>
      </c>
      <c r="Q41" s="31">
        <f t="shared" si="26"/>
        <v>46.800000000000004</v>
      </c>
    </row>
    <row r="42" spans="1:17" ht="12.75">
      <c r="A42" s="20" t="str">
        <f>HYPERLINK("http://www.thedividendpig.com/dividend-stocks/industrial-goods/aerospace-defense-products-and-services/ba-boeing-company/","BA")</f>
        <v>BA</v>
      </c>
      <c r="B42" s="21">
        <f>6+3+21+2</f>
        <v>32</v>
      </c>
      <c r="C42" s="3">
        <f t="shared" ca="1" si="0"/>
        <v>32.35</v>
      </c>
      <c r="D42" s="4">
        <f t="shared" ca="1" si="1"/>
        <v>1035.2</v>
      </c>
      <c r="E42" s="21">
        <f>6+3+21+2</f>
        <v>32</v>
      </c>
      <c r="F42" s="34">
        <f>801.98+356.58+2588.46+727.38</f>
        <v>4474.3999999999996</v>
      </c>
      <c r="G42" s="22"/>
      <c r="H42" s="22"/>
      <c r="I42" s="7"/>
      <c r="J42" s="7">
        <f t="shared" ca="1" si="4"/>
        <v>-3439.2</v>
      </c>
      <c r="K42" s="23">
        <f t="shared" ca="1" si="5"/>
        <v>-0.76863937064187382</v>
      </c>
      <c r="L42" s="28" t="s">
        <v>20</v>
      </c>
      <c r="M42" s="21">
        <v>1.71</v>
      </c>
      <c r="N42" s="29">
        <f t="shared" ca="1" si="24"/>
        <v>0.21143740340030912</v>
      </c>
      <c r="O42" s="30">
        <f t="shared" si="25"/>
        <v>4.8918290720543538E-2</v>
      </c>
      <c r="P42" s="30">
        <f t="shared" ca="1" si="8"/>
        <v>4.2000858103452962E-3</v>
      </c>
      <c r="Q42" s="31">
        <f t="shared" si="26"/>
        <v>218.88</v>
      </c>
    </row>
    <row r="43" spans="1:17" ht="12.75">
      <c r="A43" s="20" t="str">
        <f>HYPERLINK("http://www.thedividendpig.com/dividend-stocks/services/staffing-and-outsourcing-services/payx-paychex-inc/","PAYX")</f>
        <v>PAYX</v>
      </c>
      <c r="B43" s="21">
        <v>30</v>
      </c>
      <c r="C43" s="3">
        <f t="shared" ca="1" si="0"/>
        <v>32.35</v>
      </c>
      <c r="D43" s="4">
        <f t="shared" ca="1" si="1"/>
        <v>970.5</v>
      </c>
      <c r="E43" s="21">
        <v>30</v>
      </c>
      <c r="F43" s="36">
        <v>1739.1</v>
      </c>
      <c r="G43" s="22"/>
      <c r="H43" s="22"/>
      <c r="I43" s="7"/>
      <c r="J43" s="7">
        <f t="shared" ca="1" si="4"/>
        <v>-768.59999999999991</v>
      </c>
      <c r="K43" s="23">
        <f t="shared" ca="1" si="5"/>
        <v>-0.44195273417284797</v>
      </c>
      <c r="L43" s="28" t="s">
        <v>34</v>
      </c>
      <c r="M43" s="21">
        <v>0.56000000000000005</v>
      </c>
      <c r="N43" s="29">
        <f t="shared" ca="1" si="24"/>
        <v>6.9242658423493045E-2</v>
      </c>
      <c r="O43" s="30">
        <f t="shared" si="25"/>
        <v>3.8640676211833709E-2</v>
      </c>
      <c r="P43" s="30">
        <f t="shared" ca="1" si="8"/>
        <v>3.9375804471987151E-3</v>
      </c>
      <c r="Q43" s="31">
        <f t="shared" si="26"/>
        <v>67.2</v>
      </c>
    </row>
    <row r="44" spans="1:17" ht="12.75">
      <c r="A44" s="20" t="str">
        <f>HYPERLINK("http://www.thedividendpig.com/dividend-stocks/healthcare/drug-manufacturers-major/jnj-johnson-and-johnson/","JNJ")</f>
        <v>JNJ</v>
      </c>
      <c r="B44" s="21">
        <f>15.4431+8+10+15+5+5+5+4+3+4</f>
        <v>74.443100000000001</v>
      </c>
      <c r="C44" s="3">
        <f t="shared" ca="1" si="0"/>
        <v>32.35</v>
      </c>
      <c r="D44" s="4">
        <f t="shared" ca="1" si="1"/>
        <v>2408.234285</v>
      </c>
      <c r="E44" s="21">
        <f>15+8+10+15+5+5+5+4+3+4</f>
        <v>74</v>
      </c>
      <c r="F44" s="36">
        <f>1498.45+767.5+1323.2+646.45+638.25+607+601.35+510.8+380.58+491.84</f>
        <v>7465.42</v>
      </c>
      <c r="G44" s="22"/>
      <c r="H44" s="22"/>
      <c r="I44" s="7"/>
      <c r="J44" s="7">
        <f t="shared" ca="1" si="4"/>
        <v>-5057.1857149999996</v>
      </c>
      <c r="K44" s="23">
        <f t="shared" ca="1" si="5"/>
        <v>-0.6774147623308534</v>
      </c>
      <c r="L44" s="28" t="s">
        <v>39</v>
      </c>
      <c r="M44" s="21">
        <v>0.9</v>
      </c>
      <c r="N44" s="29">
        <f t="shared" ca="1" si="24"/>
        <v>0.11128284389489954</v>
      </c>
      <c r="O44" s="30">
        <f t="shared" si="25"/>
        <v>3.5684529470545526E-2</v>
      </c>
      <c r="P44" s="30">
        <f t="shared" ca="1" si="8"/>
        <v>9.7708564996286211E-3</v>
      </c>
      <c r="Q44" s="31">
        <f t="shared" si="26"/>
        <v>267.99516</v>
      </c>
    </row>
    <row r="45" spans="1:17" ht="12.75">
      <c r="A45" s="20" t="str">
        <f>HYPERLINK("http://www.thedividendpig.com/dividend-stocks/industrial-goods/diversified-machinery/mmm-3m/","MMM")</f>
        <v>MMM</v>
      </c>
      <c r="B45" s="21">
        <f>9.2501+7+7+4+5+3+4+5+3+1+8+2+2+4</f>
        <v>64.250100000000003</v>
      </c>
      <c r="C45" s="3">
        <f t="shared" ca="1" si="0"/>
        <v>32.35</v>
      </c>
      <c r="D45" s="4">
        <f t="shared" ca="1" si="1"/>
        <v>2078.4907350000003</v>
      </c>
      <c r="E45" s="21">
        <f>11+2+7+4+5+3+4+5+3+1+8+2+2+4</f>
        <v>61</v>
      </c>
      <c r="F45" s="34">
        <f>1387.8+586.93+411.58+862.68+1118.85+647.64+788.04+985.25+593.58+198.2+1562.8+395.72+393.72+783.44</f>
        <v>10716.23</v>
      </c>
      <c r="G45" s="22"/>
      <c r="H45" s="22"/>
      <c r="I45" s="7"/>
      <c r="J45" s="7">
        <f t="shared" ca="1" si="4"/>
        <v>-8637.7392650000002</v>
      </c>
      <c r="K45" s="23">
        <f t="shared" ca="1" si="5"/>
        <v>-0.8060427281795931</v>
      </c>
      <c r="L45" s="28" t="s">
        <v>20</v>
      </c>
      <c r="M45" s="21">
        <v>1.36</v>
      </c>
      <c r="N45" s="29">
        <f t="shared" ca="1" si="24"/>
        <v>0.16816074188562596</v>
      </c>
      <c r="O45" s="30">
        <f t="shared" si="25"/>
        <v>3.096611401584326E-2</v>
      </c>
      <c r="P45" s="30">
        <f t="shared" ca="1" si="8"/>
        <v>8.4329979163520735E-3</v>
      </c>
      <c r="Q45" s="31">
        <f t="shared" si="26"/>
        <v>349.52054400000003</v>
      </c>
    </row>
    <row r="46" spans="1:17" ht="12.75">
      <c r="A46" s="20" t="str">
        <f>HYPERLINK("http://www.thedividendpig.com/dividend-stocks/financial/money-center-banks/wfc-wells-fargo-and-co/","WFC")</f>
        <v>WFC</v>
      </c>
      <c r="B46" s="21">
        <f>16.4706+21+5+10+8</f>
        <v>60.470600000000005</v>
      </c>
      <c r="C46" s="3">
        <f t="shared" ca="1" si="0"/>
        <v>32.35</v>
      </c>
      <c r="D46" s="4">
        <f t="shared" ca="1" si="1"/>
        <v>1956.2239100000002</v>
      </c>
      <c r="E46" s="21">
        <f>16+21+5+10+8</f>
        <v>60</v>
      </c>
      <c r="F46" s="34">
        <f>887.2+1101.03+224.3+478.6+360.68</f>
        <v>3051.81</v>
      </c>
      <c r="G46" s="22"/>
      <c r="H46" s="22"/>
      <c r="I46" s="7"/>
      <c r="J46" s="7">
        <f t="shared" ca="1" si="4"/>
        <v>-1095.5860899999998</v>
      </c>
      <c r="K46" s="23">
        <f t="shared" ca="1" si="5"/>
        <v>-0.35899551086076781</v>
      </c>
      <c r="L46" s="28" t="s">
        <v>30</v>
      </c>
      <c r="M46" s="21">
        <v>0.43</v>
      </c>
      <c r="N46" s="29">
        <f t="shared" ca="1" si="24"/>
        <v>5.316846986089644E-2</v>
      </c>
      <c r="O46" s="30">
        <f t="shared" si="25"/>
        <v>3.3815997719386197E-2</v>
      </c>
      <c r="P46" s="30">
        <f t="shared" ca="1" si="8"/>
        <v>7.9369284063458209E-3</v>
      </c>
      <c r="Q46" s="31">
        <f t="shared" si="26"/>
        <v>104.009432</v>
      </c>
    </row>
    <row r="47" spans="1:17" ht="12.75">
      <c r="A47" s="33" t="s">
        <v>40</v>
      </c>
      <c r="B47" s="21">
        <f>10+3</f>
        <v>13</v>
      </c>
      <c r="C47" s="3">
        <f t="shared" ca="1" si="0"/>
        <v>32.35</v>
      </c>
      <c r="D47" s="4">
        <f t="shared" ca="1" si="1"/>
        <v>420.55</v>
      </c>
      <c r="E47" s="21">
        <f>10+3</f>
        <v>13</v>
      </c>
      <c r="F47" s="34">
        <f>514.5+150</f>
        <v>664.5</v>
      </c>
      <c r="G47" s="22"/>
      <c r="H47" s="22"/>
      <c r="I47" s="7"/>
      <c r="J47" s="7">
        <f t="shared" ca="1" si="4"/>
        <v>-243.95</v>
      </c>
      <c r="K47" s="23">
        <f t="shared" ca="1" si="5"/>
        <v>-0.36711813393528969</v>
      </c>
      <c r="L47" s="28" t="s">
        <v>30</v>
      </c>
      <c r="M47" s="21">
        <v>0.28000000000000003</v>
      </c>
      <c r="N47" s="29">
        <f t="shared" ca="1" si="24"/>
        <v>3.4621329211746522E-2</v>
      </c>
      <c r="O47" s="30">
        <f t="shared" si="25"/>
        <v>2.191121143717081E-2</v>
      </c>
      <c r="P47" s="30">
        <f t="shared" ca="1" si="8"/>
        <v>1.7062848604527765E-3</v>
      </c>
      <c r="Q47" s="31">
        <f t="shared" si="26"/>
        <v>14.560000000000002</v>
      </c>
    </row>
    <row r="48" spans="1:17" ht="12.75">
      <c r="A48" s="20" t="str">
        <f>HYPERLINK("http://www.thedividendpig.com/dividend-stocks/financial/money-center-banks/jpm-jpmorgan-chase-and-co/","JPM")</f>
        <v>JPM</v>
      </c>
      <c r="B48" s="21">
        <f>5+3+3+5+3+16</f>
        <v>35</v>
      </c>
      <c r="C48" s="3">
        <f t="shared" ca="1" si="0"/>
        <v>32.35</v>
      </c>
      <c r="D48" s="4">
        <f t="shared" ca="1" si="1"/>
        <v>1132.25</v>
      </c>
      <c r="E48" s="21">
        <f>5+3+3+5+3+16</f>
        <v>35</v>
      </c>
      <c r="F48" s="34">
        <f>268.05+323.58+312.12+519.3+326.58+1661.76</f>
        <v>3411.39</v>
      </c>
      <c r="G48" s="22"/>
      <c r="H48" s="22"/>
      <c r="I48" s="7"/>
      <c r="J48" s="7">
        <f t="shared" ca="1" si="4"/>
        <v>-2279.14</v>
      </c>
      <c r="K48" s="23">
        <f t="shared" ca="1" si="5"/>
        <v>-0.66809716860282753</v>
      </c>
      <c r="L48" s="28" t="s">
        <v>30</v>
      </c>
      <c r="M48" s="21">
        <v>0.8</v>
      </c>
      <c r="N48" s="29">
        <f t="shared" ca="1" si="24"/>
        <v>9.8918083462132919E-2</v>
      </c>
      <c r="O48" s="30">
        <f t="shared" si="25"/>
        <v>3.2831191977463731E-2</v>
      </c>
      <c r="P48" s="30">
        <f t="shared" ca="1" si="8"/>
        <v>4.5938438550651673E-3</v>
      </c>
      <c r="Q48" s="31">
        <f t="shared" si="26"/>
        <v>112</v>
      </c>
    </row>
    <row r="49" spans="1:17" ht="12.75">
      <c r="A49" s="32" t="s">
        <v>41</v>
      </c>
      <c r="B49" s="21">
        <f>6+4</f>
        <v>10</v>
      </c>
      <c r="C49" s="3">
        <f t="shared" ca="1" si="0"/>
        <v>32.35</v>
      </c>
      <c r="D49" s="4">
        <f t="shared" ca="1" si="1"/>
        <v>323.5</v>
      </c>
      <c r="E49" s="21">
        <f>6+4</f>
        <v>10</v>
      </c>
      <c r="F49" s="34">
        <f>339.9+221.12</f>
        <v>561.02</v>
      </c>
      <c r="G49" s="22"/>
      <c r="H49" s="22"/>
      <c r="I49" s="7"/>
      <c r="J49" s="7">
        <f t="shared" ca="1" si="4"/>
        <v>-237.51999999999998</v>
      </c>
      <c r="K49" s="23">
        <f t="shared" ca="1" si="5"/>
        <v>-0.42337171580335814</v>
      </c>
      <c r="L49" s="28" t="s">
        <v>30</v>
      </c>
      <c r="M49" s="21">
        <v>0.51500000000000001</v>
      </c>
      <c r="N49" s="29">
        <f t="shared" ca="1" si="24"/>
        <v>6.3678516228748067E-2</v>
      </c>
      <c r="O49" s="30">
        <f t="shared" si="25"/>
        <v>3.6718833553171015E-2</v>
      </c>
      <c r="P49" s="30">
        <f t="shared" ca="1" si="8"/>
        <v>1.3125268157329049E-3</v>
      </c>
      <c r="Q49" s="31">
        <f t="shared" si="26"/>
        <v>20.6</v>
      </c>
    </row>
    <row r="50" spans="1:17" ht="12.75">
      <c r="A50" s="32" t="s">
        <v>42</v>
      </c>
      <c r="B50" s="21">
        <f>6+4+2+5</f>
        <v>17</v>
      </c>
      <c r="C50" s="3">
        <f t="shared" ca="1" si="0"/>
        <v>32.35</v>
      </c>
      <c r="D50" s="4">
        <f t="shared" ca="1" si="1"/>
        <v>549.95000000000005</v>
      </c>
      <c r="E50" s="21">
        <f>6+4+2+5</f>
        <v>17</v>
      </c>
      <c r="F50" s="34">
        <f>436.44+291.48+141.72+342.9</f>
        <v>1212.54</v>
      </c>
      <c r="G50" s="22"/>
      <c r="H50" s="22"/>
      <c r="I50" s="7"/>
      <c r="J50" s="7">
        <f t="shared" ca="1" si="4"/>
        <v>-662.58999999999992</v>
      </c>
      <c r="K50" s="23">
        <f t="shared" ca="1" si="5"/>
        <v>-0.54644795223250364</v>
      </c>
      <c r="L50" s="28" t="s">
        <v>30</v>
      </c>
      <c r="M50" s="21">
        <v>0.98</v>
      </c>
      <c r="N50" s="29">
        <f t="shared" ca="1" si="24"/>
        <v>0.12117465224111282</v>
      </c>
      <c r="O50" s="30">
        <f t="shared" si="25"/>
        <v>5.4959011661470956E-2</v>
      </c>
      <c r="P50" s="30">
        <f t="shared" ca="1" si="8"/>
        <v>2.2312955867459386E-3</v>
      </c>
      <c r="Q50" s="31">
        <f t="shared" si="26"/>
        <v>66.64</v>
      </c>
    </row>
    <row r="51" spans="1:17" ht="12.75">
      <c r="A51" s="32" t="s">
        <v>43</v>
      </c>
      <c r="B51" s="21">
        <f>5</f>
        <v>5</v>
      </c>
      <c r="C51" s="3">
        <f t="shared" ca="1" si="0"/>
        <v>32.35</v>
      </c>
      <c r="D51" s="4">
        <f t="shared" ca="1" si="1"/>
        <v>161.75</v>
      </c>
      <c r="E51" s="21">
        <f>5</f>
        <v>5</v>
      </c>
      <c r="F51" s="34">
        <f>319.8</f>
        <v>319.8</v>
      </c>
      <c r="G51" s="22"/>
      <c r="H51" s="22"/>
      <c r="I51" s="7"/>
      <c r="J51" s="7">
        <f t="shared" ca="1" si="4"/>
        <v>-158.05000000000001</v>
      </c>
      <c r="K51" s="23">
        <f t="shared" ca="1" si="5"/>
        <v>-0.49421513445903692</v>
      </c>
      <c r="L51" s="28" t="s">
        <v>30</v>
      </c>
      <c r="M51" s="21">
        <v>0.96</v>
      </c>
      <c r="N51" s="29">
        <f t="shared" ca="1" si="24"/>
        <v>0.1187017001545595</v>
      </c>
      <c r="O51" s="30">
        <f t="shared" si="25"/>
        <v>6.0037523452157598E-2</v>
      </c>
      <c r="P51" s="30">
        <f t="shared" ca="1" si="8"/>
        <v>6.5626340786645245E-4</v>
      </c>
      <c r="Q51" s="31">
        <f t="shared" si="26"/>
        <v>19.2</v>
      </c>
    </row>
    <row r="52" spans="1:17" ht="12.75">
      <c r="A52" s="32" t="s">
        <v>44</v>
      </c>
      <c r="B52" s="21">
        <f>5+2+4+1</f>
        <v>12</v>
      </c>
      <c r="C52" s="3">
        <f t="shared" ca="1" si="0"/>
        <v>32.35</v>
      </c>
      <c r="D52" s="4">
        <f t="shared" ca="1" si="1"/>
        <v>388.20000000000005</v>
      </c>
      <c r="E52" s="21">
        <f>5+2+4+1</f>
        <v>12</v>
      </c>
      <c r="F52" s="34">
        <f>484.3+187.7+331.36+80.86</f>
        <v>1084.22</v>
      </c>
      <c r="G52" s="22"/>
      <c r="H52" s="22"/>
      <c r="I52" s="7"/>
      <c r="J52" s="7">
        <f t="shared" ca="1" si="4"/>
        <v>-696.02</v>
      </c>
      <c r="K52" s="23">
        <f t="shared" ca="1" si="5"/>
        <v>-0.64195458486285073</v>
      </c>
      <c r="L52" s="28" t="s">
        <v>30</v>
      </c>
      <c r="M52" s="21">
        <v>0.9</v>
      </c>
      <c r="N52" s="29">
        <f t="shared" ca="1" si="24"/>
        <v>0.11128284389489954</v>
      </c>
      <c r="O52" s="30">
        <f t="shared" si="25"/>
        <v>3.9844312039991885E-2</v>
      </c>
      <c r="P52" s="30">
        <f t="shared" ca="1" si="8"/>
        <v>1.5750321788794862E-3</v>
      </c>
      <c r="Q52" s="31">
        <f t="shared" si="26"/>
        <v>43.2</v>
      </c>
    </row>
    <row r="53" spans="1:17" ht="12.75">
      <c r="A53" s="32" t="s">
        <v>45</v>
      </c>
      <c r="B53" s="21">
        <v>10</v>
      </c>
      <c r="C53" s="3">
        <f t="shared" ca="1" si="0"/>
        <v>32.35</v>
      </c>
      <c r="D53" s="4">
        <f t="shared" ca="1" si="1"/>
        <v>323.5</v>
      </c>
      <c r="E53" s="21">
        <v>10</v>
      </c>
      <c r="F53" s="34">
        <f>304.5</f>
        <v>304.5</v>
      </c>
      <c r="G53" s="22"/>
      <c r="H53" s="22"/>
      <c r="I53" s="7"/>
      <c r="J53" s="7">
        <f t="shared" ca="1" si="4"/>
        <v>19</v>
      </c>
      <c r="K53" s="23">
        <f t="shared" ca="1" si="5"/>
        <v>6.2397372742200329E-2</v>
      </c>
      <c r="L53" s="28" t="s">
        <v>25</v>
      </c>
      <c r="M53" s="21">
        <v>0.125</v>
      </c>
      <c r="N53" s="29">
        <f t="shared" ca="1" si="24"/>
        <v>1.5455950540958269E-2</v>
      </c>
      <c r="O53" s="30">
        <f t="shared" si="25"/>
        <v>1.6420361247947456E-2</v>
      </c>
      <c r="P53" s="30">
        <f t="shared" ca="1" si="8"/>
        <v>1.3125268157329049E-3</v>
      </c>
      <c r="Q53" s="31">
        <f t="shared" si="26"/>
        <v>5</v>
      </c>
    </row>
    <row r="54" spans="1:17" ht="12.75">
      <c r="A54" s="20" t="str">
        <f>HYPERLINK("http://www.thedividendpig.com/dividend-stocks/consumer-goods/beverages-soft-drinks/pep-pepsico-inc/","PEP")</f>
        <v>PEP</v>
      </c>
      <c r="B54" s="21">
        <f>7+10+8+10+5+2</f>
        <v>42</v>
      </c>
      <c r="C54" s="3">
        <f t="shared" ca="1" si="0"/>
        <v>32.35</v>
      </c>
      <c r="D54" s="4">
        <f t="shared" ca="1" si="1"/>
        <v>1358.7</v>
      </c>
      <c r="E54" s="21">
        <f>7+10+8+10+5+2</f>
        <v>42</v>
      </c>
      <c r="F54" s="34">
        <f>674.14+1094.7+896.32+1298.3+501.35+213.28</f>
        <v>4678.09</v>
      </c>
      <c r="G54" s="22"/>
      <c r="H54" s="22"/>
      <c r="I54" s="7"/>
      <c r="J54" s="7">
        <f t="shared" ca="1" si="4"/>
        <v>-3319.3900000000003</v>
      </c>
      <c r="K54" s="23">
        <f t="shared" ca="1" si="5"/>
        <v>-0.70956095329504143</v>
      </c>
      <c r="L54" s="28" t="s">
        <v>19</v>
      </c>
      <c r="M54" s="21">
        <v>0.93</v>
      </c>
      <c r="N54" s="29">
        <f t="shared" ca="1" si="24"/>
        <v>0.11499227202472952</v>
      </c>
      <c r="O54" s="30">
        <f t="shared" si="25"/>
        <v>3.3398245865299728E-2</v>
      </c>
      <c r="P54" s="30">
        <f t="shared" ca="1" si="8"/>
        <v>5.5126126260782006E-3</v>
      </c>
      <c r="Q54" s="31">
        <f t="shared" si="26"/>
        <v>156.24</v>
      </c>
    </row>
    <row r="55" spans="1:17" ht="12.75">
      <c r="A55" s="32" t="s">
        <v>46</v>
      </c>
      <c r="B55" s="21">
        <v>20</v>
      </c>
      <c r="C55" s="3">
        <f t="shared" ca="1" si="0"/>
        <v>32.35</v>
      </c>
      <c r="D55" s="4">
        <f t="shared" ca="1" si="1"/>
        <v>647</v>
      </c>
      <c r="E55" s="21">
        <v>20</v>
      </c>
      <c r="F55" s="34">
        <f>801.94</f>
        <v>801.94</v>
      </c>
      <c r="G55" s="22"/>
      <c r="H55" s="22"/>
      <c r="I55" s="7"/>
      <c r="J55" s="7">
        <f t="shared" ca="1" si="4"/>
        <v>-154.94000000000005</v>
      </c>
      <c r="K55" s="23">
        <f t="shared" ca="1" si="5"/>
        <v>-0.19320647429982299</v>
      </c>
      <c r="L55" s="28" t="s">
        <v>19</v>
      </c>
      <c r="M55" s="21">
        <v>0.48</v>
      </c>
      <c r="N55" s="29">
        <f t="shared" ca="1" si="24"/>
        <v>5.9350850077279749E-2</v>
      </c>
      <c r="O55" s="30">
        <f t="shared" si="25"/>
        <v>4.7883881587151157E-2</v>
      </c>
      <c r="P55" s="30">
        <f t="shared" ca="1" si="8"/>
        <v>2.6250536314658098E-3</v>
      </c>
      <c r="Q55" s="31">
        <f t="shared" si="26"/>
        <v>38.4</v>
      </c>
    </row>
    <row r="56" spans="1:17" ht="12.75">
      <c r="A56" s="20" t="str">
        <f>HYPERLINK("http://www.thedividendpig.com/dividend-stocks/industrial-goods/diversified-machinery/cmi-cummins-inc/","CMI")</f>
        <v>CMI</v>
      </c>
      <c r="B56" s="21">
        <f>3+3+4+4+2+1+3</f>
        <v>20</v>
      </c>
      <c r="C56" s="3">
        <f t="shared" ca="1" si="0"/>
        <v>32.35</v>
      </c>
      <c r="D56" s="4">
        <f t="shared" ca="1" si="1"/>
        <v>647</v>
      </c>
      <c r="E56" s="21">
        <f>3+3+4+4+2+1+3</f>
        <v>20</v>
      </c>
      <c r="F56" s="34">
        <f>380.4+320.58+348.44+587.44+291.22+132.91+379.26</f>
        <v>2440.25</v>
      </c>
      <c r="G56" s="22"/>
      <c r="H56" s="22"/>
      <c r="I56" s="7"/>
      <c r="J56" s="7">
        <f t="shared" ca="1" si="4"/>
        <v>-1793.25</v>
      </c>
      <c r="K56" s="23">
        <f t="shared" ca="1" si="5"/>
        <v>-0.73486323122630881</v>
      </c>
      <c r="L56" s="28" t="s">
        <v>20</v>
      </c>
      <c r="M56" s="21">
        <v>1.1399999999999999</v>
      </c>
      <c r="N56" s="29">
        <f t="shared" ca="1" si="24"/>
        <v>0.14095826893353938</v>
      </c>
      <c r="O56" s="30">
        <f t="shared" si="25"/>
        <v>3.7373219956971619E-2</v>
      </c>
      <c r="P56" s="30">
        <f t="shared" ca="1" si="8"/>
        <v>2.6250536314658098E-3</v>
      </c>
      <c r="Q56" s="31">
        <f t="shared" si="26"/>
        <v>91.199999999999989</v>
      </c>
    </row>
    <row r="57" spans="1:17" ht="12.75">
      <c r="A57" s="33" t="s">
        <v>47</v>
      </c>
      <c r="B57" s="21">
        <f>4+7+2+2+2+2</f>
        <v>19</v>
      </c>
      <c r="C57" s="3">
        <f t="shared" ca="1" si="0"/>
        <v>32.35</v>
      </c>
      <c r="D57" s="4">
        <f t="shared" ca="1" si="1"/>
        <v>614.65</v>
      </c>
      <c r="E57" s="21">
        <f>4+7+2+2+2+2</f>
        <v>19</v>
      </c>
      <c r="F57" s="34">
        <f>539.04+988.96+271.38+262+264.84+236.6</f>
        <v>2562.8200000000002</v>
      </c>
      <c r="G57" s="22"/>
      <c r="H57" s="22"/>
      <c r="I57" s="7"/>
      <c r="J57" s="7">
        <f t="shared" ca="1" si="4"/>
        <v>-1948.17</v>
      </c>
      <c r="K57" s="23">
        <f t="shared" ca="1" si="5"/>
        <v>-0.76016653530095757</v>
      </c>
      <c r="L57" s="28" t="s">
        <v>20</v>
      </c>
      <c r="M57" s="21">
        <v>1</v>
      </c>
      <c r="N57" s="29">
        <f t="shared" ca="1" si="24"/>
        <v>0.12364760432766615</v>
      </c>
      <c r="O57" s="30">
        <f t="shared" si="25"/>
        <v>2.9654833347640488E-2</v>
      </c>
      <c r="P57" s="30">
        <f t="shared" ca="1" si="8"/>
        <v>2.4938009498925193E-3</v>
      </c>
      <c r="Q57" s="31">
        <f t="shared" si="26"/>
        <v>76</v>
      </c>
    </row>
    <row r="58" spans="1:17" ht="12.75">
      <c r="A58" s="33" t="s">
        <v>48</v>
      </c>
      <c r="B58" s="21">
        <v>5</v>
      </c>
      <c r="C58" s="3">
        <f t="shared" ca="1" si="0"/>
        <v>32.35</v>
      </c>
      <c r="D58" s="4">
        <f t="shared" ca="1" si="1"/>
        <v>161.75</v>
      </c>
      <c r="E58" s="21">
        <v>5</v>
      </c>
      <c r="F58" s="34">
        <v>634.29999999999995</v>
      </c>
      <c r="G58" s="22"/>
      <c r="H58" s="22"/>
      <c r="I58" s="7"/>
      <c r="J58" s="7">
        <f t="shared" ca="1" si="4"/>
        <v>-472.54999999999995</v>
      </c>
      <c r="K58" s="23">
        <f t="shared" ca="1" si="5"/>
        <v>-0.74499448210625885</v>
      </c>
      <c r="L58" s="28" t="s">
        <v>20</v>
      </c>
      <c r="M58" s="21">
        <v>0.66</v>
      </c>
      <c r="N58" s="29">
        <f t="shared" ca="1" si="24"/>
        <v>8.1607418856259661E-2</v>
      </c>
      <c r="O58" s="30">
        <f t="shared" si="25"/>
        <v>2.0810342109411954E-2</v>
      </c>
      <c r="P58" s="30">
        <f t="shared" ca="1" si="8"/>
        <v>6.5626340786645245E-4</v>
      </c>
      <c r="Q58" s="31">
        <f t="shared" si="26"/>
        <v>13.200000000000001</v>
      </c>
    </row>
    <row r="59" spans="1:17" ht="12.75">
      <c r="A59" s="20" t="str">
        <f>HYPERLINK("http://www.thedividendpig.com/dividend-stocks/consumer-goods/textile-apparel-footwear-and-accessories/nke-nike-inc/","NKE")</f>
        <v>NKE</v>
      </c>
      <c r="B59" s="21">
        <f>42+50+40+10</f>
        <v>142</v>
      </c>
      <c r="C59" s="3">
        <f t="shared" ca="1" si="0"/>
        <v>32.35</v>
      </c>
      <c r="D59" s="4">
        <f t="shared" ca="1" si="1"/>
        <v>4593.7</v>
      </c>
      <c r="E59" s="21">
        <f>42+50+40+10</f>
        <v>142</v>
      </c>
      <c r="F59" s="34">
        <f>2372.75+2686.5+2100+521.1</f>
        <v>7680.35</v>
      </c>
      <c r="G59" s="22"/>
      <c r="H59" s="22"/>
      <c r="I59" s="7"/>
      <c r="J59" s="7">
        <f t="shared" ca="1" si="4"/>
        <v>-3086.6500000000005</v>
      </c>
      <c r="K59" s="23">
        <f t="shared" ca="1" si="5"/>
        <v>-0.40188923681863464</v>
      </c>
      <c r="L59" s="28" t="s">
        <v>23</v>
      </c>
      <c r="M59" s="21">
        <v>0.22</v>
      </c>
      <c r="N59" s="29">
        <f t="shared" ca="1" si="24"/>
        <v>2.7202472952086554E-2</v>
      </c>
      <c r="O59" s="30">
        <f t="shared" si="25"/>
        <v>1.6270091857792938E-2</v>
      </c>
      <c r="P59" s="30">
        <f t="shared" ca="1" si="8"/>
        <v>1.8637880783407248E-2</v>
      </c>
      <c r="Q59" s="31">
        <f t="shared" si="26"/>
        <v>124.96</v>
      </c>
    </row>
    <row r="60" spans="1:17" ht="12.75">
      <c r="A60" s="20" t="str">
        <f>HYPERLINK("http://www.thedividendpig.com/dividend-stocks/industrial-goods/lumber-wood-production/wy-weyerhaeuser-company/","WY")</f>
        <v>WY</v>
      </c>
      <c r="B60" s="21">
        <v>12</v>
      </c>
      <c r="C60" s="3">
        <f t="shared" ca="1" si="0"/>
        <v>32.35</v>
      </c>
      <c r="D60" s="4">
        <f t="shared" ca="1" si="1"/>
        <v>388.20000000000005</v>
      </c>
      <c r="E60" s="21">
        <v>12</v>
      </c>
      <c r="F60" s="34">
        <v>361.96</v>
      </c>
      <c r="G60" s="22"/>
      <c r="H60" s="22"/>
      <c r="I60" s="7"/>
      <c r="J60" s="7">
        <f t="shared" ca="1" si="4"/>
        <v>26.240000000000066</v>
      </c>
      <c r="K60" s="23">
        <f t="shared" ca="1" si="5"/>
        <v>7.2494198253950898E-2</v>
      </c>
      <c r="L60" s="28" t="s">
        <v>31</v>
      </c>
      <c r="M60" s="21">
        <v>0.34</v>
      </c>
      <c r="N60" s="29">
        <f t="shared" ca="1" si="24"/>
        <v>4.2040185471406491E-2</v>
      </c>
      <c r="O60" s="30">
        <f t="shared" si="25"/>
        <v>4.5087855011603499E-2</v>
      </c>
      <c r="P60" s="30">
        <f t="shared" ca="1" si="8"/>
        <v>1.5750321788794862E-3</v>
      </c>
      <c r="Q60" s="31">
        <f t="shared" si="26"/>
        <v>16.32</v>
      </c>
    </row>
    <row r="61" spans="1:17" ht="12.75">
      <c r="A61" s="20" t="str">
        <f>HYPERLINK("http://www.thedividendpig.com/dividend-stocks/financial/asset-management/trow-t-rowe-price-group/","TROW")</f>
        <v>TROW</v>
      </c>
      <c r="B61" s="21">
        <f>9+3+5</f>
        <v>17</v>
      </c>
      <c r="C61" s="3">
        <f t="shared" ca="1" si="0"/>
        <v>32.35</v>
      </c>
      <c r="D61" s="4">
        <f t="shared" ca="1" si="1"/>
        <v>549.95000000000005</v>
      </c>
      <c r="E61" s="21">
        <f>9+3+5</f>
        <v>17</v>
      </c>
      <c r="F61" s="34">
        <f>649.93+192.49+343.3</f>
        <v>1185.72</v>
      </c>
      <c r="G61" s="22"/>
      <c r="H61" s="22"/>
      <c r="I61" s="7"/>
      <c r="J61" s="7">
        <f t="shared" ca="1" si="4"/>
        <v>-635.77</v>
      </c>
      <c r="K61" s="23">
        <f t="shared" ca="1" si="5"/>
        <v>-0.53618898222177236</v>
      </c>
      <c r="L61" s="28" t="s">
        <v>30</v>
      </c>
      <c r="M61" s="21">
        <v>0.7</v>
      </c>
      <c r="N61" s="29">
        <f t="shared" ca="1" si="24"/>
        <v>8.6553323029366303E-2</v>
      </c>
      <c r="O61" s="30">
        <f t="shared" si="25"/>
        <v>4.0144384846338088E-2</v>
      </c>
      <c r="P61" s="30">
        <f t="shared" ca="1" si="8"/>
        <v>2.2312955867459386E-3</v>
      </c>
      <c r="Q61" s="31">
        <f t="shared" si="26"/>
        <v>47.599999999999994</v>
      </c>
    </row>
    <row r="62" spans="1:17" ht="12.75">
      <c r="A62" s="20" t="str">
        <f>HYPERLINK("http://www.thedividendpig.com/dividend-stocks/services/industrial-equipment-wholesale/fast-fastenal-company/","FAST")</f>
        <v>FAST</v>
      </c>
      <c r="B62" s="21">
        <f>10+40</f>
        <v>50</v>
      </c>
      <c r="C62" s="3">
        <f t="shared" ca="1" si="0"/>
        <v>32.35</v>
      </c>
      <c r="D62" s="4">
        <f t="shared" ca="1" si="1"/>
        <v>1617.5</v>
      </c>
      <c r="E62" s="21">
        <f>10+40</f>
        <v>50</v>
      </c>
      <c r="F62" s="34">
        <f>352.1+1705.2</f>
        <v>2057.3000000000002</v>
      </c>
      <c r="G62" s="22"/>
      <c r="H62" s="22"/>
      <c r="I62" s="7"/>
      <c r="J62" s="7">
        <f t="shared" ca="1" si="4"/>
        <v>-439.80000000000018</v>
      </c>
      <c r="K62" s="23">
        <f t="shared" ca="1" si="5"/>
        <v>-0.21377533660623155</v>
      </c>
      <c r="L62" s="28" t="s">
        <v>20</v>
      </c>
      <c r="M62" s="21">
        <v>0.43</v>
      </c>
      <c r="N62" s="29">
        <f t="shared" ca="1" si="24"/>
        <v>5.316846986089644E-2</v>
      </c>
      <c r="O62" s="30">
        <f t="shared" si="25"/>
        <v>4.1802362319545032E-2</v>
      </c>
      <c r="P62" s="30">
        <f t="shared" ca="1" si="8"/>
        <v>6.5626340786645249E-3</v>
      </c>
      <c r="Q62" s="31">
        <f t="shared" si="26"/>
        <v>86</v>
      </c>
    </row>
    <row r="63" spans="1:17" ht="12.75">
      <c r="A63" s="20" t="str">
        <f>HYPERLINK("http://www.thedividendpig.com/dividend-stocks/services/discount-variety-stores/cost-costco-wholesale/","COST")</f>
        <v>COST</v>
      </c>
      <c r="B63" s="21">
        <f>4+10+20+5</f>
        <v>39</v>
      </c>
      <c r="C63" s="3">
        <f t="shared" ca="1" si="0"/>
        <v>32.35</v>
      </c>
      <c r="D63" s="4">
        <f t="shared" ca="1" si="1"/>
        <v>1261.6500000000001</v>
      </c>
      <c r="E63" s="21">
        <f>4+10+20+5</f>
        <v>39</v>
      </c>
      <c r="F63" s="34">
        <f>578+1663.3+3147.2+791.2</f>
        <v>6179.7</v>
      </c>
      <c r="G63" s="22"/>
      <c r="H63" s="22"/>
      <c r="I63" s="7"/>
      <c r="J63" s="7">
        <f t="shared" ca="1" si="4"/>
        <v>-4918.0499999999993</v>
      </c>
      <c r="K63" s="23">
        <f t="shared" ca="1" si="5"/>
        <v>-0.79583960386426511</v>
      </c>
      <c r="L63" s="28" t="s">
        <v>19</v>
      </c>
      <c r="M63" s="21">
        <v>0.56999999999999995</v>
      </c>
      <c r="N63" s="29">
        <f t="shared" ca="1" si="24"/>
        <v>7.0479134466769691E-2</v>
      </c>
      <c r="O63" s="30">
        <f t="shared" si="25"/>
        <v>1.438904801203942E-2</v>
      </c>
      <c r="P63" s="30">
        <f t="shared" ca="1" si="8"/>
        <v>5.1188545813583295E-3</v>
      </c>
      <c r="Q63" s="31">
        <f t="shared" si="26"/>
        <v>88.919999999999987</v>
      </c>
    </row>
    <row r="64" spans="1:17" ht="12.75">
      <c r="A64" s="33" t="s">
        <v>49</v>
      </c>
      <c r="B64" s="21">
        <v>15</v>
      </c>
      <c r="C64" s="3">
        <f t="shared" ca="1" si="0"/>
        <v>32.35</v>
      </c>
      <c r="D64" s="4">
        <f t="shared" ca="1" si="1"/>
        <v>485.25</v>
      </c>
      <c r="E64" s="21">
        <v>15</v>
      </c>
      <c r="F64" s="34">
        <v>999.6</v>
      </c>
      <c r="G64" s="22"/>
      <c r="H64" s="22"/>
      <c r="I64" s="7"/>
      <c r="J64" s="7">
        <f t="shared" ca="1" si="4"/>
        <v>-514.35</v>
      </c>
      <c r="K64" s="23">
        <f t="shared" ca="1" si="5"/>
        <v>-0.5145558223289316</v>
      </c>
      <c r="L64" s="28" t="s">
        <v>23</v>
      </c>
      <c r="M64" s="21">
        <v>0.31</v>
      </c>
      <c r="N64" s="29">
        <f t="shared" ca="1" si="24"/>
        <v>3.8330757341576503E-2</v>
      </c>
      <c r="O64" s="30">
        <f t="shared" si="25"/>
        <v>1.8607442977190875E-2</v>
      </c>
      <c r="P64" s="30">
        <f t="shared" ca="1" si="8"/>
        <v>1.9687902235993576E-3</v>
      </c>
      <c r="Q64" s="31">
        <f t="shared" si="26"/>
        <v>18.600000000000001</v>
      </c>
    </row>
    <row r="65" spans="1:17" ht="12.75">
      <c r="A65" s="20" t="str">
        <f>HYPERLINK("http://www.thedividendpig.com/dividend-stocks/consumer-goods/processed-and-packaged-goods/sjm-jm-smucker-co/","SJM")</f>
        <v>SJM</v>
      </c>
      <c r="B65" s="21">
        <v>10</v>
      </c>
      <c r="C65" s="3">
        <f t="shared" ca="1" si="0"/>
        <v>32.35</v>
      </c>
      <c r="D65" s="4">
        <f t="shared" ca="1" si="1"/>
        <v>323.5</v>
      </c>
      <c r="E65" s="21">
        <v>10</v>
      </c>
      <c r="F65" s="34">
        <v>1150</v>
      </c>
      <c r="G65" s="22"/>
      <c r="H65" s="22"/>
      <c r="I65" s="7"/>
      <c r="J65" s="7">
        <f t="shared" ca="1" si="4"/>
        <v>-826.5</v>
      </c>
      <c r="K65" s="23">
        <f t="shared" ca="1" si="5"/>
        <v>-0.71869565217391307</v>
      </c>
      <c r="L65" s="28" t="s">
        <v>19</v>
      </c>
      <c r="M65" s="21">
        <v>0.85</v>
      </c>
      <c r="N65" s="29">
        <f t="shared" ca="1" si="24"/>
        <v>0.10510046367851622</v>
      </c>
      <c r="O65" s="30">
        <f t="shared" si="25"/>
        <v>2.9565217391304348E-2</v>
      </c>
      <c r="P65" s="30">
        <f t="shared" ca="1" si="8"/>
        <v>1.3125268157329049E-3</v>
      </c>
      <c r="Q65" s="31">
        <f t="shared" si="26"/>
        <v>34</v>
      </c>
    </row>
    <row r="66" spans="1:17" ht="12.75">
      <c r="A66" s="20" t="str">
        <f>HYPERLINK("http://www.thedividendpig.com/dividend-stocks/services/discount-variety-stores/tgt-target-corp/","TGT")</f>
        <v>TGT</v>
      </c>
      <c r="B66" s="21">
        <f>7+4+6+5+35</f>
        <v>57</v>
      </c>
      <c r="C66" s="3">
        <f t="shared" ca="1" si="0"/>
        <v>32.35</v>
      </c>
      <c r="D66" s="4">
        <f t="shared" ca="1" si="1"/>
        <v>1843.95</v>
      </c>
      <c r="E66" s="21">
        <f>7+4+6+5+35</f>
        <v>57</v>
      </c>
      <c r="F66" s="34">
        <f>518+286.76+443.16+253.95+1867.95</f>
        <v>3369.82</v>
      </c>
      <c r="G66" s="22"/>
      <c r="H66" s="22"/>
      <c r="I66" s="7"/>
      <c r="J66" s="7">
        <f t="shared" ca="1" si="4"/>
        <v>-1525.8700000000001</v>
      </c>
      <c r="K66" s="23">
        <f t="shared" ca="1" si="5"/>
        <v>-0.45280460083921398</v>
      </c>
      <c r="L66" s="28" t="s">
        <v>23</v>
      </c>
      <c r="M66" s="21">
        <v>0.64</v>
      </c>
      <c r="N66" s="29">
        <f t="shared" ca="1" si="24"/>
        <v>7.9134466769706341E-2</v>
      </c>
      <c r="O66" s="30">
        <f t="shared" si="25"/>
        <v>4.3302016131425418E-2</v>
      </c>
      <c r="P66" s="30">
        <f t="shared" ca="1" si="8"/>
        <v>7.4814028496775582E-3</v>
      </c>
      <c r="Q66" s="31">
        <f t="shared" si="26"/>
        <v>145.92000000000002</v>
      </c>
    </row>
    <row r="67" spans="1:17" ht="12.75">
      <c r="A67" s="20" t="str">
        <f>HYPERLINK("http://www.thedividendpig.com/dividend-stocks/industrial-goods/industrial-electrical-equipment/emr-emerson-electric/","EMR")</f>
        <v>EMR</v>
      </c>
      <c r="B67" s="21">
        <f>8+10+10</f>
        <v>28</v>
      </c>
      <c r="C67" s="3">
        <f t="shared" ca="1" si="0"/>
        <v>32.35</v>
      </c>
      <c r="D67" s="4">
        <f t="shared" ca="1" si="1"/>
        <v>905.80000000000007</v>
      </c>
      <c r="E67" s="21">
        <f>8+10+10</f>
        <v>28</v>
      </c>
      <c r="F67" s="34">
        <f>375.84+622+618.6</f>
        <v>1616.44</v>
      </c>
      <c r="G67" s="22"/>
      <c r="H67" s="22"/>
      <c r="I67" s="7"/>
      <c r="J67" s="7">
        <f t="shared" ca="1" si="4"/>
        <v>-710.64</v>
      </c>
      <c r="K67" s="23">
        <f t="shared" ca="1" si="5"/>
        <v>-0.43963277325480682</v>
      </c>
      <c r="L67" s="28" t="s">
        <v>20</v>
      </c>
      <c r="M67" s="21">
        <v>0.49</v>
      </c>
      <c r="N67" s="29">
        <f t="shared" ca="1" si="24"/>
        <v>6.0587326120556409E-2</v>
      </c>
      <c r="O67" s="30">
        <f t="shared" si="25"/>
        <v>3.3951151914082794E-2</v>
      </c>
      <c r="P67" s="30">
        <f t="shared" ca="1" si="8"/>
        <v>3.675075084052134E-3</v>
      </c>
      <c r="Q67" s="31">
        <f t="shared" si="26"/>
        <v>54.879999999999995</v>
      </c>
    </row>
    <row r="68" spans="1:17" ht="12.75">
      <c r="A68" s="20" t="str">
        <f>HYPERLINK("http://www.thedividendpig.com/dividend-stocks/industrial-goods/diversified-machinery/hon-honeywell-international-inc/","HON")</f>
        <v>HON</v>
      </c>
      <c r="B68" s="21">
        <f>7+20</f>
        <v>27</v>
      </c>
      <c r="C68" s="3">
        <f t="shared" ca="1" si="0"/>
        <v>32.35</v>
      </c>
      <c r="D68" s="4">
        <f t="shared" ca="1" si="1"/>
        <v>873.45</v>
      </c>
      <c r="E68" s="21">
        <f>7+20</f>
        <v>27</v>
      </c>
      <c r="F68" s="34">
        <f>682.02+2473.4</f>
        <v>3155.42</v>
      </c>
      <c r="G68" s="22"/>
      <c r="H68" s="22"/>
      <c r="I68" s="7"/>
      <c r="J68" s="7">
        <f t="shared" ca="1" si="4"/>
        <v>-2281.9700000000003</v>
      </c>
      <c r="K68" s="23">
        <f t="shared" ca="1" si="5"/>
        <v>-0.72319057367957362</v>
      </c>
      <c r="L68" s="28" t="s">
        <v>20</v>
      </c>
      <c r="M68" s="21">
        <v>0.82</v>
      </c>
      <c r="N68" s="29">
        <f t="shared" ca="1" si="24"/>
        <v>0.10139103554868624</v>
      </c>
      <c r="O68" s="30">
        <f t="shared" si="25"/>
        <v>2.80659943842658E-2</v>
      </c>
      <c r="P68" s="30">
        <f t="shared" ca="1" si="8"/>
        <v>3.5438224024788435E-3</v>
      </c>
      <c r="Q68" s="31">
        <f t="shared" si="26"/>
        <v>88.559999999999988</v>
      </c>
    </row>
    <row r="69" spans="1:17" ht="12.75">
      <c r="A69" s="20" t="str">
        <f>HYPERLINK("http://www.thedividendpig.com/dividend-stocks/consumer-goods/auto-parts/jci-johnson-controls-inc/","JCI")</f>
        <v>JCI</v>
      </c>
      <c r="B69" s="21">
        <f>40+40</f>
        <v>80</v>
      </c>
      <c r="C69" s="3">
        <f t="shared" ca="1" si="0"/>
        <v>32.35</v>
      </c>
      <c r="D69" s="4">
        <f t="shared" ca="1" si="1"/>
        <v>2588</v>
      </c>
      <c r="E69" s="21">
        <f>40+40</f>
        <v>80</v>
      </c>
      <c r="F69" s="34">
        <f>1688.8+1580</f>
        <v>3268.8</v>
      </c>
      <c r="G69" s="22"/>
      <c r="H69" s="22"/>
      <c r="I69" s="7"/>
      <c r="J69" s="7">
        <f t="shared" ca="1" si="4"/>
        <v>-680.80000000000018</v>
      </c>
      <c r="K69" s="23">
        <f t="shared" ca="1" si="5"/>
        <v>-0.20827214880078321</v>
      </c>
      <c r="L69" s="28" t="s">
        <v>20</v>
      </c>
      <c r="M69" s="21">
        <v>0.26</v>
      </c>
      <c r="N69" s="29">
        <f t="shared" ca="1" si="24"/>
        <v>3.2148377125193202E-2</v>
      </c>
      <c r="O69" s="30">
        <f t="shared" si="25"/>
        <v>2.545276554087127E-2</v>
      </c>
      <c r="P69" s="30">
        <f t="shared" ca="1" si="8"/>
        <v>1.0500214525863239E-2</v>
      </c>
      <c r="Q69" s="31">
        <f t="shared" si="26"/>
        <v>83.2</v>
      </c>
    </row>
    <row r="70" spans="1:17" ht="12.75">
      <c r="A70" s="33" t="s">
        <v>50</v>
      </c>
      <c r="B70" s="21">
        <f>25+35+20+1</f>
        <v>81</v>
      </c>
      <c r="C70" s="3">
        <f t="shared" ca="1" si="0"/>
        <v>32.35</v>
      </c>
      <c r="D70" s="4">
        <f t="shared" ca="1" si="1"/>
        <v>2620.35</v>
      </c>
      <c r="E70" s="21">
        <f>25+35+20</f>
        <v>80</v>
      </c>
      <c r="F70" s="34">
        <f>726.5+1049.65+553.2</f>
        <v>2329.3500000000004</v>
      </c>
      <c r="G70" s="22"/>
      <c r="H70" s="22"/>
      <c r="I70" s="7"/>
      <c r="J70" s="7">
        <f t="shared" ca="1" si="4"/>
        <v>290.99999999999955</v>
      </c>
      <c r="K70" s="23">
        <f t="shared" ca="1" si="5"/>
        <v>0.12492755489728873</v>
      </c>
      <c r="L70" s="28" t="s">
        <v>39</v>
      </c>
      <c r="M70" s="21">
        <v>1.1299999999999999</v>
      </c>
      <c r="N70" s="29">
        <f t="shared" ref="N70:N71" ca="1" si="29">(M70*1)/C70</f>
        <v>3.4930448222565684E-2</v>
      </c>
      <c r="O70" s="30">
        <f t="shared" ref="O70:O72" si="30">(M70*1)/(F70/E70)</f>
        <v>3.8809109837508307E-2</v>
      </c>
      <c r="P70" s="30">
        <f t="shared" ca="1" si="8"/>
        <v>1.063146720743653E-2</v>
      </c>
      <c r="Q70" s="31">
        <f t="shared" ref="Q70:Q72" si="31">(M70*1)*B70</f>
        <v>91.529999999999987</v>
      </c>
    </row>
    <row r="71" spans="1:17" ht="12.75">
      <c r="A71" s="33" t="s">
        <v>51</v>
      </c>
      <c r="B71" s="21">
        <f>10</f>
        <v>10</v>
      </c>
      <c r="C71" s="3">
        <f t="shared" ca="1" si="0"/>
        <v>32.35</v>
      </c>
      <c r="D71" s="4">
        <f t="shared" ca="1" si="1"/>
        <v>323.5</v>
      </c>
      <c r="E71" s="21">
        <f>10</f>
        <v>10</v>
      </c>
      <c r="F71" s="34">
        <f>788.9</f>
        <v>788.9</v>
      </c>
      <c r="G71" s="22"/>
      <c r="H71" s="22"/>
      <c r="I71" s="7"/>
      <c r="J71" s="7">
        <f t="shared" ca="1" si="4"/>
        <v>-465.4</v>
      </c>
      <c r="K71" s="23">
        <f t="shared" ca="1" si="5"/>
        <v>-0.58993535302319688</v>
      </c>
      <c r="L71" s="28" t="s">
        <v>19</v>
      </c>
      <c r="M71" s="21">
        <v>2.52</v>
      </c>
      <c r="N71" s="29">
        <f t="shared" ca="1" si="29"/>
        <v>7.7897990726429667E-2</v>
      </c>
      <c r="O71" s="30">
        <f t="shared" si="30"/>
        <v>3.1943212067435667E-2</v>
      </c>
      <c r="P71" s="30">
        <f t="shared" ca="1" si="8"/>
        <v>1.3125268157329049E-3</v>
      </c>
      <c r="Q71" s="31">
        <f t="shared" si="31"/>
        <v>25.2</v>
      </c>
    </row>
    <row r="72" spans="1:17" ht="12.75">
      <c r="A72" s="33" t="s">
        <v>52</v>
      </c>
      <c r="B72" s="21">
        <v>25</v>
      </c>
      <c r="C72" s="3">
        <f t="shared" ca="1" si="0"/>
        <v>32.35</v>
      </c>
      <c r="D72" s="4">
        <f t="shared" ca="1" si="1"/>
        <v>808.75</v>
      </c>
      <c r="E72" s="21">
        <v>25</v>
      </c>
      <c r="F72" s="34">
        <v>472.25</v>
      </c>
      <c r="G72" s="22"/>
      <c r="H72" s="22"/>
      <c r="I72" s="7"/>
      <c r="J72" s="7">
        <f t="shared" ca="1" si="4"/>
        <v>336.5</v>
      </c>
      <c r="K72" s="23">
        <f t="shared" ca="1" si="5"/>
        <v>0.71254632080465852</v>
      </c>
      <c r="L72" s="28" t="s">
        <v>19</v>
      </c>
      <c r="M72" s="21">
        <v>0.3589</v>
      </c>
      <c r="N72" s="29">
        <f ca="1">(M72*2)/C72</f>
        <v>2.2188562596599688E-2</v>
      </c>
      <c r="O72" s="30">
        <f t="shared" si="30"/>
        <v>1.899947061937533E-2</v>
      </c>
      <c r="P72" s="30">
        <f t="shared" ca="1" si="8"/>
        <v>3.2813170393322624E-3</v>
      </c>
      <c r="Q72" s="31">
        <f t="shared" si="31"/>
        <v>8.9725000000000001</v>
      </c>
    </row>
    <row r="73" spans="1:17" ht="12.75">
      <c r="A73" s="33" t="s">
        <v>53</v>
      </c>
      <c r="B73" s="21">
        <v>15</v>
      </c>
      <c r="C73" s="3">
        <f t="shared" ca="1" si="0"/>
        <v>32.35</v>
      </c>
      <c r="D73" s="4">
        <f t="shared" ca="1" si="1"/>
        <v>485.25</v>
      </c>
      <c r="E73" s="21">
        <v>15</v>
      </c>
      <c r="F73" s="34">
        <f>1987.05</f>
        <v>1987.05</v>
      </c>
      <c r="G73" s="22"/>
      <c r="H73" s="22"/>
      <c r="I73" s="7"/>
      <c r="J73" s="7">
        <f t="shared" ca="1" si="4"/>
        <v>-1501.8</v>
      </c>
      <c r="K73" s="23">
        <f t="shared" ca="1" si="5"/>
        <v>-0.75579376462595305</v>
      </c>
      <c r="L73" s="28" t="s">
        <v>19</v>
      </c>
      <c r="M73" s="21">
        <v>1.413</v>
      </c>
      <c r="N73" s="29">
        <f t="shared" ref="N73:N74" ca="1" si="32">(M73*4)/C73</f>
        <v>0.17471406491499228</v>
      </c>
      <c r="O73" s="30">
        <f t="shared" ref="O73:O74" si="33">(M73*4)/(F73/E73)</f>
        <v>4.2666264059787122E-2</v>
      </c>
      <c r="P73" s="30">
        <f t="shared" ca="1" si="8"/>
        <v>1.9687902235993576E-3</v>
      </c>
      <c r="Q73" s="31">
        <f t="shared" ref="Q73:Q101" si="34">(M73*4)*B73</f>
        <v>84.78</v>
      </c>
    </row>
    <row r="74" spans="1:17" ht="12.75">
      <c r="A74" s="33" t="s">
        <v>54</v>
      </c>
      <c r="B74" s="21">
        <f>15+10+10+15+5+10+5+5+15</f>
        <v>90</v>
      </c>
      <c r="C74" s="3">
        <f t="shared" ca="1" si="0"/>
        <v>32.35</v>
      </c>
      <c r="D74" s="4">
        <f t="shared" ca="1" si="1"/>
        <v>2911.5</v>
      </c>
      <c r="E74" s="21">
        <f>15+10+10+15+5+10+5+5+15</f>
        <v>90</v>
      </c>
      <c r="F74" s="34">
        <f>880.5+528.5+517+739.5+240.35+485+175.95+172+477.9</f>
        <v>4216.7</v>
      </c>
      <c r="G74" s="22"/>
      <c r="H74" s="22"/>
      <c r="I74" s="7"/>
      <c r="J74" s="7">
        <f t="shared" ca="1" si="4"/>
        <v>-1305.1999999999998</v>
      </c>
      <c r="K74" s="23">
        <f t="shared" ca="1" si="5"/>
        <v>-0.30953114995138375</v>
      </c>
      <c r="L74" s="28" t="s">
        <v>19</v>
      </c>
      <c r="M74" s="37">
        <v>0.62809999999999999</v>
      </c>
      <c r="N74" s="38">
        <f t="shared" ca="1" si="32"/>
        <v>7.7663060278207102E-2</v>
      </c>
      <c r="O74" s="39">
        <f t="shared" si="33"/>
        <v>5.3623923921550035E-2</v>
      </c>
      <c r="P74" s="39">
        <f t="shared" ca="1" si="8"/>
        <v>1.1812741341596144E-2</v>
      </c>
      <c r="Q74" s="40">
        <f t="shared" si="34"/>
        <v>226.11599999999999</v>
      </c>
    </row>
    <row r="75" spans="1:17" ht="14.25">
      <c r="A75" s="33" t="s">
        <v>55</v>
      </c>
      <c r="B75" s="21">
        <v>25</v>
      </c>
      <c r="C75" s="3">
        <f t="shared" ca="1" si="0"/>
        <v>32.35</v>
      </c>
      <c r="D75" s="4">
        <f t="shared" ca="1" si="1"/>
        <v>808.75</v>
      </c>
      <c r="E75" s="21">
        <v>25</v>
      </c>
      <c r="F75" s="41">
        <v>611.75</v>
      </c>
      <c r="G75" s="22">
        <f>F75/E75</f>
        <v>24.47</v>
      </c>
      <c r="H75" s="22">
        <f>12.95+8.95</f>
        <v>21.9</v>
      </c>
      <c r="I75" s="7" t="str">
        <f ca="1">IFERROR(__xludf.DUMMYFUNCTION("GoogleFinance(A75,""change"") &amp; ""  ("" &amp; GoogleFinance(A75,""changepct"") &amp; ""%)"""),"-0.52  (-2.76%)")</f>
        <v>-0.52  (-2.76%)</v>
      </c>
      <c r="J75" s="7">
        <f t="shared" ca="1" si="4"/>
        <v>175.10000000000002</v>
      </c>
      <c r="K75" s="23">
        <f t="shared" ca="1" si="5"/>
        <v>0.3220269718022068</v>
      </c>
      <c r="L75" s="24" t="s">
        <v>17</v>
      </c>
      <c r="M75" s="42">
        <v>1.82</v>
      </c>
      <c r="N75" s="29">
        <f ca="1">(M75*1)/C75</f>
        <v>5.6259659969088098E-2</v>
      </c>
      <c r="O75" s="30">
        <f>(M75*1)/(F75/E75)</f>
        <v>7.4376787903555383E-2</v>
      </c>
      <c r="P75" s="30">
        <f t="shared" ca="1" si="8"/>
        <v>3.2813170393322624E-3</v>
      </c>
      <c r="Q75" s="31">
        <f t="shared" si="34"/>
        <v>182</v>
      </c>
    </row>
    <row r="76" spans="1:17" ht="12.75">
      <c r="A76" s="20" t="str">
        <f>HYPERLINK("http://www.thedividendpig.com/dividend-stocks/utilities/electric-utilities/so-southern-company/","SO")</f>
        <v>SO</v>
      </c>
      <c r="B76" s="21">
        <f>50+25+25+1+1+1+1</f>
        <v>104</v>
      </c>
      <c r="C76" s="3">
        <f t="shared" ca="1" si="0"/>
        <v>32.35</v>
      </c>
      <c r="D76" s="4">
        <f t="shared" ca="1" si="1"/>
        <v>3364.4</v>
      </c>
      <c r="E76" s="21">
        <f>50+25+25</f>
        <v>100</v>
      </c>
      <c r="F76" s="34">
        <f>2488.5+1107.5+1090.75</f>
        <v>4686.75</v>
      </c>
      <c r="G76" s="22"/>
      <c r="H76" s="22"/>
      <c r="I76" s="7"/>
      <c r="J76" s="7">
        <f t="shared" ca="1" si="4"/>
        <v>-1322.35</v>
      </c>
      <c r="K76" s="23">
        <f t="shared" ca="1" si="5"/>
        <v>-0.28214647676961646</v>
      </c>
      <c r="L76" s="28" t="s">
        <v>18</v>
      </c>
      <c r="M76" s="21">
        <v>0.57999999999999996</v>
      </c>
      <c r="N76" s="29">
        <f t="shared" ref="N76:N101" ca="1" si="35">(M76*4)/C76</f>
        <v>7.1715610510046365E-2</v>
      </c>
      <c r="O76" s="30">
        <f t="shared" ref="O76:O101" si="36">(M76*4)/(F76/E76)</f>
        <v>4.9501253533898754E-2</v>
      </c>
      <c r="P76" s="30">
        <f t="shared" ca="1" si="8"/>
        <v>1.3650278883622212E-2</v>
      </c>
      <c r="Q76" s="31">
        <f t="shared" si="34"/>
        <v>241.27999999999997</v>
      </c>
    </row>
    <row r="77" spans="1:17" ht="12.75">
      <c r="A77" s="20" t="str">
        <f>HYPERLINK("http://www.thedividendpig.com/dividend-stocks/services/home-improvement-stores/low-lowes-companies/","LOW")</f>
        <v>LOW</v>
      </c>
      <c r="B77" s="21">
        <f>16+20+40+20+20+20+2+8</f>
        <v>146</v>
      </c>
      <c r="C77" s="3">
        <f t="shared" ca="1" si="0"/>
        <v>32.35</v>
      </c>
      <c r="D77" s="4">
        <f t="shared" ca="1" si="1"/>
        <v>4723.1000000000004</v>
      </c>
      <c r="E77" s="21">
        <f>16+20+40+20+20+20+2+8</f>
        <v>146</v>
      </c>
      <c r="F77" s="34">
        <f>1092.18+1615.2+3045.2+1458.6+1480+1750+198.56+702.88</f>
        <v>11342.619999999999</v>
      </c>
      <c r="G77" s="22"/>
      <c r="H77" s="22"/>
      <c r="I77" s="7"/>
      <c r="J77" s="7">
        <f t="shared" ca="1" si="4"/>
        <v>-6619.5199999999986</v>
      </c>
      <c r="K77" s="23">
        <f t="shared" ca="1" si="5"/>
        <v>-0.58359708779805719</v>
      </c>
      <c r="L77" s="28" t="s">
        <v>23</v>
      </c>
      <c r="M77" s="21">
        <v>0.48</v>
      </c>
      <c r="N77" s="29">
        <f t="shared" ca="1" si="35"/>
        <v>5.9350850077279749E-2</v>
      </c>
      <c r="O77" s="30">
        <f t="shared" si="36"/>
        <v>2.4713866813840191E-2</v>
      </c>
      <c r="P77" s="30">
        <f t="shared" ca="1" si="8"/>
        <v>1.9162891509700412E-2</v>
      </c>
      <c r="Q77" s="31">
        <f t="shared" si="34"/>
        <v>280.32</v>
      </c>
    </row>
    <row r="78" spans="1:17" ht="12.75">
      <c r="A78" s="20" t="str">
        <f>HYPERLINK("http://www.thedividendpig.com/dividend-stocks/services/home-improvement-stores/hd-home-depot-inc/","HD")</f>
        <v>HD</v>
      </c>
      <c r="B78" s="21">
        <f>3+4+20+20+10+10+10+10+2+5+3+3+2+8</f>
        <v>110</v>
      </c>
      <c r="C78" s="3">
        <f t="shared" ca="1" si="0"/>
        <v>32.35</v>
      </c>
      <c r="D78" s="4">
        <f t="shared" ca="1" si="1"/>
        <v>3558.5</v>
      </c>
      <c r="E78" s="21">
        <f>3+4+20+20+10+10+10+10+2+5+3+3+2+8</f>
        <v>110</v>
      </c>
      <c r="F78" s="34">
        <f>335.58+496.96+3047.8+3030.8+1514.5+1516+1472.6+1488.6+359.42+867.8+490.74+554.58+366.56+1468.96</f>
        <v>17010.899999999998</v>
      </c>
      <c r="G78" s="22"/>
      <c r="H78" s="22"/>
      <c r="I78" s="7"/>
      <c r="J78" s="7">
        <f t="shared" ca="1" si="4"/>
        <v>-13452.399999999998</v>
      </c>
      <c r="K78" s="23">
        <f t="shared" ca="1" si="5"/>
        <v>-0.79081059791075137</v>
      </c>
      <c r="L78" s="28" t="s">
        <v>23</v>
      </c>
      <c r="M78" s="21">
        <v>1.36</v>
      </c>
      <c r="N78" s="29">
        <f t="shared" ca="1" si="35"/>
        <v>0.16816074188562596</v>
      </c>
      <c r="O78" s="30">
        <f t="shared" si="36"/>
        <v>3.5177445049938576E-2</v>
      </c>
      <c r="P78" s="30">
        <f t="shared" ca="1" si="8"/>
        <v>1.4437794973061954E-2</v>
      </c>
      <c r="Q78" s="31">
        <f t="shared" si="34"/>
        <v>598.40000000000009</v>
      </c>
    </row>
    <row r="79" spans="1:17" ht="12.75">
      <c r="A79" s="32" t="s">
        <v>56</v>
      </c>
      <c r="B79" s="21">
        <v>12</v>
      </c>
      <c r="C79" s="3">
        <f t="shared" ca="1" si="0"/>
        <v>32.35</v>
      </c>
      <c r="D79" s="4">
        <f t="shared" ca="1" si="1"/>
        <v>388.20000000000005</v>
      </c>
      <c r="E79" s="21">
        <v>12</v>
      </c>
      <c r="F79" s="34">
        <v>341.16</v>
      </c>
      <c r="G79" s="22"/>
      <c r="H79" s="22"/>
      <c r="I79" s="7"/>
      <c r="J79" s="7">
        <f t="shared" ca="1" si="4"/>
        <v>47.04000000000002</v>
      </c>
      <c r="K79" s="23">
        <f t="shared" ca="1" si="5"/>
        <v>0.13788251846640878</v>
      </c>
      <c r="L79" s="28" t="s">
        <v>34</v>
      </c>
      <c r="M79" s="21">
        <v>0.3</v>
      </c>
      <c r="N79" s="29">
        <f t="shared" ca="1" si="35"/>
        <v>3.7094281298299843E-2</v>
      </c>
      <c r="O79" s="30">
        <f t="shared" si="36"/>
        <v>4.2208934224410827E-2</v>
      </c>
      <c r="P79" s="30">
        <f t="shared" ca="1" si="8"/>
        <v>1.5750321788794862E-3</v>
      </c>
      <c r="Q79" s="31">
        <f t="shared" si="34"/>
        <v>14.399999999999999</v>
      </c>
    </row>
    <row r="80" spans="1:17" ht="12.75">
      <c r="A80" s="33" t="s">
        <v>57</v>
      </c>
      <c r="B80" s="21">
        <f>3+5</f>
        <v>8</v>
      </c>
      <c r="C80" s="3">
        <f t="shared" ca="1" si="0"/>
        <v>32.35</v>
      </c>
      <c r="D80" s="4">
        <f t="shared" ca="1" si="1"/>
        <v>258.8</v>
      </c>
      <c r="E80" s="21">
        <f>3+5</f>
        <v>8</v>
      </c>
      <c r="F80" s="34">
        <f>617.7+1134.3</f>
        <v>1752</v>
      </c>
      <c r="G80" s="22"/>
      <c r="H80" s="22"/>
      <c r="I80" s="7"/>
      <c r="J80" s="7">
        <f t="shared" ca="1" si="4"/>
        <v>-1493.2</v>
      </c>
      <c r="K80" s="23">
        <f t="shared" ca="1" si="5"/>
        <v>-0.85228310502283111</v>
      </c>
      <c r="L80" s="28" t="s">
        <v>34</v>
      </c>
      <c r="M80" s="21">
        <v>2.65</v>
      </c>
      <c r="N80" s="29">
        <f t="shared" ca="1" si="35"/>
        <v>0.32766615146831529</v>
      </c>
      <c r="O80" s="30">
        <f t="shared" si="36"/>
        <v>4.8401826484018265E-2</v>
      </c>
      <c r="P80" s="30">
        <f t="shared" ca="1" si="8"/>
        <v>1.050021452586324E-3</v>
      </c>
      <c r="Q80" s="31">
        <f t="shared" si="34"/>
        <v>84.8</v>
      </c>
    </row>
    <row r="81" spans="1:17" ht="12.75">
      <c r="A81" s="20" t="str">
        <f>HYPERLINK("http://www.thedividendpig.com/dividend-stocks/financial/credit-services/ma-mastercard-inc/","MA")</f>
        <v>MA</v>
      </c>
      <c r="B81" s="21">
        <f>2+6+2</f>
        <v>10</v>
      </c>
      <c r="C81" s="3">
        <f t="shared" ca="1" si="0"/>
        <v>32.35</v>
      </c>
      <c r="D81" s="4">
        <f t="shared" ca="1" si="1"/>
        <v>323.5</v>
      </c>
      <c r="E81" s="21">
        <f>2+6+2</f>
        <v>10</v>
      </c>
      <c r="F81" s="34">
        <f>193.12+1107.24+367.04</f>
        <v>1667.4</v>
      </c>
      <c r="G81" s="22"/>
      <c r="H81" s="22"/>
      <c r="I81" s="7"/>
      <c r="J81" s="7">
        <f t="shared" ca="1" si="4"/>
        <v>-1343.9</v>
      </c>
      <c r="K81" s="23">
        <f t="shared" ca="1" si="5"/>
        <v>-0.80598536643876695</v>
      </c>
      <c r="L81" s="28" t="s">
        <v>34</v>
      </c>
      <c r="M81" s="21">
        <v>0.33</v>
      </c>
      <c r="N81" s="29">
        <f t="shared" ca="1" si="35"/>
        <v>4.0803709428129831E-2</v>
      </c>
      <c r="O81" s="30">
        <f t="shared" si="36"/>
        <v>7.91651673263764E-3</v>
      </c>
      <c r="P81" s="30">
        <f t="shared" ca="1" si="8"/>
        <v>1.3125268157329049E-3</v>
      </c>
      <c r="Q81" s="31">
        <f t="shared" si="34"/>
        <v>13.200000000000001</v>
      </c>
    </row>
    <row r="82" spans="1:17" ht="12.75">
      <c r="A82" s="32" t="s">
        <v>58</v>
      </c>
      <c r="B82" s="21">
        <f>10+10+20+25</f>
        <v>65</v>
      </c>
      <c r="C82" s="3">
        <f t="shared" ca="1" si="0"/>
        <v>32.35</v>
      </c>
      <c r="D82" s="4">
        <f t="shared" ca="1" si="1"/>
        <v>2102.75</v>
      </c>
      <c r="E82" s="21">
        <f>10+10+20+25</f>
        <v>65</v>
      </c>
      <c r="F82" s="34">
        <f>343.4+373.2+776.4+981</f>
        <v>2474</v>
      </c>
      <c r="G82" s="22"/>
      <c r="H82" s="22"/>
      <c r="I82" s="7"/>
      <c r="J82" s="7">
        <f t="shared" ca="1" si="4"/>
        <v>-371.25</v>
      </c>
      <c r="K82" s="23">
        <f t="shared" ca="1" si="5"/>
        <v>-0.15006063055780114</v>
      </c>
      <c r="L82" s="28" t="s">
        <v>30</v>
      </c>
      <c r="M82" s="21">
        <v>0.26</v>
      </c>
      <c r="N82" s="29">
        <f t="shared" ca="1" si="35"/>
        <v>3.2148377125193202E-2</v>
      </c>
      <c r="O82" s="30">
        <f t="shared" si="36"/>
        <v>2.7324171382376718E-2</v>
      </c>
      <c r="P82" s="30">
        <f t="shared" ca="1" si="8"/>
        <v>8.5314243022638816E-3</v>
      </c>
      <c r="Q82" s="31">
        <f t="shared" si="34"/>
        <v>67.600000000000009</v>
      </c>
    </row>
    <row r="83" spans="1:17" ht="12.75">
      <c r="A83" s="32" t="s">
        <v>59</v>
      </c>
      <c r="B83" s="21">
        <f>10+3</f>
        <v>13</v>
      </c>
      <c r="C83" s="3">
        <f t="shared" ca="1" si="0"/>
        <v>32.35</v>
      </c>
      <c r="D83" s="4">
        <f t="shared" ca="1" si="1"/>
        <v>420.55</v>
      </c>
      <c r="E83" s="21">
        <f>10+3</f>
        <v>13</v>
      </c>
      <c r="F83" s="34">
        <f>1922.1+587.58</f>
        <v>2509.6799999999998</v>
      </c>
      <c r="G83" s="22"/>
      <c r="H83" s="22"/>
      <c r="I83" s="7"/>
      <c r="J83" s="7">
        <f t="shared" ca="1" si="4"/>
        <v>-2089.1299999999997</v>
      </c>
      <c r="K83" s="23">
        <f t="shared" ca="1" si="5"/>
        <v>-0.83242883554875513</v>
      </c>
      <c r="L83" s="28" t="s">
        <v>31</v>
      </c>
      <c r="M83" s="21">
        <v>2</v>
      </c>
      <c r="N83" s="29">
        <f t="shared" ca="1" si="35"/>
        <v>0.2472952086553323</v>
      </c>
      <c r="O83" s="30">
        <f t="shared" si="36"/>
        <v>4.1439546077587583E-2</v>
      </c>
      <c r="P83" s="30">
        <f t="shared" ca="1" si="8"/>
        <v>1.7062848604527765E-3</v>
      </c>
      <c r="Q83" s="31">
        <f t="shared" si="34"/>
        <v>104</v>
      </c>
    </row>
    <row r="84" spans="1:17" ht="12.75">
      <c r="A84" s="32" t="s">
        <v>60</v>
      </c>
      <c r="B84" s="21">
        <f>15+40</f>
        <v>55</v>
      </c>
      <c r="C84" s="3">
        <f t="shared" ca="1" si="0"/>
        <v>32.35</v>
      </c>
      <c r="D84" s="4">
        <f t="shared" ca="1" si="1"/>
        <v>1779.25</v>
      </c>
      <c r="E84" s="21">
        <f>40+15</f>
        <v>55</v>
      </c>
      <c r="F84" s="34">
        <f>1140.2+3074.4</f>
        <v>4214.6000000000004</v>
      </c>
      <c r="G84" s="22"/>
      <c r="H84" s="22"/>
      <c r="I84" s="7"/>
      <c r="J84" s="7">
        <f t="shared" ca="1" si="4"/>
        <v>-2435.3500000000004</v>
      </c>
      <c r="K84" s="23">
        <f t="shared" ca="1" si="5"/>
        <v>-0.57783656812034356</v>
      </c>
      <c r="L84" s="28" t="s">
        <v>25</v>
      </c>
      <c r="M84" s="21">
        <v>0.8</v>
      </c>
      <c r="N84" s="29">
        <f t="shared" ca="1" si="35"/>
        <v>9.8918083462132919E-2</v>
      </c>
      <c r="O84" s="30">
        <f t="shared" si="36"/>
        <v>4.1759597589332315E-2</v>
      </c>
      <c r="P84" s="30">
        <f t="shared" ca="1" si="8"/>
        <v>7.2188974865309771E-3</v>
      </c>
      <c r="Q84" s="31">
        <f t="shared" si="34"/>
        <v>176</v>
      </c>
    </row>
    <row r="85" spans="1:17" ht="12.75">
      <c r="A85" s="32" t="s">
        <v>61</v>
      </c>
      <c r="B85" s="21">
        <v>13</v>
      </c>
      <c r="C85" s="3">
        <f t="shared" ca="1" si="0"/>
        <v>32.35</v>
      </c>
      <c r="D85" s="4">
        <f t="shared" ca="1" si="1"/>
        <v>420.55</v>
      </c>
      <c r="E85" s="21">
        <v>13</v>
      </c>
      <c r="F85" s="34">
        <f>480.9+178.6</f>
        <v>659.5</v>
      </c>
      <c r="G85" s="22"/>
      <c r="H85" s="22"/>
      <c r="I85" s="7"/>
      <c r="J85" s="7">
        <f t="shared" ca="1" si="4"/>
        <v>-238.95</v>
      </c>
      <c r="K85" s="23">
        <f t="shared" ca="1" si="5"/>
        <v>-0.36231993934799089</v>
      </c>
      <c r="L85" s="28" t="s">
        <v>20</v>
      </c>
      <c r="M85" s="21">
        <v>0.4</v>
      </c>
      <c r="N85" s="29">
        <f t="shared" ca="1" si="35"/>
        <v>4.945904173106646E-2</v>
      </c>
      <c r="O85" s="30">
        <f t="shared" si="36"/>
        <v>3.1539044730856711E-2</v>
      </c>
      <c r="P85" s="30">
        <f t="shared" ca="1" si="8"/>
        <v>1.7062848604527765E-3</v>
      </c>
      <c r="Q85" s="31">
        <f t="shared" si="34"/>
        <v>20.8</v>
      </c>
    </row>
    <row r="86" spans="1:17" ht="12.75">
      <c r="A86" s="20" t="str">
        <f>HYPERLINK("http://www.thedividendpig.com/dividend-stocks/services/specialty-retail-other/gpc-genuine-parts-co/","GPC")</f>
        <v>GPC</v>
      </c>
      <c r="B86" s="21">
        <f>4+20+25+25+30+15</f>
        <v>119</v>
      </c>
      <c r="C86" s="3">
        <f t="shared" ca="1" si="0"/>
        <v>32.35</v>
      </c>
      <c r="D86" s="4">
        <f t="shared" ca="1" si="1"/>
        <v>3849.65</v>
      </c>
      <c r="E86" s="21">
        <f>4+20+25+25+30+15</f>
        <v>119</v>
      </c>
      <c r="F86" s="34">
        <f>312.44+1842.2+2155+2071.5+2425.8+1334.7</f>
        <v>10141.64</v>
      </c>
      <c r="G86" s="22"/>
      <c r="H86" s="22"/>
      <c r="I86" s="7"/>
      <c r="J86" s="7">
        <f t="shared" ca="1" si="4"/>
        <v>-6291.99</v>
      </c>
      <c r="K86" s="23">
        <f t="shared" ca="1" si="5"/>
        <v>-0.62041149163251708</v>
      </c>
      <c r="L86" s="28" t="s">
        <v>23</v>
      </c>
      <c r="M86" s="21">
        <v>0.72</v>
      </c>
      <c r="N86" s="29">
        <f t="shared" ca="1" si="35"/>
        <v>8.9026275115919623E-2</v>
      </c>
      <c r="O86" s="30">
        <f t="shared" si="36"/>
        <v>3.3793350976765099E-2</v>
      </c>
      <c r="P86" s="30">
        <f t="shared" ca="1" si="8"/>
        <v>1.5619069107221569E-2</v>
      </c>
      <c r="Q86" s="31">
        <f t="shared" si="34"/>
        <v>342.71999999999997</v>
      </c>
    </row>
    <row r="87" spans="1:17" ht="12.75">
      <c r="A87" s="33" t="s">
        <v>62</v>
      </c>
      <c r="B87" s="21">
        <f>20+10</f>
        <v>30</v>
      </c>
      <c r="C87" s="3">
        <f t="shared" ca="1" si="0"/>
        <v>32.35</v>
      </c>
      <c r="D87" s="4">
        <f t="shared" ca="1" si="1"/>
        <v>970.5</v>
      </c>
      <c r="E87" s="21">
        <f>20+10</f>
        <v>30</v>
      </c>
      <c r="F87" s="34">
        <f>369+176.1</f>
        <v>545.1</v>
      </c>
      <c r="G87" s="22"/>
      <c r="H87" s="22"/>
      <c r="I87" s="7"/>
      <c r="J87" s="7">
        <f t="shared" ca="1" si="4"/>
        <v>425.4</v>
      </c>
      <c r="K87" s="23">
        <f t="shared" ca="1" si="5"/>
        <v>0.78040726472206923</v>
      </c>
      <c r="L87" s="28" t="s">
        <v>23</v>
      </c>
      <c r="M87" s="21">
        <v>0.16</v>
      </c>
      <c r="N87" s="29">
        <f t="shared" ca="1" si="35"/>
        <v>1.9783616692426585E-2</v>
      </c>
      <c r="O87" s="30">
        <f t="shared" si="36"/>
        <v>3.5222894881673086E-2</v>
      </c>
      <c r="P87" s="30">
        <f t="shared" ca="1" si="8"/>
        <v>3.9375804471987151E-3</v>
      </c>
      <c r="Q87" s="31">
        <f t="shared" si="34"/>
        <v>19.2</v>
      </c>
    </row>
    <row r="88" spans="1:17" ht="12.75">
      <c r="A88" s="20" t="str">
        <f>HYPERLINK("http://www.thedividendpig.com/dividend-stocks/financial/credit-services/v-visa-inc/","V")</f>
        <v>V</v>
      </c>
      <c r="B88" s="21">
        <f>4+10+15+15+2+5+1+10+5</f>
        <v>67</v>
      </c>
      <c r="C88" s="3">
        <f t="shared" ca="1" si="0"/>
        <v>32.35</v>
      </c>
      <c r="D88" s="4">
        <f t="shared" ca="1" si="1"/>
        <v>2167.4500000000003</v>
      </c>
      <c r="E88" s="21">
        <f>4+10+15+15+2+5+1+10+5</f>
        <v>67</v>
      </c>
      <c r="F88" s="34">
        <f>306.48+712+1405.5+1691.1+277.08+691.9+136.91+1365.6+654.3</f>
        <v>7240.87</v>
      </c>
      <c r="G88" s="22"/>
      <c r="H88" s="22"/>
      <c r="I88" s="7"/>
      <c r="J88" s="7">
        <f t="shared" ca="1" si="4"/>
        <v>-5073.42</v>
      </c>
      <c r="K88" s="23">
        <f t="shared" ca="1" si="5"/>
        <v>-0.70066442292155506</v>
      </c>
      <c r="L88" s="28" t="s">
        <v>34</v>
      </c>
      <c r="M88" s="21">
        <v>0.25</v>
      </c>
      <c r="N88" s="29">
        <f t="shared" ca="1" si="35"/>
        <v>3.0911901081916538E-2</v>
      </c>
      <c r="O88" s="30">
        <f t="shared" si="36"/>
        <v>9.2530317489472949E-3</v>
      </c>
      <c r="P88" s="30">
        <f t="shared" ca="1" si="8"/>
        <v>8.7939296654104635E-3</v>
      </c>
      <c r="Q88" s="31">
        <f t="shared" si="34"/>
        <v>67</v>
      </c>
    </row>
    <row r="89" spans="1:17" ht="12.75">
      <c r="A89" s="33" t="s">
        <v>63</v>
      </c>
      <c r="B89" s="21">
        <f>10+10+7</f>
        <v>27</v>
      </c>
      <c r="C89" s="3">
        <f t="shared" ca="1" si="0"/>
        <v>32.35</v>
      </c>
      <c r="D89" s="4">
        <f t="shared" ca="1" si="1"/>
        <v>873.45</v>
      </c>
      <c r="E89" s="21">
        <f>10+10+7</f>
        <v>27</v>
      </c>
      <c r="F89" s="34">
        <f>619.7+565.8+ 416.5</f>
        <v>1602</v>
      </c>
      <c r="G89" s="22"/>
      <c r="H89" s="22"/>
      <c r="I89" s="7"/>
      <c r="J89" s="7">
        <f t="shared" ca="1" si="4"/>
        <v>-728.55</v>
      </c>
      <c r="K89" s="23">
        <f t="shared" ca="1" si="5"/>
        <v>-0.45477528089887637</v>
      </c>
      <c r="L89" s="28" t="s">
        <v>19</v>
      </c>
      <c r="M89" s="21">
        <v>0.4</v>
      </c>
      <c r="N89" s="29">
        <f t="shared" ca="1" si="35"/>
        <v>4.945904173106646E-2</v>
      </c>
      <c r="O89" s="30">
        <f t="shared" si="36"/>
        <v>2.6966292134831461E-2</v>
      </c>
      <c r="P89" s="30">
        <f t="shared" ca="1" si="8"/>
        <v>3.5438224024788435E-3</v>
      </c>
      <c r="Q89" s="31">
        <f t="shared" si="34"/>
        <v>43.2</v>
      </c>
    </row>
    <row r="90" spans="1:17" ht="12.75">
      <c r="A90" s="20" t="str">
        <f>HYPERLINK("http://www.thedividendpig.com/dividend-stocks/services/air-delivery-and-freight-services/ups-united-parcel-service-inc/","UPS")</f>
        <v>UPS</v>
      </c>
      <c r="B90" s="21">
        <f>3+4+20+6+2</f>
        <v>35</v>
      </c>
      <c r="C90" s="3">
        <f t="shared" ca="1" si="0"/>
        <v>32.35</v>
      </c>
      <c r="D90" s="4">
        <f t="shared" ca="1" si="1"/>
        <v>1132.25</v>
      </c>
      <c r="E90" s="21">
        <f>3+4+20+6+2</f>
        <v>35</v>
      </c>
      <c r="F90" s="34">
        <f>309.57+380.44+2087.2+562.08+181.4</f>
        <v>3520.69</v>
      </c>
      <c r="G90" s="22"/>
      <c r="H90" s="22"/>
      <c r="I90" s="7"/>
      <c r="J90" s="7">
        <f t="shared" ca="1" si="4"/>
        <v>-2388.44</v>
      </c>
      <c r="K90" s="23">
        <f t="shared" ca="1" si="5"/>
        <v>-0.67840110887354466</v>
      </c>
      <c r="L90" s="28" t="s">
        <v>20</v>
      </c>
      <c r="M90" s="21">
        <v>0.91</v>
      </c>
      <c r="N90" s="29">
        <f t="shared" ca="1" si="35"/>
        <v>0.1125193199381762</v>
      </c>
      <c r="O90" s="30">
        <f t="shared" si="36"/>
        <v>3.618608852242032E-2</v>
      </c>
      <c r="P90" s="30">
        <f t="shared" ca="1" si="8"/>
        <v>4.5938438550651673E-3</v>
      </c>
      <c r="Q90" s="31">
        <f t="shared" si="34"/>
        <v>127.4</v>
      </c>
    </row>
    <row r="91" spans="1:17" ht="12.75">
      <c r="A91" s="32" t="s">
        <v>64</v>
      </c>
      <c r="B91" s="21">
        <f>4+2+2+2</f>
        <v>10</v>
      </c>
      <c r="C91" s="3">
        <f t="shared" ca="1" si="0"/>
        <v>32.35</v>
      </c>
      <c r="D91" s="4">
        <f t="shared" ca="1" si="1"/>
        <v>323.5</v>
      </c>
      <c r="E91" s="21">
        <f>4+2+2+2</f>
        <v>10</v>
      </c>
      <c r="F91" s="34">
        <f>727.44+335.72+325.72+303.3</f>
        <v>1692.18</v>
      </c>
      <c r="G91" s="22"/>
      <c r="H91" s="22"/>
      <c r="I91" s="7"/>
      <c r="J91" s="7">
        <f t="shared" ca="1" si="4"/>
        <v>-1368.68</v>
      </c>
      <c r="K91" s="23">
        <f t="shared" ca="1" si="5"/>
        <v>-0.80882648418017</v>
      </c>
      <c r="L91" s="28" t="s">
        <v>20</v>
      </c>
      <c r="M91" s="21">
        <v>0.65</v>
      </c>
      <c r="N91" s="29">
        <f t="shared" ca="1" si="35"/>
        <v>8.0370942812983001E-2</v>
      </c>
      <c r="O91" s="30">
        <f t="shared" si="36"/>
        <v>1.5364795707312459E-2</v>
      </c>
      <c r="P91" s="30">
        <f t="shared" ca="1" si="8"/>
        <v>1.3125268157329049E-3</v>
      </c>
      <c r="Q91" s="31">
        <f t="shared" si="34"/>
        <v>26</v>
      </c>
    </row>
    <row r="92" spans="1:17" ht="12.75">
      <c r="A92" s="32" t="s">
        <v>65</v>
      </c>
      <c r="B92" s="21">
        <f>8+25</f>
        <v>33</v>
      </c>
      <c r="C92" s="3">
        <f t="shared" ca="1" si="0"/>
        <v>32.35</v>
      </c>
      <c r="D92" s="4">
        <f t="shared" ca="1" si="1"/>
        <v>1067.55</v>
      </c>
      <c r="E92" s="21">
        <f>8+25</f>
        <v>33</v>
      </c>
      <c r="F92" s="34">
        <f>606.96+1972.75</f>
        <v>2579.71</v>
      </c>
      <c r="G92" s="22"/>
      <c r="H92" s="22"/>
      <c r="I92" s="7"/>
      <c r="J92" s="7">
        <f t="shared" ca="1" si="4"/>
        <v>-1512.16</v>
      </c>
      <c r="K92" s="23">
        <f t="shared" ca="1" si="5"/>
        <v>-0.58617441495361888</v>
      </c>
      <c r="L92" s="28" t="s">
        <v>30</v>
      </c>
      <c r="M92" s="21">
        <v>0.39</v>
      </c>
      <c r="N92" s="29">
        <f t="shared" ca="1" si="35"/>
        <v>4.8222565687789799E-2</v>
      </c>
      <c r="O92" s="30">
        <f t="shared" si="36"/>
        <v>1.9955731458187163E-2</v>
      </c>
      <c r="P92" s="30">
        <f t="shared" ca="1" si="8"/>
        <v>4.3313384919185863E-3</v>
      </c>
      <c r="Q92" s="31">
        <f t="shared" si="34"/>
        <v>51.480000000000004</v>
      </c>
    </row>
    <row r="93" spans="1:17" ht="12.75">
      <c r="A93" s="20" t="str">
        <f>HYPERLINK("http://www.thedividendpig.com/dividend-stocks/consumer-goods/textile-apparel-clothing/vfc-vf-corp/","VFC")</f>
        <v>VFC</v>
      </c>
      <c r="B93" s="21">
        <v>20</v>
      </c>
      <c r="C93" s="3">
        <f t="shared" ca="1" si="0"/>
        <v>32.35</v>
      </c>
      <c r="D93" s="4">
        <f t="shared" ca="1" si="1"/>
        <v>647</v>
      </c>
      <c r="E93" s="21">
        <v>20</v>
      </c>
      <c r="F93" s="34">
        <v>1015.8</v>
      </c>
      <c r="G93" s="22"/>
      <c r="H93" s="22"/>
      <c r="I93" s="7"/>
      <c r="J93" s="7">
        <f t="shared" ca="1" si="4"/>
        <v>-368.79999999999995</v>
      </c>
      <c r="K93" s="23">
        <f t="shared" ca="1" si="5"/>
        <v>-0.3630635951959047</v>
      </c>
      <c r="L93" s="28" t="s">
        <v>23</v>
      </c>
      <c r="M93" s="21">
        <v>0.51</v>
      </c>
      <c r="N93" s="29">
        <f t="shared" ca="1" si="35"/>
        <v>6.306027820710973E-2</v>
      </c>
      <c r="O93" s="30">
        <f t="shared" si="36"/>
        <v>4.0165386887182519E-2</v>
      </c>
      <c r="P93" s="30">
        <f t="shared" ca="1" si="8"/>
        <v>2.6250536314658098E-3</v>
      </c>
      <c r="Q93" s="31">
        <f t="shared" si="34"/>
        <v>40.799999999999997</v>
      </c>
    </row>
    <row r="94" spans="1:17" ht="12.75">
      <c r="A94" s="20" t="str">
        <f>HYPERLINK("http://www.thedividendpig.com/dividend-stocks/healthcare/drug-manufacturers-major/pfe-pfizer-inc/","PFE")</f>
        <v>PFE</v>
      </c>
      <c r="B94" s="21">
        <f>17+10+7+75+35+30+1+1+1+1</f>
        <v>178</v>
      </c>
      <c r="C94" s="3">
        <f t="shared" ca="1" si="0"/>
        <v>32.35</v>
      </c>
      <c r="D94" s="4">
        <f t="shared" ca="1" si="1"/>
        <v>5758.3</v>
      </c>
      <c r="E94" s="21">
        <f>17+10+7+75+35+30</f>
        <v>174</v>
      </c>
      <c r="F94" s="34">
        <f>525.9+288.6+207.27+2430+1202.25+1013.7</f>
        <v>5667.72</v>
      </c>
      <c r="G94" s="22"/>
      <c r="H94" s="22"/>
      <c r="I94" s="7"/>
      <c r="J94" s="7">
        <f t="shared" ca="1" si="4"/>
        <v>90.579999999999927</v>
      </c>
      <c r="K94" s="23">
        <f t="shared" ca="1" si="5"/>
        <v>1.5981735159817337E-2</v>
      </c>
      <c r="L94" s="28" t="s">
        <v>39</v>
      </c>
      <c r="M94" s="21">
        <v>0.32</v>
      </c>
      <c r="N94" s="29">
        <f t="shared" ca="1" si="35"/>
        <v>3.956723338485317E-2</v>
      </c>
      <c r="O94" s="30">
        <f t="shared" si="36"/>
        <v>3.9296224937011702E-2</v>
      </c>
      <c r="P94" s="30">
        <f t="shared" ca="1" si="8"/>
        <v>2.3362977320045709E-2</v>
      </c>
      <c r="Q94" s="31">
        <f t="shared" si="34"/>
        <v>227.84</v>
      </c>
    </row>
    <row r="95" spans="1:17" ht="12.75">
      <c r="A95" s="32" t="s">
        <v>66</v>
      </c>
      <c r="B95" s="21">
        <f>7+3+4+8</f>
        <v>22</v>
      </c>
      <c r="C95" s="3">
        <f t="shared" ca="1" si="0"/>
        <v>32.35</v>
      </c>
      <c r="D95" s="4">
        <f t="shared" ca="1" si="1"/>
        <v>711.7</v>
      </c>
      <c r="E95" s="21">
        <f>7+3+4+8</f>
        <v>22</v>
      </c>
      <c r="F95" s="34">
        <f>422.8+344.58+319.44+615.44</f>
        <v>1702.26</v>
      </c>
      <c r="G95" s="22"/>
      <c r="H95" s="22"/>
      <c r="I95" s="7"/>
      <c r="J95" s="7">
        <f t="shared" ca="1" si="4"/>
        <v>-990.56</v>
      </c>
      <c r="K95" s="23">
        <f t="shared" ca="1" si="5"/>
        <v>-0.58190875659417474</v>
      </c>
      <c r="L95" s="28" t="s">
        <v>39</v>
      </c>
      <c r="M95" s="21">
        <v>1.07</v>
      </c>
      <c r="N95" s="29">
        <f t="shared" ca="1" si="35"/>
        <v>0.13230293663060277</v>
      </c>
      <c r="O95" s="30">
        <f t="shared" si="36"/>
        <v>5.5314699282130821E-2</v>
      </c>
      <c r="P95" s="30">
        <f t="shared" ca="1" si="8"/>
        <v>2.8875589946123909E-3</v>
      </c>
      <c r="Q95" s="31">
        <f t="shared" si="34"/>
        <v>94.160000000000011</v>
      </c>
    </row>
    <row r="96" spans="1:17" ht="12.75">
      <c r="A96" s="33" t="s">
        <v>67</v>
      </c>
      <c r="B96" s="21">
        <v>5</v>
      </c>
      <c r="C96" s="3">
        <f t="shared" ca="1" si="0"/>
        <v>32.35</v>
      </c>
      <c r="D96" s="4">
        <f t="shared" ca="1" si="1"/>
        <v>161.75</v>
      </c>
      <c r="E96" s="21">
        <v>5</v>
      </c>
      <c r="F96" s="34">
        <v>281.25</v>
      </c>
      <c r="G96" s="22"/>
      <c r="H96" s="22"/>
      <c r="I96" s="7"/>
      <c r="J96" s="7">
        <f t="shared" ca="1" si="4"/>
        <v>-119.5</v>
      </c>
      <c r="K96" s="23">
        <f t="shared" ca="1" si="5"/>
        <v>-0.42488888888888887</v>
      </c>
      <c r="L96" s="28" t="s">
        <v>39</v>
      </c>
      <c r="M96" s="21">
        <v>0.55000000000000004</v>
      </c>
      <c r="N96" s="29">
        <f t="shared" ca="1" si="35"/>
        <v>6.8006182380216385E-2</v>
      </c>
      <c r="O96" s="30">
        <f t="shared" si="36"/>
        <v>3.9111111111111117E-2</v>
      </c>
      <c r="P96" s="30">
        <f t="shared" ca="1" si="8"/>
        <v>6.5626340786645245E-4</v>
      </c>
      <c r="Q96" s="31">
        <f t="shared" si="34"/>
        <v>11</v>
      </c>
    </row>
    <row r="97" spans="1:17" ht="12.75">
      <c r="A97" s="20" t="str">
        <f>HYPERLINK("http://www.thedividendpig.com/dividend-stocks/technology/business-software-and-services/irm-iron-mountain-inc/","IRM")</f>
        <v>IRM</v>
      </c>
      <c r="B97" s="21">
        <f>35+35+30+40+25+2+2+8+2</f>
        <v>179</v>
      </c>
      <c r="C97" s="3">
        <f t="shared" ca="1" si="0"/>
        <v>32.35</v>
      </c>
      <c r="D97" s="4">
        <f t="shared" ca="1" si="1"/>
        <v>5790.6500000000005</v>
      </c>
      <c r="E97" s="21">
        <f>35+35+30+40+25+2+2+8</f>
        <v>177</v>
      </c>
      <c r="F97" s="34">
        <f>1197+1219.75+1071.3+1412+802.25+69.28+246.88</f>
        <v>6018.46</v>
      </c>
      <c r="G97" s="22"/>
      <c r="H97" s="22"/>
      <c r="I97" s="7"/>
      <c r="J97" s="7">
        <f t="shared" ca="1" si="4"/>
        <v>-227.80999999999949</v>
      </c>
      <c r="K97" s="23">
        <f t="shared" ca="1" si="5"/>
        <v>-3.7851875729007001E-2</v>
      </c>
      <c r="L97" s="28" t="s">
        <v>31</v>
      </c>
      <c r="M97" s="21">
        <v>0.61099999999999999</v>
      </c>
      <c r="N97" s="29">
        <f t="shared" ca="1" si="35"/>
        <v>7.5548686244204008E-2</v>
      </c>
      <c r="O97" s="30">
        <f t="shared" si="36"/>
        <v>7.1876858864227733E-2</v>
      </c>
      <c r="P97" s="30">
        <f t="shared" ca="1" si="8"/>
        <v>2.3494230001619001E-2</v>
      </c>
      <c r="Q97" s="31">
        <f t="shared" si="34"/>
        <v>437.476</v>
      </c>
    </row>
    <row r="98" spans="1:17" ht="12.75">
      <c r="A98" s="20" t="str">
        <f>HYPERLINK("http://www.thedividendpig.com/dividend-stocks/consumer-goods/meat-products/hrl-hormel-foods-corp/","HRL")</f>
        <v>HRL</v>
      </c>
      <c r="B98" s="21">
        <f>65+25</f>
        <v>90</v>
      </c>
      <c r="C98" s="3">
        <f t="shared" ca="1" si="0"/>
        <v>32.35</v>
      </c>
      <c r="D98" s="4">
        <f t="shared" ca="1" si="1"/>
        <v>2911.5</v>
      </c>
      <c r="E98" s="21">
        <f>65+25</f>
        <v>90</v>
      </c>
      <c r="F98" s="34">
        <f>2219.75+791.5</f>
        <v>3011.25</v>
      </c>
      <c r="G98" s="22"/>
      <c r="H98" s="22"/>
      <c r="I98" s="7"/>
      <c r="J98" s="7">
        <f t="shared" ca="1" si="4"/>
        <v>-99.75</v>
      </c>
      <c r="K98" s="23">
        <f t="shared" ca="1" si="5"/>
        <v>-3.3125778331257787E-2</v>
      </c>
      <c r="L98" s="28" t="s">
        <v>19</v>
      </c>
      <c r="M98" s="21">
        <v>0.21</v>
      </c>
      <c r="N98" s="29">
        <f t="shared" ca="1" si="35"/>
        <v>2.596599690880989E-2</v>
      </c>
      <c r="O98" s="30">
        <f t="shared" si="36"/>
        <v>2.5105853051058526E-2</v>
      </c>
      <c r="P98" s="30">
        <f t="shared" ca="1" si="8"/>
        <v>1.1812741341596144E-2</v>
      </c>
      <c r="Q98" s="31">
        <f t="shared" si="34"/>
        <v>75.599999999999994</v>
      </c>
    </row>
    <row r="99" spans="1:17" ht="12.75">
      <c r="A99" s="20" t="str">
        <f>HYPERLINK("http://www.thedividendpig.com/dividend-stocks/consumer-goods/processed-and-packaged-goods/k-kellogg-company/","K")</f>
        <v>K</v>
      </c>
      <c r="B99" s="21">
        <f>25+15+8+2+7</f>
        <v>57</v>
      </c>
      <c r="C99" s="3">
        <f t="shared" ca="1" si="0"/>
        <v>32.35</v>
      </c>
      <c r="D99" s="4">
        <f t="shared" ca="1" si="1"/>
        <v>1843.95</v>
      </c>
      <c r="E99" s="21">
        <f>25+15+8+2+7</f>
        <v>57</v>
      </c>
      <c r="F99" s="34">
        <f>1718.5+916.05+498.88+112+382.83</f>
        <v>3628.26</v>
      </c>
      <c r="G99" s="22"/>
      <c r="H99" s="22"/>
      <c r="I99" s="7"/>
      <c r="J99" s="7">
        <f t="shared" ca="1" si="4"/>
        <v>-1784.3100000000002</v>
      </c>
      <c r="K99" s="23">
        <f t="shared" ca="1" si="5"/>
        <v>-0.49178118436936713</v>
      </c>
      <c r="L99" s="28" t="s">
        <v>19</v>
      </c>
      <c r="M99" s="21">
        <v>0.56000000000000005</v>
      </c>
      <c r="N99" s="29">
        <f t="shared" ca="1" si="35"/>
        <v>6.9242658423493045E-2</v>
      </c>
      <c r="O99" s="30">
        <f t="shared" si="36"/>
        <v>3.5190421855104098E-2</v>
      </c>
      <c r="P99" s="30">
        <f t="shared" ca="1" si="8"/>
        <v>7.4814028496775582E-3</v>
      </c>
      <c r="Q99" s="31">
        <f t="shared" si="34"/>
        <v>127.68</v>
      </c>
    </row>
    <row r="100" spans="1:17" ht="12.75">
      <c r="A100" s="33" t="s">
        <v>68</v>
      </c>
      <c r="B100" s="21">
        <f>8+5+8+6+3</f>
        <v>30</v>
      </c>
      <c r="C100" s="3">
        <f t="shared" ca="1" si="0"/>
        <v>32.35</v>
      </c>
      <c r="D100" s="4">
        <f t="shared" ca="1" si="1"/>
        <v>970.5</v>
      </c>
      <c r="E100" s="21">
        <f>8+5+8+6+3</f>
        <v>30</v>
      </c>
      <c r="F100" s="34">
        <f>479.2+306.3+486.88+353.1+167.1</f>
        <v>1792.58</v>
      </c>
      <c r="G100" s="22"/>
      <c r="H100" s="22"/>
      <c r="I100" s="7"/>
      <c r="J100" s="7">
        <f t="shared" ca="1" si="4"/>
        <v>-822.07999999999993</v>
      </c>
      <c r="K100" s="23">
        <f t="shared" ca="1" si="5"/>
        <v>-0.45860156868870566</v>
      </c>
      <c r="L100" s="28" t="s">
        <v>19</v>
      </c>
      <c r="M100" s="21">
        <v>0.4</v>
      </c>
      <c r="N100" s="29">
        <f t="shared" ca="1" si="35"/>
        <v>4.945904173106646E-2</v>
      </c>
      <c r="O100" s="30">
        <f t="shared" si="36"/>
        <v>2.6777047607359227E-2</v>
      </c>
      <c r="P100" s="30">
        <f t="shared" ca="1" si="8"/>
        <v>3.9375804471987151E-3</v>
      </c>
      <c r="Q100" s="31">
        <f t="shared" si="34"/>
        <v>48</v>
      </c>
    </row>
    <row r="101" spans="1:17" ht="12.75">
      <c r="A101" s="33" t="s">
        <v>69</v>
      </c>
      <c r="B101" s="21">
        <f>5+2+2+2+2</f>
        <v>13</v>
      </c>
      <c r="C101" s="3">
        <f t="shared" ca="1" si="0"/>
        <v>32.35</v>
      </c>
      <c r="D101" s="4">
        <f t="shared" ca="1" si="1"/>
        <v>420.55</v>
      </c>
      <c r="E101" s="21">
        <f>5+2+2+2+2</f>
        <v>13</v>
      </c>
      <c r="F101" s="34">
        <f>976.7+379.72+366.08+359.72+332.72</f>
        <v>2414.9400000000005</v>
      </c>
      <c r="G101" s="22"/>
      <c r="H101" s="22"/>
      <c r="I101" s="7"/>
      <c r="J101" s="7">
        <f t="shared" ca="1" si="4"/>
        <v>-1994.3900000000006</v>
      </c>
      <c r="K101" s="23">
        <f t="shared" ca="1" si="5"/>
        <v>-0.82585488666385087</v>
      </c>
      <c r="L101" s="28" t="s">
        <v>19</v>
      </c>
      <c r="M101" s="21">
        <v>0.74</v>
      </c>
      <c r="N101" s="29">
        <f t="shared" ca="1" si="35"/>
        <v>9.1499227202472944E-2</v>
      </c>
      <c r="O101" s="30">
        <f t="shared" si="36"/>
        <v>1.593414329134471E-2</v>
      </c>
      <c r="P101" s="30">
        <f t="shared" ca="1" si="8"/>
        <v>1.7062848604527765E-3</v>
      </c>
      <c r="Q101" s="31">
        <f t="shared" si="34"/>
        <v>38.479999999999997</v>
      </c>
    </row>
    <row r="102" spans="1:17" ht="12.75">
      <c r="A102" s="33" t="s">
        <v>70</v>
      </c>
      <c r="B102" s="21">
        <f>8+5+2+5+5-10</f>
        <v>15</v>
      </c>
      <c r="C102" s="3">
        <f t="shared" ca="1" si="0"/>
        <v>32.35</v>
      </c>
      <c r="D102" s="4">
        <f t="shared" ca="1" si="1"/>
        <v>485.25</v>
      </c>
      <c r="E102" s="21">
        <f>8+5+2+5+5-10</f>
        <v>15</v>
      </c>
      <c r="F102" s="34">
        <f>757.6+454.3+177.12+442.8+432.9-748.8</f>
        <v>1515.9199999999998</v>
      </c>
      <c r="G102" s="22"/>
      <c r="H102" s="22"/>
      <c r="I102" s="7"/>
      <c r="J102" s="7">
        <f t="shared" ca="1" si="4"/>
        <v>-1030.6699999999998</v>
      </c>
      <c r="K102" s="23">
        <f t="shared" ca="1" si="5"/>
        <v>-0.67989735606100588</v>
      </c>
      <c r="L102" s="28" t="s">
        <v>19</v>
      </c>
      <c r="M102" s="21">
        <v>2.39</v>
      </c>
      <c r="N102" s="29">
        <f ca="1">(M102*2)/C102</f>
        <v>0.14775888717156105</v>
      </c>
      <c r="O102" s="30">
        <f>(M102*2)/(F102/E102)</f>
        <v>4.7298010449100224E-2</v>
      </c>
      <c r="P102" s="30">
        <f t="shared" ca="1" si="8"/>
        <v>1.9687902235993576E-3</v>
      </c>
      <c r="Q102" s="31">
        <f>(M102*2)*B102</f>
        <v>71.7</v>
      </c>
    </row>
    <row r="103" spans="1:17" ht="12.75">
      <c r="A103" s="33" t="s">
        <v>71</v>
      </c>
      <c r="B103" s="21">
        <f>30+15</f>
        <v>45</v>
      </c>
      <c r="C103" s="3">
        <f t="shared" ca="1" si="0"/>
        <v>32.35</v>
      </c>
      <c r="D103" s="4">
        <f t="shared" ca="1" si="1"/>
        <v>1455.75</v>
      </c>
      <c r="E103" s="21">
        <f>30+15</f>
        <v>45</v>
      </c>
      <c r="F103" s="34">
        <f>1201.5+563.25</f>
        <v>1764.75</v>
      </c>
      <c r="G103" s="22"/>
      <c r="H103" s="22"/>
      <c r="I103" s="7"/>
      <c r="J103" s="7">
        <f t="shared" ca="1" si="4"/>
        <v>-309</v>
      </c>
      <c r="K103" s="23">
        <f t="shared" ca="1" si="5"/>
        <v>-0.17509562260943476</v>
      </c>
      <c r="L103" s="28" t="s">
        <v>19</v>
      </c>
      <c r="M103" s="21">
        <v>0.26</v>
      </c>
      <c r="N103" s="29">
        <f t="shared" ref="N103:N120" ca="1" si="37">(M103*4)/C103</f>
        <v>3.2148377125193202E-2</v>
      </c>
      <c r="O103" s="30">
        <f t="shared" ref="O103:O120" si="38">(M103*4)/(F103/E103)</f>
        <v>2.6519337016574586E-2</v>
      </c>
      <c r="P103" s="30">
        <f t="shared" ca="1" si="8"/>
        <v>5.9063706707980718E-3</v>
      </c>
      <c r="Q103" s="31">
        <f t="shared" ref="Q103:Q120" si="39">(M103*4)*B103</f>
        <v>46.800000000000004</v>
      </c>
    </row>
    <row r="104" spans="1:17" ht="12.75">
      <c r="A104" s="20" t="str">
        <f>HYPERLINK("http://www.thedividendpig.com/dividend-stocks/industrial-goods/aerospace-defense-products-and-services/utx-united-technologies/","UTX")</f>
        <v>UTX</v>
      </c>
      <c r="B104" s="21">
        <f>4+5</f>
        <v>9</v>
      </c>
      <c r="C104" s="3">
        <f t="shared" ca="1" si="0"/>
        <v>32.35</v>
      </c>
      <c r="D104" s="4">
        <f t="shared" ca="1" si="1"/>
        <v>291.15000000000003</v>
      </c>
      <c r="E104" s="21">
        <f>4+5</f>
        <v>9</v>
      </c>
      <c r="F104" s="34">
        <f>392.08+509.9</f>
        <v>901.98</v>
      </c>
      <c r="G104" s="22"/>
      <c r="H104" s="22"/>
      <c r="I104" s="7"/>
      <c r="J104" s="7">
        <f t="shared" ca="1" si="4"/>
        <v>-610.82999999999993</v>
      </c>
      <c r="K104" s="23">
        <f t="shared" ca="1" si="5"/>
        <v>-0.67721013769706639</v>
      </c>
      <c r="L104" s="28" t="s">
        <v>20</v>
      </c>
      <c r="M104" s="21">
        <v>0.73499999999999999</v>
      </c>
      <c r="N104" s="29">
        <f t="shared" ca="1" si="37"/>
        <v>9.088098918083462E-2</v>
      </c>
      <c r="O104" s="30">
        <f t="shared" si="38"/>
        <v>2.9335461983635999E-2</v>
      </c>
      <c r="P104" s="30">
        <f t="shared" ca="1" si="8"/>
        <v>1.1812741341596146E-3</v>
      </c>
      <c r="Q104" s="31">
        <f t="shared" si="39"/>
        <v>26.46</v>
      </c>
    </row>
    <row r="105" spans="1:17" ht="12.75">
      <c r="A105" s="20" t="str">
        <f>HYPERLINK("http://www.thedividendpig.com/dividend-stocks/industrial-goods/farm-and-construction-machinery/de-deere-and-company/","DE")</f>
        <v>DE</v>
      </c>
      <c r="B105" s="21">
        <f>5+4</f>
        <v>9</v>
      </c>
      <c r="C105" s="3">
        <f t="shared" ca="1" si="0"/>
        <v>32.35</v>
      </c>
      <c r="D105" s="4">
        <f t="shared" ca="1" si="1"/>
        <v>291.15000000000003</v>
      </c>
      <c r="E105" s="21">
        <f>5+4</f>
        <v>9</v>
      </c>
      <c r="F105" s="34">
        <f>388.8+296.44</f>
        <v>685.24</v>
      </c>
      <c r="G105" s="22"/>
      <c r="H105" s="22"/>
      <c r="I105" s="7"/>
      <c r="J105" s="7">
        <f t="shared" ca="1" si="4"/>
        <v>-394.09</v>
      </c>
      <c r="K105" s="23">
        <f t="shared" ca="1" si="5"/>
        <v>-0.57511236938882726</v>
      </c>
      <c r="L105" s="28" t="s">
        <v>20</v>
      </c>
      <c r="M105" s="21">
        <v>0.76</v>
      </c>
      <c r="N105" s="29">
        <f t="shared" ca="1" si="37"/>
        <v>9.3972179289026278E-2</v>
      </c>
      <c r="O105" s="30">
        <f t="shared" si="38"/>
        <v>3.9927616601482689E-2</v>
      </c>
      <c r="P105" s="30">
        <f t="shared" ca="1" si="8"/>
        <v>1.1812741341596146E-3</v>
      </c>
      <c r="Q105" s="31">
        <f t="shared" si="39"/>
        <v>27.36</v>
      </c>
    </row>
    <row r="106" spans="1:17" ht="12.75">
      <c r="A106" s="20" t="str">
        <f>HYPERLINK("https://www.thedividendpig.com/dividend-stocks/utilities/electric-utilities/d-dominion-resources/","D")</f>
        <v>D</v>
      </c>
      <c r="B106" s="21">
        <f>10+10+6+35+2+12</f>
        <v>75</v>
      </c>
      <c r="C106" s="3">
        <f t="shared" ca="1" si="0"/>
        <v>32.35</v>
      </c>
      <c r="D106" s="4">
        <f t="shared" ca="1" si="1"/>
        <v>2426.25</v>
      </c>
      <c r="E106" s="21">
        <f>10+10+6+35+2+12</f>
        <v>75</v>
      </c>
      <c r="F106" s="34">
        <f>776.4+759.5+448.44+2620.1+134.18+842.28</f>
        <v>5580.9000000000005</v>
      </c>
      <c r="G106" s="22"/>
      <c r="H106" s="22"/>
      <c r="I106" s="7"/>
      <c r="J106" s="7">
        <f t="shared" ca="1" si="4"/>
        <v>-3154.6500000000005</v>
      </c>
      <c r="K106" s="23">
        <f t="shared" ca="1" si="5"/>
        <v>-0.56525829167338604</v>
      </c>
      <c r="L106" s="28" t="s">
        <v>18</v>
      </c>
      <c r="M106" s="21">
        <v>0.83499999999999996</v>
      </c>
      <c r="N106" s="29">
        <f t="shared" ca="1" si="37"/>
        <v>0.10324574961360122</v>
      </c>
      <c r="O106" s="30">
        <f t="shared" si="38"/>
        <v>4.4885233564478842E-2</v>
      </c>
      <c r="P106" s="30">
        <f t="shared" ca="1" si="8"/>
        <v>9.8439511179967878E-3</v>
      </c>
      <c r="Q106" s="31">
        <f t="shared" si="39"/>
        <v>250.5</v>
      </c>
    </row>
    <row r="107" spans="1:17" ht="12.75">
      <c r="A107" s="20" t="str">
        <f>HYPERLINK("http://www.thedividendpig.com/dividend-stocks/financial/reit-office/dlr-digital-realty-trust/","DLR")</f>
        <v>DLR</v>
      </c>
      <c r="B107" s="21">
        <f>5+2</f>
        <v>7</v>
      </c>
      <c r="C107" s="3">
        <f t="shared" ca="1" si="0"/>
        <v>32.35</v>
      </c>
      <c r="D107" s="4">
        <f t="shared" ca="1" si="1"/>
        <v>226.45000000000002</v>
      </c>
      <c r="E107" s="21">
        <f>5+2</f>
        <v>7</v>
      </c>
      <c r="F107" s="34">
        <f>318.05+216</f>
        <v>534.04999999999995</v>
      </c>
      <c r="G107" s="22"/>
      <c r="H107" s="22"/>
      <c r="I107" s="7"/>
      <c r="J107" s="7">
        <f t="shared" ca="1" si="4"/>
        <v>-307.59999999999991</v>
      </c>
      <c r="K107" s="23">
        <f t="shared" ca="1" si="5"/>
        <v>-0.57597603220672211</v>
      </c>
      <c r="L107" s="28" t="s">
        <v>31</v>
      </c>
      <c r="M107" s="21">
        <v>1.01</v>
      </c>
      <c r="N107" s="29">
        <f t="shared" ca="1" si="37"/>
        <v>0.12488408037094281</v>
      </c>
      <c r="O107" s="30">
        <f t="shared" si="38"/>
        <v>5.2953843273101778E-2</v>
      </c>
      <c r="P107" s="30">
        <f t="shared" ca="1" si="8"/>
        <v>9.1876877101303351E-4</v>
      </c>
      <c r="Q107" s="31">
        <f t="shared" si="39"/>
        <v>28.28</v>
      </c>
    </row>
    <row r="108" spans="1:17" ht="12.75">
      <c r="A108" s="20" t="str">
        <f>HYPERLINK("http://www.thedividendpig.com/dividend-stocks/financial/reit-diversified/nnn-national-retail-properties/","NNN")</f>
        <v>NNN</v>
      </c>
      <c r="B108" s="21">
        <f>8+30+35+1+1+1+1</f>
        <v>77</v>
      </c>
      <c r="C108" s="3">
        <f t="shared" ca="1" si="0"/>
        <v>32.35</v>
      </c>
      <c r="D108" s="4">
        <f t="shared" ca="1" si="1"/>
        <v>2490.9500000000003</v>
      </c>
      <c r="E108" s="21">
        <f>8+30+35</f>
        <v>73</v>
      </c>
      <c r="F108" s="34">
        <f>279.68+1213.5+1398.6</f>
        <v>2891.7799999999997</v>
      </c>
      <c r="G108" s="22"/>
      <c r="H108" s="22"/>
      <c r="I108" s="7"/>
      <c r="J108" s="7">
        <f t="shared" ca="1" si="4"/>
        <v>-400.82999999999947</v>
      </c>
      <c r="K108" s="23">
        <f t="shared" ca="1" si="5"/>
        <v>-0.13861012940126824</v>
      </c>
      <c r="L108" s="28" t="s">
        <v>31</v>
      </c>
      <c r="M108" s="21">
        <v>0.5</v>
      </c>
      <c r="N108" s="29">
        <f t="shared" ca="1" si="37"/>
        <v>6.1823802163833076E-2</v>
      </c>
      <c r="O108" s="30">
        <f t="shared" si="38"/>
        <v>5.048793476682182E-2</v>
      </c>
      <c r="P108" s="30">
        <f t="shared" ca="1" si="8"/>
        <v>1.010645648114337E-2</v>
      </c>
      <c r="Q108" s="31">
        <f t="shared" si="39"/>
        <v>154</v>
      </c>
    </row>
    <row r="109" spans="1:17" ht="12.75">
      <c r="A109" s="33" t="s">
        <v>72</v>
      </c>
      <c r="B109" s="21">
        <f>20</f>
        <v>20</v>
      </c>
      <c r="C109" s="3">
        <f t="shared" ca="1" si="0"/>
        <v>32.35</v>
      </c>
      <c r="D109" s="4">
        <f t="shared" ca="1" si="1"/>
        <v>647</v>
      </c>
      <c r="E109" s="21">
        <v>20</v>
      </c>
      <c r="F109" s="34">
        <f>563</f>
        <v>563</v>
      </c>
      <c r="G109" s="22"/>
      <c r="H109" s="22"/>
      <c r="I109" s="7"/>
      <c r="J109" s="7">
        <f t="shared" ca="1" si="4"/>
        <v>84</v>
      </c>
      <c r="K109" s="23">
        <f t="shared" ca="1" si="5"/>
        <v>0.1492007104795737</v>
      </c>
      <c r="L109" s="28" t="s">
        <v>31</v>
      </c>
      <c r="M109" s="21">
        <v>0.39500000000000002</v>
      </c>
      <c r="N109" s="29">
        <f t="shared" ca="1" si="37"/>
        <v>4.8840803709428129E-2</v>
      </c>
      <c r="O109" s="30">
        <f t="shared" si="38"/>
        <v>5.6127886323268213E-2</v>
      </c>
      <c r="P109" s="30">
        <f t="shared" ca="1" si="8"/>
        <v>2.6250536314658098E-3</v>
      </c>
      <c r="Q109" s="31">
        <f t="shared" si="39"/>
        <v>31.6</v>
      </c>
    </row>
    <row r="110" spans="1:17" ht="12.75">
      <c r="A110" s="20" t="str">
        <f>HYPERLINK("http://www.thedividendpig.com/dividend-stocks/industrial-goods/aerospace-defense-products-and-services/lmt-lockheed-martin/","LMT")</f>
        <v>LMT</v>
      </c>
      <c r="B110" s="21">
        <f>3+2</f>
        <v>5</v>
      </c>
      <c r="C110" s="3">
        <f t="shared" ca="1" si="0"/>
        <v>32.35</v>
      </c>
      <c r="D110" s="4">
        <f t="shared" ca="1" si="1"/>
        <v>161.75</v>
      </c>
      <c r="E110" s="21">
        <f>3+5</f>
        <v>8</v>
      </c>
      <c r="F110" s="34">
        <f>623.88+522.18</f>
        <v>1146.06</v>
      </c>
      <c r="G110" s="22"/>
      <c r="H110" s="22"/>
      <c r="I110" s="7"/>
      <c r="J110" s="7">
        <f t="shared" ca="1" si="4"/>
        <v>-984.31</v>
      </c>
      <c r="K110" s="23">
        <f t="shared" ca="1" si="5"/>
        <v>-0.85886428284732041</v>
      </c>
      <c r="L110" s="28" t="s">
        <v>20</v>
      </c>
      <c r="M110" s="21">
        <v>2.2000000000000002</v>
      </c>
      <c r="N110" s="29">
        <f t="shared" ca="1" si="37"/>
        <v>0.27202472952086554</v>
      </c>
      <c r="O110" s="30">
        <f t="shared" si="38"/>
        <v>6.1427848454705697E-2</v>
      </c>
      <c r="P110" s="30">
        <f t="shared" ca="1" si="8"/>
        <v>6.5626340786645245E-4</v>
      </c>
      <c r="Q110" s="31">
        <f t="shared" si="39"/>
        <v>44</v>
      </c>
    </row>
    <row r="111" spans="1:17" ht="12.75">
      <c r="A111" s="20" t="str">
        <f>HYPERLINK("http://www.thedividendpig.com/dividend-stocks/consumer-goods/confectioners/hsy-hershey-company/","HSY")</f>
        <v>HSY</v>
      </c>
      <c r="B111" s="21">
        <f>5+7+10</f>
        <v>22</v>
      </c>
      <c r="C111" s="3">
        <f t="shared" ca="1" si="0"/>
        <v>32.35</v>
      </c>
      <c r="D111" s="4">
        <f t="shared" ca="1" si="1"/>
        <v>711.7</v>
      </c>
      <c r="E111" s="21">
        <f>5+7+10</f>
        <v>22</v>
      </c>
      <c r="F111" s="34">
        <f>460.15+590.44+1000</f>
        <v>2050.59</v>
      </c>
      <c r="G111" s="22"/>
      <c r="H111" s="22"/>
      <c r="I111" s="7"/>
      <c r="J111" s="7">
        <f t="shared" ca="1" si="4"/>
        <v>-1338.89</v>
      </c>
      <c r="K111" s="23">
        <f t="shared" ca="1" si="5"/>
        <v>-0.65292915697433418</v>
      </c>
      <c r="L111" s="28" t="s">
        <v>19</v>
      </c>
      <c r="M111" s="21">
        <v>0.72199999999999998</v>
      </c>
      <c r="N111" s="29">
        <f t="shared" ca="1" si="37"/>
        <v>8.9273570324574961E-2</v>
      </c>
      <c r="O111" s="30">
        <f t="shared" si="38"/>
        <v>3.0984253312461286E-2</v>
      </c>
      <c r="P111" s="30">
        <f t="shared" ca="1" si="8"/>
        <v>2.8875589946123909E-3</v>
      </c>
      <c r="Q111" s="31">
        <f t="shared" si="39"/>
        <v>63.536000000000001</v>
      </c>
    </row>
    <row r="112" spans="1:17" ht="12.75">
      <c r="A112" s="33" t="s">
        <v>73</v>
      </c>
      <c r="B112" s="21">
        <f>20</f>
        <v>20</v>
      </c>
      <c r="C112" s="3">
        <f t="shared" ca="1" si="0"/>
        <v>32.35</v>
      </c>
      <c r="D112" s="4">
        <f t="shared" ca="1" si="1"/>
        <v>647</v>
      </c>
      <c r="E112" s="21">
        <f>20</f>
        <v>20</v>
      </c>
      <c r="F112" s="34">
        <f>989</f>
        <v>989</v>
      </c>
      <c r="G112" s="22"/>
      <c r="H112" s="22"/>
      <c r="I112" s="7"/>
      <c r="J112" s="7">
        <f t="shared" ca="1" si="4"/>
        <v>-342</v>
      </c>
      <c r="K112" s="23">
        <f t="shared" ca="1" si="5"/>
        <v>-0.34580384226491406</v>
      </c>
      <c r="L112" s="28" t="s">
        <v>31</v>
      </c>
      <c r="M112" s="21">
        <v>0.79500000000000004</v>
      </c>
      <c r="N112" s="29">
        <f t="shared" ca="1" si="37"/>
        <v>9.8299845440494596E-2</v>
      </c>
      <c r="O112" s="30">
        <f t="shared" si="38"/>
        <v>6.4307381193124374E-2</v>
      </c>
      <c r="P112" s="30">
        <f t="shared" ca="1" si="8"/>
        <v>2.6250536314658098E-3</v>
      </c>
      <c r="Q112" s="31">
        <f t="shared" si="39"/>
        <v>63.6</v>
      </c>
    </row>
    <row r="113" spans="1:17" ht="12.75">
      <c r="A113" s="20" t="str">
        <f>HYPERLINK("http://www.thedividendpig.com/dividend-stocks/healthcare/health-care-plans/cvs-cvs-health-corp/","CVS")</f>
        <v>CVS</v>
      </c>
      <c r="B113" s="21">
        <f>12.2312+60+85+15+10+1+1</f>
        <v>184.2312</v>
      </c>
      <c r="C113" s="3">
        <f t="shared" ca="1" si="0"/>
        <v>32.35</v>
      </c>
      <c r="D113" s="4">
        <f t="shared" ca="1" si="1"/>
        <v>5959.87932</v>
      </c>
      <c r="E113" s="21">
        <f>12+60+85+15+10+1</f>
        <v>183</v>
      </c>
      <c r="F113" s="34">
        <f>975.96+4624.8+6057.1+1017.9+620.9</f>
        <v>13296.66</v>
      </c>
      <c r="G113" s="22"/>
      <c r="H113" s="22"/>
      <c r="I113" s="7"/>
      <c r="J113" s="7">
        <f t="shared" ca="1" si="4"/>
        <v>-7336.7806799999998</v>
      </c>
      <c r="K113" s="23">
        <f t="shared" ca="1" si="5"/>
        <v>-0.55177621146964728</v>
      </c>
      <c r="L113" s="28" t="s">
        <v>19</v>
      </c>
      <c r="M113" s="21">
        <v>0.5</v>
      </c>
      <c r="N113" s="29">
        <f t="shared" ca="1" si="37"/>
        <v>6.1823802163833076E-2</v>
      </c>
      <c r="O113" s="30">
        <f t="shared" si="38"/>
        <v>2.7525709463880405E-2</v>
      </c>
      <c r="P113" s="30">
        <f t="shared" ca="1" si="8"/>
        <v>2.4180839029465197E-2</v>
      </c>
      <c r="Q113" s="31">
        <f t="shared" si="39"/>
        <v>368.4624</v>
      </c>
    </row>
    <row r="114" spans="1:17" ht="12.75">
      <c r="A114" s="20" t="str">
        <f>HYPERLINK("https://www.thedividendpig.com/dividend-stocks/services/drug-stores/wba-walgreens-boots-alliance-inc/","WBA")</f>
        <v>WBA</v>
      </c>
      <c r="B114" s="21">
        <f>25+20+5</f>
        <v>50</v>
      </c>
      <c r="C114" s="3">
        <f t="shared" ca="1" si="0"/>
        <v>32.35</v>
      </c>
      <c r="D114" s="4">
        <f t="shared" ca="1" si="1"/>
        <v>1617.5</v>
      </c>
      <c r="E114" s="21">
        <f>25+20+5</f>
        <v>50</v>
      </c>
      <c r="F114" s="34">
        <f>1805.25+1422.4+349.3</f>
        <v>3576.9500000000003</v>
      </c>
      <c r="G114" s="22"/>
      <c r="H114" s="22"/>
      <c r="I114" s="7"/>
      <c r="J114" s="7">
        <f t="shared" ca="1" si="4"/>
        <v>-1959.4500000000003</v>
      </c>
      <c r="K114" s="23">
        <f t="shared" ca="1" si="5"/>
        <v>-0.54779910258739994</v>
      </c>
      <c r="L114" s="28" t="s">
        <v>19</v>
      </c>
      <c r="M114" s="21">
        <v>0.44</v>
      </c>
      <c r="N114" s="29">
        <f t="shared" ca="1" si="37"/>
        <v>5.4404945904173108E-2</v>
      </c>
      <c r="O114" s="30">
        <f t="shared" si="38"/>
        <v>2.4601965361551043E-2</v>
      </c>
      <c r="P114" s="30">
        <f t="shared" ca="1" si="8"/>
        <v>6.5626340786645249E-3</v>
      </c>
      <c r="Q114" s="31">
        <f t="shared" si="39"/>
        <v>88</v>
      </c>
    </row>
    <row r="115" spans="1:17" ht="12.75">
      <c r="A115" s="33" t="s">
        <v>74</v>
      </c>
      <c r="B115" s="21">
        <v>10</v>
      </c>
      <c r="C115" s="3">
        <f t="shared" ca="1" si="0"/>
        <v>32.35</v>
      </c>
      <c r="D115" s="4">
        <f t="shared" ca="1" si="1"/>
        <v>323.5</v>
      </c>
      <c r="E115" s="21">
        <f>10</f>
        <v>10</v>
      </c>
      <c r="F115" s="34">
        <f>616.1</f>
        <v>616.1</v>
      </c>
      <c r="G115" s="22"/>
      <c r="H115" s="22"/>
      <c r="I115" s="7"/>
      <c r="J115" s="7">
        <f t="shared" ca="1" si="4"/>
        <v>-292.60000000000002</v>
      </c>
      <c r="K115" s="23">
        <f t="shared" ca="1" si="5"/>
        <v>-0.47492290212627825</v>
      </c>
      <c r="L115" s="28" t="s">
        <v>31</v>
      </c>
      <c r="M115" s="21">
        <v>1.03</v>
      </c>
      <c r="N115" s="29">
        <f t="shared" ca="1" si="37"/>
        <v>0.12735703245749613</v>
      </c>
      <c r="O115" s="30">
        <f t="shared" si="38"/>
        <v>6.6872260996591465E-2</v>
      </c>
      <c r="P115" s="30">
        <f t="shared" ca="1" si="8"/>
        <v>1.3125268157329049E-3</v>
      </c>
      <c r="Q115" s="31">
        <f t="shared" si="39"/>
        <v>41.2</v>
      </c>
    </row>
    <row r="116" spans="1:17" ht="12.75">
      <c r="A116" s="33" t="s">
        <v>75</v>
      </c>
      <c r="B116" s="21">
        <v>8</v>
      </c>
      <c r="C116" s="3">
        <f t="shared" ca="1" si="0"/>
        <v>32.35</v>
      </c>
      <c r="D116" s="4">
        <f t="shared" ca="1" si="1"/>
        <v>258.8</v>
      </c>
      <c r="E116" s="21">
        <v>8</v>
      </c>
      <c r="F116" s="34">
        <f>808.88</f>
        <v>808.88</v>
      </c>
      <c r="G116" s="22"/>
      <c r="H116" s="22"/>
      <c r="I116" s="7"/>
      <c r="J116" s="7">
        <f t="shared" ca="1" si="4"/>
        <v>-550.07999999999993</v>
      </c>
      <c r="K116" s="23">
        <f t="shared" ca="1" si="5"/>
        <v>-0.68005142913658378</v>
      </c>
      <c r="L116" s="28" t="s">
        <v>31</v>
      </c>
      <c r="M116" s="21">
        <v>1.125</v>
      </c>
      <c r="N116" s="29">
        <f t="shared" ca="1" si="37"/>
        <v>0.13910355486862441</v>
      </c>
      <c r="O116" s="30">
        <f t="shared" si="38"/>
        <v>4.4505983582237167E-2</v>
      </c>
      <c r="P116" s="30">
        <f t="shared" ca="1" si="8"/>
        <v>1.050021452586324E-3</v>
      </c>
      <c r="Q116" s="31">
        <f t="shared" si="39"/>
        <v>36</v>
      </c>
    </row>
    <row r="117" spans="1:17" ht="12.75">
      <c r="A117" s="20" t="str">
        <f>HYPERLINK("http://www.thedividendpig.com/dividend-stocks/technology/communication-equipment/qcom-qualcomm-inc/","QCOM")</f>
        <v>QCOM</v>
      </c>
      <c r="B117" s="21">
        <f>7+5+35+4</f>
        <v>51</v>
      </c>
      <c r="C117" s="3">
        <f t="shared" ca="1" si="0"/>
        <v>32.35</v>
      </c>
      <c r="D117" s="4">
        <f t="shared" ca="1" si="1"/>
        <v>1649.8500000000001</v>
      </c>
      <c r="E117" s="21">
        <f>12+35+4</f>
        <v>51</v>
      </c>
      <c r="F117" s="34">
        <f>425.97+259.3+1985.55+207.44</f>
        <v>2878.2599999999998</v>
      </c>
      <c r="G117" s="22"/>
      <c r="H117" s="22"/>
      <c r="I117" s="7"/>
      <c r="J117" s="7">
        <f t="shared" ca="1" si="4"/>
        <v>-1228.4099999999996</v>
      </c>
      <c r="K117" s="23">
        <f t="shared" ca="1" si="5"/>
        <v>-0.42678910174897322</v>
      </c>
      <c r="L117" s="28" t="s">
        <v>34</v>
      </c>
      <c r="M117" s="21">
        <v>0.62</v>
      </c>
      <c r="N117" s="29">
        <f t="shared" ca="1" si="37"/>
        <v>7.6661514683153006E-2</v>
      </c>
      <c r="O117" s="30">
        <f t="shared" si="38"/>
        <v>4.3943215692814411E-2</v>
      </c>
      <c r="P117" s="30">
        <f t="shared" ca="1" si="8"/>
        <v>6.6938867602378159E-3</v>
      </c>
      <c r="Q117" s="31">
        <f t="shared" si="39"/>
        <v>126.48</v>
      </c>
    </row>
    <row r="118" spans="1:17" ht="12.75">
      <c r="A118" s="33" t="s">
        <v>76</v>
      </c>
      <c r="B118" s="21">
        <f>25+2+6+5+2</f>
        <v>40</v>
      </c>
      <c r="C118" s="3">
        <f t="shared" ca="1" si="0"/>
        <v>32.35</v>
      </c>
      <c r="D118" s="4">
        <f t="shared" ca="1" si="1"/>
        <v>1294</v>
      </c>
      <c r="E118" s="21">
        <f>25+2+6+5+2</f>
        <v>40</v>
      </c>
      <c r="F118" s="34">
        <f>102.78*27+575.16+466.9+325.72</f>
        <v>4142.84</v>
      </c>
      <c r="G118" s="22"/>
      <c r="H118" s="22"/>
      <c r="I118" s="7"/>
      <c r="J118" s="7">
        <f t="shared" ca="1" si="4"/>
        <v>-2848.84</v>
      </c>
      <c r="K118" s="23">
        <f t="shared" ca="1" si="5"/>
        <v>-0.68765387994708949</v>
      </c>
      <c r="L118" s="28" t="s">
        <v>34</v>
      </c>
      <c r="M118" s="21">
        <v>0.62</v>
      </c>
      <c r="N118" s="29">
        <f t="shared" ca="1" si="37"/>
        <v>7.6661514683153006E-2</v>
      </c>
      <c r="O118" s="30">
        <f t="shared" si="38"/>
        <v>2.3944926668662079E-2</v>
      </c>
      <c r="P118" s="30">
        <f t="shared" ca="1" si="8"/>
        <v>5.2501072629316196E-3</v>
      </c>
      <c r="Q118" s="31">
        <f t="shared" si="39"/>
        <v>99.2</v>
      </c>
    </row>
    <row r="119" spans="1:17" ht="12.75">
      <c r="A119" s="20" t="str">
        <f>HYPERLINK("http://www.thedividendpig.com/dividend-stocks/technology/networking-and-communication-devices/csco-cisco-systems-inc/","CSCO")</f>
        <v>CSCO</v>
      </c>
      <c r="B119" s="21">
        <v>50</v>
      </c>
      <c r="C119" s="3">
        <f t="shared" ca="1" si="0"/>
        <v>32.35</v>
      </c>
      <c r="D119" s="4">
        <f t="shared" ca="1" si="1"/>
        <v>1617.5</v>
      </c>
      <c r="E119" s="21">
        <v>50</v>
      </c>
      <c r="F119" s="34">
        <v>1529.5</v>
      </c>
      <c r="G119" s="22"/>
      <c r="H119" s="22"/>
      <c r="I119" s="7"/>
      <c r="J119" s="7">
        <f t="shared" ca="1" si="4"/>
        <v>88</v>
      </c>
      <c r="K119" s="23">
        <f t="shared" ca="1" si="5"/>
        <v>5.7535142203334423E-2</v>
      </c>
      <c r="L119" s="28" t="s">
        <v>34</v>
      </c>
      <c r="M119" s="21">
        <v>0.33</v>
      </c>
      <c r="N119" s="29">
        <f t="shared" ca="1" si="37"/>
        <v>4.0803709428129831E-2</v>
      </c>
      <c r="O119" s="30">
        <f t="shared" si="38"/>
        <v>4.3151356652500819E-2</v>
      </c>
      <c r="P119" s="30">
        <f t="shared" ca="1" si="8"/>
        <v>6.5626340786645249E-3</v>
      </c>
      <c r="Q119" s="31">
        <f t="shared" si="39"/>
        <v>66</v>
      </c>
    </row>
    <row r="120" spans="1:17" ht="12.75">
      <c r="A120" s="20" t="str">
        <f>HYPERLINK("http://www.thedividendpig.com/dividend-stocks/technology/information-technology-services/ibm-international-business-machines/","IBM")</f>
        <v>IBM</v>
      </c>
      <c r="B120" s="21">
        <f>35+10+20</f>
        <v>65</v>
      </c>
      <c r="C120" s="3">
        <f t="shared" ca="1" si="0"/>
        <v>32.35</v>
      </c>
      <c r="D120" s="4">
        <f t="shared" ca="1" si="1"/>
        <v>2102.75</v>
      </c>
      <c r="E120" s="21">
        <f>35+10+20</f>
        <v>65</v>
      </c>
      <c r="F120" s="34">
        <f>5047+1405.8+3245.4</f>
        <v>9698.2000000000007</v>
      </c>
      <c r="G120" s="22"/>
      <c r="H120" s="22"/>
      <c r="I120" s="7"/>
      <c r="J120" s="7">
        <f t="shared" ca="1" si="4"/>
        <v>-7595.4500000000007</v>
      </c>
      <c r="K120" s="23">
        <f t="shared" ca="1" si="5"/>
        <v>-0.78318141510795825</v>
      </c>
      <c r="L120" s="28" t="s">
        <v>34</v>
      </c>
      <c r="M120" s="21">
        <v>1.57</v>
      </c>
      <c r="N120" s="29">
        <f t="shared" ca="1" si="37"/>
        <v>0.19412673879443584</v>
      </c>
      <c r="O120" s="30">
        <f t="shared" si="38"/>
        <v>4.2090284795116617E-2</v>
      </c>
      <c r="P120" s="30">
        <f t="shared" ca="1" si="8"/>
        <v>8.5314243022638816E-3</v>
      </c>
      <c r="Q120" s="31">
        <f t="shared" si="39"/>
        <v>408.2</v>
      </c>
    </row>
    <row r="121" spans="1:17" ht="12.75">
      <c r="A121" s="32" t="s">
        <v>77</v>
      </c>
      <c r="B121" s="21">
        <v>44.46</v>
      </c>
      <c r="C121" s="3">
        <f t="shared" ca="1" si="0"/>
        <v>32.35</v>
      </c>
      <c r="D121" s="4">
        <f t="shared" ca="1" si="1"/>
        <v>1438.2810000000002</v>
      </c>
      <c r="E121" s="21">
        <v>35</v>
      </c>
      <c r="F121" s="22">
        <v>508.9</v>
      </c>
      <c r="G121" s="22">
        <f>F121/E121</f>
        <v>14.54</v>
      </c>
      <c r="H121" s="22">
        <v>0</v>
      </c>
      <c r="I121" s="7" t="str">
        <f ca="1">IFERROR(__xludf.DUMMYFUNCTION("GoogleFinance(A121,""change"") &amp; ""  ("" &amp; GoogleFinance(A121,""changepct"") &amp; ""%)"""),"0.04  (0.27%)")</f>
        <v>0.04  (0.27%)</v>
      </c>
      <c r="J121" s="7">
        <f t="shared" ca="1" si="4"/>
        <v>929.3810000000002</v>
      </c>
      <c r="K121" s="23">
        <f t="shared" ca="1" si="5"/>
        <v>1.8262546669286701</v>
      </c>
      <c r="L121" s="28" t="s">
        <v>78</v>
      </c>
      <c r="M121" s="21">
        <v>6.9000000000000006E-2</v>
      </c>
      <c r="N121" s="29">
        <f ca="1">(M121*12)/C121</f>
        <v>2.5595054095826894E-2</v>
      </c>
      <c r="O121" s="30">
        <f>(M121*12)/(F121/E121)</f>
        <v>5.6946354883081161E-2</v>
      </c>
      <c r="P121" s="30">
        <f t="shared" ca="1" si="8"/>
        <v>5.835494222748496E-3</v>
      </c>
      <c r="Q121" s="31">
        <f>(M121*12)*B121</f>
        <v>36.812880000000007</v>
      </c>
    </row>
    <row r="122" spans="1:17" ht="12.75">
      <c r="A122" s="33" t="s">
        <v>79</v>
      </c>
      <c r="B122" s="21">
        <v>10</v>
      </c>
      <c r="C122" s="3">
        <f t="shared" ca="1" si="0"/>
        <v>32.35</v>
      </c>
      <c r="D122" s="4">
        <f t="shared" ca="1" si="1"/>
        <v>323.5</v>
      </c>
      <c r="E122" s="21">
        <v>10</v>
      </c>
      <c r="F122" s="22">
        <v>1588</v>
      </c>
      <c r="G122" s="22"/>
      <c r="H122" s="22"/>
      <c r="I122" s="7"/>
      <c r="J122" s="7">
        <f t="shared" ca="1" si="4"/>
        <v>-1264.5</v>
      </c>
      <c r="K122" s="23">
        <f t="shared" ca="1" si="5"/>
        <v>-0.79628463476070532</v>
      </c>
      <c r="L122" s="28" t="s">
        <v>23</v>
      </c>
      <c r="M122" s="21">
        <v>1.25</v>
      </c>
      <c r="N122" s="29">
        <f t="shared" ref="N122:N126" ca="1" si="40">(M122*4)/C122</f>
        <v>0.15455950540958269</v>
      </c>
      <c r="O122" s="30">
        <f t="shared" ref="O122:O126" si="41">(M122*4)/(F122/E122)</f>
        <v>3.1486146095717885E-2</v>
      </c>
      <c r="P122" s="30">
        <f t="shared" ca="1" si="8"/>
        <v>1.3125268157329049E-3</v>
      </c>
      <c r="Q122" s="31">
        <f t="shared" ref="Q122:Q126" si="42">(M122*4)*B122</f>
        <v>50</v>
      </c>
    </row>
    <row r="123" spans="1:17" ht="12.75">
      <c r="A123" s="20" t="str">
        <f>HYPERLINK("http://www.thedividendpig.com/dividend-stocks/services/restaurants/mcd-mcdonalds-corp/","MCD")</f>
        <v>MCD</v>
      </c>
      <c r="B123" s="21">
        <f>19.0717+3</f>
        <v>22.0717</v>
      </c>
      <c r="C123" s="3">
        <f t="shared" ca="1" si="0"/>
        <v>32.35</v>
      </c>
      <c r="D123" s="4">
        <f t="shared" ca="1" si="1"/>
        <v>714.01949500000001</v>
      </c>
      <c r="E123" s="21">
        <f>18+3</f>
        <v>21</v>
      </c>
      <c r="F123" s="22">
        <f>1650.6+461.58</f>
        <v>2112.1799999999998</v>
      </c>
      <c r="G123" s="22">
        <f t="shared" ref="G123:G124" si="43">F123/E123</f>
        <v>100.58</v>
      </c>
      <c r="H123" s="22">
        <v>8.9499999999999993</v>
      </c>
      <c r="I123" s="7" t="str">
        <f t="shared" ref="I123:I124" ca="1" si="44">IFERROR(__xludf.DUMMYFUNCTION("GoogleFinance(A123,""change"") &amp; ""  ("" &amp; GoogleFinance(A123,""changepct"") &amp; ""%)"""),"0.84  (0.44%)")</f>
        <v>0.84  (0.44%)</v>
      </c>
      <c r="J123" s="7">
        <f t="shared" ca="1" si="4"/>
        <v>-1407.1105049999996</v>
      </c>
      <c r="K123" s="23">
        <f t="shared" ca="1" si="5"/>
        <v>-0.66195139855504737</v>
      </c>
      <c r="L123" s="28" t="s">
        <v>23</v>
      </c>
      <c r="M123" s="21">
        <v>1.1599999999999999</v>
      </c>
      <c r="N123" s="29">
        <f t="shared" ca="1" si="40"/>
        <v>0.14343122102009273</v>
      </c>
      <c r="O123" s="30">
        <f t="shared" si="41"/>
        <v>4.6132431895008943E-2</v>
      </c>
      <c r="P123" s="30">
        <f t="shared" ca="1" si="8"/>
        <v>2.8969698118811956E-3</v>
      </c>
      <c r="Q123" s="31">
        <f t="shared" si="42"/>
        <v>102.41268799999999</v>
      </c>
    </row>
    <row r="124" spans="1:17" ht="12.75">
      <c r="A124" s="20" t="str">
        <f>HYPERLINK("http://www.thedividendpig.com/dividend-stocks/consumer-goods/cigarettes/pm-philip-morris-international/","PM")</f>
        <v>PM</v>
      </c>
      <c r="B124" s="21">
        <f>10.7048+5+10+10+6+4+4+5+4</f>
        <v>58.704799999999999</v>
      </c>
      <c r="C124" s="3">
        <f t="shared" ca="1" si="0"/>
        <v>32.35</v>
      </c>
      <c r="D124" s="4">
        <f t="shared" ca="1" si="1"/>
        <v>1899.1002800000001</v>
      </c>
      <c r="E124" s="21">
        <f>10+5+10+10+6+4+4+5+4</f>
        <v>58</v>
      </c>
      <c r="F124" s="22">
        <f>817.19+518.05+1022.9+811.8+481.32+327.84+347.44+350.5+277.76</f>
        <v>4954.8</v>
      </c>
      <c r="G124" s="22">
        <f t="shared" si="43"/>
        <v>85.427586206896549</v>
      </c>
      <c r="H124" s="22">
        <v>8.9499999999999993</v>
      </c>
      <c r="I124" s="7" t="str">
        <f t="shared" ca="1" si="44"/>
        <v>0.84  (0.44%)</v>
      </c>
      <c r="J124" s="7">
        <f t="shared" ca="1" si="4"/>
        <v>-3064.6497199999999</v>
      </c>
      <c r="K124" s="23">
        <f t="shared" ca="1" si="5"/>
        <v>-0.61671504803422939</v>
      </c>
      <c r="L124" s="28" t="s">
        <v>19</v>
      </c>
      <c r="M124" s="21">
        <v>1.1399999999999999</v>
      </c>
      <c r="N124" s="29">
        <f t="shared" ca="1" si="40"/>
        <v>0.14095826893353938</v>
      </c>
      <c r="O124" s="30">
        <f t="shared" si="41"/>
        <v>5.3378542019859525E-2</v>
      </c>
      <c r="P124" s="30">
        <f t="shared" ca="1" si="8"/>
        <v>7.7051624212237041E-3</v>
      </c>
      <c r="Q124" s="31">
        <f t="shared" si="42"/>
        <v>267.69388799999996</v>
      </c>
    </row>
    <row r="125" spans="1:17" ht="12.75">
      <c r="A125" s="43" t="str">
        <f>HYPERLINK("http://www.thedividendpig.com/dividend-stocks/financial/credit-services/dfs-discover-financial-services/","DFS")</f>
        <v>DFS</v>
      </c>
      <c r="B125" s="21">
        <f>30+10+2+15+10+1</f>
        <v>68</v>
      </c>
      <c r="C125" s="3">
        <f t="shared" ca="1" si="0"/>
        <v>32.35</v>
      </c>
      <c r="D125" s="4">
        <f t="shared" ca="1" si="1"/>
        <v>2199.8000000000002</v>
      </c>
      <c r="E125" s="21">
        <f>30+10+2+15+10+1</f>
        <v>68</v>
      </c>
      <c r="F125" s="22">
        <f>1791.9+763.7+140.12+1008.3+648.6+56.2</f>
        <v>4408.8200000000006</v>
      </c>
      <c r="G125" s="22"/>
      <c r="H125" s="22"/>
      <c r="I125" s="7"/>
      <c r="J125" s="7">
        <f t="shared" ca="1" si="4"/>
        <v>-2209.0200000000004</v>
      </c>
      <c r="K125" s="23">
        <f t="shared" ca="1" si="5"/>
        <v>-0.50104563125734325</v>
      </c>
      <c r="L125" s="28" t="s">
        <v>30</v>
      </c>
      <c r="M125" s="21">
        <v>0.4</v>
      </c>
      <c r="N125" s="29">
        <f t="shared" ca="1" si="40"/>
        <v>4.945904173106646E-2</v>
      </c>
      <c r="O125" s="30">
        <f t="shared" si="41"/>
        <v>2.4677804945540983E-2</v>
      </c>
      <c r="P125" s="30">
        <f t="shared" ca="1" si="8"/>
        <v>8.9251823469837545E-3</v>
      </c>
      <c r="Q125" s="31">
        <f t="shared" si="42"/>
        <v>108.80000000000001</v>
      </c>
    </row>
    <row r="126" spans="1:17" ht="12.75">
      <c r="A126" s="43" t="str">
        <f>HYPERLINK("http://www.thedividendpig.com/dividend-stocks/services/grocery-stores/kr-kroger-company/","KR")</f>
        <v>KR</v>
      </c>
      <c r="B126" s="21">
        <f>75+25+65+40+1</f>
        <v>206</v>
      </c>
      <c r="C126" s="3">
        <f t="shared" ca="1" si="0"/>
        <v>32.35</v>
      </c>
      <c r="D126" s="4">
        <f t="shared" ca="1" si="1"/>
        <v>6664.1</v>
      </c>
      <c r="E126" s="21">
        <f>75+25+65+40</f>
        <v>205</v>
      </c>
      <c r="F126" s="22">
        <f>2175+1378+667.5+800</f>
        <v>5020.5</v>
      </c>
      <c r="G126" s="22"/>
      <c r="H126" s="22"/>
      <c r="I126" s="7"/>
      <c r="J126" s="7">
        <f t="shared" ca="1" si="4"/>
        <v>1643.6000000000004</v>
      </c>
      <c r="K126" s="23">
        <f t="shared" ca="1" si="5"/>
        <v>0.32737775121999807</v>
      </c>
      <c r="L126" s="28" t="s">
        <v>19</v>
      </c>
      <c r="M126" s="21">
        <v>0.14000000000000001</v>
      </c>
      <c r="N126" s="29">
        <f t="shared" ca="1" si="40"/>
        <v>1.7310664605873261E-2</v>
      </c>
      <c r="O126" s="30">
        <f t="shared" si="41"/>
        <v>2.2866248381635295E-2</v>
      </c>
      <c r="P126" s="30">
        <f t="shared" ca="1" si="8"/>
        <v>2.7038052404097842E-2</v>
      </c>
      <c r="Q126" s="31">
        <f t="shared" si="42"/>
        <v>115.36000000000001</v>
      </c>
    </row>
    <row r="127" spans="1:17" ht="12.75">
      <c r="A127" s="44" t="s">
        <v>80</v>
      </c>
      <c r="B127" s="21">
        <v>41</v>
      </c>
      <c r="C127" s="3">
        <f t="shared" ca="1" si="0"/>
        <v>32.35</v>
      </c>
      <c r="D127" s="4">
        <f t="shared" ca="1" si="1"/>
        <v>1326.3500000000001</v>
      </c>
      <c r="E127" s="21">
        <v>41</v>
      </c>
      <c r="F127" s="22">
        <f>6548.93</f>
        <v>6548.93</v>
      </c>
      <c r="G127" s="22"/>
      <c r="H127" s="22"/>
      <c r="I127" s="7"/>
      <c r="J127" s="7">
        <f t="shared" ca="1" si="4"/>
        <v>-5222.58</v>
      </c>
      <c r="K127" s="23">
        <f t="shared" ca="1" si="5"/>
        <v>-0.79747073186001372</v>
      </c>
      <c r="L127" s="35" t="s">
        <v>81</v>
      </c>
      <c r="M127" s="21">
        <v>1.41</v>
      </c>
      <c r="N127" s="29">
        <f t="shared" ref="N127:N129" ca="1" si="45">(M127*1)/C127</f>
        <v>4.3585780525502313E-2</v>
      </c>
      <c r="O127" s="30">
        <f t="shared" ref="O127:O129" si="46">(M127*1)/(F127/E127)</f>
        <v>8.8273962311400476E-3</v>
      </c>
      <c r="P127" s="30">
        <f t="shared" ca="1" si="8"/>
        <v>5.3813599445049105E-3</v>
      </c>
      <c r="Q127" s="31">
        <f t="shared" ref="Q127:Q129" si="47">(M127*1)*B127</f>
        <v>57.809999999999995</v>
      </c>
    </row>
    <row r="128" spans="1:17" ht="12.75">
      <c r="A128" s="44" t="s">
        <v>82</v>
      </c>
      <c r="B128" s="21">
        <v>264</v>
      </c>
      <c r="C128" s="3">
        <f t="shared" ca="1" si="0"/>
        <v>32.35</v>
      </c>
      <c r="D128" s="4">
        <f t="shared" ca="1" si="1"/>
        <v>8540.4</v>
      </c>
      <c r="E128" s="21">
        <v>264</v>
      </c>
      <c r="F128" s="22">
        <f>12731.2</f>
        <v>12731.2</v>
      </c>
      <c r="G128" s="22"/>
      <c r="H128" s="22"/>
      <c r="I128" s="7"/>
      <c r="J128" s="7">
        <f t="shared" ca="1" si="4"/>
        <v>-4190.8000000000011</v>
      </c>
      <c r="K128" s="23">
        <f t="shared" ca="1" si="5"/>
        <v>-0.32917556868166403</v>
      </c>
      <c r="L128" s="35" t="s">
        <v>81</v>
      </c>
      <c r="M128" s="21">
        <v>1.44</v>
      </c>
      <c r="N128" s="29">
        <f t="shared" ca="1" si="45"/>
        <v>4.4513137557959812E-2</v>
      </c>
      <c r="O128" s="30">
        <f t="shared" si="46"/>
        <v>2.9860500188513255E-2</v>
      </c>
      <c r="P128" s="30">
        <f t="shared" ca="1" si="8"/>
        <v>3.465070793534869E-2</v>
      </c>
      <c r="Q128" s="31">
        <f t="shared" si="47"/>
        <v>380.15999999999997</v>
      </c>
    </row>
    <row r="129" spans="1:17" ht="12.75">
      <c r="A129" s="44" t="s">
        <v>83</v>
      </c>
      <c r="B129" s="21">
        <v>125</v>
      </c>
      <c r="C129" s="3">
        <f t="shared" ca="1" si="0"/>
        <v>32.35</v>
      </c>
      <c r="D129" s="4">
        <f t="shared" ca="1" si="1"/>
        <v>4043.75</v>
      </c>
      <c r="E129" s="21">
        <v>125</v>
      </c>
      <c r="F129" s="22">
        <f>2711.25</f>
        <v>2711.25</v>
      </c>
      <c r="G129" s="22"/>
      <c r="H129" s="22"/>
      <c r="I129" s="7"/>
      <c r="J129" s="7">
        <f t="shared" ca="1" si="4"/>
        <v>1332.5</v>
      </c>
      <c r="K129" s="23">
        <f t="shared" ca="1" si="5"/>
        <v>0.49147072383586904</v>
      </c>
      <c r="L129" s="35" t="s">
        <v>81</v>
      </c>
      <c r="M129" s="21">
        <v>0.79</v>
      </c>
      <c r="N129" s="29">
        <f t="shared" ca="1" si="45"/>
        <v>2.4420401854714065E-2</v>
      </c>
      <c r="O129" s="30">
        <f t="shared" si="46"/>
        <v>3.6422314430613188E-2</v>
      </c>
      <c r="P129" s="30">
        <f t="shared" ca="1" si="8"/>
        <v>1.640658519666131E-2</v>
      </c>
      <c r="Q129" s="31">
        <f t="shared" si="47"/>
        <v>98.75</v>
      </c>
    </row>
    <row r="130" spans="1:17" ht="12.75">
      <c r="A130" s="45" t="s">
        <v>84</v>
      </c>
      <c r="B130" s="46"/>
      <c r="C130" s="47"/>
      <c r="D130" s="48">
        <f>2406.62+3025-1443.3-1941.75-299.75+5500-685-1583-1015.8-253+5500</f>
        <v>9210.02</v>
      </c>
      <c r="E130" s="46"/>
      <c r="F130" s="49">
        <f>D130</f>
        <v>9210.02</v>
      </c>
      <c r="G130" s="49"/>
      <c r="H130" s="49"/>
      <c r="I130" s="49"/>
      <c r="J130" s="50"/>
      <c r="K130" s="51">
        <v>0</v>
      </c>
      <c r="L130" s="52" t="s">
        <v>85</v>
      </c>
      <c r="M130" s="46"/>
      <c r="N130" s="53">
        <v>0</v>
      </c>
      <c r="O130" s="54">
        <v>0</v>
      </c>
      <c r="P130" s="55">
        <f t="shared" ca="1" si="8"/>
        <v>3.7367537012168064E-2</v>
      </c>
      <c r="Q130" s="56">
        <v>0</v>
      </c>
    </row>
    <row r="131" spans="1:17" ht="12.75">
      <c r="A131" s="57" t="s">
        <v>86</v>
      </c>
      <c r="B131" s="58"/>
      <c r="C131" s="59"/>
      <c r="D131" s="60">
        <f ca="1">SUM(D3:D130)</f>
        <v>246471.15481549996</v>
      </c>
      <c r="E131" s="58"/>
      <c r="F131" s="59">
        <f>SUM(F3:F130)</f>
        <v>452308.3000000001</v>
      </c>
      <c r="G131" s="59"/>
      <c r="H131" s="59">
        <f>SUM(H3:H123)</f>
        <v>199.94999999999996</v>
      </c>
      <c r="I131" s="61"/>
      <c r="J131" s="61">
        <f ca="1">D131-(F131+H131)</f>
        <v>-206037.09518450015</v>
      </c>
      <c r="K131" s="62">
        <f ca="1">(D131-F131)/F131</f>
        <v>-0.45508151228818949</v>
      </c>
      <c r="L131" s="63"/>
      <c r="M131" s="64"/>
      <c r="N131" s="65"/>
      <c r="O131" s="66">
        <f>Q131/F131</f>
        <v>3.466937418216734E-2</v>
      </c>
      <c r="P131" s="67">
        <f ca="1">SUM(P3:P130)</f>
        <v>0.99999999999999989</v>
      </c>
      <c r="Q131" s="68">
        <f>SUM(Q3:Q129)</f>
        <v>15681.245698400004</v>
      </c>
    </row>
    <row r="132" spans="1:17" ht="12.75">
      <c r="A132" s="69"/>
      <c r="B132" s="9"/>
      <c r="C132" s="3"/>
      <c r="D132" s="92" t="s">
        <v>87</v>
      </c>
      <c r="E132" s="93"/>
      <c r="F132" s="93"/>
      <c r="G132" s="3"/>
      <c r="H132" s="3"/>
      <c r="I132" s="7"/>
      <c r="J132" s="7"/>
      <c r="K132" s="8"/>
      <c r="L132" s="8"/>
      <c r="M132" s="90"/>
      <c r="N132" s="91"/>
      <c r="O132" s="10"/>
      <c r="P132" s="9"/>
      <c r="Q132" s="70">
        <f>SUM(Q3:Q129)</f>
        <v>15681.245698400004</v>
      </c>
    </row>
    <row r="133" spans="1:17" ht="12.75">
      <c r="A133" s="69"/>
      <c r="B133" s="9"/>
      <c r="C133" s="3"/>
      <c r="D133" s="71" t="s">
        <v>23</v>
      </c>
      <c r="E133" s="72">
        <f t="shared" ref="E133:E146" ca="1" si="48">F133/$D$131</f>
        <v>0.18443591376454754</v>
      </c>
      <c r="F133" s="73">
        <f t="shared" ref="F133:F139" ca="1" si="49">SUMIFS($D$3:$D$126,$L$3:$L$126,D133)</f>
        <v>45458.132655000001</v>
      </c>
      <c r="G133" s="3"/>
      <c r="H133" s="3"/>
      <c r="I133" s="7"/>
      <c r="J133" s="7"/>
      <c r="K133" s="8"/>
      <c r="L133" s="8"/>
      <c r="M133" s="9"/>
      <c r="N133" s="9"/>
      <c r="O133" s="10"/>
      <c r="P133" s="9"/>
      <c r="Q133" s="11"/>
    </row>
    <row r="134" spans="1:17" ht="12.75">
      <c r="A134" s="69"/>
      <c r="B134" s="9"/>
      <c r="C134" s="74"/>
      <c r="D134" s="75" t="s">
        <v>19</v>
      </c>
      <c r="E134" s="76">
        <f t="shared" ca="1" si="48"/>
        <v>0.20542097312726179</v>
      </c>
      <c r="F134" s="77">
        <f t="shared" ca="1" si="49"/>
        <v>50630.344469999996</v>
      </c>
      <c r="G134" s="78"/>
      <c r="H134" s="3"/>
      <c r="I134" s="7"/>
      <c r="J134" s="7"/>
      <c r="K134" s="8"/>
      <c r="L134" s="8"/>
      <c r="M134" s="9"/>
      <c r="N134" s="9"/>
      <c r="O134" s="10"/>
      <c r="P134" s="9"/>
      <c r="Q134" s="11"/>
    </row>
    <row r="135" spans="1:17" ht="12.75">
      <c r="A135" s="79"/>
      <c r="B135" s="80"/>
      <c r="C135" s="81"/>
      <c r="D135" s="75" t="s">
        <v>25</v>
      </c>
      <c r="E135" s="76">
        <f t="shared" ca="1" si="48"/>
        <v>4.2959186432692184E-2</v>
      </c>
      <c r="F135" s="77">
        <f t="shared" ca="1" si="49"/>
        <v>10588.200290000001</v>
      </c>
      <c r="G135" s="81"/>
      <c r="H135" s="81"/>
      <c r="I135" s="82"/>
      <c r="J135" s="82"/>
      <c r="M135" s="80"/>
      <c r="N135" s="80"/>
      <c r="O135" s="83"/>
      <c r="P135" s="80"/>
      <c r="Q135" s="84"/>
    </row>
    <row r="136" spans="1:17" ht="12.75">
      <c r="A136" s="79"/>
      <c r="B136" s="80"/>
      <c r="C136" s="81"/>
      <c r="D136" s="75" t="s">
        <v>30</v>
      </c>
      <c r="E136" s="76">
        <f t="shared" ca="1" si="48"/>
        <v>6.3850570756567582E-2</v>
      </c>
      <c r="F136" s="77">
        <f t="shared" ca="1" si="49"/>
        <v>15737.323910000003</v>
      </c>
      <c r="G136" s="81"/>
      <c r="H136" s="81"/>
      <c r="I136" s="82"/>
      <c r="J136" s="82"/>
      <c r="M136" s="80"/>
      <c r="N136" s="80"/>
      <c r="O136" s="83"/>
      <c r="P136" s="80"/>
      <c r="Q136" s="84"/>
    </row>
    <row r="137" spans="1:17" ht="12.75">
      <c r="A137" s="79"/>
      <c r="B137" s="80"/>
      <c r="C137" s="81"/>
      <c r="D137" s="75" t="s">
        <v>39</v>
      </c>
      <c r="E137" s="76">
        <f t="shared" ca="1" si="48"/>
        <v>4.901540829004248E-2</v>
      </c>
      <c r="F137" s="77">
        <f t="shared" ca="1" si="49"/>
        <v>12080.884285</v>
      </c>
      <c r="G137" s="81"/>
      <c r="H137" s="81"/>
      <c r="I137" s="82"/>
      <c r="J137" s="82"/>
      <c r="M137" s="80"/>
      <c r="N137" s="80"/>
      <c r="O137" s="83"/>
      <c r="P137" s="80"/>
      <c r="Q137" s="84"/>
    </row>
    <row r="138" spans="1:17" ht="12.75">
      <c r="A138" s="79"/>
      <c r="B138" s="80"/>
      <c r="C138" s="81"/>
      <c r="D138" s="75" t="s">
        <v>20</v>
      </c>
      <c r="E138" s="76">
        <f t="shared" ca="1" si="48"/>
        <v>9.3979417745006344E-2</v>
      </c>
      <c r="F138" s="77">
        <f t="shared" ca="1" si="49"/>
        <v>23163.215620500003</v>
      </c>
      <c r="G138" s="81"/>
      <c r="H138" s="81"/>
      <c r="I138" s="82"/>
      <c r="J138" s="82"/>
      <c r="M138" s="80"/>
      <c r="N138" s="80"/>
      <c r="O138" s="83"/>
      <c r="P138" s="80"/>
      <c r="Q138" s="84"/>
    </row>
    <row r="139" spans="1:17" ht="12.75">
      <c r="A139" s="79"/>
      <c r="B139" s="80"/>
      <c r="C139" s="81"/>
      <c r="D139" s="75" t="s">
        <v>34</v>
      </c>
      <c r="E139" s="76">
        <f t="shared" ca="1" si="48"/>
        <v>5.7182186392359453E-2</v>
      </c>
      <c r="F139" s="77">
        <f t="shared" ca="1" si="49"/>
        <v>14093.759515000002</v>
      </c>
      <c r="G139" s="81"/>
      <c r="H139" s="81"/>
      <c r="I139" s="82"/>
      <c r="J139" s="82"/>
      <c r="M139" s="80"/>
      <c r="N139" s="80"/>
      <c r="O139" s="83"/>
      <c r="P139" s="80"/>
      <c r="Q139" s="84"/>
    </row>
    <row r="140" spans="1:17" ht="12.75">
      <c r="A140" s="79"/>
      <c r="B140" s="80"/>
      <c r="C140" s="81"/>
      <c r="D140" s="75" t="s">
        <v>85</v>
      </c>
      <c r="E140" s="76">
        <f t="shared" ca="1" si="48"/>
        <v>3.7367537012168064E-2</v>
      </c>
      <c r="F140" s="77">
        <f>SUMIFS($D$3:$D$130,$L$3:$L$130,D140)</f>
        <v>9210.02</v>
      </c>
      <c r="G140" s="81"/>
      <c r="H140" s="81"/>
      <c r="I140" s="82"/>
      <c r="J140" s="82"/>
      <c r="M140" s="80"/>
      <c r="N140" s="80"/>
      <c r="O140" s="83"/>
      <c r="P140" s="80"/>
      <c r="Q140" s="84"/>
    </row>
    <row r="141" spans="1:17" ht="12.75">
      <c r="A141" s="79"/>
      <c r="B141" s="80"/>
      <c r="C141" s="81"/>
      <c r="D141" s="85" t="s">
        <v>78</v>
      </c>
      <c r="E141" s="76">
        <f t="shared" ca="1" si="48"/>
        <v>5.835494222748496E-3</v>
      </c>
      <c r="F141" s="77">
        <f t="shared" ref="F141:F145" ca="1" si="50">SUMIFS($D$3:$D$126,$L$3:$L$126,D141)</f>
        <v>1438.2810000000002</v>
      </c>
      <c r="G141" s="81"/>
      <c r="H141" s="81"/>
      <c r="I141" s="82"/>
      <c r="J141" s="82"/>
      <c r="M141" s="80"/>
      <c r="N141" s="80"/>
      <c r="O141" s="83"/>
      <c r="P141" s="80"/>
      <c r="Q141" s="84"/>
    </row>
    <row r="142" spans="1:17" ht="12.75">
      <c r="A142" s="79"/>
      <c r="B142" s="80"/>
      <c r="C142" s="81"/>
      <c r="D142" s="75" t="s">
        <v>31</v>
      </c>
      <c r="E142" s="76">
        <f t="shared" ca="1" si="48"/>
        <v>0.11014186901636089</v>
      </c>
      <c r="F142" s="77">
        <f t="shared" ca="1" si="50"/>
        <v>27146.793650000003</v>
      </c>
      <c r="G142" s="81"/>
      <c r="H142" s="81"/>
      <c r="I142" s="82"/>
      <c r="J142" s="82"/>
      <c r="M142" s="80"/>
      <c r="N142" s="80"/>
      <c r="O142" s="83"/>
      <c r="P142" s="80"/>
      <c r="Q142" s="84"/>
    </row>
    <row r="143" spans="1:17" ht="12.75">
      <c r="A143" s="79"/>
      <c r="B143" s="80"/>
      <c r="C143" s="81"/>
      <c r="D143" s="86" t="s">
        <v>36</v>
      </c>
      <c r="E143" s="76">
        <f t="shared" ca="1" si="48"/>
        <v>1.010645648114337E-2</v>
      </c>
      <c r="F143" s="77">
        <f t="shared" ca="1" si="50"/>
        <v>2490.9500000000003</v>
      </c>
      <c r="G143" s="81"/>
      <c r="H143" s="81"/>
      <c r="I143" s="82"/>
      <c r="J143" s="82"/>
      <c r="M143" s="80"/>
      <c r="N143" s="80"/>
      <c r="O143" s="83"/>
      <c r="P143" s="80"/>
      <c r="Q143" s="84"/>
    </row>
    <row r="144" spans="1:17" ht="12.75">
      <c r="A144" s="79"/>
      <c r="B144" s="80"/>
      <c r="C144" s="81"/>
      <c r="D144" s="75" t="s">
        <v>17</v>
      </c>
      <c r="E144" s="76">
        <f t="shared" ca="1" si="48"/>
        <v>5.5004008765846227E-2</v>
      </c>
      <c r="F144" s="77">
        <f t="shared" ca="1" si="50"/>
        <v>13556.901560000002</v>
      </c>
      <c r="G144" s="81"/>
      <c r="H144" s="81"/>
      <c r="I144" s="82"/>
      <c r="J144" s="82"/>
      <c r="M144" s="80"/>
      <c r="N144" s="80"/>
      <c r="O144" s="83"/>
      <c r="P144" s="80"/>
      <c r="Q144" s="84"/>
    </row>
    <row r="145" spans="1:17" ht="12.75">
      <c r="A145" s="79"/>
      <c r="B145" s="80"/>
      <c r="C145" s="81"/>
      <c r="D145" s="87" t="s">
        <v>18</v>
      </c>
      <c r="E145" s="25">
        <f t="shared" ca="1" si="48"/>
        <v>2.8262324916740866E-2</v>
      </c>
      <c r="F145" s="88">
        <f t="shared" ca="1" si="50"/>
        <v>6965.8478599999999</v>
      </c>
      <c r="G145" s="81"/>
      <c r="H145" s="81"/>
      <c r="I145" s="82"/>
      <c r="J145" s="82"/>
      <c r="M145" s="80"/>
      <c r="N145" s="80"/>
      <c r="O145" s="83"/>
      <c r="P145" s="80"/>
      <c r="Q145" s="84"/>
    </row>
    <row r="146" spans="1:17" ht="12.75">
      <c r="A146" s="79"/>
      <c r="B146" s="80"/>
      <c r="C146" s="81"/>
      <c r="D146" s="89" t="s">
        <v>81</v>
      </c>
      <c r="E146" s="25">
        <f t="shared" ca="1" si="48"/>
        <v>5.6438653076514911E-2</v>
      </c>
      <c r="F146" s="88">
        <f ca="1">SUMIFS($D$3:$D$129,$L$3:$L$129,D146)</f>
        <v>13910.5</v>
      </c>
      <c r="G146" s="81"/>
      <c r="H146" s="81"/>
      <c r="I146" s="82"/>
      <c r="J146" s="82"/>
      <c r="M146" s="80"/>
      <c r="N146" s="80"/>
      <c r="O146" s="83"/>
      <c r="P146" s="80"/>
      <c r="Q146" s="84"/>
    </row>
    <row r="147" spans="1:17" ht="12.75">
      <c r="A147" s="79"/>
      <c r="B147" s="80"/>
      <c r="C147" s="81"/>
      <c r="E147" s="38">
        <f ca="1">SUM(E133:E146)</f>
        <v>1.0000000000000002</v>
      </c>
      <c r="G147" s="81"/>
      <c r="H147" s="81"/>
      <c r="I147" s="82"/>
      <c r="J147" s="82"/>
      <c r="M147" s="80"/>
      <c r="N147" s="80"/>
      <c r="O147" s="83"/>
      <c r="P147" s="80"/>
      <c r="Q147" s="84"/>
    </row>
  </sheetData>
  <mergeCells count="2">
    <mergeCell ref="M132:N132"/>
    <mergeCell ref="D132:F132"/>
  </mergeCells>
  <conditionalFormatting sqref="I1:I129 J1:J1048576 I131:I147">
    <cfRule type="cellIs" dxfId="8" priority="1" operator="lessThan">
      <formula>0</formula>
    </cfRule>
  </conditionalFormatting>
  <conditionalFormatting sqref="K1:K147">
    <cfRule type="cellIs" dxfId="7" priority="2" operator="lessThan">
      <formula>0</formula>
    </cfRule>
  </conditionalFormatting>
  <conditionalFormatting sqref="K1:K147">
    <cfRule type="cellIs" dxfId="6" priority="3" operator="between">
      <formula>0</formula>
      <formula>0.2</formula>
    </cfRule>
  </conditionalFormatting>
  <conditionalFormatting sqref="K1:K147">
    <cfRule type="cellIs" dxfId="5" priority="4" operator="between">
      <formula>0.2</formula>
      <formula>0.5</formula>
    </cfRule>
  </conditionalFormatting>
  <conditionalFormatting sqref="K1:K147">
    <cfRule type="cellIs" dxfId="4" priority="5" operator="between">
      <formula>0.5</formula>
      <formula>0.1</formula>
    </cfRule>
  </conditionalFormatting>
  <conditionalFormatting sqref="K1:K147">
    <cfRule type="cellIs" dxfId="3" priority="6" operator="between">
      <formula>0.1</formula>
      <formula>0.1</formula>
    </cfRule>
  </conditionalFormatting>
  <conditionalFormatting sqref="K1:K147">
    <cfRule type="cellIs" dxfId="2" priority="7" operator="greaterThan">
      <formula>0.1</formula>
    </cfRule>
  </conditionalFormatting>
  <conditionalFormatting sqref="I3:I129">
    <cfRule type="notContainsText" dxfId="1" priority="8" operator="notContains" text="-">
      <formula>ISERROR(SEARCH(("-"),(I3)))</formula>
    </cfRule>
  </conditionalFormatting>
  <conditionalFormatting sqref="I1:I1048576">
    <cfRule type="containsText" dxfId="0" priority="9" operator="containsText" text="-">
      <formula>NOT(ISERROR(SEARCH(("-"),(I1))))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Dividend Portfolio TRACKER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