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3.xml"/>
  <Override ContentType="application/vnd.openxmlformats-officedocument.drawingml.chart+xml" PartName="/xl/charts/chart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Start Here" sheetId="1" r:id="rId3"/>
    <sheet state="visible" name="Summary" sheetId="2" r:id="rId4"/>
    <sheet state="visible" name="Portfolio" sheetId="3" r:id="rId5"/>
    <sheet state="visible" name="Transactions" sheetId="4" r:id="rId6"/>
    <sheet state="visible" name="DivCalendar" sheetId="5" r:id="rId7"/>
    <sheet state="visible" name="ReferenceData" sheetId="6" r:id="rId8"/>
    <sheet state="visible" name="Portfolio Value" sheetId="7" r:id="rId9"/>
    <sheet state="visible" name="Watchlist" sheetId="8" r:id="rId10"/>
    <sheet state="visible" name="About" sheetId="9" r:id="rId11"/>
    <sheet state="visible" name="Currency" sheetId="10" r:id="rId12"/>
    <sheet state="hidden" name="Lists" sheetId="11" r:id="rId13"/>
  </sheets>
  <definedNames>
    <definedName localSheetId="10" name="Sector">Lists!$A$3:$A$13</definedName>
  </definedNames>
  <calcPr/>
</workbook>
</file>

<file path=xl/sharedStrings.xml><?xml version="1.0" encoding="utf-8"?>
<sst xmlns="http://schemas.openxmlformats.org/spreadsheetml/2006/main" count="419" uniqueCount="239">
  <si>
    <t>Investment Account</t>
  </si>
  <si>
    <t>Sector</t>
  </si>
  <si>
    <t>Account</t>
  </si>
  <si>
    <t>Company Name</t>
  </si>
  <si>
    <t>Ticker</t>
  </si>
  <si>
    <t>Shares</t>
  </si>
  <si>
    <t>Native Curr</t>
  </si>
  <si>
    <t>Native Market Value</t>
  </si>
  <si>
    <t>Market Weight</t>
  </si>
  <si>
    <t>Unrealized Gain/Loss %</t>
  </si>
  <si>
    <t>XIRR</t>
  </si>
  <si>
    <t>Dividend Yield</t>
  </si>
  <si>
    <t>YOC</t>
  </si>
  <si>
    <t>Exchange Rate</t>
  </si>
  <si>
    <t>€</t>
  </si>
  <si>
    <t>Cash</t>
  </si>
  <si>
    <t>$</t>
  </si>
  <si>
    <t>Consumer Staples</t>
  </si>
  <si>
    <t>Brokerage</t>
  </si>
  <si>
    <t>MCD</t>
  </si>
  <si>
    <t>Market Value</t>
  </si>
  <si>
    <t>Cost Basis</t>
  </si>
  <si>
    <t>Unrealized Gain/Loss</t>
  </si>
  <si>
    <t>Realized Gain/Loss</t>
  </si>
  <si>
    <t>Dividends Collected</t>
  </si>
  <si>
    <t>Total Gain/Loss</t>
  </si>
  <si>
    <t>Annual Dividend</t>
  </si>
  <si>
    <t>Consumer Discretionary</t>
  </si>
  <si>
    <t>McDonald's</t>
  </si>
  <si>
    <t>Energy</t>
  </si>
  <si>
    <t>Chevron</t>
  </si>
  <si>
    <t>CVX</t>
  </si>
  <si>
    <t>Kinder-Morgan</t>
  </si>
  <si>
    <t>KMI</t>
  </si>
  <si>
    <t>Financials</t>
  </si>
  <si>
    <t>IRA</t>
  </si>
  <si>
    <t>Aflac</t>
  </si>
  <si>
    <t>AFL</t>
  </si>
  <si>
    <t>Wells Fargo</t>
  </si>
  <si>
    <t>WFC</t>
  </si>
  <si>
    <t>Industrials</t>
  </si>
  <si>
    <t>General Electric</t>
  </si>
  <si>
    <t>GE</t>
  </si>
  <si>
    <t>Information Technology</t>
  </si>
  <si>
    <t>Apple</t>
  </si>
  <si>
    <t>AAPL</t>
  </si>
  <si>
    <t>Cisco</t>
  </si>
  <si>
    <t>CSCO</t>
  </si>
  <si>
    <t>Harris</t>
  </si>
  <si>
    <t>HRS</t>
  </si>
  <si>
    <t>Visa</t>
  </si>
  <si>
    <t>V</t>
  </si>
  <si>
    <t>Utilities</t>
  </si>
  <si>
    <t>Avista</t>
  </si>
  <si>
    <t>AVA</t>
  </si>
  <si>
    <t>Totals</t>
  </si>
  <si>
    <t>LLOY.L</t>
  </si>
  <si>
    <t>Please familiarize yourself with the use of this spreadsheet by first visiting:</t>
  </si>
  <si>
    <t>£p</t>
  </si>
  <si>
    <t>This page is a place holder. Begin entering your stocks on the Portfolio sheet below.</t>
  </si>
  <si>
    <t>Value</t>
  </si>
  <si>
    <t>User editable</t>
  </si>
  <si>
    <t>These contain formulas. Edit at your own risk.</t>
  </si>
  <si>
    <t>Date</t>
  </si>
  <si>
    <t>Type</t>
  </si>
  <si>
    <t>Stock</t>
  </si>
  <si>
    <t>Transacted Shares</t>
  </si>
  <si>
    <t>Transacted Price/ Share</t>
  </si>
  <si>
    <t>Fees</t>
  </si>
  <si>
    <t>Stock Split</t>
  </si>
  <si>
    <t>Prev Row</t>
  </si>
  <si>
    <t>Previous Shares</t>
  </si>
  <si>
    <t>Cumulative Shares</t>
  </si>
  <si>
    <t>LON:NGG</t>
  </si>
  <si>
    <t>Transacted Value</t>
  </si>
  <si>
    <t>Previous Cost</t>
  </si>
  <si>
    <t>Cost of Transaction</t>
  </si>
  <si>
    <t>Cost of Transaction per Share</t>
  </si>
  <si>
    <t>Cumulative Cost</t>
  </si>
  <si>
    <t>Gain/Loss from Sale</t>
  </si>
  <si>
    <t>Yield on Transaction</t>
  </si>
  <si>
    <t>Cash Flow</t>
  </si>
  <si>
    <t>Currency Corrected Gain/Loss from Sale</t>
  </si>
  <si>
    <t>Currency Corrected Cash Flow</t>
  </si>
  <si>
    <t>Annual Dividend @ Purchase</t>
  </si>
  <si>
    <t>Notes</t>
  </si>
  <si>
    <t>Buy</t>
  </si>
  <si>
    <t>McDonald's Corporation</t>
  </si>
  <si>
    <t>Lloyds Banking Group PLC</t>
  </si>
  <si>
    <t>Div</t>
  </si>
  <si>
    <t>Sell</t>
  </si>
  <si>
    <t>NextGen Group plc</t>
  </si>
  <si>
    <t>Investment Portfolio Summary</t>
  </si>
  <si>
    <t>Annual Dividends</t>
  </si>
  <si>
    <t>Monthly Dividends</t>
  </si>
  <si>
    <t>Current Yield</t>
  </si>
  <si>
    <t>Total Dividends</t>
  </si>
  <si>
    <t>Target %</t>
  </si>
  <si>
    <t>Currency Weight</t>
  </si>
  <si>
    <t>US Dollar</t>
  </si>
  <si>
    <t>Australian Dollar</t>
  </si>
  <si>
    <t>A$</t>
  </si>
  <si>
    <t>Canadian Dollar</t>
  </si>
  <si>
    <t>C$</t>
  </si>
  <si>
    <t>Euro</t>
  </si>
  <si>
    <t>British Pence Sterling</t>
  </si>
  <si>
    <t>British Pound Sterling</t>
  </si>
  <si>
    <t>£</t>
  </si>
  <si>
    <t>Swiss Franc</t>
  </si>
  <si>
    <t>F</t>
  </si>
  <si>
    <t>Hong Kong Dollar</t>
  </si>
  <si>
    <t>HK$</t>
  </si>
  <si>
    <t>Japanese Yen</t>
  </si>
  <si>
    <t>¥J</t>
  </si>
  <si>
    <t>Chinese Yuan</t>
  </si>
  <si>
    <t>¥C</t>
  </si>
  <si>
    <t>Czech Crown</t>
  </si>
  <si>
    <t>Kč</t>
  </si>
  <si>
    <t>Israeli Shekel</t>
  </si>
  <si>
    <t>₪</t>
  </si>
  <si>
    <t>Indian Rupee</t>
  </si>
  <si>
    <t>₹</t>
  </si>
  <si>
    <t>Singapore Dollar</t>
  </si>
  <si>
    <t>S$</t>
  </si>
  <si>
    <t>Swedish Krona</t>
  </si>
  <si>
    <t>kr(SEK)</t>
  </si>
  <si>
    <t>Danish Krone</t>
  </si>
  <si>
    <t>kr(DKK)</t>
  </si>
  <si>
    <t>Norwegian Krone</t>
  </si>
  <si>
    <t>kr(NOK)</t>
  </si>
  <si>
    <t>Russian Ruble</t>
  </si>
  <si>
    <t>₽</t>
  </si>
  <si>
    <t>Month</t>
  </si>
  <si>
    <t>January</t>
  </si>
  <si>
    <t>February</t>
  </si>
  <si>
    <t>March</t>
  </si>
  <si>
    <t>April</t>
  </si>
  <si>
    <t>May</t>
  </si>
  <si>
    <t>June</t>
  </si>
  <si>
    <t>July</t>
  </si>
  <si>
    <t>August</t>
  </si>
  <si>
    <t>September</t>
  </si>
  <si>
    <t>October</t>
  </si>
  <si>
    <t>November</t>
  </si>
  <si>
    <t>December</t>
  </si>
  <si>
    <t>Year</t>
  </si>
  <si>
    <t>Total Dividends Received</t>
  </si>
  <si>
    <t>Total Realized Gain/Loss</t>
  </si>
  <si>
    <t>Name</t>
  </si>
  <si>
    <t>Symbol</t>
  </si>
  <si>
    <t>Next Pay Date</t>
  </si>
  <si>
    <t>Jan</t>
  </si>
  <si>
    <t>Feb</t>
  </si>
  <si>
    <t>Mar</t>
  </si>
  <si>
    <t>Apr</t>
  </si>
  <si>
    <t>Jun</t>
  </si>
  <si>
    <t>Jul</t>
  </si>
  <si>
    <t>Aug</t>
  </si>
  <si>
    <t>Sep</t>
  </si>
  <si>
    <t>Oct</t>
  </si>
  <si>
    <t>Nov</t>
  </si>
  <si>
    <t>Dec</t>
  </si>
  <si>
    <t>Div Increases</t>
  </si>
  <si>
    <t>Last Price</t>
  </si>
  <si>
    <t>Cost per Share</t>
  </si>
  <si>
    <t>Ex-Dividend Date</t>
  </si>
  <si>
    <t>Dividend Pay Date</t>
  </si>
  <si>
    <t/>
  </si>
  <si>
    <t>Quarter &amp; Year</t>
  </si>
  <si>
    <t>% change quarter to quarter</t>
  </si>
  <si>
    <t>Q3 2011</t>
  </si>
  <si>
    <t>Q4 2011</t>
  </si>
  <si>
    <t xml:space="preserve">Q1 2012
</t>
  </si>
  <si>
    <t>Q2 2012</t>
  </si>
  <si>
    <t>Q3 2012</t>
  </si>
  <si>
    <t>Q4 2012</t>
  </si>
  <si>
    <t xml:space="preserve">Q1 2013
</t>
  </si>
  <si>
    <t>Q2 2013</t>
  </si>
  <si>
    <t>Date Added</t>
  </si>
  <si>
    <t>Price</t>
  </si>
  <si>
    <t>PE</t>
  </si>
  <si>
    <t>Current Price</t>
  </si>
  <si>
    <t>Curent PE</t>
  </si>
  <si>
    <t>5-Year Dividend Growth</t>
  </si>
  <si>
    <t>Payout Ratio (Div/TTM EPS)</t>
  </si>
  <si>
    <t>Payout Ratio (Div/ EPS Est Next Year)</t>
  </si>
  <si>
    <t>Chowder Rule</t>
  </si>
  <si>
    <t>Graham Number</t>
  </si>
  <si>
    <t>52 Week High</t>
  </si>
  <si>
    <t>52 Week Low</t>
  </si>
  <si>
    <t>% from high</t>
  </si>
  <si>
    <t>% from low</t>
  </si>
  <si>
    <t>PG</t>
  </si>
  <si>
    <t>KMB</t>
  </si>
  <si>
    <t>DPS</t>
  </si>
  <si>
    <t>WMT</t>
  </si>
  <si>
    <t>TGT</t>
  </si>
  <si>
    <t>JNJ</t>
  </si>
  <si>
    <t>IBM</t>
  </si>
  <si>
    <t>CNI</t>
  </si>
  <si>
    <t>CSX</t>
  </si>
  <si>
    <t>UNP</t>
  </si>
  <si>
    <t>DE</t>
  </si>
  <si>
    <t>Dividend Portfolio Tracker speadsheet is provided as-is by twoinvesting.com. I am not a financial advisor but just someone interested in investing. For further information about this spreadsheet please visit http://www.twoinvesting.com/2015/11/international-dividend-portfolio-tracker-with-transactions-page.</t>
  </si>
  <si>
    <t>For questions or concerns regarding this spreadsheet please contact me at http://www.twoinvesting.com/contact-us/</t>
  </si>
  <si>
    <t>Quotes may be delayed by up to 20 minutes. Information is provided 'as is' and solely for informational and entertainment purposes, not for trading purposes or advice. I am not a licensed investment advisor or investment professional. I make no representations as to accuracy, completeness, recentness, or validity of any information on this spreadsheet and will not be liable for any errors, omissions, or delays in this information or any losses, injuries, or damages arising from its display or use. Please do not rely on this data for tax purposes. Unless your investments are FDIC insured, they may decline in value. Please consult with an investment professional before investing any of your money.</t>
  </si>
  <si>
    <t>If important formulas change, what and how to change them will be discussed here.</t>
  </si>
  <si>
    <t>Version</t>
  </si>
  <si>
    <t>Version History</t>
  </si>
  <si>
    <t>Reference Formulas/Links</t>
  </si>
  <si>
    <t>1.2.5</t>
  </si>
  <si>
    <t>Added support for Brazilian Real</t>
  </si>
  <si>
    <t>1.2.4</t>
  </si>
  <si>
    <t>Added currency support for Danish, Norwegian, Swedish, and Russian currencies</t>
  </si>
  <si>
    <t>1.2.3</t>
  </si>
  <si>
    <t>Updated formulas on ReferenceData to try to fix the loading errors and crashing</t>
  </si>
  <si>
    <t>1.2.2</t>
  </si>
  <si>
    <t>Added currency support for Singapore dollar (SGD)</t>
  </si>
  <si>
    <t>1.2.1</t>
  </si>
  <si>
    <t>Added currency support for Indian Rupee (₹)</t>
  </si>
  <si>
    <t>Automated Dividend Calendar (next pay date formula will need to be propagated down as more stocks are added)</t>
  </si>
  <si>
    <t>1.1.2</t>
  </si>
  <si>
    <t>Added currency support for Israeli Shekel (₪)</t>
  </si>
  <si>
    <t>1.1.1</t>
  </si>
  <si>
    <t>Updated dividend yield formula on ReferenceData to correctly show 0% yield if the stock does not pay a dividend.</t>
  </si>
  <si>
    <t>The change uses an iferror formula. See implementation in ReferenceData E4.</t>
  </si>
  <si>
    <t>Thanks for the feedback! 1) Added support for Czech crown, 2) Improved layout of Portfolio page</t>
  </si>
  <si>
    <t>Easiest way to update to this new version is to just grab a blank copy and then copy over the data you entered on the Portfolio and Transactions sheets. Transitioning to the new version should just take a matter of a minute or two.</t>
  </si>
  <si>
    <t>1.0.1</t>
  </si>
  <si>
    <t>Added support for British pence sterling. Use £p as the native currency if buying British stocks.</t>
  </si>
  <si>
    <t>Initial release of the dividend portfolio tracker with support for multiple currencies</t>
  </si>
  <si>
    <t>Currency Exchange</t>
  </si>
  <si>
    <t>R$</t>
  </si>
  <si>
    <t>Healthcare</t>
  </si>
  <si>
    <t>Materials</t>
  </si>
  <si>
    <t>REITs</t>
  </si>
  <si>
    <t>ETF</t>
  </si>
  <si>
    <t>Brazilian Real</t>
  </si>
  <si>
    <t>Total</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</si>
</sst>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quot;$&quot;#,##0.00"/>
    <numFmt numFmtId="165" formatCode="#,##0.00;(#,##0.00)"/>
    <numFmt numFmtId="166" formatCode="0.000"/>
    <numFmt numFmtId="167" formatCode="yyyy&quot;-&quot;mm&quot;-&quot;dd"/>
    <numFmt numFmtId="168" formatCode="#,##0.000"/>
    <numFmt numFmtId="169" formatCode="M/d/yyyy"/>
    <numFmt numFmtId="170" formatCode="#,##0.###############"/>
    <numFmt numFmtId="171" formatCode="0.0%"/>
    <numFmt numFmtId="172" formatCode="#,##0.0"/>
    <numFmt numFmtId="173" formatCode="0.0"/>
    <numFmt numFmtId="174" formatCode="0.000000"/>
  </numFmts>
  <fonts count="30">
    <font>
      <sz val="10.0"/>
      <color rgb="FF000000"/>
      <name val="Arial"/>
    </font>
    <font/>
    <font>
      <sz val="14.0"/>
    </font>
    <font>
      <b/>
      <sz val="9.0"/>
    </font>
    <font>
      <b/>
      <sz val="7.0"/>
    </font>
    <font>
      <sz val="9.0"/>
    </font>
    <font>
      <b/>
      <sz val="10.0"/>
      <color rgb="FF000000"/>
      <name val="Calibri"/>
    </font>
    <font>
      <b/>
      <sz val="10.0"/>
    </font>
    <font>
      <b/>
    </font>
    <font>
      <sz val="18.0"/>
    </font>
    <font>
      <sz val="9.0"/>
      <color rgb="FF000000"/>
      <name val="Calibri"/>
    </font>
    <font>
      <b/>
      <u/>
      <sz val="12.0"/>
      <color rgb="FF0000FF"/>
    </font>
    <font>
      <sz val="8.0"/>
    </font>
    <font>
      <b/>
      <sz val="11.0"/>
    </font>
    <font>
      <b/>
      <sz val="18.0"/>
    </font>
    <font>
      <b/>
      <sz val="8.0"/>
    </font>
    <font>
      <b/>
      <sz val="12.0"/>
    </font>
    <font>
      <sz val="10.0"/>
    </font>
    <font>
      <b/>
      <sz val="11.0"/>
      <color rgb="FFFFFFFF"/>
      <name val="Calibri"/>
    </font>
    <font>
      <b/>
      <sz val="9.0"/>
      <color rgb="FFFFFFFF"/>
      <name val="Calibri"/>
    </font>
    <font>
      <sz val="7.0"/>
      <color rgb="FF000000"/>
      <name val="Calibri"/>
    </font>
    <font>
      <name val="Arial"/>
    </font>
    <font>
      <sz val="7.0"/>
    </font>
    <font>
      <b/>
      <color rgb="FF0000FF"/>
    </font>
    <font>
      <b/>
      <name val="Arial"/>
    </font>
    <font>
      <b/>
      <sz val="12.0"/>
      <color rgb="FF0000FF"/>
    </font>
    <font>
      <sz val="11.0"/>
    </font>
    <font>
      <sz val="11.0"/>
      <color rgb="FF38761D"/>
    </font>
    <font>
      <b/>
      <color rgb="FFFFFFFF"/>
    </font>
    <font>
      <u/>
      <color rgb="FF0000FF"/>
    </font>
  </fonts>
  <fills count="12">
    <fill>
      <patternFill patternType="none"/>
    </fill>
    <fill>
      <patternFill patternType="lightGray"/>
    </fill>
    <fill>
      <patternFill patternType="solid">
        <fgColor rgb="FF6DCE84"/>
        <bgColor rgb="FF6DCE84"/>
      </patternFill>
    </fill>
    <fill>
      <patternFill patternType="solid">
        <fgColor rgb="FFD9EDFF"/>
        <bgColor rgb="FFD9EDFF"/>
      </patternFill>
    </fill>
    <fill>
      <patternFill patternType="solid">
        <fgColor rgb="FFEAEAEA"/>
        <bgColor rgb="FFEAEAEA"/>
      </patternFill>
    </fill>
    <fill>
      <patternFill patternType="solid">
        <fgColor rgb="FFF9CB9C"/>
        <bgColor rgb="FFF9CB9C"/>
      </patternFill>
    </fill>
    <fill>
      <patternFill patternType="solid">
        <fgColor rgb="FFCCFFD8"/>
        <bgColor rgb="FFCCFFD8"/>
      </patternFill>
    </fill>
    <fill>
      <patternFill patternType="solid">
        <fgColor rgb="FFCFE2F3"/>
        <bgColor rgb="FFCFE2F3"/>
      </patternFill>
    </fill>
    <fill>
      <patternFill patternType="solid">
        <fgColor rgb="FF8D0000"/>
        <bgColor rgb="FF8D0000"/>
      </patternFill>
    </fill>
    <fill>
      <patternFill patternType="solid">
        <fgColor rgb="FF7F7F7F"/>
        <bgColor rgb="FF7F7F7F"/>
      </patternFill>
    </fill>
    <fill>
      <patternFill patternType="solid">
        <fgColor rgb="FFFFFFFF"/>
        <bgColor rgb="FFFFFFFF"/>
      </patternFill>
    </fill>
    <fill>
      <patternFill patternType="solid">
        <fgColor rgb="FF274E13"/>
        <bgColor rgb="FF274E13"/>
      </patternFill>
    </fill>
  </fills>
  <borders count="16">
    <border/>
    <border>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top style="thin">
        <color rgb="FF000000"/>
      </top>
    </border>
    <border>
      <right style="thin">
        <color rgb="FFD8D8D8"/>
      </right>
      <bottom style="thin">
        <color rgb="FFD8D8D8"/>
      </bottom>
    </border>
    <border>
      <right style="thin">
        <color rgb="FF000000"/>
      </right>
      <bottom style="thin">
        <color rgb="FF000000"/>
      </bottom>
    </border>
    <border>
      <left/>
      <right/>
      <top/>
      <bottom/>
    </border>
    <border>
      <left/>
      <right/>
      <bottom style="thin">
        <color rgb="FFD8D8D8"/>
      </bottom>
    </border>
    <border>
      <right/>
      <top/>
      <bottom/>
    </border>
    <border>
      <bottom style="thin">
        <color rgb="FFD8D8D8"/>
      </bottom>
    </border>
  </borders>
  <cellStyleXfs count="1">
    <xf borderId="0" fillId="0" fontId="0" numFmtId="0" applyAlignment="1" applyFont="1"/>
  </cellStyleXfs>
  <cellXfs count="249">
    <xf borderId="0" fillId="0" fontId="0" numFmtId="0" xfId="0" applyAlignment="1" applyFont="1">
      <alignment readingOrder="0" shrinkToFit="0" vertical="bottom" wrapText="0"/>
    </xf>
    <xf borderId="1" fillId="2" fontId="1" numFmtId="0" xfId="0" applyBorder="1" applyFill="1" applyFont="1"/>
    <xf borderId="1" fillId="2" fontId="2" numFmtId="0" xfId="0" applyAlignment="1" applyBorder="1" applyFont="1">
      <alignment horizontal="center" readingOrder="0" vertical="bottom"/>
    </xf>
    <xf borderId="1" fillId="0" fontId="1" numFmtId="0" xfId="0" applyBorder="1" applyFont="1"/>
    <xf borderId="0" fillId="2" fontId="1" numFmtId="0" xfId="0" applyFont="1"/>
    <xf borderId="2" fillId="3" fontId="3" numFmtId="0" xfId="0" applyAlignment="1" applyBorder="1" applyFill="1" applyFont="1">
      <alignment readingOrder="0" shrinkToFit="0" wrapText="1"/>
    </xf>
    <xf borderId="2" fillId="3" fontId="3" numFmtId="0" xfId="0" applyAlignment="1" applyBorder="1" applyFont="1">
      <alignment readingOrder="0" shrinkToFit="0" wrapText="1"/>
    </xf>
    <xf borderId="2" fillId="3" fontId="4" numFmtId="0" xfId="0" applyAlignment="1" applyBorder="1" applyFont="1">
      <alignment readingOrder="0" shrinkToFit="0" wrapText="1"/>
    </xf>
    <xf borderId="3" fillId="3" fontId="3" numFmtId="0" xfId="0" applyAlignment="1" applyBorder="1" applyFont="1">
      <alignment readingOrder="0" shrinkToFit="0" wrapText="1"/>
    </xf>
    <xf borderId="4" fillId="3" fontId="3" numFmtId="0" xfId="0" applyAlignment="1" applyBorder="1" applyFont="1">
      <alignment readingOrder="0" shrinkToFit="0" wrapText="1"/>
    </xf>
    <xf borderId="5" fillId="3" fontId="3" numFmtId="0" xfId="0" applyAlignment="1" applyBorder="1" applyFont="1">
      <alignment readingOrder="0" shrinkToFit="0" wrapText="1"/>
    </xf>
    <xf borderId="0" fillId="3" fontId="3" numFmtId="0" xfId="0" applyAlignment="1" applyFont="1">
      <alignment readingOrder="0" shrinkToFit="0" wrapText="1"/>
    </xf>
    <xf borderId="0" fillId="3" fontId="4" numFmtId="0" xfId="0" applyAlignment="1" applyFont="1">
      <alignment readingOrder="0" shrinkToFit="0" wrapText="1"/>
    </xf>
    <xf borderId="2" fillId="0" fontId="5" numFmtId="0" xfId="0" applyBorder="1" applyFont="1"/>
    <xf borderId="2" fillId="0" fontId="5" numFmtId="0" xfId="0" applyAlignment="1" applyBorder="1" applyFont="1">
      <alignment readingOrder="0"/>
    </xf>
    <xf borderId="2" fillId="0" fontId="5" numFmtId="0" xfId="0" applyAlignment="1" applyBorder="1" applyFont="1">
      <alignment readingOrder="0"/>
    </xf>
    <xf borderId="2" fillId="0" fontId="5" numFmtId="164" xfId="0" applyAlignment="1" applyBorder="1" applyFont="1" applyNumberFormat="1">
      <alignment readingOrder="0"/>
    </xf>
    <xf borderId="0" fillId="0" fontId="1" numFmtId="2" xfId="0" applyFont="1" applyNumberFormat="1"/>
    <xf borderId="2" fillId="4" fontId="6" numFmtId="0" xfId="0" applyAlignment="1" applyBorder="1" applyFill="1" applyFont="1">
      <alignment horizontal="center" readingOrder="0" shrinkToFit="0" vertical="bottom" wrapText="0"/>
    </xf>
    <xf borderId="3" fillId="0" fontId="5" numFmtId="0" xfId="0" applyBorder="1" applyFont="1"/>
    <xf borderId="4" fillId="0" fontId="5" numFmtId="0" xfId="0" applyBorder="1" applyFont="1"/>
    <xf borderId="5" fillId="0" fontId="5" numFmtId="0" xfId="0" applyBorder="1" applyFont="1"/>
    <xf borderId="2" fillId="0" fontId="1" numFmtId="0" xfId="0" applyBorder="1" applyFont="1"/>
    <xf borderId="3" fillId="0" fontId="5" numFmtId="0" xfId="0" applyAlignment="1" applyBorder="1" applyFont="1">
      <alignment horizontal="center" readingOrder="0"/>
    </xf>
    <xf borderId="5" fillId="0" fontId="1" numFmtId="0" xfId="0" applyBorder="1" applyFont="1"/>
    <xf borderId="2" fillId="5" fontId="1" numFmtId="2" xfId="0" applyAlignment="1" applyBorder="1" applyFill="1" applyFont="1" applyNumberFormat="1">
      <alignment readingOrder="0"/>
    </xf>
    <xf borderId="2" fillId="6" fontId="1" numFmtId="165" xfId="0" applyBorder="1" applyFill="1" applyFont="1" applyNumberFormat="1"/>
    <xf borderId="0" fillId="6" fontId="1" numFmtId="166" xfId="0" applyFont="1" applyNumberFormat="1"/>
    <xf borderId="2" fillId="7" fontId="7" numFmtId="0" xfId="0" applyAlignment="1" applyBorder="1" applyFill="1" applyFont="1">
      <alignment horizontal="center" readingOrder="0" vertical="bottom"/>
    </xf>
    <xf borderId="3" fillId="7" fontId="7" numFmtId="0" xfId="0" applyAlignment="1" applyBorder="1" applyFont="1">
      <alignment horizontal="center" vertical="bottom"/>
    </xf>
    <xf borderId="4" fillId="7" fontId="7" numFmtId="0" xfId="0" applyAlignment="1" applyBorder="1" applyFont="1">
      <alignment horizontal="center" vertical="bottom"/>
    </xf>
    <xf borderId="5" fillId="7" fontId="7" numFmtId="0" xfId="0" applyAlignment="1" applyBorder="1" applyFont="1">
      <alignment horizontal="center" vertical="bottom"/>
    </xf>
    <xf borderId="5" fillId="7" fontId="7" numFmtId="164" xfId="0" applyAlignment="1" applyBorder="1" applyFont="1" applyNumberFormat="1">
      <alignment horizontal="center" vertical="bottom"/>
    </xf>
    <xf borderId="2" fillId="7" fontId="7" numFmtId="164" xfId="0" applyAlignment="1" applyBorder="1" applyFont="1" applyNumberFormat="1">
      <alignment horizontal="center" readingOrder="0" vertical="bottom"/>
    </xf>
    <xf borderId="0" fillId="7" fontId="8" numFmtId="165" xfId="0" applyAlignment="1" applyFont="1" applyNumberFormat="1">
      <alignment horizontal="center"/>
    </xf>
    <xf borderId="2" fillId="7" fontId="7" numFmtId="10" xfId="0" applyAlignment="1" applyBorder="1" applyFont="1" applyNumberFormat="1">
      <alignment horizontal="center" vertical="bottom"/>
    </xf>
    <xf borderId="2" fillId="7" fontId="7" numFmtId="165" xfId="0" applyAlignment="1" applyBorder="1" applyFont="1" applyNumberFormat="1">
      <alignment horizontal="center" vertical="bottom"/>
    </xf>
    <xf borderId="2" fillId="7" fontId="7" numFmtId="10" xfId="0" applyAlignment="1" applyBorder="1" applyFont="1" applyNumberFormat="1">
      <alignment horizontal="center" vertical="bottom"/>
    </xf>
    <xf borderId="2" fillId="7" fontId="7" numFmtId="10" xfId="0" applyAlignment="1" applyBorder="1" applyFont="1" applyNumberFormat="1">
      <alignment horizontal="center"/>
    </xf>
    <xf borderId="2" fillId="7" fontId="7" numFmtId="165" xfId="0" applyBorder="1" applyFont="1" applyNumberFormat="1"/>
    <xf borderId="2" fillId="7" fontId="7" numFmtId="10" xfId="0" applyBorder="1" applyFont="1" applyNumberFormat="1"/>
    <xf borderId="0" fillId="6" fontId="1" numFmtId="2" xfId="0" applyFont="1" applyNumberFormat="1"/>
    <xf borderId="0" fillId="0" fontId="1" numFmtId="166" xfId="0" applyFont="1" applyNumberFormat="1"/>
    <xf borderId="2" fillId="5" fontId="5" numFmtId="0" xfId="0" applyAlignment="1" applyBorder="1" applyFont="1">
      <alignment horizontal="center" readingOrder="0" shrinkToFit="0" vertical="bottom" wrapText="1"/>
    </xf>
    <xf borderId="2" fillId="5" fontId="5" numFmtId="0" xfId="0" applyAlignment="1" applyBorder="1" applyFont="1">
      <alignment readingOrder="0"/>
    </xf>
    <xf borderId="2" fillId="6" fontId="5" numFmtId="0" xfId="0" applyAlignment="1" applyBorder="1" applyFont="1">
      <alignment readingOrder="0"/>
    </xf>
    <xf borderId="2" fillId="6" fontId="5" numFmtId="0" xfId="0" applyBorder="1" applyFont="1"/>
    <xf borderId="2" fillId="4" fontId="5" numFmtId="164" xfId="0" applyAlignment="1" applyBorder="1" applyFont="1" applyNumberFormat="1">
      <alignment horizontal="center" readingOrder="0"/>
    </xf>
    <xf borderId="2" fillId="6" fontId="5" numFmtId="2" xfId="0" applyBorder="1" applyFont="1" applyNumberFormat="1"/>
    <xf borderId="2" fillId="6" fontId="5" numFmtId="10" xfId="0" applyBorder="1" applyFont="1" applyNumberFormat="1"/>
    <xf borderId="2" fillId="6" fontId="5" numFmtId="10" xfId="0" applyBorder="1" applyFont="1" applyNumberFormat="1"/>
    <xf borderId="4" fillId="3" fontId="3" numFmtId="0" xfId="0" applyAlignment="1" applyBorder="1" applyFont="1">
      <alignment readingOrder="0" shrinkToFit="0" wrapText="1"/>
    </xf>
    <xf borderId="2" fillId="5" fontId="5" numFmtId="164" xfId="0" applyAlignment="1" applyBorder="1" applyFont="1" applyNumberFormat="1">
      <alignment readingOrder="0"/>
    </xf>
    <xf borderId="2" fillId="5" fontId="5" numFmtId="0" xfId="0" applyAlignment="1" applyBorder="1" applyFont="1">
      <alignment horizontal="center" readingOrder="0" shrinkToFit="0" vertical="bottom" wrapText="1"/>
    </xf>
    <xf borderId="2" fillId="5" fontId="5" numFmtId="0" xfId="0" applyAlignment="1" applyBorder="1" applyFont="1">
      <alignment readingOrder="0"/>
    </xf>
    <xf borderId="2" fillId="6" fontId="5" numFmtId="164" xfId="0" applyBorder="1" applyFont="1" applyNumberFormat="1"/>
    <xf borderId="2" fillId="6" fontId="5" numFmtId="165" xfId="0" applyBorder="1" applyFont="1" applyNumberFormat="1"/>
    <xf borderId="2" fillId="8" fontId="5" numFmtId="165" xfId="0" applyBorder="1" applyFill="1" applyFont="1" applyNumberFormat="1"/>
    <xf borderId="2" fillId="6" fontId="1" numFmtId="10" xfId="0" applyBorder="1" applyFont="1" applyNumberFormat="1"/>
    <xf borderId="6" fillId="5" fontId="5" numFmtId="0" xfId="0" applyAlignment="1" applyBorder="1" applyFont="1">
      <alignment horizontal="center" readingOrder="0" vertical="top"/>
    </xf>
    <xf borderId="2" fillId="6" fontId="5" numFmtId="165" xfId="0" applyBorder="1" applyFont="1" applyNumberFormat="1"/>
    <xf borderId="7" fillId="5" fontId="5" numFmtId="0" xfId="0" applyAlignment="1" applyBorder="1" applyFont="1">
      <alignment horizontal="center" readingOrder="0" vertical="top"/>
    </xf>
    <xf borderId="2" fillId="5" fontId="5" numFmtId="0" xfId="0" applyAlignment="1" applyBorder="1" applyFont="1">
      <alignment horizontal="center" readingOrder="0" vertical="bottom"/>
    </xf>
    <xf borderId="6" fillId="5" fontId="5" numFmtId="0" xfId="0" applyAlignment="1" applyBorder="1" applyFont="1">
      <alignment horizontal="center" readingOrder="0" shrinkToFit="0" vertical="center" wrapText="1"/>
    </xf>
    <xf borderId="8" fillId="5" fontId="5" numFmtId="0" xfId="0" applyAlignment="1" applyBorder="1" applyFont="1">
      <alignment horizontal="center" readingOrder="0" shrinkToFit="0" vertical="center" wrapText="1"/>
    </xf>
    <xf borderId="7" fillId="5" fontId="5" numFmtId="0" xfId="0" applyAlignment="1" applyBorder="1" applyFont="1">
      <alignment horizontal="center" readingOrder="0" shrinkToFit="0" vertical="center" wrapText="1"/>
    </xf>
    <xf borderId="2" fillId="8" fontId="5" numFmtId="2" xfId="0" applyBorder="1" applyFont="1" applyNumberFormat="1"/>
    <xf borderId="2" fillId="7" fontId="7" numFmtId="164" xfId="0" applyAlignment="1" applyBorder="1" applyFont="1" applyNumberFormat="1">
      <alignment horizontal="center" vertical="bottom"/>
    </xf>
    <xf borderId="2" fillId="7" fontId="3" numFmtId="10" xfId="0" applyBorder="1" applyFont="1" applyNumberFormat="1"/>
    <xf borderId="2" fillId="7" fontId="7" numFmtId="164" xfId="0" applyBorder="1" applyFont="1" applyNumberFormat="1"/>
    <xf borderId="2" fillId="3" fontId="7" numFmtId="10" xfId="0" applyBorder="1" applyFont="1" applyNumberFormat="1"/>
    <xf borderId="9" fillId="0" fontId="1" numFmtId="0" xfId="0" applyBorder="1" applyFont="1"/>
    <xf borderId="2" fillId="5" fontId="5" numFmtId="0" xfId="0" applyAlignment="1" applyBorder="1" applyFont="1">
      <alignment horizontal="center" readingOrder="0" vertical="top"/>
    </xf>
    <xf borderId="9" fillId="0" fontId="1" numFmtId="164" xfId="0" applyBorder="1" applyFont="1" applyNumberFormat="1"/>
    <xf borderId="0" fillId="0" fontId="9" numFmtId="0" xfId="0" applyAlignment="1" applyFont="1">
      <alignment readingOrder="0"/>
    </xf>
    <xf borderId="10" fillId="4" fontId="10" numFmtId="0" xfId="0" applyAlignment="1" applyBorder="1" applyFont="1">
      <alignment horizontal="center" readingOrder="0" shrinkToFit="0" vertical="bottom" wrapText="0"/>
    </xf>
    <xf borderId="0" fillId="0" fontId="11" numFmtId="0" xfId="0" applyAlignment="1" applyFont="1">
      <alignment readingOrder="0"/>
    </xf>
    <xf borderId="0" fillId="0" fontId="2" numFmtId="0" xfId="0" applyAlignment="1" applyFont="1">
      <alignment readingOrder="0"/>
    </xf>
    <xf borderId="0" fillId="0" fontId="3" numFmtId="0" xfId="0" applyAlignment="1" applyFont="1">
      <alignment readingOrder="0"/>
    </xf>
    <xf borderId="0" fillId="0" fontId="12" numFmtId="0" xfId="0" applyAlignment="1" applyFont="1">
      <alignment readingOrder="0" shrinkToFit="0" wrapText="1"/>
    </xf>
    <xf borderId="0" fillId="0" fontId="12" numFmtId="164" xfId="0" applyFont="1" applyNumberFormat="1"/>
    <xf borderId="2" fillId="5" fontId="13" numFmtId="0" xfId="0" applyAlignment="1" applyBorder="1" applyFont="1">
      <alignment readingOrder="0"/>
    </xf>
    <xf borderId="3" fillId="6" fontId="13" numFmtId="0" xfId="0" applyAlignment="1" applyBorder="1" applyFont="1">
      <alignment readingOrder="0"/>
    </xf>
    <xf borderId="4" fillId="0" fontId="1" numFmtId="0" xfId="0" applyBorder="1" applyFont="1"/>
    <xf borderId="0" fillId="0" fontId="14" numFmtId="0" xfId="0" applyFont="1"/>
    <xf borderId="0" fillId="3" fontId="15" numFmtId="0" xfId="0" applyAlignment="1" applyFont="1">
      <alignment readingOrder="0" shrinkToFit="0" wrapText="1"/>
    </xf>
    <xf borderId="0" fillId="3" fontId="15" numFmtId="0" xfId="0" applyAlignment="1" applyFont="1">
      <alignment readingOrder="0" shrinkToFit="0" wrapText="1"/>
    </xf>
    <xf borderId="0" fillId="3" fontId="15" numFmtId="0" xfId="0" applyAlignment="1" applyFont="1">
      <alignment readingOrder="0" shrinkToFit="0" vertical="bottom" wrapText="1"/>
    </xf>
    <xf borderId="0" fillId="3" fontId="15" numFmtId="0" xfId="0" applyAlignment="1" applyFont="1">
      <alignment shrinkToFit="0" vertical="bottom" wrapText="1"/>
    </xf>
    <xf borderId="0" fillId="5" fontId="12" numFmtId="167" xfId="0" applyAlignment="1" applyFont="1" applyNumberFormat="1">
      <alignment readingOrder="0"/>
    </xf>
    <xf borderId="0" fillId="5" fontId="12" numFmtId="0" xfId="0" applyAlignment="1" applyFont="1">
      <alignment readingOrder="0"/>
    </xf>
    <xf borderId="0" fillId="5" fontId="15" numFmtId="0" xfId="0" applyAlignment="1" applyFont="1">
      <alignment readingOrder="0"/>
    </xf>
    <xf borderId="0" fillId="5" fontId="12" numFmtId="168" xfId="0" applyAlignment="1" applyFont="1" applyNumberFormat="1">
      <alignment readingOrder="0"/>
    </xf>
    <xf borderId="0" fillId="5" fontId="12" numFmtId="2" xfId="0" applyAlignment="1" applyFont="1" applyNumberFormat="1">
      <alignment readingOrder="0"/>
    </xf>
    <xf borderId="0" fillId="5" fontId="12" numFmtId="0" xfId="0" applyAlignment="1" applyFont="1">
      <alignment readingOrder="0"/>
    </xf>
    <xf borderId="0" fillId="6" fontId="12" numFmtId="0" xfId="0" applyFont="1"/>
    <xf borderId="0" fillId="6" fontId="12" numFmtId="2" xfId="0" applyFont="1" applyNumberFormat="1"/>
    <xf borderId="2" fillId="5" fontId="5" numFmtId="0" xfId="0" applyAlignment="1" applyBorder="1" applyFont="1">
      <alignment horizontal="center" readingOrder="0" vertical="top"/>
    </xf>
    <xf borderId="0" fillId="6" fontId="12" numFmtId="2" xfId="0" applyAlignment="1" applyFont="1" applyNumberFormat="1">
      <alignment horizontal="center" vertical="bottom"/>
    </xf>
    <xf borderId="2" fillId="4" fontId="5" numFmtId="164" xfId="0" applyAlignment="1" applyBorder="1" applyFont="1" applyNumberFormat="1">
      <alignment horizontal="center"/>
    </xf>
    <xf borderId="0" fillId="6" fontId="12" numFmtId="10" xfId="0" applyFont="1" applyNumberFormat="1"/>
    <xf borderId="0" fillId="5" fontId="12" numFmtId="0" xfId="0" applyFont="1"/>
    <xf borderId="0" fillId="5" fontId="12" numFmtId="2" xfId="0" applyFont="1" applyNumberFormat="1"/>
    <xf borderId="0" fillId="0" fontId="16" numFmtId="0" xfId="0" applyAlignment="1" applyFont="1">
      <alignment horizontal="center" readingOrder="0"/>
    </xf>
    <xf borderId="2" fillId="5" fontId="5" numFmtId="0" xfId="0" applyAlignment="1" applyBorder="1" applyFont="1">
      <alignment horizontal="center" readingOrder="0" shrinkToFit="0" vertical="center" wrapText="1"/>
    </xf>
    <xf borderId="0" fillId="2" fontId="16" numFmtId="0" xfId="0" applyAlignment="1" applyFont="1">
      <alignment horizontal="center" readingOrder="0"/>
    </xf>
    <xf borderId="1" fillId="2" fontId="2" numFmtId="0" xfId="0" applyAlignment="1" applyBorder="1" applyFont="1">
      <alignment vertical="bottom"/>
    </xf>
    <xf borderId="1" fillId="2" fontId="17" numFmtId="0" xfId="0" applyAlignment="1" applyBorder="1" applyFont="1">
      <alignment vertical="bottom"/>
    </xf>
    <xf borderId="11" fillId="2" fontId="17" numFmtId="0" xfId="0" applyAlignment="1" applyBorder="1" applyFont="1">
      <alignment vertical="bottom"/>
    </xf>
    <xf borderId="0" fillId="0" fontId="17" numFmtId="0" xfId="0" applyAlignment="1" applyFont="1">
      <alignment vertical="bottom"/>
    </xf>
    <xf borderId="0" fillId="0" fontId="17" numFmtId="0" xfId="0" applyFont="1"/>
    <xf borderId="0" fillId="0" fontId="17" numFmtId="0" xfId="0" applyFont="1"/>
    <xf borderId="1" fillId="3" fontId="17" numFmtId="0" xfId="0" applyAlignment="1" applyBorder="1" applyFont="1">
      <alignment shrinkToFit="0" vertical="bottom" wrapText="1"/>
    </xf>
    <xf borderId="1" fillId="3" fontId="7" numFmtId="0" xfId="0" applyAlignment="1" applyBorder="1" applyFont="1">
      <alignment shrinkToFit="0" vertical="bottom" wrapText="1"/>
    </xf>
    <xf borderId="1" fillId="3" fontId="7" numFmtId="0" xfId="0" applyAlignment="1" applyBorder="1" applyFont="1">
      <alignment shrinkToFit="0" vertical="bottom" wrapText="1"/>
    </xf>
    <xf borderId="7" fillId="3" fontId="7" numFmtId="0" xfId="0" applyAlignment="1" applyBorder="1" applyFont="1">
      <alignment readingOrder="0" vertical="bottom"/>
    </xf>
    <xf borderId="11" fillId="6" fontId="17" numFmtId="2" xfId="0" applyAlignment="1" applyBorder="1" applyFont="1" applyNumberFormat="1">
      <alignment horizontal="right" vertical="bottom"/>
    </xf>
    <xf borderId="0" fillId="5" fontId="15" numFmtId="0" xfId="0" applyAlignment="1" applyFont="1">
      <alignment readingOrder="0"/>
    </xf>
    <xf borderId="11" fillId="6" fontId="17" numFmtId="10" xfId="0" applyAlignment="1" applyBorder="1" applyFont="1" applyNumberFormat="1">
      <alignment horizontal="right" vertical="bottom"/>
    </xf>
    <xf borderId="2" fillId="3" fontId="7" numFmtId="0" xfId="0" applyAlignment="1" applyBorder="1" applyFont="1">
      <alignment readingOrder="0" vertical="bottom"/>
    </xf>
    <xf borderId="2" fillId="6" fontId="17" numFmtId="2" xfId="0" applyAlignment="1" applyBorder="1" applyFont="1" applyNumberFormat="1">
      <alignment readingOrder="0" vertical="bottom"/>
    </xf>
    <xf borderId="1" fillId="0" fontId="17" numFmtId="2" xfId="0" applyAlignment="1" applyBorder="1" applyFont="1" applyNumberFormat="1">
      <alignment vertical="bottom"/>
    </xf>
    <xf borderId="1" fillId="0" fontId="17" numFmtId="10" xfId="0" applyAlignment="1" applyBorder="1" applyFont="1" applyNumberFormat="1">
      <alignment vertical="bottom"/>
    </xf>
    <xf borderId="1" fillId="0" fontId="17" numFmtId="0" xfId="0" applyAlignment="1" applyBorder="1" applyFont="1">
      <alignment vertical="bottom"/>
    </xf>
    <xf borderId="7" fillId="7" fontId="13" numFmtId="0" xfId="0" applyAlignment="1" applyBorder="1" applyFont="1">
      <alignment vertical="bottom"/>
    </xf>
    <xf borderId="11" fillId="7" fontId="13" numFmtId="2" xfId="0" applyAlignment="1" applyBorder="1" applyFont="1" applyNumberFormat="1">
      <alignment horizontal="right" vertical="bottom"/>
    </xf>
    <xf borderId="2" fillId="5" fontId="5" numFmtId="0" xfId="0" applyAlignment="1" applyBorder="1" applyFont="1">
      <alignment horizontal="center" readingOrder="0" shrinkToFit="0" vertical="center" wrapText="1"/>
    </xf>
    <xf borderId="11" fillId="7" fontId="13" numFmtId="10" xfId="0" applyAlignment="1" applyBorder="1" applyFont="1" applyNumberFormat="1">
      <alignment horizontal="right" vertical="bottom"/>
    </xf>
    <xf borderId="12" fillId="9" fontId="18" numFmtId="0" xfId="0" applyAlignment="1" applyBorder="1" applyFill="1" applyFont="1">
      <alignment horizontal="left" readingOrder="0" shrinkToFit="0" vertical="bottom" wrapText="0"/>
    </xf>
    <xf borderId="12" fillId="9" fontId="19" numFmtId="0" xfId="0" applyAlignment="1" applyBorder="1" applyFont="1">
      <alignment horizontal="right" readingOrder="0" shrinkToFit="0" vertical="bottom" wrapText="0"/>
    </xf>
    <xf borderId="12" fillId="9" fontId="19" numFmtId="0" xfId="0" applyAlignment="1" applyBorder="1" applyFont="1">
      <alignment horizontal="left" readingOrder="0" shrinkToFit="0" vertical="bottom" wrapText="0"/>
    </xf>
    <xf borderId="13" fillId="4" fontId="20" numFmtId="0" xfId="0" applyAlignment="1" applyBorder="1" applyFont="1">
      <alignment horizontal="left" shrinkToFit="0" vertical="bottom" wrapText="0"/>
    </xf>
    <xf borderId="13" fillId="4" fontId="10" numFmtId="9" xfId="0" applyAlignment="1" applyBorder="1" applyFont="1" applyNumberFormat="1">
      <alignment horizontal="right" shrinkToFit="0" vertical="bottom" wrapText="0"/>
    </xf>
    <xf borderId="13" fillId="4" fontId="10" numFmtId="9" xfId="0" applyAlignment="1" applyBorder="1" applyFont="1" applyNumberFormat="1">
      <alignment horizontal="right" readingOrder="0" shrinkToFit="0" vertical="bottom" wrapText="0"/>
    </xf>
    <xf borderId="13" fillId="4" fontId="10" numFmtId="2" xfId="0" applyAlignment="1" applyBorder="1" applyFont="1" applyNumberFormat="1">
      <alignment horizontal="right" shrinkToFit="0" vertical="bottom" wrapText="0"/>
    </xf>
    <xf borderId="12" fillId="9" fontId="19" numFmtId="9" xfId="0" applyAlignment="1" applyBorder="1" applyFont="1" applyNumberFormat="1">
      <alignment horizontal="right" readingOrder="0" shrinkToFit="0" vertical="bottom" wrapText="0"/>
    </xf>
    <xf borderId="12" fillId="9" fontId="19" numFmtId="2" xfId="0" applyAlignment="1" applyBorder="1" applyFont="1" applyNumberFormat="1">
      <alignment horizontal="right" readingOrder="0" shrinkToFit="0" vertical="bottom" wrapText="0"/>
    </xf>
    <xf borderId="0" fillId="0" fontId="1" numFmtId="0" xfId="0" applyFont="1"/>
    <xf borderId="0" fillId="0" fontId="1" numFmtId="0" xfId="0" applyAlignment="1" applyFont="1">
      <alignment readingOrder="0"/>
    </xf>
    <xf borderId="14" fillId="9" fontId="21" numFmtId="0" xfId="0" applyAlignment="1" applyBorder="1" applyFont="1">
      <alignment vertical="bottom"/>
    </xf>
    <xf borderId="13" fillId="4" fontId="10" numFmtId="0" xfId="0" applyAlignment="1" applyBorder="1" applyFont="1">
      <alignment horizontal="left" shrinkToFit="0" vertical="bottom" wrapText="0"/>
    </xf>
    <xf borderId="10" fillId="4" fontId="10" numFmtId="0" xfId="0" applyAlignment="1" applyBorder="1" applyFont="1">
      <alignment horizontal="center" shrinkToFit="0" vertical="bottom" wrapText="0"/>
    </xf>
    <xf borderId="10" fillId="4" fontId="10" numFmtId="2" xfId="0" applyAlignment="1" applyBorder="1" applyFont="1" applyNumberFormat="1">
      <alignment horizontal="right" shrinkToFit="0" vertical="bottom" wrapText="0"/>
    </xf>
    <xf borderId="13" fillId="4" fontId="10" numFmtId="0" xfId="0" applyAlignment="1" applyBorder="1" applyFont="1">
      <alignment horizontal="left" readingOrder="0" shrinkToFit="0" vertical="bottom" wrapText="0"/>
    </xf>
    <xf borderId="13" fillId="4" fontId="10" numFmtId="9" xfId="0" applyAlignment="1" applyBorder="1" applyFont="1" applyNumberFormat="1">
      <alignment horizontal="left" shrinkToFit="0" vertical="bottom" wrapText="0"/>
    </xf>
    <xf borderId="0" fillId="4" fontId="10" numFmtId="0" xfId="0" applyAlignment="1" applyFont="1">
      <alignment horizontal="center" vertical="bottom"/>
    </xf>
    <xf borderId="13" fillId="4" fontId="10" numFmtId="0" xfId="0" applyAlignment="1" applyBorder="1" applyFont="1">
      <alignment horizontal="left" readingOrder="0" shrinkToFit="0" vertical="bottom" wrapText="0"/>
    </xf>
    <xf borderId="0" fillId="4" fontId="10" numFmtId="0" xfId="0" applyAlignment="1" applyFont="1">
      <alignment horizontal="center" readingOrder="0" vertical="bottom"/>
    </xf>
    <xf borderId="3" fillId="3" fontId="16" numFmtId="0" xfId="0" applyAlignment="1" applyBorder="1" applyFont="1">
      <alignment horizontal="center" readingOrder="0"/>
    </xf>
    <xf borderId="0" fillId="0" fontId="8" numFmtId="0" xfId="0" applyAlignment="1" applyFont="1">
      <alignment readingOrder="0"/>
    </xf>
    <xf borderId="7" fillId="3" fontId="8" numFmtId="0" xfId="0" applyAlignment="1" applyBorder="1" applyFont="1">
      <alignment readingOrder="0"/>
    </xf>
    <xf borderId="2" fillId="3" fontId="8" numFmtId="0" xfId="0" applyAlignment="1" applyBorder="1" applyFont="1">
      <alignment horizontal="center" readingOrder="0"/>
    </xf>
    <xf borderId="0" fillId="0" fontId="22" numFmtId="0" xfId="0" applyAlignment="1" applyFont="1">
      <alignment horizontal="left" readingOrder="0" vertical="bottom"/>
    </xf>
    <xf borderId="2" fillId="3" fontId="7" numFmtId="0" xfId="0" applyAlignment="1" applyBorder="1" applyFont="1">
      <alignment horizontal="left" readingOrder="0" vertical="bottom"/>
    </xf>
    <xf borderId="2" fillId="6" fontId="1" numFmtId="2" xfId="0" applyBorder="1" applyFont="1" applyNumberFormat="1"/>
    <xf borderId="0" fillId="5" fontId="12" numFmtId="167" xfId="0" applyFont="1" applyNumberFormat="1"/>
    <xf borderId="0" fillId="5" fontId="15" numFmtId="0" xfId="0" applyFont="1"/>
    <xf borderId="0" fillId="5" fontId="12" numFmtId="168" xfId="0" applyFont="1" applyNumberFormat="1"/>
    <xf borderId="0" fillId="0" fontId="23" numFmtId="0" xfId="0" applyAlignment="1" applyFont="1">
      <alignment readingOrder="0"/>
    </xf>
    <xf borderId="2" fillId="7" fontId="23" numFmtId="0" xfId="0" applyAlignment="1" applyBorder="1" applyFont="1">
      <alignment readingOrder="0"/>
    </xf>
    <xf borderId="2" fillId="7" fontId="23" numFmtId="2" xfId="0" applyAlignment="1" applyBorder="1" applyFont="1" applyNumberFormat="1">
      <alignment horizontal="right"/>
    </xf>
    <xf borderId="1" fillId="3" fontId="8" numFmtId="0" xfId="0" applyAlignment="1" applyBorder="1" applyFont="1">
      <alignment horizontal="center" vertical="bottom"/>
    </xf>
    <xf borderId="2" fillId="3" fontId="3" numFmtId="0" xfId="0" applyAlignment="1" applyBorder="1" applyFont="1">
      <alignment shrinkToFit="0" vertical="bottom" wrapText="1"/>
    </xf>
    <xf borderId="5" fillId="3" fontId="3" numFmtId="0" xfId="0" applyAlignment="1" applyBorder="1" applyFont="1">
      <alignment shrinkToFit="0" vertical="bottom" wrapText="1"/>
    </xf>
    <xf borderId="5" fillId="3" fontId="3" numFmtId="0" xfId="0" applyAlignment="1" applyBorder="1" applyFont="1">
      <alignment shrinkToFit="0" vertical="bottom" wrapText="1"/>
    </xf>
    <xf borderId="7" fillId="5" fontId="17" numFmtId="0" xfId="0" applyAlignment="1" applyBorder="1" applyFont="1">
      <alignment horizontal="right" readingOrder="0" vertical="bottom"/>
    </xf>
    <xf borderId="11" fillId="6" fontId="17" numFmtId="2" xfId="0" applyAlignment="1" applyBorder="1" applyFont="1" applyNumberFormat="1">
      <alignment vertical="bottom"/>
    </xf>
    <xf borderId="0" fillId="0" fontId="1" numFmtId="164" xfId="0" applyFont="1" applyNumberFormat="1"/>
    <xf borderId="0" fillId="0" fontId="1" numFmtId="164" xfId="0" applyFont="1" applyNumberFormat="1"/>
    <xf borderId="1" fillId="7" fontId="7" numFmtId="0" xfId="0" applyAlignment="1" applyBorder="1" applyFont="1">
      <alignment horizontal="center" readingOrder="0" vertical="bottom"/>
    </xf>
    <xf borderId="3" fillId="0" fontId="24" numFmtId="0" xfId="0" applyAlignment="1" applyBorder="1" applyFont="1">
      <alignment horizontal="center" vertical="bottom"/>
    </xf>
    <xf borderId="5" fillId="0" fontId="24" numFmtId="2" xfId="0" applyAlignment="1" applyBorder="1" applyFont="1" applyNumberFormat="1">
      <alignment horizontal="right" vertical="bottom"/>
    </xf>
    <xf borderId="2" fillId="7" fontId="3" numFmtId="0" xfId="0" applyAlignment="1" applyBorder="1" applyFont="1">
      <alignment readingOrder="0"/>
    </xf>
    <xf borderId="2" fillId="7" fontId="15" numFmtId="0" xfId="0" applyAlignment="1" applyBorder="1" applyFont="1">
      <alignment readingOrder="0" shrinkToFit="0" wrapText="1"/>
    </xf>
    <xf borderId="2" fillId="7" fontId="3" numFmtId="0" xfId="0" applyAlignment="1" applyBorder="1" applyFont="1">
      <alignment readingOrder="0"/>
    </xf>
    <xf borderId="2" fillId="7" fontId="3" numFmtId="0" xfId="0" applyAlignment="1" applyBorder="1" applyFont="1">
      <alignment readingOrder="0" shrinkToFit="0" wrapText="1"/>
    </xf>
    <xf borderId="2" fillId="5" fontId="5" numFmtId="0" xfId="0" applyAlignment="1" applyBorder="1" applyFont="1">
      <alignment horizontal="center" readingOrder="0" vertical="bottom"/>
    </xf>
    <xf borderId="2" fillId="6" fontId="5" numFmtId="0" xfId="0" applyAlignment="1" applyBorder="1" applyFont="1">
      <alignment horizontal="center" vertical="bottom"/>
    </xf>
    <xf borderId="5" fillId="0" fontId="21" numFmtId="2" xfId="0" applyAlignment="1" applyBorder="1" applyFont="1" applyNumberFormat="1">
      <alignment vertical="bottom"/>
    </xf>
    <xf borderId="2" fillId="0" fontId="1" numFmtId="2" xfId="0" applyBorder="1" applyFont="1" applyNumberFormat="1"/>
    <xf borderId="7" fillId="5" fontId="5" numFmtId="0" xfId="0" applyAlignment="1" applyBorder="1" applyFont="1">
      <alignment horizontal="center" readingOrder="0" vertical="bottom"/>
    </xf>
    <xf borderId="2" fillId="5" fontId="5" numFmtId="0" xfId="0" applyAlignment="1" applyBorder="1" applyFont="1">
      <alignment horizontal="center" vertical="bottom"/>
    </xf>
    <xf borderId="0" fillId="3" fontId="3" numFmtId="0" xfId="0" applyAlignment="1" applyFont="1">
      <alignment readingOrder="0" shrinkToFit="0" wrapText="1"/>
    </xf>
    <xf borderId="0" fillId="0" fontId="5" numFmtId="0" xfId="0" applyFont="1"/>
    <xf borderId="0" fillId="6" fontId="5" numFmtId="0" xfId="0" applyFont="1"/>
    <xf borderId="0" fillId="6" fontId="5" numFmtId="4" xfId="0" applyFont="1" applyNumberFormat="1"/>
    <xf borderId="0" fillId="6" fontId="5" numFmtId="10" xfId="0" applyFont="1" applyNumberFormat="1"/>
    <xf borderId="0" fillId="6" fontId="5" numFmtId="169" xfId="0" applyFont="1" applyNumberFormat="1"/>
    <xf borderId="0" fillId="7" fontId="8" numFmtId="0" xfId="0" applyAlignment="1" applyFont="1">
      <alignment horizontal="center"/>
    </xf>
    <xf borderId="2" fillId="7" fontId="7" numFmtId="2" xfId="0" applyBorder="1" applyFont="1" applyNumberFormat="1"/>
    <xf borderId="0" fillId="0" fontId="12" numFmtId="2" xfId="0" applyFont="1" applyNumberFormat="1"/>
    <xf borderId="0" fillId="0" fontId="25" numFmtId="0" xfId="0" applyAlignment="1" applyFont="1">
      <alignment horizontal="center" readingOrder="0" shrinkToFit="0" vertical="bottom" wrapText="1"/>
    </xf>
    <xf borderId="0" fillId="0" fontId="25" numFmtId="164" xfId="0" applyAlignment="1" applyFont="1" applyNumberFormat="1">
      <alignment horizontal="center" readingOrder="0" shrinkToFit="0" vertical="bottom" wrapText="1"/>
    </xf>
    <xf borderId="0" fillId="0" fontId="25" numFmtId="0" xfId="0" applyAlignment="1" applyFont="1">
      <alignment readingOrder="0" shrinkToFit="0" wrapText="1"/>
    </xf>
    <xf borderId="0" fillId="0" fontId="1" numFmtId="0" xfId="0" applyAlignment="1" applyFont="1">
      <alignment shrinkToFit="0" wrapText="1"/>
    </xf>
    <xf borderId="0" fillId="5" fontId="26" numFmtId="0" xfId="0" applyAlignment="1" applyFont="1">
      <alignment readingOrder="0"/>
    </xf>
    <xf borderId="0" fillId="5" fontId="1" numFmtId="2" xfId="0" applyAlignment="1" applyFont="1" applyNumberFormat="1">
      <alignment readingOrder="0"/>
    </xf>
    <xf borderId="0" fillId="6" fontId="1" numFmtId="0" xfId="0" applyFont="1"/>
    <xf borderId="0" fillId="0" fontId="7" numFmtId="0" xfId="0" applyAlignment="1" applyFont="1">
      <alignment readingOrder="0"/>
    </xf>
    <xf borderId="0" fillId="6" fontId="1" numFmtId="10" xfId="0" applyFont="1" applyNumberFormat="1"/>
    <xf borderId="0" fillId="5" fontId="26" numFmtId="0" xfId="0" applyFont="1"/>
    <xf borderId="0" fillId="5" fontId="1" numFmtId="164" xfId="0" applyFont="1" applyNumberFormat="1"/>
    <xf borderId="0" fillId="0" fontId="26" numFmtId="0" xfId="0" applyFont="1"/>
    <xf borderId="0" fillId="0" fontId="1" numFmtId="10" xfId="0" applyFont="1" applyNumberFormat="1"/>
    <xf borderId="0" fillId="0" fontId="7" numFmtId="0" xfId="0" applyAlignment="1" applyFont="1">
      <alignment readingOrder="0" shrinkToFit="0" wrapText="1"/>
    </xf>
    <xf borderId="0" fillId="6" fontId="1" numFmtId="169" xfId="0" applyFont="1" applyNumberFormat="1"/>
    <xf borderId="0" fillId="0" fontId="7" numFmtId="0" xfId="0" applyAlignment="1" applyFont="1">
      <alignment readingOrder="0" shrinkToFit="0" wrapText="1"/>
    </xf>
    <xf borderId="0" fillId="0" fontId="3" numFmtId="0" xfId="0" applyAlignment="1" applyFont="1">
      <alignment readingOrder="0" shrinkToFit="0" wrapText="1"/>
    </xf>
    <xf borderId="0" fillId="10" fontId="1" numFmtId="0" xfId="0" applyAlignment="1" applyFill="1" applyFont="1">
      <alignment readingOrder="0"/>
    </xf>
    <xf borderId="0" fillId="5" fontId="1" numFmtId="0" xfId="0" applyAlignment="1" applyFont="1">
      <alignment readingOrder="0"/>
    </xf>
    <xf borderId="0" fillId="5" fontId="1" numFmtId="14" xfId="0" applyAlignment="1" applyFont="1" applyNumberFormat="1">
      <alignment readingOrder="0"/>
    </xf>
    <xf borderId="0" fillId="5" fontId="1" numFmtId="170" xfId="0" applyAlignment="1" applyFont="1" applyNumberFormat="1">
      <alignment readingOrder="0"/>
    </xf>
    <xf borderId="0" fillId="0" fontId="1" numFmtId="170" xfId="0" applyFont="1" applyNumberFormat="1"/>
    <xf borderId="0" fillId="0" fontId="1" numFmtId="10" xfId="0" applyFont="1" applyNumberFormat="1"/>
    <xf borderId="0" fillId="0" fontId="1" numFmtId="171" xfId="0" applyFont="1" applyNumberFormat="1"/>
    <xf borderId="0" fillId="0" fontId="1" numFmtId="172" xfId="0" applyFont="1" applyNumberFormat="1"/>
    <xf borderId="0" fillId="0" fontId="1" numFmtId="173" xfId="0" applyFont="1" applyNumberFormat="1"/>
    <xf borderId="0" fillId="5" fontId="1" numFmtId="0" xfId="0" applyFont="1"/>
    <xf borderId="0" fillId="5" fontId="7" numFmtId="0" xfId="0" applyFont="1"/>
    <xf borderId="0" fillId="0" fontId="26" numFmtId="0" xfId="0" applyAlignment="1" applyFont="1">
      <alignment readingOrder="0" shrinkToFit="0" wrapText="1"/>
    </xf>
    <xf borderId="0" fillId="0" fontId="26" numFmtId="0" xfId="0" applyAlignment="1" applyFont="1">
      <alignment readingOrder="0" shrinkToFit="0" wrapText="1"/>
    </xf>
    <xf borderId="0" fillId="0" fontId="27" numFmtId="0" xfId="0" applyAlignment="1" applyFont="1">
      <alignment readingOrder="0" shrinkToFit="0" wrapText="1"/>
    </xf>
    <xf borderId="0" fillId="11" fontId="28" numFmtId="0" xfId="0" applyAlignment="1" applyFill="1" applyFont="1">
      <alignment readingOrder="0"/>
    </xf>
    <xf borderId="0" fillId="11" fontId="28" numFmtId="0" xfId="0" applyAlignment="1" applyFont="1">
      <alignment horizontal="center" readingOrder="0" shrinkToFit="0" wrapText="1"/>
    </xf>
    <xf borderId="0" fillId="11" fontId="28" numFmtId="0" xfId="0" applyAlignment="1" applyFont="1">
      <alignment readingOrder="0" shrinkToFit="0" wrapText="1"/>
    </xf>
    <xf borderId="0" fillId="11" fontId="28" numFmtId="0" xfId="0" applyAlignment="1" applyFont="1">
      <alignment readingOrder="0" shrinkToFit="0" wrapText="1"/>
    </xf>
    <xf borderId="0" fillId="0" fontId="1" numFmtId="173" xfId="0" applyAlignment="1" applyFont="1" applyNumberFormat="1">
      <alignment horizontal="center" readingOrder="0" vertical="top"/>
    </xf>
    <xf borderId="0" fillId="0" fontId="1" numFmtId="14" xfId="0" applyAlignment="1" applyFont="1" applyNumberFormat="1">
      <alignment horizontal="center" readingOrder="0" vertical="top"/>
    </xf>
    <xf borderId="0" fillId="0" fontId="1" numFmtId="0" xfId="0" applyAlignment="1" applyFont="1">
      <alignment readingOrder="0" shrinkToFit="0" vertical="top" wrapText="1"/>
    </xf>
    <xf borderId="0" fillId="0" fontId="1" numFmtId="0" xfId="0" applyAlignment="1" applyFont="1">
      <alignment readingOrder="0" shrinkToFit="0" vertical="top" wrapText="1"/>
    </xf>
    <xf borderId="0" fillId="0" fontId="29" numFmtId="0" xfId="0" applyAlignment="1" applyFont="1">
      <alignment readingOrder="0" shrinkToFit="0" vertical="top" wrapText="1"/>
    </xf>
    <xf borderId="12" fillId="9" fontId="18" numFmtId="0" xfId="0" applyAlignment="1" applyBorder="1" applyFont="1">
      <alignment horizontal="left" shrinkToFit="0" vertical="bottom" wrapText="0"/>
    </xf>
    <xf borderId="15" fillId="4" fontId="10" numFmtId="0" xfId="0" applyAlignment="1" applyBorder="1" applyFont="1">
      <alignment horizontal="center" shrinkToFit="0" vertical="bottom" wrapText="0"/>
    </xf>
    <xf borderId="15" fillId="4" fontId="10" numFmtId="0" xfId="0" applyAlignment="1" applyBorder="1" applyFont="1">
      <alignment horizontal="center" shrinkToFit="0" vertical="bottom" wrapText="0"/>
    </xf>
    <xf borderId="10" fillId="4" fontId="10" numFmtId="0" xfId="0" applyAlignment="1" applyBorder="1" applyFont="1">
      <alignment horizontal="right" shrinkToFit="0" vertical="bottom" wrapText="0"/>
    </xf>
    <xf borderId="0" fillId="4" fontId="21" numFmtId="174" xfId="0" applyAlignment="1" applyFont="1" applyNumberFormat="1">
      <alignment horizontal="right" vertical="bottom"/>
    </xf>
    <xf borderId="0" fillId="4" fontId="21" numFmtId="174" xfId="0" applyAlignment="1" applyFont="1" applyNumberFormat="1">
      <alignment horizontal="right" vertical="bottom"/>
    </xf>
    <xf borderId="10" fillId="4" fontId="10" numFmtId="0" xfId="0" applyAlignment="1" applyBorder="1" applyFont="1">
      <alignment horizontal="right" readingOrder="0" shrinkToFit="0" vertical="bottom" wrapText="0"/>
    </xf>
    <xf borderId="0" fillId="4" fontId="21" numFmtId="174" xfId="0" applyAlignment="1" applyFont="1" applyNumberFormat="1">
      <alignment horizontal="right" readingOrder="0" vertical="bottom"/>
    </xf>
    <xf borderId="10" fillId="4" fontId="10" numFmtId="0" xfId="0" applyAlignment="1" applyBorder="1" applyFont="1">
      <alignment horizontal="right" shrinkToFit="0" vertical="bottom" wrapText="0"/>
    </xf>
    <xf borderId="0" fillId="4" fontId="21" numFmtId="174" xfId="0" applyAlignment="1" applyFont="1" applyNumberFormat="1">
      <alignment horizontal="right" vertical="bottom"/>
    </xf>
    <xf borderId="10" fillId="4" fontId="10" numFmtId="0" xfId="0" applyAlignment="1" applyBorder="1" applyFont="1">
      <alignment horizontal="right" readingOrder="0" shrinkToFit="0" vertical="bottom" wrapText="0"/>
    </xf>
    <xf borderId="0" fillId="4" fontId="21" numFmtId="174" xfId="0" applyAlignment="1" applyFont="1" applyNumberFormat="1">
      <alignment horizontal="right" readingOrder="0" vertical="bottom"/>
    </xf>
    <xf borderId="0" fillId="0" fontId="7" numFmtId="0" xfId="0" applyAlignment="1" applyFont="1">
      <alignment vertical="bottom"/>
    </xf>
    <xf borderId="0" fillId="0" fontId="1" numFmtId="0" xfId="0" applyAlignment="1" applyFont="1">
      <alignment readingOrder="0" shrinkToFit="0" wrapText="1"/>
    </xf>
    <xf borderId="0" fillId="0" fontId="17" numFmtId="0" xfId="0" applyAlignment="1" applyFont="1">
      <alignment readingOrder="0" vertical="bottom"/>
    </xf>
    <xf borderId="0" fillId="0" fontId="17" numFmtId="0" xfId="0" applyAlignment="1" applyFont="1">
      <alignment vertical="bottom"/>
    </xf>
    <xf borderId="2" fillId="0" fontId="7" numFmtId="0" xfId="0" applyAlignment="1" applyBorder="1" applyFont="1">
      <alignment readingOrder="0"/>
    </xf>
    <xf borderId="2" fillId="0" fontId="7" numFmtId="2" xfId="0" applyBorder="1" applyFont="1" applyNumberFormat="1"/>
  </cellXfs>
  <cellStyles count="1">
    <cellStyle xfId="0" name="Normal" builtinId="0"/>
  </cellStyles>
  <dxfs count="5">
    <dxf>
      <font>
        <color rgb="FFFFFFFF"/>
      </font>
      <fill>
        <patternFill patternType="solid">
          <fgColor rgb="FF8D0000"/>
          <bgColor rgb="FF8D0000"/>
        </patternFill>
      </fill>
      <border/>
    </dxf>
    <dxf>
      <font>
        <color rgb="FFFFFFFF"/>
      </font>
      <fill>
        <patternFill patternType="solid">
          <fgColor rgb="FF274E13"/>
          <bgColor rgb="FF274E13"/>
        </patternFill>
      </fill>
      <border/>
    </dxf>
    <dxf>
      <font/>
      <fill>
        <patternFill patternType="solid">
          <fgColor rgb="FFFF0000"/>
          <bgColor rgb="FFFF0000"/>
        </patternFill>
      </fill>
      <border/>
    </dxf>
    <dxf>
      <font/>
      <fill>
        <patternFill patternType="solid">
          <fgColor rgb="FFCCFFD8"/>
          <bgColor rgb="FFCCFFD8"/>
        </patternFill>
      </fill>
      <border/>
    </dxf>
    <dxf>
      <font/>
      <fill>
        <patternFill patternType="solid">
          <fgColor rgb="FF93C47D"/>
          <bgColor rgb="FF93C47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Sector Weight</a:t>
            </a:r>
          </a:p>
        </c:rich>
      </c:tx>
      <c:overlay val="0"/>
    </c:title>
    <c:plotArea>
      <c:layout/>
      <c:doughnutChart>
        <c:varyColors val="1"/>
        <c:ser>
          <c:idx val="0"/>
          <c:order val="0"/>
          <c:dPt>
            <c:idx val="0"/>
            <c:spPr>
              <a:solidFill>
                <a:srgbClr val="3366CC"/>
              </a:solidFill>
            </c:spPr>
          </c:dPt>
          <c:dPt>
            <c:idx val="1"/>
            <c:spPr>
              <a:solidFill>
                <a:srgbClr val="DC3912"/>
              </a:solidFill>
            </c:spPr>
          </c:dPt>
          <c:dPt>
            <c:idx val="2"/>
            <c:spPr>
              <a:solidFill>
                <a:srgbClr val="FF9900"/>
              </a:solidFill>
            </c:spPr>
          </c:dPt>
          <c:dPt>
            <c:idx val="3"/>
            <c:spPr>
              <a:solidFill>
                <a:srgbClr val="00FFFF"/>
              </a:solidFill>
            </c:spPr>
          </c:dPt>
          <c:dPt>
            <c:idx val="4"/>
            <c:spPr>
              <a:solidFill>
                <a:srgbClr val="990099"/>
              </a:solidFill>
            </c:spPr>
          </c:dPt>
          <c:dPt>
            <c:idx val="5"/>
            <c:spPr>
              <a:solidFill>
                <a:srgbClr val="0099C6"/>
              </a:solidFill>
            </c:spPr>
          </c:dPt>
          <c:dPt>
            <c:idx val="6"/>
            <c:spPr>
              <a:solidFill>
                <a:srgbClr val="DD4477"/>
              </a:solidFill>
            </c:spPr>
          </c:dPt>
          <c:dPt>
            <c:idx val="7"/>
            <c:spPr>
              <a:solidFill>
                <a:srgbClr val="66AA00"/>
              </a:solidFill>
            </c:spPr>
          </c:dPt>
          <c:dPt>
            <c:idx val="8"/>
            <c:spPr>
              <a:solidFill>
                <a:srgbClr val="B82E2E"/>
              </a:solidFill>
            </c:spPr>
          </c:dPt>
          <c:dPt>
            <c:idx val="9"/>
            <c:spPr>
              <a:solidFill>
                <a:srgbClr val="316395"/>
              </a:solidFill>
            </c:spPr>
          </c:dPt>
          <c:dPt>
            <c:idx val="10"/>
            <c:spPr>
              <a:solidFill>
                <a:srgbClr val="994499"/>
              </a:solidFill>
            </c:spPr>
          </c:dPt>
          <c:dLbls>
            <c:showLegendKey val="0"/>
            <c:showVal val="0"/>
            <c:showCatName val="0"/>
            <c:showSerName val="0"/>
            <c:showPercent val="0"/>
            <c:showBubbleSize val="0"/>
            <c:showLeaderLines val="1"/>
          </c:dLbls>
          <c:cat>
            <c:strRef>
              <c:f>'Start Here'!$N$19:$N$29</c:f>
            </c:strRef>
          </c:cat>
          <c:val>
            <c:numRef>
              <c:f>'Start Here'!$O$19:$O$29</c:f>
            </c:numRef>
          </c:val>
        </c:ser>
        <c:dLbls>
          <c:showLegendKey val="0"/>
          <c:showVal val="0"/>
          <c:showCatName val="0"/>
          <c:showSerName val="0"/>
          <c:showPercent val="0"/>
          <c:showBubbleSize val="0"/>
        </c:dLbls>
        <c:holeSize val="50"/>
      </c:doughnutChart>
    </c:plotArea>
    <c:legend>
      <c:legendPos val="r"/>
      <c:overlay val="0"/>
    </c:legend>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Dividend Income</a:t>
            </a:r>
          </a:p>
        </c:rich>
      </c:tx>
      <c:overlay val="0"/>
    </c:title>
    <c:plotArea>
      <c:layout/>
      <c:barChart>
        <c:barDir val="col"/>
        <c:grouping val="clustered"/>
        <c:ser>
          <c:idx val="0"/>
          <c:order val="0"/>
          <c:tx>
            <c:strRef>
              <c:f>Summary!$C$49</c:f>
            </c:strRef>
          </c:tx>
          <c:spPr>
            <a:solidFill>
              <a:srgbClr val="3366CC"/>
            </a:solidFill>
          </c:spPr>
          <c:cat>
            <c:strRef>
              <c:f>Summary!$B$50:$B$61</c:f>
            </c:strRef>
          </c:cat>
          <c:val>
            <c:numRef>
              <c:f>Summary!$C$50:$C$61</c:f>
            </c:numRef>
          </c:val>
        </c:ser>
        <c:ser>
          <c:idx val="1"/>
          <c:order val="1"/>
          <c:tx>
            <c:strRef>
              <c:f>Summary!$D$49</c:f>
            </c:strRef>
          </c:tx>
          <c:spPr>
            <a:solidFill>
              <a:srgbClr val="DC3912"/>
            </a:solidFill>
          </c:spPr>
          <c:cat>
            <c:strRef>
              <c:f>Summary!$B$50:$B$61</c:f>
            </c:strRef>
          </c:cat>
          <c:val>
            <c:numRef>
              <c:f>Summary!$D$50:$D$61</c:f>
            </c:numRef>
          </c:val>
        </c:ser>
        <c:ser>
          <c:idx val="2"/>
          <c:order val="2"/>
          <c:tx>
            <c:strRef>
              <c:f>Summary!$E$49</c:f>
            </c:strRef>
          </c:tx>
          <c:spPr>
            <a:solidFill>
              <a:srgbClr val="FF9900"/>
            </a:solidFill>
          </c:spPr>
          <c:cat>
            <c:strRef>
              <c:f>Summary!$B$50:$B$61</c:f>
            </c:strRef>
          </c:cat>
          <c:val>
            <c:numRef>
              <c:f>Summary!$E$50:$E$61</c:f>
            </c:numRef>
          </c:val>
        </c:ser>
        <c:axId val="112374208"/>
        <c:axId val="1545757247"/>
      </c:barChart>
      <c:catAx>
        <c:axId val="112374208"/>
        <c:scaling>
          <c:orientation val="minMax"/>
        </c:scaling>
        <c:delete val="0"/>
        <c:axPos val="b"/>
        <c:title>
          <c:tx>
            <c:rich>
              <a:bodyPr/>
              <a:lstStyle/>
              <a:p>
                <a:pPr lvl="0">
                  <a:defRPr b="0"/>
                </a:pPr>
                <a:r>
                  <a:t/>
                </a:r>
              </a:p>
            </c:rich>
          </c:tx>
          <c:overlay val="0"/>
        </c:title>
        <c:txPr>
          <a:bodyPr/>
          <a:lstStyle/>
          <a:p>
            <a:pPr lvl="0">
              <a:defRPr b="0"/>
            </a:pPr>
          </a:p>
        </c:txPr>
        <c:crossAx val="1545757247"/>
      </c:catAx>
      <c:valAx>
        <c:axId val="1545757247"/>
        <c:scaling>
          <c:orientation val="minMax"/>
        </c:scaling>
        <c:delete val="0"/>
        <c:axPos val="l"/>
        <c:majorGridlines>
          <c:spPr>
            <a:ln>
              <a:solidFill>
                <a:srgbClr val="B7B7B7"/>
              </a:solidFill>
            </a:ln>
          </c:spPr>
        </c:majorGridlines>
        <c:minorGridlines>
          <c:spPr>
            <a:ln>
              <a:solidFill>
                <a:srgbClr val="CCCCCC"/>
              </a:solidFill>
            </a:ln>
          </c:spPr>
        </c:minorGridlines>
        <c:numFmt formatCode="General" sourceLinked="1"/>
        <c:tickLblPos val="nextTo"/>
        <c:spPr>
          <a:ln w="47625">
            <a:noFill/>
          </a:ln>
        </c:spPr>
        <c:txPr>
          <a:bodyPr/>
          <a:lstStyle/>
          <a:p>
            <a:pPr lvl="0">
              <a:defRPr b="0"/>
            </a:pPr>
          </a:p>
        </c:txPr>
        <c:crossAx val="112374208"/>
      </c:valAx>
    </c:plotArea>
    <c:legend>
      <c:legendPos val="r"/>
      <c:overlay val="0"/>
    </c:legend>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Annual Dividend Income</a:t>
            </a:r>
          </a:p>
        </c:rich>
      </c:tx>
      <c:overlay val="0"/>
    </c:title>
    <c:plotArea>
      <c:layout/>
      <c:barChart>
        <c:barDir val="col"/>
        <c:grouping val="clustered"/>
        <c:ser>
          <c:idx val="0"/>
          <c:order val="0"/>
          <c:spPr>
            <a:solidFill>
              <a:srgbClr val="3366CC"/>
            </a:solidFill>
          </c:spPr>
          <c:val>
            <c:numRef>
              <c:f>Summary!$B$69:$B$71</c:f>
            </c:numRef>
          </c:val>
        </c:ser>
        <c:axId val="1412060078"/>
        <c:axId val="1895050593"/>
      </c:barChart>
      <c:lineChart>
        <c:varyColors val="0"/>
        <c:ser>
          <c:idx val="1"/>
          <c:order val="1"/>
          <c:spPr>
            <a:ln cmpd="sng" w="19050">
              <a:solidFill>
                <a:srgbClr val="DC3912"/>
              </a:solidFill>
            </a:ln>
          </c:spPr>
          <c:marker>
            <c:symbol val="none"/>
          </c:marker>
          <c:val>
            <c:numRef>
              <c:f>Summary!$C$69:$C$71</c:f>
            </c:numRef>
          </c:val>
          <c:smooth val="0"/>
        </c:ser>
        <c:axId val="1412060078"/>
        <c:axId val="1895050593"/>
      </c:lineChart>
      <c:catAx>
        <c:axId val="1412060078"/>
        <c:scaling>
          <c:orientation val="minMax"/>
        </c:scaling>
        <c:delete val="0"/>
        <c:axPos val="b"/>
        <c:txPr>
          <a:bodyPr/>
          <a:lstStyle/>
          <a:p>
            <a:pPr lvl="0">
              <a:defRPr b="0"/>
            </a:pPr>
          </a:p>
        </c:txPr>
        <c:crossAx val="1895050593"/>
      </c:catAx>
      <c:valAx>
        <c:axId val="1895050593"/>
        <c:scaling>
          <c:orientation val="minMax"/>
        </c:scaling>
        <c:delete val="0"/>
        <c:axPos val="l"/>
        <c:majorGridlines>
          <c:spPr>
            <a:ln>
              <a:solidFill>
                <a:srgbClr val="B7B7B7"/>
              </a:solidFill>
            </a:ln>
          </c:spPr>
        </c:majorGridlines>
        <c:minorGridlines>
          <c:spPr>
            <a:ln>
              <a:solidFill>
                <a:srgbClr val="CCCCCC"/>
              </a:solidFill>
            </a:ln>
          </c:spPr>
        </c:minorGridlines>
        <c:title>
          <c:tx>
            <c:rich>
              <a:bodyPr/>
              <a:lstStyle/>
              <a:p>
                <a:pPr lvl="0">
                  <a:defRPr b="0"/>
                </a:pPr>
                <a:r>
                  <a:t/>
                </a:r>
              </a:p>
            </c:rich>
          </c:tx>
          <c:overlay val="0"/>
        </c:title>
        <c:numFmt formatCode="General" sourceLinked="1"/>
        <c:tickLblPos val="nextTo"/>
        <c:spPr>
          <a:ln w="47625">
            <a:noFill/>
          </a:ln>
        </c:spPr>
        <c:txPr>
          <a:bodyPr/>
          <a:lstStyle/>
          <a:p>
            <a:pPr lvl="0">
              <a:defRPr b="0"/>
            </a:pPr>
          </a:p>
        </c:txPr>
        <c:crossAx val="1412060078"/>
      </c:valAx>
    </c:plotArea>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Total Realized Gain/Loss</a:t>
            </a:r>
          </a:p>
        </c:rich>
      </c:tx>
      <c:overlay val="0"/>
    </c:title>
    <c:plotArea>
      <c:layout/>
      <c:barChart>
        <c:barDir val="col"/>
        <c:grouping val="clustered"/>
        <c:ser>
          <c:idx val="0"/>
          <c:order val="0"/>
          <c:spPr>
            <a:solidFill>
              <a:srgbClr val="3366CC"/>
            </a:solidFill>
          </c:spPr>
          <c:val>
            <c:numRef>
              <c:f>Summary!$B$69:$B$72</c:f>
            </c:numRef>
          </c:val>
        </c:ser>
        <c:axId val="705974983"/>
        <c:axId val="1504453266"/>
      </c:barChart>
      <c:lineChart>
        <c:varyColors val="0"/>
        <c:ser>
          <c:idx val="1"/>
          <c:order val="1"/>
          <c:spPr>
            <a:ln cmpd="sng" w="19050">
              <a:solidFill>
                <a:srgbClr val="DC3912"/>
              </a:solidFill>
            </a:ln>
          </c:spPr>
          <c:marker>
            <c:symbol val="none"/>
          </c:marker>
          <c:val>
            <c:numRef>
              <c:f>Summary!$D$69:$D$72</c:f>
            </c:numRef>
          </c:val>
          <c:smooth val="0"/>
        </c:ser>
        <c:axId val="705974983"/>
        <c:axId val="1504453266"/>
      </c:lineChart>
      <c:catAx>
        <c:axId val="705974983"/>
        <c:scaling>
          <c:orientation val="minMax"/>
        </c:scaling>
        <c:delete val="0"/>
        <c:axPos val="b"/>
        <c:txPr>
          <a:bodyPr/>
          <a:lstStyle/>
          <a:p>
            <a:pPr lvl="0">
              <a:defRPr b="0"/>
            </a:pPr>
          </a:p>
        </c:txPr>
        <c:crossAx val="1504453266"/>
      </c:catAx>
      <c:valAx>
        <c:axId val="1504453266"/>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705974983"/>
      </c:valAx>
    </c:plotArea>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Sector Weight</a:t>
            </a:r>
          </a:p>
        </c:rich>
      </c:tx>
      <c:overlay val="0"/>
    </c:title>
    <c:plotArea>
      <c:layout/>
      <c:barChart>
        <c:barDir val="col"/>
        <c:grouping val="clustered"/>
        <c:ser>
          <c:idx val="0"/>
          <c:order val="0"/>
          <c:spPr>
            <a:solidFill>
              <a:srgbClr val="3366CC"/>
            </a:solidFill>
          </c:spPr>
          <c:cat>
            <c:strRef>
              <c:f>Summary!$J$10:$J$21</c:f>
            </c:strRef>
          </c:cat>
          <c:val>
            <c:numRef>
              <c:f>Summary!$K$10:$K$21</c:f>
            </c:numRef>
          </c:val>
        </c:ser>
        <c:axId val="1105067502"/>
        <c:axId val="931542773"/>
      </c:barChart>
      <c:lineChart>
        <c:varyColors val="0"/>
        <c:ser>
          <c:idx val="1"/>
          <c:order val="1"/>
          <c:spPr>
            <a:ln cmpd="sng" w="19050">
              <a:solidFill>
                <a:srgbClr val="DC3912"/>
              </a:solidFill>
            </a:ln>
          </c:spPr>
          <c:marker>
            <c:symbol val="none"/>
          </c:marker>
          <c:cat>
            <c:strRef>
              <c:f>Summary!$J$10:$J$21</c:f>
            </c:strRef>
          </c:cat>
          <c:val>
            <c:numRef>
              <c:f>Summary!$L$10:$L$21</c:f>
            </c:numRef>
          </c:val>
          <c:smooth val="0"/>
        </c:ser>
        <c:axId val="1105067502"/>
        <c:axId val="931542773"/>
      </c:lineChart>
      <c:catAx>
        <c:axId val="1105067502"/>
        <c:scaling>
          <c:orientation val="minMax"/>
        </c:scaling>
        <c:delete val="0"/>
        <c:axPos val="b"/>
        <c:title>
          <c:tx>
            <c:rich>
              <a:bodyPr/>
              <a:lstStyle/>
              <a:p>
                <a:pPr lvl="0">
                  <a:defRPr b="0"/>
                </a:pPr>
                <a:r>
                  <a:t/>
                </a:r>
              </a:p>
            </c:rich>
          </c:tx>
          <c:overlay val="0"/>
        </c:title>
        <c:txPr>
          <a:bodyPr/>
          <a:lstStyle/>
          <a:p>
            <a:pPr lvl="0">
              <a:defRPr b="0"/>
            </a:pPr>
          </a:p>
        </c:txPr>
        <c:crossAx val="931542773"/>
      </c:catAx>
      <c:valAx>
        <c:axId val="931542773"/>
        <c:scaling>
          <c:orientation val="minMax"/>
        </c:scaling>
        <c:delete val="0"/>
        <c:axPos val="l"/>
        <c:majorGridlines>
          <c:spPr>
            <a:ln>
              <a:solidFill>
                <a:srgbClr val="B7B7B7"/>
              </a:solidFill>
            </a:ln>
          </c:spPr>
        </c:majorGridlines>
        <c:numFmt formatCode="General" sourceLinked="1"/>
        <c:tickLblPos val="nextTo"/>
        <c:spPr>
          <a:ln w="47625">
            <a:noFill/>
          </a:ln>
        </c:spPr>
        <c:txPr>
          <a:bodyPr/>
          <a:lstStyle/>
          <a:p>
            <a:pPr lvl="0">
              <a:defRPr b="0"/>
            </a:pPr>
          </a:p>
        </c:txPr>
        <c:crossAx val="1105067502"/>
      </c:valAx>
    </c:plotArea>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Currency Weight</a:t>
            </a:r>
          </a:p>
        </c:rich>
      </c:tx>
      <c:overlay val="0"/>
    </c:title>
    <c:plotArea>
      <c:layout/>
      <c:pieChart>
        <c:varyColors val="1"/>
        <c:ser>
          <c:idx val="0"/>
          <c:order val="0"/>
          <c:dPt>
            <c:idx val="0"/>
            <c:spPr>
              <a:solidFill>
                <a:srgbClr val="3366CC"/>
              </a:solidFill>
            </c:spPr>
          </c:dPt>
          <c:dPt>
            <c:idx val="1"/>
            <c:spPr>
              <a:solidFill>
                <a:srgbClr val="DC3912"/>
              </a:solidFill>
            </c:spPr>
          </c:dPt>
          <c:dPt>
            <c:idx val="2"/>
            <c:spPr>
              <a:solidFill>
                <a:srgbClr val="FF9900"/>
              </a:solidFill>
            </c:spPr>
          </c:dPt>
          <c:dPt>
            <c:idx val="3"/>
            <c:spPr>
              <a:solidFill>
                <a:srgbClr val="109618"/>
              </a:solidFill>
            </c:spPr>
          </c:dPt>
          <c:dPt>
            <c:idx val="4"/>
            <c:spPr>
              <a:solidFill>
                <a:srgbClr val="990099"/>
              </a:solidFill>
            </c:spPr>
          </c:dPt>
          <c:dPt>
            <c:idx val="5"/>
            <c:spPr>
              <a:solidFill>
                <a:srgbClr val="0099C6"/>
              </a:solidFill>
            </c:spPr>
          </c:dPt>
          <c:dPt>
            <c:idx val="6"/>
            <c:spPr>
              <a:solidFill>
                <a:srgbClr val="DD4477"/>
              </a:solidFill>
            </c:spPr>
          </c:dPt>
          <c:dPt>
            <c:idx val="7"/>
            <c:spPr>
              <a:solidFill>
                <a:srgbClr val="66AA00"/>
              </a:solidFill>
            </c:spPr>
          </c:dPt>
          <c:dPt>
            <c:idx val="8"/>
            <c:spPr>
              <a:solidFill>
                <a:srgbClr val="B82E2E"/>
              </a:solidFill>
            </c:spPr>
          </c:dPt>
          <c:dPt>
            <c:idx val="9"/>
            <c:spPr>
              <a:solidFill>
                <a:srgbClr val="316395"/>
              </a:solidFill>
            </c:spPr>
          </c:dPt>
          <c:dPt>
            <c:idx val="10"/>
            <c:spPr>
              <a:solidFill>
                <a:srgbClr val="994499"/>
              </a:solidFill>
            </c:spPr>
          </c:dPt>
          <c:dPt>
            <c:idx val="11"/>
            <c:spPr>
              <a:solidFill>
                <a:srgbClr val="22AA99"/>
              </a:solidFill>
            </c:spPr>
          </c:dPt>
          <c:dPt>
            <c:idx val="12"/>
            <c:spPr>
              <a:solidFill>
                <a:srgbClr val="AAAA11"/>
              </a:solidFill>
            </c:spPr>
          </c:dPt>
          <c:dPt>
            <c:idx val="13"/>
            <c:spPr>
              <a:solidFill>
                <a:srgbClr val="6633CC"/>
              </a:solidFill>
            </c:spPr>
          </c:dPt>
          <c:dPt>
            <c:idx val="14"/>
            <c:spPr>
              <a:solidFill>
                <a:srgbClr val="E67300"/>
              </a:solidFill>
            </c:spPr>
          </c:dPt>
          <c:dPt>
            <c:idx val="15"/>
            <c:spPr>
              <a:solidFill>
                <a:srgbClr val="8B0707"/>
              </a:solidFill>
            </c:spPr>
          </c:dPt>
          <c:dPt>
            <c:idx val="16"/>
            <c:spPr>
              <a:solidFill>
                <a:srgbClr val="651067"/>
              </a:solidFill>
            </c:spPr>
          </c:dPt>
          <c:dPt>
            <c:idx val="17"/>
            <c:spPr>
              <a:solidFill>
                <a:srgbClr val="329262"/>
              </a:solidFill>
            </c:spPr>
          </c:dPt>
          <c:dLbls>
            <c:showLegendKey val="0"/>
            <c:showVal val="0"/>
            <c:showCatName val="0"/>
            <c:showSerName val="0"/>
            <c:showPercent val="0"/>
            <c:showBubbleSize val="0"/>
            <c:showLeaderLines val="1"/>
          </c:dLbls>
          <c:cat>
            <c:strRef>
              <c:f>Summary!$G$29:$G$46</c:f>
            </c:strRef>
          </c:cat>
          <c:val>
            <c:numRef>
              <c:f>Summary!$H$29:$H$46</c:f>
            </c:numRef>
          </c:val>
        </c:ser>
        <c:dLbls>
          <c:showLegendKey val="0"/>
          <c:showVal val="0"/>
          <c:showCatName val="0"/>
          <c:showSerName val="0"/>
          <c:showPercent val="0"/>
          <c:showBubbleSize val="0"/>
        </c:dLbls>
        <c:firstSliceAng val="0"/>
      </c:pieChart>
    </c:plotArea>
    <c:legend>
      <c:legendPos val="r"/>
      <c:overlay val="0"/>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sz="1600">
                <a:solidFill>
                  <a:srgbClr val="000000"/>
                </a:solidFill>
              </a:defRPr>
            </a:pPr>
            <a:r>
              <a:t>Portfolio Value</a:t>
            </a:r>
          </a:p>
        </c:rich>
      </c:tx>
      <c:overlay val="0"/>
    </c:title>
    <c:plotArea>
      <c:layout/>
      <c:areaChart>
        <c:ser>
          <c:idx val="0"/>
          <c:order val="0"/>
          <c:tx>
            <c:strRef>
              <c:f>'Portfolio Value'!$B$1</c:f>
            </c:strRef>
          </c:tx>
          <c:spPr>
            <a:solidFill>
              <a:srgbClr val="3366CC">
                <a:alpha val="30000"/>
              </a:srgbClr>
            </a:solidFill>
            <a:ln cmpd="sng" w="19050">
              <a:solidFill>
                <a:srgbClr val="3366CC"/>
              </a:solidFill>
            </a:ln>
          </c:spPr>
          <c:cat>
            <c:strRef>
              <c:f>'Portfolio Value'!$A$2:$A$17</c:f>
            </c:strRef>
          </c:cat>
          <c:val>
            <c:numRef>
              <c:f>'Portfolio Value'!$B$2:$B$17</c:f>
            </c:numRef>
          </c:val>
        </c:ser>
        <c:axId val="1276735876"/>
        <c:axId val="1133383235"/>
      </c:areaChart>
      <c:catAx>
        <c:axId val="1276735876"/>
        <c:scaling>
          <c:orientation val="minMax"/>
        </c:scaling>
        <c:delete val="0"/>
        <c:axPos val="b"/>
        <c:title>
          <c:tx>
            <c:rich>
              <a:bodyPr/>
              <a:lstStyle/>
              <a:p>
                <a:pPr lvl="0">
                  <a:defRPr b="0"/>
                </a:pPr>
                <a:r>
                  <a:t>Quarter &amp; Year</a:t>
                </a:r>
              </a:p>
            </c:rich>
          </c:tx>
          <c:overlay val="0"/>
        </c:title>
        <c:txPr>
          <a:bodyPr/>
          <a:lstStyle/>
          <a:p>
            <a:pPr lvl="0">
              <a:defRPr b="0"/>
            </a:pPr>
          </a:p>
        </c:txPr>
        <c:crossAx val="1133383235"/>
      </c:catAx>
      <c:valAx>
        <c:axId val="1133383235"/>
        <c:scaling>
          <c:orientation val="minMax"/>
        </c:scaling>
        <c:delete val="0"/>
        <c:axPos val="l"/>
        <c:majorGridlines>
          <c:spPr>
            <a:ln>
              <a:solidFill>
                <a:srgbClr val="B7B7B7"/>
              </a:solidFill>
            </a:ln>
          </c:spPr>
        </c:majorGridlines>
        <c:title>
          <c:tx>
            <c:rich>
              <a:bodyPr/>
              <a:lstStyle/>
              <a:p>
                <a:pPr lvl="0">
                  <a:defRPr b="0"/>
                </a:pPr>
                <a:r>
                  <a:t>Monetary Value</a:t>
                </a:r>
              </a:p>
            </c:rich>
          </c:tx>
          <c:overlay val="0"/>
        </c:title>
        <c:numFmt formatCode="General" sourceLinked="1"/>
        <c:tickLblPos val="nextTo"/>
        <c:spPr>
          <a:ln w="47625">
            <a:noFill/>
          </a:ln>
        </c:spPr>
        <c:txPr>
          <a:bodyPr/>
          <a:lstStyle/>
          <a:p>
            <a:pPr lvl="0">
              <a:defRPr b="0"/>
            </a:pPr>
          </a:p>
        </c:txPr>
        <c:crossAx val="1276735876"/>
      </c:valAx>
    </c:plotArea>
  </c:chart>
  <c:spPr>
    <a:solidFill>
      <a:srgbClr val="FCE5CD"/>
    </a:solidFill>
  </c:spPr>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 Id="rId2" Type="http://schemas.openxmlformats.org/officeDocument/2006/relationships/chart" Target="../charts/chart3.xml"/><Relationship Id="rId3" Type="http://schemas.openxmlformats.org/officeDocument/2006/relationships/chart" Target="../charts/chart4.xml"/><Relationship Id="rId4" Type="http://schemas.openxmlformats.org/officeDocument/2006/relationships/chart" Target="../charts/chart5.xml"/><Relationship Id="rId5"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0</xdr:col>
      <xdr:colOff>200025</xdr:colOff>
      <xdr:row>20</xdr:row>
      <xdr:rowOff>552450</xdr:rowOff>
    </xdr:from>
    <xdr:ext cx="5715000" cy="353377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5</xdr:col>
      <xdr:colOff>257175</xdr:colOff>
      <xdr:row>47</xdr:row>
      <xdr:rowOff>9525</xdr:rowOff>
    </xdr:from>
    <xdr:ext cx="6105525" cy="3409950"/>
    <xdr:graphicFrame>
      <xdr:nvGraphicFramePr>
        <xdr:cNvPr id="2" name="Chart 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466725</xdr:colOff>
      <xdr:row>64</xdr:row>
      <xdr:rowOff>390525</xdr:rowOff>
    </xdr:from>
    <xdr:ext cx="3790950" cy="2838450"/>
    <xdr:graphicFrame>
      <xdr:nvGraphicFramePr>
        <xdr:cNvPr id="3" name="Chart 3"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9</xdr:col>
      <xdr:colOff>228600</xdr:colOff>
      <xdr:row>64</xdr:row>
      <xdr:rowOff>400050</xdr:rowOff>
    </xdr:from>
    <xdr:ext cx="3800475" cy="2828925"/>
    <xdr:graphicFrame>
      <xdr:nvGraphicFramePr>
        <xdr:cNvPr id="4" name="Chart 4"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xdr:col>
      <xdr:colOff>0</xdr:colOff>
      <xdr:row>8</xdr:row>
      <xdr:rowOff>28575</xdr:rowOff>
    </xdr:from>
    <xdr:ext cx="6915150" cy="3228975"/>
    <xdr:graphicFrame>
      <xdr:nvGraphicFramePr>
        <xdr:cNvPr id="5" name="Chart 5"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0</xdr:col>
      <xdr:colOff>161925</xdr:colOff>
      <xdr:row>27</xdr:row>
      <xdr:rowOff>0</xdr:rowOff>
    </xdr:from>
    <xdr:ext cx="3200400" cy="1971675"/>
    <xdr:graphicFrame>
      <xdr:nvGraphicFramePr>
        <xdr:cNvPr id="6" name="Chart 6" title="Chart"/>
        <xdr:cNvGraphicFramePr/>
      </xdr:nvGraphicFramePr>
      <xdr:xfrm>
        <a:off x="0" y="0"/>
        <a:ext cx="0" cy="0"/>
      </xdr:xfrm>
      <a:graphic>
        <a:graphicData uri="http://schemas.openxmlformats.org/drawingml/2006/chart">
          <c:chart r:id="rId5"/>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0</xdr:col>
      <xdr:colOff>57150</xdr:colOff>
      <xdr:row>11</xdr:row>
      <xdr:rowOff>495300</xdr:rowOff>
    </xdr:from>
    <xdr:ext cx="5543550" cy="3286125"/>
    <xdr:graphicFrame>
      <xdr:nvGraphicFramePr>
        <xdr:cNvPr id="7" name="Chart 7" title="Chart"/>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13.0"/>
    <col customWidth="1" min="2" max="2" width="10.43"/>
    <col customWidth="1" min="3" max="3" width="15.43"/>
    <col customWidth="1" min="4" max="4" width="8.57"/>
    <col customWidth="1" min="5" max="5" width="8.43"/>
    <col customWidth="1" min="6" max="6" width="11.14"/>
    <col customWidth="1" min="7" max="7" width="9.86"/>
    <col customWidth="1" min="8" max="8" width="12.14"/>
    <col customWidth="1" min="9" max="9" width="11.57"/>
    <col customWidth="1" min="10" max="10" width="10.57"/>
    <col customWidth="1" min="11" max="11" width="12.71"/>
    <col customWidth="1" min="12" max="12" width="11.29"/>
    <col customWidth="1" min="13" max="13" width="9.43"/>
    <col customWidth="1" min="14" max="14" width="10.0"/>
    <col customWidth="1" min="15" max="15" width="10.71"/>
    <col customWidth="1" min="16" max="16" width="8.71"/>
    <col customWidth="1" min="17" max="17" width="7.0"/>
    <col customWidth="1" hidden="1" min="18" max="18" width="7.0"/>
  </cols>
  <sheetData>
    <row r="1">
      <c r="A1" s="1"/>
      <c r="B1" s="1"/>
      <c r="C1" s="1"/>
      <c r="D1" s="1"/>
      <c r="E1" s="1"/>
      <c r="F1" s="2" t="s">
        <v>0</v>
      </c>
      <c r="G1" s="3"/>
      <c r="H1" s="3"/>
      <c r="I1" s="3"/>
      <c r="J1" s="1"/>
      <c r="K1" s="1"/>
      <c r="L1" s="1"/>
      <c r="M1" s="1"/>
      <c r="N1" s="1"/>
      <c r="O1" s="1"/>
      <c r="P1" s="1"/>
      <c r="Q1" s="1"/>
      <c r="R1" s="4"/>
    </row>
    <row r="2">
      <c r="A2" s="5" t="s">
        <v>1</v>
      </c>
      <c r="B2" s="6" t="s">
        <v>2</v>
      </c>
      <c r="C2" s="5" t="s">
        <v>3</v>
      </c>
      <c r="D2" s="5" t="s">
        <v>4</v>
      </c>
      <c r="E2" s="5" t="s">
        <v>5</v>
      </c>
      <c r="F2" s="5" t="s">
        <v>20</v>
      </c>
      <c r="G2" s="5" t="s">
        <v>8</v>
      </c>
      <c r="H2" s="5" t="s">
        <v>21</v>
      </c>
      <c r="I2" s="5" t="s">
        <v>22</v>
      </c>
      <c r="J2" s="5" t="s">
        <v>9</v>
      </c>
      <c r="K2" s="6" t="s">
        <v>10</v>
      </c>
      <c r="L2" s="5" t="s">
        <v>23</v>
      </c>
      <c r="M2" s="5" t="s">
        <v>24</v>
      </c>
      <c r="N2" s="8" t="s">
        <v>25</v>
      </c>
      <c r="O2" s="51" t="s">
        <v>26</v>
      </c>
      <c r="P2" s="10" t="s">
        <v>11</v>
      </c>
      <c r="Q2" s="5" t="s">
        <v>12</v>
      </c>
      <c r="R2" s="11" t="s">
        <v>20</v>
      </c>
    </row>
    <row r="3">
      <c r="A3" s="13"/>
      <c r="B3" s="14"/>
      <c r="C3" s="14" t="s">
        <v>15</v>
      </c>
      <c r="D3" s="13"/>
      <c r="E3" s="13"/>
      <c r="F3" s="52">
        <v>800.0</v>
      </c>
      <c r="G3" s="13"/>
      <c r="H3" s="13"/>
      <c r="I3" s="13"/>
      <c r="J3" s="13"/>
      <c r="K3" s="13"/>
      <c r="L3" s="13"/>
      <c r="M3" s="13"/>
      <c r="N3" s="19"/>
      <c r="O3" s="20"/>
      <c r="P3" s="21"/>
      <c r="Q3" s="22"/>
    </row>
    <row r="4">
      <c r="A4" s="53" t="s">
        <v>27</v>
      </c>
      <c r="B4" s="44" t="s">
        <v>18</v>
      </c>
      <c r="C4" s="54" t="s">
        <v>28</v>
      </c>
      <c r="D4" s="44" t="s">
        <v>19</v>
      </c>
      <c r="E4" s="46">
        <v>30.0</v>
      </c>
      <c r="F4" s="55">
        <v>2852.1</v>
      </c>
      <c r="G4" s="49">
        <v>0.061186938487687</v>
      </c>
      <c r="H4" s="55">
        <v>3135.0</v>
      </c>
      <c r="I4" s="56">
        <v>-282.9000000000002</v>
      </c>
      <c r="J4" s="49">
        <v>-0.09023923444976083</v>
      </c>
      <c r="K4" s="50">
        <v>-0.03272054829173547</v>
      </c>
      <c r="L4" s="55">
        <v>0.0</v>
      </c>
      <c r="M4" s="55">
        <v>96.11</v>
      </c>
      <c r="N4" s="57">
        <v>-186.7900000000002</v>
      </c>
      <c r="O4" s="55">
        <v>102.10517999999999</v>
      </c>
      <c r="P4" s="49">
        <v>0.0358</v>
      </c>
      <c r="Q4" s="58">
        <v>0.032569435406698564</v>
      </c>
      <c r="R4" s="41">
        <f t="shared" ref="R4:R15" si="1">F4</f>
        <v>2852.1</v>
      </c>
    </row>
    <row r="5">
      <c r="A5" s="59" t="s">
        <v>29</v>
      </c>
      <c r="B5" s="44" t="s">
        <v>18</v>
      </c>
      <c r="C5" s="54" t="s">
        <v>30</v>
      </c>
      <c r="D5" s="54" t="s">
        <v>31</v>
      </c>
      <c r="E5" s="46">
        <v>25.2045</v>
      </c>
      <c r="F5" s="55">
        <v>2517.42546</v>
      </c>
      <c r="G5" s="49">
        <v>0.054007067342785015</v>
      </c>
      <c r="H5" s="55">
        <v>3098.6412299999997</v>
      </c>
      <c r="I5" s="56">
        <v>-581.21577</v>
      </c>
      <c r="J5" s="49">
        <v>-0.1875711729298845</v>
      </c>
      <c r="K5" s="50">
        <v>-0.07450312135560196</v>
      </c>
      <c r="L5" s="55">
        <v>0.0</v>
      </c>
      <c r="M5" s="55">
        <v>128.88</v>
      </c>
      <c r="N5" s="60">
        <v>-452.33577</v>
      </c>
      <c r="O5" s="55">
        <v>107.997552234</v>
      </c>
      <c r="P5" s="49">
        <v>0.0429</v>
      </c>
      <c r="Q5" s="58">
        <v>0.03485319668130796</v>
      </c>
      <c r="R5" s="41">
        <f t="shared" si="1"/>
        <v>2517.42546</v>
      </c>
    </row>
    <row r="6">
      <c r="A6" s="61" t="s">
        <v>29</v>
      </c>
      <c r="B6" s="44" t="s">
        <v>18</v>
      </c>
      <c r="C6" s="54" t="s">
        <v>32</v>
      </c>
      <c r="D6" s="54" t="s">
        <v>33</v>
      </c>
      <c r="E6" s="46">
        <v>132.9411</v>
      </c>
      <c r="F6" s="55">
        <v>5176.726434</v>
      </c>
      <c r="G6" s="49">
        <v>0.1110578317326676</v>
      </c>
      <c r="H6" s="55">
        <v>5517.05565</v>
      </c>
      <c r="I6" s="56">
        <v>-340.3292160000003</v>
      </c>
      <c r="J6" s="49">
        <v>-0.06168674698795186</v>
      </c>
      <c r="K6" s="50">
        <v>-0.0072080058855519226</v>
      </c>
      <c r="L6" s="55">
        <v>0.0</v>
      </c>
      <c r="M6" s="55">
        <v>259.78</v>
      </c>
      <c r="N6" s="60">
        <v>-80.54921600000034</v>
      </c>
      <c r="O6" s="55">
        <v>255.21261319619998</v>
      </c>
      <c r="P6" s="49">
        <v>0.0493</v>
      </c>
      <c r="Q6" s="58">
        <v>0.04625884337349397</v>
      </c>
      <c r="R6" s="41">
        <f t="shared" si="1"/>
        <v>5176.726434</v>
      </c>
    </row>
    <row r="7">
      <c r="A7" s="59" t="s">
        <v>34</v>
      </c>
      <c r="B7" s="44" t="s">
        <v>35</v>
      </c>
      <c r="C7" s="54" t="s">
        <v>36</v>
      </c>
      <c r="D7" s="54" t="s">
        <v>37</v>
      </c>
      <c r="E7" s="46">
        <v>58.3602</v>
      </c>
      <c r="F7" s="55">
        <v>3651.597714</v>
      </c>
      <c r="G7" s="49">
        <v>0.07833879762571315</v>
      </c>
      <c r="H7" s="55">
        <v>3099.510222</v>
      </c>
      <c r="I7" s="56">
        <v>552.087492</v>
      </c>
      <c r="J7" s="49">
        <v>0.17812088118998307</v>
      </c>
      <c r="K7" s="50">
        <v>0.10109729204619587</v>
      </c>
      <c r="L7" s="55">
        <v>0.0</v>
      </c>
      <c r="M7" s="55">
        <v>126.36</v>
      </c>
      <c r="N7" s="60">
        <v>678.447492</v>
      </c>
      <c r="O7" s="55">
        <v>90.9247830786</v>
      </c>
      <c r="P7" s="49">
        <v>0.024900000000000002</v>
      </c>
      <c r="Q7" s="58">
        <v>0.02933520994163058</v>
      </c>
      <c r="R7" s="41">
        <f t="shared" si="1"/>
        <v>3651.597714</v>
      </c>
    </row>
    <row r="8">
      <c r="A8" s="61" t="s">
        <v>34</v>
      </c>
      <c r="B8" s="44" t="s">
        <v>35</v>
      </c>
      <c r="C8" s="54" t="s">
        <v>38</v>
      </c>
      <c r="D8" s="54" t="s">
        <v>39</v>
      </c>
      <c r="E8" s="46">
        <v>81.593</v>
      </c>
      <c r="F8" s="55">
        <v>4658.960300000001</v>
      </c>
      <c r="G8" s="49">
        <v>0.0999500428781164</v>
      </c>
      <c r="H8" s="55">
        <v>3238.4261699999997</v>
      </c>
      <c r="I8" s="56">
        <v>1420.5341300000005</v>
      </c>
      <c r="J8" s="49">
        <v>0.4386495338876293</v>
      </c>
      <c r="K8" s="50">
        <v>0.21219363108022826</v>
      </c>
      <c r="L8" s="55">
        <v>0.0</v>
      </c>
      <c r="M8" s="55">
        <v>127.41</v>
      </c>
      <c r="N8" s="60">
        <v>1547.9441300000005</v>
      </c>
      <c r="O8" s="55">
        <v>122.53065589000002</v>
      </c>
      <c r="P8" s="49">
        <v>0.0263</v>
      </c>
      <c r="Q8" s="58">
        <v>0.037836482741244654</v>
      </c>
      <c r="R8" s="41">
        <f t="shared" si="1"/>
        <v>4658.9603</v>
      </c>
    </row>
    <row r="9">
      <c r="A9" s="62" t="s">
        <v>40</v>
      </c>
      <c r="B9" s="44" t="s">
        <v>18</v>
      </c>
      <c r="C9" s="54" t="s">
        <v>41</v>
      </c>
      <c r="D9" s="54" t="s">
        <v>42</v>
      </c>
      <c r="E9" s="46">
        <v>128.0</v>
      </c>
      <c r="F9" s="55">
        <v>3505.92</v>
      </c>
      <c r="G9" s="49">
        <v>0.07521353086594144</v>
      </c>
      <c r="H9" s="55">
        <v>3084.8</v>
      </c>
      <c r="I9" s="56">
        <v>421.1199999999999</v>
      </c>
      <c r="J9" s="49">
        <v>0.13651452282157672</v>
      </c>
      <c r="K9" s="50">
        <v>0.0844959537253794</v>
      </c>
      <c r="L9" s="55">
        <v>0.0</v>
      </c>
      <c r="M9" s="55">
        <v>81.3</v>
      </c>
      <c r="N9" s="60">
        <v>502.4199999999999</v>
      </c>
      <c r="O9" s="55">
        <v>117.798912</v>
      </c>
      <c r="P9" s="49">
        <v>0.0336</v>
      </c>
      <c r="Q9" s="58">
        <v>0.03818688796680498</v>
      </c>
      <c r="R9" s="41">
        <f t="shared" si="1"/>
        <v>3505.92</v>
      </c>
    </row>
    <row r="10">
      <c r="A10" s="63" t="s">
        <v>43</v>
      </c>
      <c r="B10" s="44" t="s">
        <v>35</v>
      </c>
      <c r="C10" s="54" t="s">
        <v>44</v>
      </c>
      <c r="D10" s="54" t="s">
        <v>45</v>
      </c>
      <c r="E10" s="46">
        <v>70.0</v>
      </c>
      <c r="F10" s="55">
        <v>8901.9</v>
      </c>
      <c r="G10" s="49">
        <v>0.1909750737083345</v>
      </c>
      <c r="H10" s="55">
        <v>3150.0</v>
      </c>
      <c r="I10" s="56">
        <v>5751.900000000001</v>
      </c>
      <c r="J10" s="49">
        <v>1.826</v>
      </c>
      <c r="K10" s="50">
        <v>0.6883909515062552</v>
      </c>
      <c r="L10" s="55">
        <v>0.0</v>
      </c>
      <c r="M10" s="55">
        <v>268.38</v>
      </c>
      <c r="N10" s="60">
        <v>6020.280000000001</v>
      </c>
      <c r="O10" s="55">
        <v>145.99115999999998</v>
      </c>
      <c r="P10" s="49">
        <v>0.016399999999999998</v>
      </c>
      <c r="Q10" s="58">
        <v>0.046346399999999996</v>
      </c>
      <c r="R10" s="41">
        <f t="shared" si="1"/>
        <v>8901.9</v>
      </c>
    </row>
    <row r="11">
      <c r="A11" s="64" t="s">
        <v>43</v>
      </c>
      <c r="B11" s="44" t="s">
        <v>18</v>
      </c>
      <c r="C11" s="54" t="s">
        <v>46</v>
      </c>
      <c r="D11" s="54" t="s">
        <v>47</v>
      </c>
      <c r="E11" s="46">
        <v>103.6869</v>
      </c>
      <c r="F11" s="55">
        <v>2959.2241259999996</v>
      </c>
      <c r="G11" s="49">
        <v>0.06348510380731436</v>
      </c>
      <c r="H11" s="55">
        <v>2595.283107</v>
      </c>
      <c r="I11" s="56">
        <v>363.9410189999994</v>
      </c>
      <c r="J11" s="49">
        <v>0.14023172193367936</v>
      </c>
      <c r="K11" s="50">
        <v>0.08162387392288</v>
      </c>
      <c r="L11" s="55">
        <v>0.0</v>
      </c>
      <c r="M11" s="55">
        <v>72.9</v>
      </c>
      <c r="N11" s="60">
        <v>436.8410189999994</v>
      </c>
      <c r="O11" s="55">
        <v>87.00118930439999</v>
      </c>
      <c r="P11" s="49">
        <v>0.0294</v>
      </c>
      <c r="Q11" s="58">
        <v>0.03352281262485017</v>
      </c>
      <c r="R11" s="41">
        <f t="shared" si="1"/>
        <v>2959.224126</v>
      </c>
    </row>
    <row r="12">
      <c r="A12" s="64" t="s">
        <v>43</v>
      </c>
      <c r="B12" s="44" t="s">
        <v>18</v>
      </c>
      <c r="C12" s="54" t="s">
        <v>48</v>
      </c>
      <c r="D12" s="54" t="s">
        <v>49</v>
      </c>
      <c r="E12" s="46">
        <v>48.3535</v>
      </c>
      <c r="F12" s="55">
        <v>3783.6613749999997</v>
      </c>
      <c r="G12" s="49">
        <v>0.08117199811029142</v>
      </c>
      <c r="H12" s="55">
        <v>2199.600715</v>
      </c>
      <c r="I12" s="56">
        <v>1584.0606599999999</v>
      </c>
      <c r="J12" s="49">
        <v>0.7201582765442954</v>
      </c>
      <c r="K12" s="50">
        <v>0.31772270601832775</v>
      </c>
      <c r="L12" s="55">
        <v>0.0</v>
      </c>
      <c r="M12" s="55">
        <v>99.8</v>
      </c>
      <c r="N12" s="60">
        <v>1683.8606599999998</v>
      </c>
      <c r="O12" s="55">
        <v>90.807873</v>
      </c>
      <c r="P12" s="49">
        <v>0.024</v>
      </c>
      <c r="Q12" s="58">
        <v>0.04128379863706309</v>
      </c>
      <c r="R12" s="41">
        <f t="shared" si="1"/>
        <v>3783.661375</v>
      </c>
    </row>
    <row r="13">
      <c r="A13" s="65" t="s">
        <v>43</v>
      </c>
      <c r="B13" s="44" t="s">
        <v>18</v>
      </c>
      <c r="C13" s="54" t="s">
        <v>50</v>
      </c>
      <c r="D13" s="54" t="s">
        <v>51</v>
      </c>
      <c r="E13" s="46">
        <v>60.0</v>
      </c>
      <c r="F13" s="55">
        <v>4159.8</v>
      </c>
      <c r="G13" s="49">
        <v>0.08924141044180793</v>
      </c>
      <c r="H13" s="55">
        <v>2739.0</v>
      </c>
      <c r="I13" s="56">
        <v>1420.8</v>
      </c>
      <c r="J13" s="49">
        <v>0.5187294633077766</v>
      </c>
      <c r="K13" s="50">
        <v>0.2372159331827862</v>
      </c>
      <c r="L13" s="55">
        <v>0.0</v>
      </c>
      <c r="M13" s="55">
        <v>23.01</v>
      </c>
      <c r="N13" s="60">
        <v>1443.81</v>
      </c>
      <c r="O13" s="55">
        <v>28.70262</v>
      </c>
      <c r="P13" s="49">
        <v>0.0069</v>
      </c>
      <c r="Q13" s="58">
        <v>0.010479233296823659</v>
      </c>
      <c r="R13" s="41">
        <f t="shared" si="1"/>
        <v>4159.8</v>
      </c>
    </row>
    <row r="14">
      <c r="A14" s="62" t="s">
        <v>52</v>
      </c>
      <c r="B14" s="44" t="s">
        <v>18</v>
      </c>
      <c r="C14" s="54" t="s">
        <v>53</v>
      </c>
      <c r="D14" s="44" t="s">
        <v>54</v>
      </c>
      <c r="E14" s="46">
        <v>145.6133</v>
      </c>
      <c r="F14" s="55">
        <v>4445.574049000001</v>
      </c>
      <c r="G14" s="49">
        <v>0.09537220499934107</v>
      </c>
      <c r="H14" s="55">
        <v>4211.136636</v>
      </c>
      <c r="I14" s="56">
        <v>234.43741300000045</v>
      </c>
      <c r="J14" s="49">
        <v>0.05567081604426013</v>
      </c>
      <c r="K14" s="50">
        <v>0.05285419400452129</v>
      </c>
      <c r="L14" s="55">
        <v>0.0</v>
      </c>
      <c r="M14" s="55">
        <v>228.34</v>
      </c>
      <c r="N14" s="60">
        <v>462.7774130000005</v>
      </c>
      <c r="O14" s="55">
        <v>192.04879891680005</v>
      </c>
      <c r="P14" s="49">
        <v>0.0432</v>
      </c>
      <c r="Q14" s="58">
        <v>0.04560497925311204</v>
      </c>
      <c r="R14" s="41">
        <f t="shared" si="1"/>
        <v>4445.574049</v>
      </c>
    </row>
    <row r="15">
      <c r="A15" s="28" t="s">
        <v>55</v>
      </c>
      <c r="B15" s="29"/>
      <c r="C15" s="29"/>
      <c r="D15" s="30"/>
      <c r="E15" s="31"/>
      <c r="F15" s="67">
        <v>46612.889458000005</v>
      </c>
      <c r="G15" s="35">
        <v>0.9999999999999998</v>
      </c>
      <c r="H15" s="67">
        <v>36068.45373</v>
      </c>
      <c r="I15" s="67">
        <v>10544.435727999999</v>
      </c>
      <c r="J15" s="37">
        <v>0.2923451004285677</v>
      </c>
      <c r="K15" s="68">
        <v>0.15508489768132688</v>
      </c>
      <c r="L15" s="67">
        <v>0.0</v>
      </c>
      <c r="M15" s="67">
        <v>1512.2699999999998</v>
      </c>
      <c r="N15" s="67">
        <v>12056.705727999999</v>
      </c>
      <c r="O15" s="69">
        <v>1341.1213376199998</v>
      </c>
      <c r="P15" s="40">
        <v>0.028771469720374265</v>
      </c>
      <c r="Q15" s="70">
        <v>0.03718266792525458</v>
      </c>
      <c r="R15" s="41">
        <f t="shared" si="1"/>
        <v>46612.88946</v>
      </c>
    </row>
    <row r="16">
      <c r="A16" s="71"/>
      <c r="B16" s="71"/>
      <c r="C16" s="71"/>
      <c r="D16" s="71"/>
      <c r="E16" s="71"/>
      <c r="F16" s="71"/>
      <c r="G16" s="71"/>
      <c r="H16" s="71"/>
      <c r="I16" s="71"/>
      <c r="J16" s="71"/>
      <c r="K16" s="71"/>
      <c r="L16" s="71"/>
      <c r="M16" s="73"/>
      <c r="N16" s="71"/>
      <c r="O16" s="71"/>
      <c r="P16" s="71"/>
      <c r="Q16" s="71"/>
    </row>
    <row r="17">
      <c r="B17" s="74" t="s">
        <v>57</v>
      </c>
      <c r="M17" s="76" t="str">
        <f>HYPERLINK("http://www.twoinvesting.com/2015/11/international-dividend-portfolio-tracker-with-transactions-page","International Dividend Portfolio")</f>
        <v>International Dividend Portfolio</v>
      </c>
    </row>
    <row r="18">
      <c r="B18" s="77" t="s">
        <v>59</v>
      </c>
      <c r="N18" s="78" t="s">
        <v>1</v>
      </c>
      <c r="O18" s="78" t="s">
        <v>60</v>
      </c>
    </row>
    <row r="19" ht="41.25" customHeight="1">
      <c r="N19" s="79" t="str">
        <f>Lists!A2</f>
        <v>Cash</v>
      </c>
      <c r="O19" s="80">
        <v>800.0</v>
      </c>
    </row>
    <row r="20">
      <c r="C20" s="81" t="s">
        <v>61</v>
      </c>
      <c r="N20" s="79" t="str">
        <f>Lists!A3</f>
        <v>Consumer Discretionary</v>
      </c>
      <c r="O20" s="80">
        <v>2852.1</v>
      </c>
    </row>
    <row r="21">
      <c r="C21" s="82" t="s">
        <v>62</v>
      </c>
      <c r="D21" s="83"/>
      <c r="E21" s="83"/>
      <c r="F21" s="83"/>
      <c r="G21" s="83"/>
      <c r="N21" s="79" t="str">
        <f>Lists!A4</f>
        <v>Consumer Staples</v>
      </c>
      <c r="O21" s="80">
        <v>0.0</v>
      </c>
    </row>
    <row r="22">
      <c r="N22" s="79" t="str">
        <f>Lists!A5</f>
        <v>Energy</v>
      </c>
      <c r="O22" s="80">
        <v>7694.1518940000005</v>
      </c>
    </row>
    <row r="23">
      <c r="N23" s="79" t="str">
        <f>Lists!A6</f>
        <v>Financials</v>
      </c>
      <c r="O23" s="80">
        <v>8310.558014</v>
      </c>
    </row>
    <row r="24">
      <c r="N24" s="79" t="str">
        <f>Lists!A7</f>
        <v>Healthcare</v>
      </c>
      <c r="O24" s="80">
        <v>0.0</v>
      </c>
    </row>
    <row r="25">
      <c r="N25" s="79" t="str">
        <f>Lists!A8</f>
        <v>Industrials</v>
      </c>
      <c r="O25" s="80">
        <v>3505.92</v>
      </c>
    </row>
    <row r="26">
      <c r="N26" s="79" t="str">
        <f>Lists!A9</f>
        <v>Information Technology</v>
      </c>
      <c r="O26" s="80">
        <v>19804.585500999998</v>
      </c>
    </row>
    <row r="27">
      <c r="N27" s="79" t="str">
        <f>Lists!A10</f>
        <v>Materials</v>
      </c>
      <c r="O27" s="80">
        <v>0.0</v>
      </c>
    </row>
    <row r="28">
      <c r="H28" s="84"/>
      <c r="I28" s="84"/>
      <c r="J28" s="84"/>
      <c r="K28" s="84"/>
      <c r="L28" s="84"/>
      <c r="M28" s="84"/>
      <c r="N28" s="79" t="str">
        <f>Lists!A11</f>
        <v>REITs</v>
      </c>
      <c r="O28" s="80">
        <v>0.0</v>
      </c>
      <c r="P28" s="84"/>
    </row>
    <row r="29">
      <c r="N29" s="79" t="str">
        <f>Lists!A12</f>
        <v>Utilities</v>
      </c>
      <c r="O29" s="80">
        <v>4445.574049000001</v>
      </c>
    </row>
    <row r="30">
      <c r="N30" s="79" t="str">
        <f>Lists!A13</f>
        <v>ETF</v>
      </c>
    </row>
    <row r="31">
      <c r="N31" s="79" t="str">
        <f>Lists!A14</f>
        <v/>
      </c>
    </row>
  </sheetData>
  <mergeCells count="4">
    <mergeCell ref="F1:I1"/>
    <mergeCell ref="C21:G21"/>
    <mergeCell ref="B17:L17"/>
    <mergeCell ref="M17:Q17"/>
  </mergeCells>
  <conditionalFormatting sqref="I4:K14 N4:N14">
    <cfRule type="cellIs" dxfId="0" priority="1" operator="lessThan">
      <formula>0</formula>
    </cfRule>
  </conditionalFormatting>
  <conditionalFormatting sqref="I4:J14 N4:N14">
    <cfRule type="cellIs" dxfId="1" priority="2" operator="greaterThan">
      <formula>0</formula>
    </cfRule>
  </conditionalFormatting>
  <conditionalFormatting sqref="I4:K14">
    <cfRule type="cellIs" dxfId="0" priority="3" operator="lessThan">
      <formula>0</formula>
    </cfRule>
  </conditionalFormatting>
  <conditionalFormatting sqref="K4:K14">
    <cfRule type="cellIs" dxfId="1" priority="4" operator="greaterThan">
      <formula>0</formula>
    </cfRule>
  </conditionalFormatting>
  <conditionalFormatting sqref="N4:N14">
    <cfRule type="cellIs" dxfId="1" priority="5" operator="greaterThan">
      <formula>0</formula>
    </cfRule>
  </conditionalFormatting>
  <dataValidations>
    <dataValidation type="list" allowBlank="1" showErrorMessage="1" sqref="A4:A14">
      <formula1>Lists!$A$2:$A$12</formula1>
    </dataValidation>
    <dataValidation type="list" allowBlank="1" sqref="B4:B14">
      <formula1>Lists!$B$2:$B$9</formula1>
    </dataValidation>
  </dataValidation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9.57"/>
    <col customWidth="1" min="3" max="3" width="3.14"/>
    <col customWidth="1" min="4" max="4" width="10.86"/>
    <col customWidth="1" min="5" max="6" width="9.71"/>
    <col customWidth="1" min="7" max="7" width="10.86"/>
    <col customWidth="1" min="8" max="8" width="8.71"/>
    <col customWidth="1" min="9" max="10" width="10.86"/>
    <col customWidth="1" min="11" max="11" width="9.71"/>
    <col customWidth="1" min="12" max="12" width="8.71"/>
    <col customWidth="1" min="13" max="13" width="9.71"/>
    <col customWidth="1" min="14" max="14" width="8.71"/>
    <col customWidth="1" min="15" max="21" width="10.14"/>
    <col customWidth="1" min="22" max="22" width="11.0"/>
  </cols>
  <sheetData>
    <row r="1">
      <c r="A1" s="231" t="s">
        <v>231</v>
      </c>
      <c r="B1" s="139"/>
      <c r="C1" s="139"/>
      <c r="D1" s="141" t="s">
        <v>16</v>
      </c>
      <c r="E1" s="141" t="s">
        <v>101</v>
      </c>
      <c r="F1" s="141" t="s">
        <v>103</v>
      </c>
      <c r="G1" s="141" t="s">
        <v>14</v>
      </c>
      <c r="H1" s="75" t="s">
        <v>58</v>
      </c>
      <c r="I1" s="75" t="s">
        <v>107</v>
      </c>
      <c r="J1" s="141" t="s">
        <v>109</v>
      </c>
      <c r="K1" s="141" t="s">
        <v>111</v>
      </c>
      <c r="L1" s="141" t="s">
        <v>113</v>
      </c>
      <c r="M1" s="232" t="s">
        <v>115</v>
      </c>
      <c r="N1" s="233" t="s">
        <v>117</v>
      </c>
      <c r="O1" s="147" t="s">
        <v>119</v>
      </c>
      <c r="P1" s="147" t="s">
        <v>121</v>
      </c>
      <c r="Q1" s="147" t="s">
        <v>123</v>
      </c>
      <c r="R1" s="147" t="s">
        <v>125</v>
      </c>
      <c r="S1" s="147" t="s">
        <v>127</v>
      </c>
      <c r="T1" s="147" t="s">
        <v>129</v>
      </c>
      <c r="U1" s="147" t="s">
        <v>131</v>
      </c>
      <c r="V1" s="147" t="s">
        <v>232</v>
      </c>
    </row>
    <row r="2">
      <c r="A2" s="140" t="s">
        <v>99</v>
      </c>
      <c r="B2" s="141" t="s">
        <v>16</v>
      </c>
      <c r="C2" s="234">
        <v>2.0</v>
      </c>
      <c r="D2" s="235">
        <v>1.0</v>
      </c>
      <c r="E2" s="235">
        <f>IFERROR(__xludf.DUMMYFUNCTION("GoogleFinance(""currency:audusd"")"),0.710135)</f>
        <v>0.710135</v>
      </c>
      <c r="F2" s="235">
        <f>IFERROR(__xludf.DUMMYFUNCTION("GoogleFinance(""currency:cadusd"")"),0.746975)</f>
        <v>0.746975</v>
      </c>
      <c r="G2" s="235">
        <f>IFERROR(__xludf.DUMMYFUNCTION("GoogleFinance(""currency:eurusd"")"),1.121455)</f>
        <v>1.121455</v>
      </c>
      <c r="H2" s="235">
        <f t="shared" ref="H2:H20" si="1">I2/100</f>
        <v>0.01302635</v>
      </c>
      <c r="I2" s="235">
        <f>IFERROR(__xludf.DUMMYFUNCTION("GoogleFinance(""currency:gbpusd"")"),1.302635)</f>
        <v>1.302635</v>
      </c>
      <c r="J2" s="235">
        <f>IFERROR(__xludf.DUMMYFUNCTION("GoogleFinance(""currency:chfusd"")"),1.0001)</f>
        <v>1.0001</v>
      </c>
      <c r="K2" s="235">
        <f>IFERROR(__xludf.DUMMYFUNCTION("GoogleFinance(""currency:hkdusd"")"),0.127395)</f>
        <v>0.127395</v>
      </c>
      <c r="L2" s="235">
        <f>IFERROR(__xludf.DUMMYFUNCTION("GoogleFinance(""currency:jpyusd"")"),0.008951)</f>
        <v>0.008951</v>
      </c>
      <c r="M2" s="235">
        <f>IFERROR(__xludf.DUMMYFUNCTION("GoogleFinance(""currency:cnyusd"")"),0.14885604)</f>
        <v>0.14885604</v>
      </c>
      <c r="N2" s="236">
        <f>IFERROR(__xludf.DUMMYFUNCTION("GoogleFinance(""currency:czkusd"")"),0.043746445)</f>
        <v>0.043746445</v>
      </c>
      <c r="O2" s="236">
        <f>IFERROR(__xludf.DUMMYFUNCTION("GoogleFinance(""currency:ilsusd"")"),0.279335)</f>
        <v>0.279335</v>
      </c>
      <c r="P2" s="236">
        <f>IFERROR(__xludf.DUMMYFUNCTION("GoogleFinance(""currency:inrusd"")"),0.014446)</f>
        <v>0.014446</v>
      </c>
      <c r="Q2" s="236">
        <f>IFERROR(__xludf.DUMMYFUNCTION("GoogleFinance(""currency:sgdusd"")"),0.73795)</f>
        <v>0.73795</v>
      </c>
      <c r="R2" s="236">
        <f>IFERROR(__xludf.DUMMYFUNCTION("GoogleFinance(""currency:sekusd"")"),0.10762756)</f>
        <v>0.10762756</v>
      </c>
      <c r="S2" s="236">
        <f>IFERROR(__xludf.DUMMYFUNCTION("GoogleFinance(""currency:dkkusd"")"),0.150208)</f>
        <v>0.150208</v>
      </c>
      <c r="T2" s="236">
        <f>IFERROR(__xludf.DUMMYFUNCTION("GoogleFinance(""currency:nokusd"")"),0.11608)</f>
        <v>0.11608</v>
      </c>
      <c r="U2" s="236">
        <f>IFERROR(__xludf.DUMMYFUNCTION("GoogleFinance(""currency:rubusd"")"),0.01532)</f>
        <v>0.01532</v>
      </c>
      <c r="V2" s="236">
        <f>IFERROR(__xludf.DUMMYFUNCTION("GoogleFinance(""currency:brlusd"")"),0.25858)</f>
        <v>0.25858</v>
      </c>
    </row>
    <row r="3">
      <c r="A3" s="140" t="s">
        <v>100</v>
      </c>
      <c r="B3" s="141" t="s">
        <v>101</v>
      </c>
      <c r="C3" s="234">
        <v>3.0</v>
      </c>
      <c r="D3" s="235">
        <f>IFERROR(__xludf.DUMMYFUNCTION("GoogleFinance(""currency:usdaud"")"),1.40795)</f>
        <v>1.40795</v>
      </c>
      <c r="E3" s="235">
        <v>1.0</v>
      </c>
      <c r="F3" s="235">
        <f>IFERROR(__xludf.DUMMYFUNCTION("GoogleFinance(""currency:cadaud"")"),1.05173865)</f>
        <v>1.05173865</v>
      </c>
      <c r="G3" s="235">
        <f>IFERROR(__xludf.DUMMYFUNCTION("GoogleFinance(""currency:euraud"")"),1.579405)</f>
        <v>1.579405</v>
      </c>
      <c r="H3" s="235">
        <f t="shared" si="1"/>
        <v>0.0183453</v>
      </c>
      <c r="I3" s="235">
        <f>IFERROR(__xludf.DUMMYFUNCTION("GoogleFinance(""currency:gbpaud"")"),1.83453)</f>
        <v>1.83453</v>
      </c>
      <c r="J3" s="235">
        <f>IFERROR(__xludf.DUMMYFUNCTION("GoogleFinance(""currency:chfaud"")"),1.407995)</f>
        <v>1.407995</v>
      </c>
      <c r="K3" s="235">
        <f>IFERROR(__xludf.DUMMYFUNCTION("GoogleFinance(""currency:hkdaud"")"),0.1793657902)</f>
        <v>0.1793657902</v>
      </c>
      <c r="L3" s="235">
        <f>IFERROR(__xludf.DUMMYFUNCTION("GoogleFinance(""currency:jpyaud"")"),0.0126025604)</f>
        <v>0.0126025604</v>
      </c>
      <c r="M3" s="235">
        <f>IFERROR(__xludf.DUMMYFUNCTION("GoogleFinance(""currency:cnyaud"")"),0.2095818615)</f>
        <v>0.2095818615</v>
      </c>
      <c r="N3" s="236">
        <f>IFERROR(__xludf.DUMMYFUNCTION("GoogleFinance(""currency:czkaud"")"),0.0615985)</f>
        <v>0.0615985</v>
      </c>
      <c r="O3" s="236">
        <f>IFERROR(__xludf.DUMMYFUNCTION("GoogleFinance(""currency:ilsaud"")"),0.393665)</f>
        <v>0.393665</v>
      </c>
      <c r="P3" s="236">
        <f>IFERROR(__xludf.DUMMYFUNCTION("GoogleFinance(""currency:inraud"")"),0.0203392457)</f>
        <v>0.0203392457</v>
      </c>
      <c r="Q3" s="236">
        <f>IFERROR(__xludf.DUMMYFUNCTION("GoogleFinance(""currency:sgdaud"")"),1.038925)</f>
        <v>1.038925</v>
      </c>
      <c r="R3" s="236">
        <f>IFERROR(__xludf.DUMMYFUNCTION("GoogleFinance(""currency:sekaud"")"),0.15144)</f>
        <v>0.15144</v>
      </c>
      <c r="S3" s="236">
        <f>IFERROR(__xludf.DUMMYFUNCTION("GoogleFinance(""currency:dkkaud"")"),0.2117029629)</f>
        <v>0.2117029629</v>
      </c>
      <c r="T3" s="236">
        <f>IFERROR(__xludf.DUMMYFUNCTION("GoogleFinance(""currency:nokaud"")"),0.16346)</f>
        <v>0.16346</v>
      </c>
      <c r="U3" s="236">
        <f>IFERROR(__xludf.DUMMYFUNCTION("GoogleFinance(""currency:rubaud"")"),0.021567)</f>
        <v>0.021567</v>
      </c>
      <c r="V3" s="236">
        <f>IFERROR(__xludf.DUMMYFUNCTION("GoogleFinance(""currency:brlaud"")"),0.364067711)</f>
        <v>0.364067711</v>
      </c>
    </row>
    <row r="4">
      <c r="A4" s="140" t="s">
        <v>102</v>
      </c>
      <c r="B4" s="141" t="s">
        <v>103</v>
      </c>
      <c r="C4" s="234">
        <v>4.0</v>
      </c>
      <c r="D4" s="235">
        <f>IFERROR(__xludf.DUMMYFUNCTION("GoogleFinance(""currency:usdcad"")"),1.338635)</f>
        <v>1.338635</v>
      </c>
      <c r="E4" s="235">
        <f>IFERROR(__xludf.DUMMYFUNCTION("GoogleFinance(""currency:audcad"")"),0.950895)</f>
        <v>0.950895</v>
      </c>
      <c r="F4" s="235">
        <v>1.0</v>
      </c>
      <c r="G4" s="235">
        <f>IFERROR(__xludf.DUMMYFUNCTION("GoogleFinance(""currency:eurcad"")"),1.502603262)</f>
        <v>1.502603262</v>
      </c>
      <c r="H4" s="235">
        <f t="shared" si="1"/>
        <v>0.01743772342</v>
      </c>
      <c r="I4" s="235">
        <f>IFERROR(__xludf.DUMMYFUNCTION("GoogleFinance(""currency:gbpcad"")"),1.743772342)</f>
        <v>1.743772342</v>
      </c>
      <c r="J4" s="235">
        <f>IFERROR(__xludf.DUMMYFUNCTION("GoogleFinance(""currency:chfcad"")"),1.338545)</f>
        <v>1.338545</v>
      </c>
      <c r="K4" s="235">
        <f>IFERROR(__xludf.DUMMYFUNCTION("GoogleFinance(""currency:hkdcad"")"),0.170565)</f>
        <v>0.170565</v>
      </c>
      <c r="L4" s="235">
        <f>IFERROR(__xludf.DUMMYFUNCTION("GoogleFinance(""currency:jpycad"")"),0.011982)</f>
        <v>0.011982</v>
      </c>
      <c r="M4" s="235">
        <f>IFERROR(__xludf.DUMMYFUNCTION("GoogleFinance(""currency:cnycad"")"),0.1992639051)</f>
        <v>0.1992639051</v>
      </c>
      <c r="N4" s="236">
        <f>IFERROR(__xludf.DUMMYFUNCTION("GoogleFinance(""currency:czkcad"")"),0.058632527)</f>
        <v>0.058632527</v>
      </c>
      <c r="O4" s="236">
        <f>IFERROR(__xludf.DUMMYFUNCTION("GoogleFinance(""currency:ilscad"")"),0.3739723013)</f>
        <v>0.3739723013</v>
      </c>
      <c r="P4" s="236">
        <f>IFERROR(__xludf.DUMMYFUNCTION("GoogleFinance(""currency:inrcad"")"),0.0193402325)</f>
        <v>0.0193402325</v>
      </c>
      <c r="Q4" s="236">
        <f>IFERROR(__xludf.DUMMYFUNCTION("GoogleFinance(""currency:sgdcad"")"),0.9878165028)</f>
        <v>0.9878165028</v>
      </c>
      <c r="R4" s="236">
        <f>IFERROR(__xludf.DUMMYFUNCTION("GoogleFinance(""currency:sekcad"")"),0.1439568079)</f>
        <v>0.1439568079</v>
      </c>
      <c r="S4" s="236">
        <f>IFERROR(__xludf.DUMMYFUNCTION("GoogleFinance(""currency:dkkcad"")"),0.2013105877)</f>
        <v>0.2013105877</v>
      </c>
      <c r="T4" s="236">
        <f>IFERROR(__xludf.DUMMYFUNCTION("GoogleFinance(""currency:nokcad"")"),0.1554803421)</f>
        <v>0.1554803421</v>
      </c>
      <c r="U4" s="236">
        <f>IFERROR(__xludf.DUMMYFUNCTION("GoogleFinance(""currency:rubcad"")"),0.02048)</f>
        <v>0.02048</v>
      </c>
      <c r="V4" s="236">
        <f>IFERROR(__xludf.DUMMYFUNCTION("GoogleFinance(""currency:brlcad"")"),0.3466663059)</f>
        <v>0.3466663059</v>
      </c>
    </row>
    <row r="5">
      <c r="A5" s="140" t="s">
        <v>104</v>
      </c>
      <c r="B5" s="141" t="s">
        <v>14</v>
      </c>
      <c r="C5" s="234">
        <v>5.0</v>
      </c>
      <c r="D5" s="235">
        <f>IFERROR(__xludf.DUMMYFUNCTION("GoogleFinance(""currency:usdeur"")"),0.89099)</f>
        <v>0.89099</v>
      </c>
      <c r="E5" s="235">
        <f>IFERROR(__xludf.DUMMYFUNCTION("GoogleFinance(""currency:audeur"")"),0.63283)</f>
        <v>0.63283</v>
      </c>
      <c r="F5" s="235">
        <f>IFERROR(__xludf.DUMMYFUNCTION("GoogleFinance(""currency:cadeur"")"),0.666)</f>
        <v>0.666</v>
      </c>
      <c r="G5" s="235">
        <v>1.0</v>
      </c>
      <c r="H5" s="235">
        <f t="shared" si="1"/>
        <v>0.0116153</v>
      </c>
      <c r="I5" s="235">
        <f>IFERROR(__xludf.DUMMYFUNCTION("GoogleFinance(""currency:gbpeur"")"),1.16153)</f>
        <v>1.16153</v>
      </c>
      <c r="J5" s="235">
        <f>IFERROR(__xludf.DUMMYFUNCTION("GoogleFinance(""currency:chfeur"")"),0.891465)</f>
        <v>0.891465</v>
      </c>
      <c r="K5" s="235">
        <f>IFERROR(__xludf.DUMMYFUNCTION("GoogleFinance(""currency:hkdeur"")"),0.113507671)</f>
        <v>0.113507671</v>
      </c>
      <c r="L5" s="235">
        <f>IFERROR(__xludf.DUMMYFUNCTION("GoogleFinance(""currency:jpyeur"")"),0.007982)</f>
        <v>0.007982</v>
      </c>
      <c r="M5" s="235">
        <f>IFERROR(__xludf.DUMMYFUNCTION("GoogleFinance(""currency:cnyeur"")"),0.1327334423)</f>
        <v>0.1327334423</v>
      </c>
      <c r="N5" s="236">
        <f>IFERROR(__xludf.DUMMYFUNCTION("GoogleFinance(""currency:czkeur"")"),0.039020907)</f>
        <v>0.039020907</v>
      </c>
      <c r="O5" s="236">
        <f>IFERROR(__xludf.DUMMYFUNCTION("GoogleFinance(""currency:ilseur"")"),0.2488846916)</f>
        <v>0.2488846916</v>
      </c>
      <c r="P5" s="236">
        <f>IFERROR(__xludf.DUMMYFUNCTION("GoogleFinance(""currency:inreur"")"),0.0128712415)</f>
        <v>0.0128712415</v>
      </c>
      <c r="Q5" s="236">
        <f>IFERROR(__xludf.DUMMYFUNCTION("GoogleFinance(""currency:sgdeur"")"),0.6574080616)</f>
        <v>0.6574080616</v>
      </c>
      <c r="R5" s="236">
        <f>IFERROR(__xludf.DUMMYFUNCTION("GoogleFinance(""currency:sekeur"")"),0.09589)</f>
        <v>0.09589</v>
      </c>
      <c r="S5" s="236">
        <f>IFERROR(__xludf.DUMMYFUNCTION("GoogleFinance(""currency:dkkeur"")"),0.13394)</f>
        <v>0.13394</v>
      </c>
      <c r="T5" s="236">
        <f>IFERROR(__xludf.DUMMYFUNCTION("GoogleFinance(""currency:nokeur"")"),0.1035170001)</f>
        <v>0.1035170001</v>
      </c>
      <c r="U5" s="236">
        <f>IFERROR(__xludf.DUMMYFUNCTION("GoogleFinance(""currency:rubeur"")"),0.0136305779)</f>
        <v>0.0136305779</v>
      </c>
      <c r="V5" s="236">
        <f>IFERROR(__xludf.DUMMYFUNCTION("GoogleFinance(""currency:brleur"")"),0.2309209593)</f>
        <v>0.2309209593</v>
      </c>
    </row>
    <row r="6">
      <c r="A6" s="143" t="s">
        <v>105</v>
      </c>
      <c r="B6" s="75" t="s">
        <v>58</v>
      </c>
      <c r="C6" s="234">
        <v>6.0</v>
      </c>
      <c r="D6" s="235">
        <f t="shared" ref="D6:G6" si="2">D7*100</f>
        <v>76.776</v>
      </c>
      <c r="E6" s="235">
        <f t="shared" si="2"/>
        <v>54.52132476</v>
      </c>
      <c r="F6" s="235">
        <f t="shared" si="2"/>
        <v>57.31128338</v>
      </c>
      <c r="G6" s="235">
        <f t="shared" si="2"/>
        <v>86.089</v>
      </c>
      <c r="H6" s="235">
        <f t="shared" si="1"/>
        <v>1</v>
      </c>
      <c r="I6" s="235">
        <f t="shared" ref="I6:V6" si="3">I7*100</f>
        <v>100</v>
      </c>
      <c r="J6" s="235">
        <f t="shared" si="3"/>
        <v>76.7736766</v>
      </c>
      <c r="K6" s="235">
        <f t="shared" si="3"/>
        <v>9.7795</v>
      </c>
      <c r="L6" s="235">
        <f t="shared" si="3"/>
        <v>0.68713246</v>
      </c>
      <c r="M6" s="235">
        <f t="shared" si="3"/>
        <v>11.42857132</v>
      </c>
      <c r="N6" s="236">
        <f t="shared" si="3"/>
        <v>3.3619</v>
      </c>
      <c r="O6" s="236">
        <f t="shared" si="3"/>
        <v>21.44343061</v>
      </c>
      <c r="P6" s="236">
        <f t="shared" si="3"/>
        <v>1.109</v>
      </c>
      <c r="Q6" s="236">
        <f t="shared" si="3"/>
        <v>56.6395</v>
      </c>
      <c r="R6" s="236">
        <f t="shared" si="3"/>
        <v>8.26213727</v>
      </c>
      <c r="S6" s="236">
        <f t="shared" si="3"/>
        <v>11.5315</v>
      </c>
      <c r="T6" s="236">
        <f t="shared" si="3"/>
        <v>8.91614981</v>
      </c>
      <c r="U6" s="236">
        <f t="shared" si="3"/>
        <v>1.17435</v>
      </c>
      <c r="V6" s="236">
        <f t="shared" si="3"/>
        <v>19.88268072</v>
      </c>
    </row>
    <row r="7">
      <c r="A7" s="143" t="s">
        <v>106</v>
      </c>
      <c r="B7" s="75" t="s">
        <v>107</v>
      </c>
      <c r="C7" s="237">
        <v>7.0</v>
      </c>
      <c r="D7" s="235">
        <f>IFERROR(__xludf.DUMMYFUNCTION("GoogleFinance(""currency:usdgbp"")"),0.76776)</f>
        <v>0.76776</v>
      </c>
      <c r="E7" s="235">
        <f>IFERROR(__xludf.DUMMYFUNCTION("GoogleFinance(""currency:audgbp"")"),0.5452132476)</f>
        <v>0.5452132476</v>
      </c>
      <c r="F7" s="235">
        <f>IFERROR(__xludf.DUMMYFUNCTION("GoogleFinance(""currency:cadgbp"")"),0.5731128338)</f>
        <v>0.5731128338</v>
      </c>
      <c r="G7" s="235">
        <f>IFERROR(__xludf.DUMMYFUNCTION("GoogleFinance(""currency:eurgbp"")"),0.86089)</f>
        <v>0.86089</v>
      </c>
      <c r="H7" s="235">
        <f t="shared" si="1"/>
        <v>0.01</v>
      </c>
      <c r="I7" s="238">
        <v>1.0</v>
      </c>
      <c r="J7" s="235">
        <f>IFERROR(__xludf.DUMMYFUNCTION("GoogleFinance(""currency:chfgbp"")"),0.767736766)</f>
        <v>0.767736766</v>
      </c>
      <c r="K7" s="235">
        <f>IFERROR(__xludf.DUMMYFUNCTION("GoogleFinance(""currency:hkdgbp"")"),0.097795)</f>
        <v>0.097795</v>
      </c>
      <c r="L7" s="235">
        <f>IFERROR(__xludf.DUMMYFUNCTION("GoogleFinance(""currency:jpygbp"")"),0.0068713246)</f>
        <v>0.0068713246</v>
      </c>
      <c r="M7" s="235">
        <f>IFERROR(__xludf.DUMMYFUNCTION("GoogleFinance(""currency:cnygbp"")"),0.1142857132)</f>
        <v>0.1142857132</v>
      </c>
      <c r="N7" s="236">
        <f>IFERROR(__xludf.DUMMYFUNCTION("GoogleFinance(""currency:czkgbp"")"),0.033619)</f>
        <v>0.033619</v>
      </c>
      <c r="O7" s="236">
        <f>IFERROR(__xludf.DUMMYFUNCTION("GoogleFinance(""currency:ilsgbp"")"),0.2144343061)</f>
        <v>0.2144343061</v>
      </c>
      <c r="P7" s="236">
        <f>IFERROR(__xludf.DUMMYFUNCTION("GoogleFinance(""currency:inrgbp"")"),0.01109)</f>
        <v>0.01109</v>
      </c>
      <c r="Q7" s="236">
        <f>IFERROR(__xludf.DUMMYFUNCTION("GoogleFinance(""currency:sgdgbp"")"),0.566395)</f>
        <v>0.566395</v>
      </c>
      <c r="R7" s="236">
        <f>IFERROR(__xludf.DUMMYFUNCTION("GoogleFinance(""currency:sekgbp"")"),0.0826213727)</f>
        <v>0.0826213727</v>
      </c>
      <c r="S7" s="236">
        <f>IFERROR(__xludf.DUMMYFUNCTION("GoogleFinance(""currency:dkkgbp"")"),0.115315)</f>
        <v>0.115315</v>
      </c>
      <c r="T7" s="236">
        <f>IFERROR(__xludf.DUMMYFUNCTION("GoogleFinance(""currency:nokgbp"")"),0.0891614981)</f>
        <v>0.0891614981</v>
      </c>
      <c r="U7" s="236">
        <f>IFERROR(__xludf.DUMMYFUNCTION("GoogleFinance(""currency:rubgbp"")"),0.0117435)</f>
        <v>0.0117435</v>
      </c>
      <c r="V7" s="236">
        <f>IFERROR(__xludf.DUMMYFUNCTION("GoogleFinance(""currency:brlgbp"")"),0.1988268072)</f>
        <v>0.1988268072</v>
      </c>
    </row>
    <row r="8">
      <c r="A8" s="140" t="s">
        <v>108</v>
      </c>
      <c r="B8" s="141" t="s">
        <v>109</v>
      </c>
      <c r="C8" s="237">
        <v>8.0</v>
      </c>
      <c r="D8" s="235">
        <f>IFERROR(__xludf.DUMMYFUNCTION("GoogleFinance(""currency:usdchf"")"),0.9999)</f>
        <v>0.9999</v>
      </c>
      <c r="E8" s="235">
        <f>IFERROR(__xludf.DUMMYFUNCTION("GoogleFinance(""currency:audchf"")"),0.7101139815)</f>
        <v>0.7101139815</v>
      </c>
      <c r="F8" s="235">
        <f>IFERROR(__xludf.DUMMYFUNCTION("GoogleFinance(""currency:cadchf"")"),0.7468377587)</f>
        <v>0.7468377587</v>
      </c>
      <c r="G8" s="235">
        <f>IFERROR(__xludf.DUMMYFUNCTION("GoogleFinance(""currency:eurchf"")"),1.122242764)</f>
        <v>1.122242764</v>
      </c>
      <c r="H8" s="235">
        <f t="shared" si="1"/>
        <v>0.01302995547</v>
      </c>
      <c r="I8" s="235">
        <f>IFERROR(__xludf.DUMMYFUNCTION("GoogleFinance(""currency:gbpchf"")"),1.302995547)</f>
        <v>1.302995547</v>
      </c>
      <c r="J8" s="235">
        <v>1.0</v>
      </c>
      <c r="K8" s="235">
        <f>IFERROR(__xludf.DUMMYFUNCTION("GoogleFinance(""currency:hkdchf"")"),0.127395)</f>
        <v>0.127395</v>
      </c>
      <c r="L8" s="235">
        <f>IFERROR(__xludf.DUMMYFUNCTION("GoogleFinance(""currency:jpychf"")"),0.0089501049)</f>
        <v>0.0089501049</v>
      </c>
      <c r="M8" s="235">
        <f>IFERROR(__xludf.DUMMYFUNCTION("GoogleFinance(""currency:cnychf"")"),0.1488411543)</f>
        <v>0.1488411543</v>
      </c>
      <c r="N8" s="236">
        <f>IFERROR(__xludf.DUMMYFUNCTION("GoogleFinance(""currency:czkchf"")"),0.0437551942)</f>
        <v>0.0437551942</v>
      </c>
      <c r="O8" s="236">
        <f>IFERROR(__xludf.DUMMYFUNCTION("GoogleFinance(""currency:ilschf"")"),0.279585)</f>
        <v>0.279585</v>
      </c>
      <c r="P8" s="236">
        <f>IFERROR(__xludf.DUMMYFUNCTION("GoogleFinance(""currency:inrchf"")"),0.0144445554)</f>
        <v>0.0144445554</v>
      </c>
      <c r="Q8" s="236">
        <f>IFERROR(__xludf.DUMMYFUNCTION("GoogleFinance(""currency:sgdchf"")"),0.737766216)</f>
        <v>0.737766216</v>
      </c>
      <c r="R8" s="236">
        <f>IFERROR(__xludf.DUMMYFUNCTION("GoogleFinance(""currency:sekchf"")"),0.107561508)</f>
        <v>0.107561508</v>
      </c>
      <c r="S8" s="236">
        <f>IFERROR(__xludf.DUMMYFUNCTION("GoogleFinance(""currency:dkkchf"")"),0.1503315053)</f>
        <v>0.1503315053</v>
      </c>
      <c r="T8" s="236">
        <f>IFERROR(__xludf.DUMMYFUNCTION("GoogleFinance(""currency:nokchf"")"),0.116105)</f>
        <v>0.116105</v>
      </c>
      <c r="U8" s="236">
        <f>IFERROR(__xludf.DUMMYFUNCTION("GoogleFinance(""currency:rubchf"")"),0.0152965)</f>
        <v>0.0152965</v>
      </c>
      <c r="V8" s="236">
        <f>IFERROR(__xludf.DUMMYFUNCTION("GoogleFinance(""currency:brlchf"")"),0.258554142)</f>
        <v>0.258554142</v>
      </c>
    </row>
    <row r="9">
      <c r="A9" s="140" t="s">
        <v>110</v>
      </c>
      <c r="B9" s="141" t="s">
        <v>111</v>
      </c>
      <c r="C9" s="237">
        <v>9.0</v>
      </c>
      <c r="D9" s="235">
        <f>IFERROR(__xludf.DUMMYFUNCTION("GoogleFinance(""currency:usdhkd"")"),7.84945)</f>
        <v>7.84945</v>
      </c>
      <c r="E9" s="235">
        <f>IFERROR(__xludf.DUMMYFUNCTION("GoogleFinance(""currency:audhkd"")"),5.574561648)</f>
        <v>5.574561648</v>
      </c>
      <c r="F9" s="235">
        <f>IFERROR(__xludf.DUMMYFUNCTION("GoogleFinance(""currency:cadhkd"")"),5.863716401)</f>
        <v>5.863716401</v>
      </c>
      <c r="G9" s="235">
        <f>IFERROR(__xludf.DUMMYFUNCTION("GoogleFinance(""currency:eurhkd"")"),8.803365677)</f>
        <v>8.803365677</v>
      </c>
      <c r="H9" s="235">
        <f t="shared" si="1"/>
        <v>0.1022516453</v>
      </c>
      <c r="I9" s="235">
        <f>IFERROR(__xludf.DUMMYFUNCTION("GoogleFinance(""currency:gbphkd"")"),10.22516453)</f>
        <v>10.22516453</v>
      </c>
      <c r="J9" s="235">
        <f>IFERROR(__xludf.DUMMYFUNCTION("GoogleFinance(""currency:chfhkd"")"),7.848890256)</f>
        <v>7.848890256</v>
      </c>
      <c r="K9" s="235">
        <v>1.0</v>
      </c>
      <c r="L9" s="235">
        <f>IFERROR(__xludf.DUMMYFUNCTION("GoogleFinance(""currency:jpyhkd"")"),0.0702649024)</f>
        <v>0.0702649024</v>
      </c>
      <c r="M9" s="235">
        <f>IFERROR(__xludf.DUMMYFUNCTION("GoogleFinance(""currency:cnyhkd"")"),1.168512471)</f>
        <v>1.168512471</v>
      </c>
      <c r="N9" s="236">
        <f>IFERROR(__xludf.DUMMYFUNCTION("GoogleFinance(""currency:czkhkd"")"),0.343755)</f>
        <v>0.343755</v>
      </c>
      <c r="O9" s="236">
        <f>IFERROR(__xludf.DUMMYFUNCTION("GoogleFinance(""currency:ilshkd"")"),2.192626115)</f>
        <v>2.192626115</v>
      </c>
      <c r="P9" s="236">
        <f>IFERROR(__xludf.DUMMYFUNCTION("GoogleFinance(""currency:inrhkd"")"),0.1133931547)</f>
        <v>0.1133931547</v>
      </c>
      <c r="Q9" s="236">
        <f>IFERROR(__xludf.DUMMYFUNCTION("GoogleFinance(""currency:sgdhkd"")"),5.791638188)</f>
        <v>5.791638188</v>
      </c>
      <c r="R9" s="236">
        <f>IFERROR(__xludf.DUMMYFUNCTION("GoogleFinance(""currency:sekhkd"")"),0.8441760952)</f>
        <v>0.8441760952</v>
      </c>
      <c r="S9" s="236">
        <f>IFERROR(__xludf.DUMMYFUNCTION("GoogleFinance(""currency:dkkhkd"")"),1.179125289)</f>
        <v>1.179125289</v>
      </c>
      <c r="T9" s="236">
        <f>IFERROR(__xludf.DUMMYFUNCTION("GoogleFinance(""currency:nokhkd"")"),0.9119647999)</f>
        <v>0.9119647999</v>
      </c>
      <c r="U9" s="236">
        <f>IFERROR(__xludf.DUMMYFUNCTION("GoogleFinance(""currency:rubhkd"")"),0.1200827621)</f>
        <v>0.1200827621</v>
      </c>
      <c r="V9" s="236">
        <f>IFERROR(__xludf.DUMMYFUNCTION("GoogleFinance(""currency:brlhkd"")"),2.032883423)</f>
        <v>2.032883423</v>
      </c>
    </row>
    <row r="10">
      <c r="A10" s="140" t="s">
        <v>112</v>
      </c>
      <c r="B10" s="141" t="s">
        <v>113</v>
      </c>
      <c r="C10" s="237">
        <v>10.0</v>
      </c>
      <c r="D10" s="235">
        <f>IFERROR(__xludf.DUMMYFUNCTION("GoogleFinance(""currency:usdjpy"")"),111.7105)</f>
        <v>111.7105</v>
      </c>
      <c r="E10" s="235">
        <f>IFERROR(__xludf.DUMMYFUNCTION("GoogleFinance(""currency:audjpy"")"),79.343)</f>
        <v>79.343</v>
      </c>
      <c r="F10" s="235">
        <f>IFERROR(__xludf.DUMMYFUNCTION("GoogleFinance(""currency:cadjpy"")"),83.43958497)</f>
        <v>83.43958497</v>
      </c>
      <c r="G10" s="235">
        <f>IFERROR(__xludf.DUMMYFUNCTION("GoogleFinance(""currency:eurjpy"")"),125.3788382)</f>
        <v>125.3788382</v>
      </c>
      <c r="H10" s="235">
        <f t="shared" si="1"/>
        <v>1.455415542</v>
      </c>
      <c r="I10" s="235">
        <f>IFERROR(__xludf.DUMMYFUNCTION("GoogleFinance(""currency:gbpjpy"")"),145.5415542)</f>
        <v>145.5415542</v>
      </c>
      <c r="J10" s="235">
        <f>IFERROR(__xludf.DUMMYFUNCTION("GoogleFinance(""currency:chfjpy"")"),111.721671)</f>
        <v>111.721671</v>
      </c>
      <c r="K10" s="235">
        <f>IFERROR(__xludf.DUMMYFUNCTION("GoogleFinance(""currency:hkdjpy"")"),14.23135914)</f>
        <v>14.23135914</v>
      </c>
      <c r="L10" s="235">
        <v>1.0</v>
      </c>
      <c r="M10" s="235">
        <f>IFERROR(__xludf.DUMMYFUNCTION("GoogleFinance(""currency:cnyjpy"")"),16.62878265)</f>
        <v>16.62878265</v>
      </c>
      <c r="N10" s="236">
        <f>IFERROR(__xludf.DUMMYFUNCTION("GoogleFinance(""currency:czkjpy"")"),4.887352835)</f>
        <v>4.887352835</v>
      </c>
      <c r="O10" s="236">
        <f>IFERROR(__xludf.DUMMYFUNCTION("GoogleFinance(""currency:ilsjpy"")"),31.20465251)</f>
        <v>31.20465251</v>
      </c>
      <c r="P10" s="236">
        <f>IFERROR(__xludf.DUMMYFUNCTION("GoogleFinance(""currency:inrjpy"")"),1.61513604)</f>
        <v>1.61513604</v>
      </c>
      <c r="Q10" s="236">
        <f>IFERROR(__xludf.DUMMYFUNCTION("GoogleFinance(""currency:sgdjpy"")"),82.42447532)</f>
        <v>82.42447532</v>
      </c>
      <c r="R10" s="236">
        <f>IFERROR(__xludf.DUMMYFUNCTION("GoogleFinance(""currency:sekjpy"")"),12.01426126)</f>
        <v>12.01426126</v>
      </c>
      <c r="S10" s="236">
        <f>IFERROR(__xludf.DUMMYFUNCTION("GoogleFinance(""currency:dkkjpy"")"),16.79757275)</f>
        <v>16.79757275</v>
      </c>
      <c r="T10" s="236">
        <f>IFERROR(__xludf.DUMMYFUNCTION("GoogleFinance(""currency:nokjpy"")"),12.97874931)</f>
        <v>12.97874931</v>
      </c>
      <c r="U10" s="236">
        <f>IFERROR(__xludf.DUMMYFUNCTION("GoogleFinance(""currency:rubjpy"")"),1.70885)</f>
        <v>1.70885</v>
      </c>
      <c r="V10" s="236">
        <f>IFERROR(__xludf.DUMMYFUNCTION("GoogleFinance(""currency:brljpy"")"),28.88610109)</f>
        <v>28.88610109</v>
      </c>
    </row>
    <row r="11">
      <c r="A11" s="140" t="s">
        <v>114</v>
      </c>
      <c r="B11" s="141" t="s">
        <v>115</v>
      </c>
      <c r="C11" s="237">
        <v>11.0</v>
      </c>
      <c r="D11" s="235">
        <f>IFERROR(__xludf.DUMMYFUNCTION("GoogleFinance(""currency:usdcny"")"),6.7179)</f>
        <v>6.7179</v>
      </c>
      <c r="E11" s="235">
        <f>IFERROR(__xludf.DUMMYFUNCTION("GoogleFinance(""currency:audcny"")"),4.77155)</f>
        <v>4.77155</v>
      </c>
      <c r="F11" s="235">
        <f>IFERROR(__xludf.DUMMYFUNCTION("GoogleFinance(""currency:cadcny"")"),5.0199)</f>
        <v>5.0199</v>
      </c>
      <c r="G11" s="235">
        <f>IFERROR(__xludf.DUMMYFUNCTION("GoogleFinance(""currency:eurcny"")"),7.539868654)</f>
        <v>7.539868654</v>
      </c>
      <c r="H11" s="235">
        <f t="shared" si="1"/>
        <v>0.08750971666</v>
      </c>
      <c r="I11" s="235">
        <f>IFERROR(__xludf.DUMMYFUNCTION("GoogleFinance(""currency:gbpcny"")"),8.750971666)</f>
        <v>8.750971666</v>
      </c>
      <c r="J11" s="235">
        <f>IFERROR(__xludf.DUMMYFUNCTION("GoogleFinance(""currency:chfcny"")"),6.71785)</f>
        <v>6.71785</v>
      </c>
      <c r="K11" s="235">
        <f>IFERROR(__xludf.DUMMYFUNCTION("GoogleFinance(""currency:hkdcny"")"),0.855865)</f>
        <v>0.855865</v>
      </c>
      <c r="L11" s="235">
        <f>IFERROR(__xludf.DUMMYFUNCTION("GoogleFinance(""currency:jpycny"")"),0.0601319229)</f>
        <v>0.0601319229</v>
      </c>
      <c r="M11" s="235">
        <v>1.0</v>
      </c>
      <c r="N11" s="236">
        <f>IFERROR(__xludf.DUMMYFUNCTION("GoogleFinance(""currency:czkcny"")"),0.2938842428)</f>
        <v>0.2938842428</v>
      </c>
      <c r="O11" s="236">
        <f>IFERROR(__xludf.DUMMYFUNCTION("GoogleFinance(""currency:ilscny"")"),1.877955355)</f>
        <v>1.877955355</v>
      </c>
      <c r="P11" s="236">
        <f>IFERROR(__xludf.DUMMYFUNCTION("GoogleFinance(""currency:inrcny"")"),0.097205)</f>
        <v>0.097205</v>
      </c>
      <c r="Q11" s="236">
        <f>IFERROR(__xludf.DUMMYFUNCTION("GoogleFinance(""currency:sgdcny"")"),4.959)</f>
        <v>4.959</v>
      </c>
      <c r="R11" s="236">
        <f>IFERROR(__xludf.DUMMYFUNCTION("GoogleFinance(""currency:sekcny"")"),0.722442966)</f>
        <v>0.722442966</v>
      </c>
      <c r="S11" s="236">
        <f>IFERROR(__xludf.DUMMYFUNCTION("GoogleFinance(""currency:dkkcny"")"),1.0101)</f>
        <v>1.0101</v>
      </c>
      <c r="T11" s="236">
        <f>IFERROR(__xludf.DUMMYFUNCTION("GoogleFinance(""currency:nokcny"")"),0.779813832)</f>
        <v>0.779813832</v>
      </c>
      <c r="U11" s="236">
        <f>IFERROR(__xludf.DUMMYFUNCTION("GoogleFinance(""currency:rubcny"")"),0.102918228)</f>
        <v>0.102918228</v>
      </c>
      <c r="V11" s="236">
        <f>IFERROR(__xludf.DUMMYFUNCTION("GoogleFinance(""currency:brlcny"")"),1.737114582)</f>
        <v>1.737114582</v>
      </c>
    </row>
    <row r="12">
      <c r="A12" s="144" t="s">
        <v>116</v>
      </c>
      <c r="B12" s="145" t="s">
        <v>117</v>
      </c>
      <c r="C12" s="239">
        <v>12.0</v>
      </c>
      <c r="D12" s="240">
        <f>IFERROR(__xludf.DUMMYFUNCTION("GoogleFinance(""currency:usdczk"")"),22.862)</f>
        <v>22.862</v>
      </c>
      <c r="E12" s="240">
        <f>IFERROR(__xludf.DUMMYFUNCTION("GoogleFinance(""currency:audczk"")"),16.21714549)</f>
        <v>16.21714549</v>
      </c>
      <c r="F12" s="240">
        <f>IFERROR(__xludf.DUMMYFUNCTION("GoogleFinance(""currency:cadczk"")"),17.0755)</f>
        <v>17.0755</v>
      </c>
      <c r="G12" s="240">
        <f>IFERROR(__xludf.DUMMYFUNCTION("GoogleFinance(""currency:eurczk"")"),25.63845)</f>
        <v>25.63845</v>
      </c>
      <c r="H12" s="240">
        <f t="shared" si="1"/>
        <v>0.2978312757</v>
      </c>
      <c r="I12" s="240">
        <f>IFERROR(__xludf.DUMMYFUNCTION("GoogleFinance(""currency:gbpczk"")"),29.78312757)</f>
        <v>29.78312757</v>
      </c>
      <c r="J12" s="240">
        <f>IFERROR(__xludf.DUMMYFUNCTION("GoogleFinance(""currency:chfczk"")"),22.83738351)</f>
        <v>22.83738351</v>
      </c>
      <c r="K12" s="240">
        <f>IFERROR(__xludf.DUMMYFUNCTION("GoogleFinance(""currency:hkdczk"")"),2.908975648)</f>
        <v>2.908975648</v>
      </c>
      <c r="L12" s="240">
        <f>IFERROR(__xludf.DUMMYFUNCTION("GoogleFinance(""currency:jpyczk"")"),0.2043898193)</f>
        <v>0.2043898193</v>
      </c>
      <c r="M12" s="240">
        <f>IFERROR(__xludf.DUMMYFUNCTION("GoogleFinance(""currency:cnyczk"")"),3.399023474)</f>
        <v>3.399023474</v>
      </c>
      <c r="N12" s="236">
        <v>1.0</v>
      </c>
      <c r="O12" s="236">
        <f>IFERROR(__xludf.DUMMYFUNCTION("GoogleFinance(""currency:ilsczk"")"),6.37841919)</f>
        <v>6.37841919</v>
      </c>
      <c r="P12" s="236">
        <f>IFERROR(__xludf.DUMMYFUNCTION("GoogleFinance(""currency:inrczk"")"),0.3298758546)</f>
        <v>0.3298758546</v>
      </c>
      <c r="Q12" s="236">
        <f>IFERROR(__xludf.DUMMYFUNCTION("GoogleFinance(""currency:sgdczk"")"),16.869)</f>
        <v>16.869</v>
      </c>
      <c r="R12" s="236">
        <f>IFERROR(__xludf.DUMMYFUNCTION("GoogleFinance(""currency:sekczk"")"),2.457686095)</f>
        <v>2.457686095</v>
      </c>
      <c r="S12" s="236">
        <f>IFERROR(__xludf.DUMMYFUNCTION("GoogleFinance(""currency:dkkczk"")"),3.433525188)</f>
        <v>3.433525188</v>
      </c>
      <c r="T12" s="236">
        <f>IFERROR(__xludf.DUMMYFUNCTION("GoogleFinance(""currency:nokczk"")"),2.652231099)</f>
        <v>2.652231099</v>
      </c>
      <c r="U12" s="236">
        <f>IFERROR(__xludf.DUMMYFUNCTION("GoogleFinance(""currency:rubczk"")"),0.350239712)</f>
        <v>0.350239712</v>
      </c>
      <c r="V12" s="236">
        <f>IFERROR(__xludf.DUMMYFUNCTION("GoogleFinance(""currency:brlczk"")"),5.904493294)</f>
        <v>5.904493294</v>
      </c>
    </row>
    <row r="13">
      <c r="A13" s="146" t="s">
        <v>118</v>
      </c>
      <c r="B13" s="147" t="s">
        <v>119</v>
      </c>
      <c r="C13" s="241">
        <v>13.0</v>
      </c>
      <c r="D13" s="240">
        <f>IFERROR(__xludf.DUMMYFUNCTION("GoogleFinance(""currency:usdils"")"),3.57992)</f>
        <v>3.57992</v>
      </c>
      <c r="E13" s="240">
        <f>IFERROR(__xludf.DUMMYFUNCTION("GoogleFinance(""currency:audils"")"),2.5424)</f>
        <v>2.5424</v>
      </c>
      <c r="F13" s="240">
        <f>IFERROR(__xludf.DUMMYFUNCTION("GoogleFinance(""currency:cadils"")"),2.67225)</f>
        <v>2.67225</v>
      </c>
      <c r="G13" s="240">
        <f>IFERROR(__xludf.DUMMYFUNCTION("GoogleFinance(""currency:eurils"")"),4.011724898)</f>
        <v>4.011724898</v>
      </c>
      <c r="H13" s="240">
        <f t="shared" si="1"/>
        <v>0.04663329089</v>
      </c>
      <c r="I13" s="240">
        <f>IFERROR(__xludf.DUMMYFUNCTION("GoogleFinance(""currency:gbpils"")"),4.663329089)</f>
        <v>4.663329089</v>
      </c>
      <c r="J13" s="240">
        <f>IFERROR(__xludf.DUMMYFUNCTION("GoogleFinance(""currency:chfils"")"),3.580277992)</f>
        <v>3.580277992</v>
      </c>
      <c r="K13" s="240">
        <f>IFERROR(__xludf.DUMMYFUNCTION("GoogleFinance(""currency:hkdils"")"),0.4556879912)</f>
        <v>0.4556879912</v>
      </c>
      <c r="L13" s="240">
        <f>IFERROR(__xludf.DUMMYFUNCTION("GoogleFinance(""currency:jpyils"")"),0.0320199647)</f>
        <v>0.0320199647</v>
      </c>
      <c r="M13" s="240">
        <f>IFERROR(__xludf.DUMMYFUNCTION("GoogleFinance(""currency:cnyils"")"),0.532495269)</f>
        <v>0.532495269</v>
      </c>
      <c r="N13" s="236">
        <f>IFERROR(__xludf.DUMMYFUNCTION("GoogleFinance(""currency:czkils"")"),0.1567825964)</f>
        <v>0.1567825964</v>
      </c>
      <c r="O13" s="242">
        <v>1.0</v>
      </c>
      <c r="P13" s="236">
        <f>IFERROR(__xludf.DUMMYFUNCTION("GoogleFinance(""currency:inrils"")"),0.0517155243)</f>
        <v>0.0517155243</v>
      </c>
      <c r="Q13" s="236">
        <f>IFERROR(__xludf.DUMMYFUNCTION("GoogleFinance(""currency:sgdils"")"),2.641408172)</f>
        <v>2.641408172</v>
      </c>
      <c r="R13" s="236">
        <f>IFERROR(__xludf.DUMMYFUNCTION("GoogleFinance(""currency:sekils"")"),0.3852980545)</f>
        <v>0.3852980545</v>
      </c>
      <c r="S13" s="236">
        <f>IFERROR(__xludf.DUMMYFUNCTION("GoogleFinance(""currency:dkkils"")"),0.537331568)</f>
        <v>0.537331568</v>
      </c>
      <c r="T13" s="236">
        <f>IFERROR(__xludf.DUMMYFUNCTION("GoogleFinance(""currency:nokils"")"),0.4157973978)</f>
        <v>0.4157973978</v>
      </c>
      <c r="U13" s="236">
        <f>IFERROR(__xludf.DUMMYFUNCTION("GoogleFinance(""currency:rubils"")"),0.0547664717)</f>
        <v>0.0547664717</v>
      </c>
      <c r="V13" s="236">
        <f>IFERROR(__xludf.DUMMYFUNCTION("GoogleFinance(""currency:brlils"")"),0.9264004325)</f>
        <v>0.9264004325</v>
      </c>
    </row>
    <row r="14">
      <c r="A14" s="146" t="s">
        <v>120</v>
      </c>
      <c r="B14" s="147" t="s">
        <v>121</v>
      </c>
      <c r="C14" s="241">
        <v>14.0</v>
      </c>
      <c r="D14" s="240">
        <f>IFERROR(__xludf.DUMMYFUNCTION("GoogleFinance(""currency:usdinr"")"),69.2205)</f>
        <v>69.2205</v>
      </c>
      <c r="E14" s="240">
        <f>IFERROR(__xludf.DUMMYFUNCTION("GoogleFinance(""currency:audinr"")"),49.15936079)</f>
        <v>49.15936079</v>
      </c>
      <c r="F14" s="240">
        <f>IFERROR(__xludf.DUMMYFUNCTION("GoogleFinance(""currency:cadinr"")"),51.708)</f>
        <v>51.708</v>
      </c>
      <c r="G14" s="240">
        <f>IFERROR(__xludf.DUMMYFUNCTION("GoogleFinance(""currency:eurinr"")"),77.68997427)</f>
        <v>77.68997427</v>
      </c>
      <c r="H14" s="240">
        <f t="shared" si="1"/>
        <v>0.90091</v>
      </c>
      <c r="I14" s="240">
        <f>IFERROR(__xludf.DUMMYFUNCTION("GoogleFinance(""currency:gbpinr"")"),90.091)</f>
        <v>90.091</v>
      </c>
      <c r="J14" s="240">
        <f>IFERROR(__xludf.DUMMYFUNCTION("GoogleFinance(""currency:chfinr"")"),69.22742205)</f>
        <v>69.22742205</v>
      </c>
      <c r="K14" s="240">
        <f>IFERROR(__xludf.DUMMYFUNCTION("GoogleFinance(""currency:hkdinr"")"),8.8194)</f>
        <v>8.8194</v>
      </c>
      <c r="L14" s="240">
        <f>IFERROR(__xludf.DUMMYFUNCTION("GoogleFinance(""currency:jpyinr"")"),0.6195926955)</f>
        <v>0.6195926955</v>
      </c>
      <c r="M14" s="240">
        <f>IFERROR(__xludf.DUMMYFUNCTION("GoogleFinance(""currency:cnyinr"")"),10.29664022)</f>
        <v>10.29664022</v>
      </c>
      <c r="N14" s="236">
        <f>IFERROR(__xludf.DUMMYFUNCTION("GoogleFinance(""currency:czkinr"")"),3.026020344)</f>
        <v>3.026020344</v>
      </c>
      <c r="O14" s="236">
        <f>IFERROR(__xludf.DUMMYFUNCTION("GoogleFinance(""currency:ilsinr"")"),19.33570836)</f>
        <v>19.33570836</v>
      </c>
      <c r="P14" s="242">
        <v>1.0</v>
      </c>
      <c r="Q14" s="236">
        <f>IFERROR(__xludf.DUMMYFUNCTION("GoogleFinance(""currency:sgdinr"")"),51.07365372)</f>
        <v>51.07365372</v>
      </c>
      <c r="R14" s="236">
        <f>IFERROR(__xludf.DUMMYFUNCTION("GoogleFinance(""currency:sekinr"")"),7.4384)</f>
        <v>7.4384</v>
      </c>
      <c r="S14" s="236">
        <f>IFERROR(__xludf.DUMMYFUNCTION("GoogleFinance(""currency:dkkinr"")"),10.40706267)</f>
        <v>10.40706267</v>
      </c>
      <c r="T14" s="236">
        <f>IFERROR(__xludf.DUMMYFUNCTION("GoogleFinance(""currency:nokinr"")"),8.02895)</f>
        <v>8.02895</v>
      </c>
      <c r="U14" s="236">
        <f>IFERROR(__xludf.DUMMYFUNCTION("GoogleFinance(""currency:rubinr"")"),1.058944103)</f>
        <v>1.058944103</v>
      </c>
      <c r="V14" s="236">
        <f>IFERROR(__xludf.DUMMYFUNCTION("GoogleFinance(""currency:brlinr"")"),17.89903689)</f>
        <v>17.89903689</v>
      </c>
    </row>
    <row r="15">
      <c r="A15" s="146" t="s">
        <v>122</v>
      </c>
      <c r="B15" s="147" t="s">
        <v>123</v>
      </c>
      <c r="C15" s="241">
        <v>15.0</v>
      </c>
      <c r="D15" s="240">
        <f>IFERROR(__xludf.DUMMYFUNCTION("GoogleFinance(""currency:usdsgd"")"),1.355305)</f>
        <v>1.355305</v>
      </c>
      <c r="E15" s="240">
        <f>IFERROR(__xludf.DUMMYFUNCTION("GoogleFinance(""currency:audsgd"")"),0.9625172814)</f>
        <v>0.9625172814</v>
      </c>
      <c r="F15" s="240">
        <f>IFERROR(__xludf.DUMMYFUNCTION("GoogleFinance(""currency:cadsgd"")"),1.012331977)</f>
        <v>1.012331977</v>
      </c>
      <c r="G15" s="240">
        <f>IFERROR(__xludf.DUMMYFUNCTION("GoogleFinance(""currency:eursgd"")"),1.521133343)</f>
        <v>1.521133343</v>
      </c>
      <c r="H15" s="240">
        <f t="shared" si="1"/>
        <v>0.01765467728</v>
      </c>
      <c r="I15" s="240">
        <f>IFERROR(__xludf.DUMMYFUNCTION("GoogleFinance(""currency:gbpsgd"")"),1.765467728)</f>
        <v>1.765467728</v>
      </c>
      <c r="J15" s="240">
        <f>IFERROR(__xludf.DUMMYFUNCTION("GoogleFinance(""currency:chfsgd"")"),1.3549)</f>
        <v>1.3549</v>
      </c>
      <c r="K15" s="240">
        <f>IFERROR(__xludf.DUMMYFUNCTION("GoogleFinance(""currency:hkdsgd"")"),0.172625)</f>
        <v>0.172625</v>
      </c>
      <c r="L15" s="240">
        <f>IFERROR(__xludf.DUMMYFUNCTION("GoogleFinance(""currency:jpysgd"")"),0.0121294553)</f>
        <v>0.0121294553</v>
      </c>
      <c r="M15" s="240">
        <f>IFERROR(__xludf.DUMMYFUNCTION("GoogleFinance(""currency:cnysgd"")"),0.2017453352)</f>
        <v>0.2017453352</v>
      </c>
      <c r="N15" s="236">
        <f>IFERROR(__xludf.DUMMYFUNCTION("GoogleFinance(""currency:czksgd"")"),0.0593565)</f>
        <v>0.0593565</v>
      </c>
      <c r="O15" s="236">
        <f>IFERROR(__xludf.DUMMYFUNCTION("GoogleFinance(""currency:ilssgd"")"),0.3788100317)</f>
        <v>0.3788100317</v>
      </c>
      <c r="P15" s="242">
        <f>IFERROR(__xludf.DUMMYFUNCTION("GoogleFinance(""currency:inrsgd"")"),0.019578)</f>
        <v>0.019578</v>
      </c>
      <c r="Q15" s="242">
        <v>1.0</v>
      </c>
      <c r="R15" s="242">
        <f>IFERROR(__xludf.DUMMYFUNCTION("GoogleFinance(""currency:seksgd"")"),0.1457269163)</f>
        <v>0.1457269163</v>
      </c>
      <c r="S15" s="242">
        <f>IFERROR(__xludf.DUMMYFUNCTION("GoogleFinance(""currency:dkksgd"")"),0.2037654173)</f>
        <v>0.2037654173</v>
      </c>
      <c r="T15" s="242">
        <f>IFERROR(__xludf.DUMMYFUNCTION("GoogleFinance(""currency:noksgd"")"),0.15731)</f>
        <v>0.15731</v>
      </c>
      <c r="U15" s="242">
        <f>IFERROR(__xludf.DUMMYFUNCTION("GoogleFinance(""currency:rubsgd"")"),0.0207361665)</f>
        <v>0.0207361665</v>
      </c>
      <c r="V15" s="242">
        <f>IFERROR(__xludf.DUMMYFUNCTION("GoogleFinance(""currency:brlsgd"")"),0.3504547669)</f>
        <v>0.3504547669</v>
      </c>
    </row>
    <row r="16">
      <c r="A16" s="146" t="s">
        <v>124</v>
      </c>
      <c r="B16" s="147" t="s">
        <v>125</v>
      </c>
      <c r="C16" s="241">
        <v>16.0</v>
      </c>
      <c r="D16" s="240">
        <f>IFERROR(__xludf.DUMMYFUNCTION("GoogleFinance(""currency:usdsek"")"),9.2913)</f>
        <v>9.2913</v>
      </c>
      <c r="E16" s="240">
        <f>IFERROR(__xludf.DUMMYFUNCTION("GoogleFinance(""currency:audsek"")"),6.603211601)</f>
        <v>6.603211601</v>
      </c>
      <c r="F16" s="240">
        <f>IFERROR(__xludf.DUMMYFUNCTION("GoogleFinance(""currency:cadsek"")"),6.938963717)</f>
        <v>6.938963717</v>
      </c>
      <c r="G16" s="240">
        <f>IFERROR(__xludf.DUMMYFUNCTION("GoogleFinance(""currency:eursek"")"),10.42813701)</f>
        <v>10.42813701</v>
      </c>
      <c r="H16" s="240">
        <f t="shared" si="1"/>
        <v>0.1210174824</v>
      </c>
      <c r="I16" s="240">
        <f>IFERROR(__xludf.DUMMYFUNCTION("GoogleFinance(""currency:gbpsek"")"),12.10174824)</f>
        <v>12.10174824</v>
      </c>
      <c r="J16" s="240">
        <f>IFERROR(__xludf.DUMMYFUNCTION("GoogleFinance(""currency:chfsek"")"),9.290778985)</f>
        <v>9.290778985</v>
      </c>
      <c r="K16" s="240">
        <f>IFERROR(__xludf.DUMMYFUNCTION("GoogleFinance(""currency:hkdsek"")"),1.18445)</f>
        <v>1.18445</v>
      </c>
      <c r="L16" s="240">
        <f>IFERROR(__xludf.DUMMYFUNCTION("GoogleFinance(""currency:jpysek"")"),0.083231142)</f>
        <v>0.083231142</v>
      </c>
      <c r="M16" s="240">
        <f>IFERROR(__xludf.DUMMYFUNCTION("GoogleFinance(""currency:cnysek"")"),1.383066124)</f>
        <v>1.383066124</v>
      </c>
      <c r="N16" s="236">
        <f>IFERROR(__xludf.DUMMYFUNCTION("GoogleFinance(""currency:czksek"")"),0.4069124835)</f>
        <v>0.4069124835</v>
      </c>
      <c r="O16" s="236">
        <f>IFERROR(__xludf.DUMMYFUNCTION("GoogleFinance(""currency:ilssek"")"),2.595385285)</f>
        <v>2.595385285</v>
      </c>
      <c r="P16" s="242">
        <f>IFERROR(__xludf.DUMMYFUNCTION("GoogleFinance(""currency:inrsek"")"),0.1342221198)</f>
        <v>0.1342221198</v>
      </c>
      <c r="Q16" s="242">
        <f>IFERROR(__xludf.DUMMYFUNCTION("GoogleFinance(""currency:sgdsek"")"),6.855492792)</f>
        <v>6.855492792</v>
      </c>
      <c r="R16" s="242">
        <v>1.0</v>
      </c>
      <c r="S16" s="242">
        <f>IFERROR(__xludf.DUMMYFUNCTION("GoogleFinance(""currency:dkksek"")"),1.39682)</f>
        <v>1.39682</v>
      </c>
      <c r="T16" s="242">
        <f>IFERROR(__xludf.DUMMYFUNCTION("GoogleFinance(""currency:noksek"")"),1.079147329)</f>
        <v>1.079147329</v>
      </c>
      <c r="U16" s="242">
        <f>IFERROR(__xludf.DUMMYFUNCTION("GoogleFinance(""currency:rubsek"")"),0.14215689)</f>
        <v>0.14215689</v>
      </c>
      <c r="V16" s="242">
        <f>IFERROR(__xludf.DUMMYFUNCTION("GoogleFinance(""currency:brlsek"")"),2.408040314)</f>
        <v>2.408040314</v>
      </c>
    </row>
    <row r="17">
      <c r="A17" s="146" t="s">
        <v>126</v>
      </c>
      <c r="B17" s="147" t="s">
        <v>127</v>
      </c>
      <c r="C17" s="241">
        <v>17.0</v>
      </c>
      <c r="D17" s="240">
        <f>IFERROR(__xludf.DUMMYFUNCTION("GoogleFinance(""currency:usddkk"")"),6.6513)</f>
        <v>6.6513</v>
      </c>
      <c r="E17" s="240">
        <f>IFERROR(__xludf.DUMMYFUNCTION("GoogleFinance(""currency:auddkk"")"),4.723014324)</f>
        <v>4.723014324</v>
      </c>
      <c r="F17" s="240">
        <f>IFERROR(__xludf.DUMMYFUNCTION("GoogleFinance(""currency:caddkk"")"),4.9685211)</f>
        <v>4.9685211</v>
      </c>
      <c r="G17" s="240">
        <f>IFERROR(__xludf.DUMMYFUNCTION("GoogleFinance(""currency:eurdkk"")"),7.465965)</f>
        <v>7.465965</v>
      </c>
      <c r="H17" s="240">
        <f t="shared" si="1"/>
        <v>0.08672</v>
      </c>
      <c r="I17" s="240">
        <f>IFERROR(__xludf.DUMMYFUNCTION("GoogleFinance(""currency:gbpdkk"")"),8.672)</f>
        <v>8.672</v>
      </c>
      <c r="J17" s="240">
        <f>IFERROR(__xludf.DUMMYFUNCTION("GoogleFinance(""currency:chfdkk"")"),6.65196513)</f>
        <v>6.65196513</v>
      </c>
      <c r="K17" s="240">
        <f>IFERROR(__xludf.DUMMYFUNCTION("GoogleFinance(""currency:hkddkk"")"),0.8473423635)</f>
        <v>0.8473423635</v>
      </c>
      <c r="L17" s="240">
        <f>IFERROR(__xludf.DUMMYFUNCTION("GoogleFinance(""currency:jpydkk"")"),0.0595357863)</f>
        <v>0.0595357863</v>
      </c>
      <c r="M17" s="240">
        <f>IFERROR(__xludf.DUMMYFUNCTION("GoogleFinance(""currency:cnydkk"")"),0.9900861788)</f>
        <v>0.9900861788</v>
      </c>
      <c r="N17" s="236">
        <f>IFERROR(__xludf.DUMMYFUNCTION("GoogleFinance(""currency:czkdkk"")"),0.2912384578)</f>
        <v>0.2912384578</v>
      </c>
      <c r="O17" s="236">
        <f>IFERROR(__xludf.DUMMYFUNCTION("GoogleFinance(""currency:ilsdkk"")"),1.861048473)</f>
        <v>1.861048473</v>
      </c>
      <c r="P17" s="242">
        <f>IFERROR(__xludf.DUMMYFUNCTION("GoogleFinance(""currency:inrdkk"")"),0.0960846798)</f>
        <v>0.0960846798</v>
      </c>
      <c r="Q17" s="242">
        <f>IFERROR(__xludf.DUMMYFUNCTION("GoogleFinance(""currency:sgddkk"")"),4.907595192)</f>
        <v>4.907595192</v>
      </c>
      <c r="R17" s="242">
        <f>IFERROR(__xludf.DUMMYFUNCTION("GoogleFinance(""currency:sekdkk"")"),0.715879419)</f>
        <v>0.715879419</v>
      </c>
      <c r="S17" s="242">
        <v>1.0</v>
      </c>
      <c r="T17" s="242">
        <f>IFERROR(__xludf.DUMMYFUNCTION("GoogleFinance(""currency:nokdkk"")"),0.772745)</f>
        <v>0.772745</v>
      </c>
      <c r="U17" s="242">
        <f>IFERROR(__xludf.DUMMYFUNCTION("GoogleFinance(""currency:rubdkk"")"),0.10199)</f>
        <v>0.10199</v>
      </c>
      <c r="V17" s="242">
        <f>IFERROR(__xludf.DUMMYFUNCTION("GoogleFinance(""currency:brldkk"")"),1.719893154)</f>
        <v>1.719893154</v>
      </c>
    </row>
    <row r="18">
      <c r="A18" s="146" t="s">
        <v>128</v>
      </c>
      <c r="B18" s="147" t="s">
        <v>129</v>
      </c>
      <c r="C18" s="241">
        <v>18.0</v>
      </c>
      <c r="D18" s="240">
        <f>IFERROR(__xludf.DUMMYFUNCTION("GoogleFinance(""currency:usdnok"")"),8.614295)</f>
        <v>8.614295</v>
      </c>
      <c r="E18" s="240">
        <f>IFERROR(__xludf.DUMMYFUNCTION("GoogleFinance(""currency:audnok"")"),6.114529507)</f>
        <v>6.114529507</v>
      </c>
      <c r="F18" s="240">
        <f>IFERROR(__xludf.DUMMYFUNCTION("GoogleFinance(""currency:cadnok"")"),6.4351)</f>
        <v>6.4351</v>
      </c>
      <c r="G18" s="240">
        <f>IFERROR(__xludf.DUMMYFUNCTION("GoogleFinance(""currency:eurnok"")"),9.662195)</f>
        <v>9.662195</v>
      </c>
      <c r="H18" s="240">
        <f t="shared" si="1"/>
        <v>0.1122214359</v>
      </c>
      <c r="I18" s="240">
        <f>IFERROR(__xludf.DUMMYFUNCTION("GoogleFinance(""currency:gbpnok"")"),11.22214359)</f>
        <v>11.22214359</v>
      </c>
      <c r="J18" s="240">
        <f>IFERROR(__xludf.DUMMYFUNCTION("GoogleFinance(""currency:chfnok"")"),8.610630977)</f>
        <v>8.610630977</v>
      </c>
      <c r="K18" s="240">
        <f>IFERROR(__xludf.DUMMYFUNCTION("GoogleFinance(""currency:hkdnok"")"),1.096841649)</f>
        <v>1.096841649</v>
      </c>
      <c r="L18" s="240">
        <f>IFERROR(__xludf.DUMMYFUNCTION("GoogleFinance(""currency:jpynok"")"),0.0770430472)</f>
        <v>0.0770430472</v>
      </c>
      <c r="M18" s="240">
        <f>IFERROR(__xludf.DUMMYFUNCTION("GoogleFinance(""currency:cnynok"")"),1.281616267)</f>
        <v>1.281616267</v>
      </c>
      <c r="N18" s="236">
        <f>IFERROR(__xludf.DUMMYFUNCTION("GoogleFinance(""currency:czknok"")"),0.3768447824)</f>
        <v>0.3768447824</v>
      </c>
      <c r="O18" s="236">
        <f>IFERROR(__xludf.DUMMYFUNCTION("GoogleFinance(""currency:ilsnok"")"),2.4063)</f>
        <v>2.4063</v>
      </c>
      <c r="P18" s="242">
        <f>IFERROR(__xludf.DUMMYFUNCTION("GoogleFinance(""currency:inrnok"")"),0.1243767374)</f>
        <v>0.1243767374</v>
      </c>
      <c r="Q18" s="242">
        <f>IFERROR(__xludf.DUMMYFUNCTION("GoogleFinance(""currency:sgdnok"")"),6.352632696)</f>
        <v>6.352632696</v>
      </c>
      <c r="R18" s="242">
        <f>IFERROR(__xludf.DUMMYFUNCTION("GoogleFinance(""currency:seknok"")"),0.92646)</f>
        <v>0.92646</v>
      </c>
      <c r="S18" s="242">
        <f>IFERROR(__xludf.DUMMYFUNCTION("GoogleFinance(""currency:dkknok"")"),1.294062739)</f>
        <v>1.294062739</v>
      </c>
      <c r="T18" s="242">
        <v>1.0</v>
      </c>
      <c r="U18" s="242">
        <f>IFERROR(__xludf.DUMMYFUNCTION("GoogleFinance(""currency:rubnok"")"),0.1319709994)</f>
        <v>0.1319709994</v>
      </c>
      <c r="V18" s="242">
        <f>IFERROR(__xludf.DUMMYFUNCTION("GoogleFinance(""currency:brlnok"")"),2.2259)</f>
        <v>2.2259</v>
      </c>
    </row>
    <row r="19">
      <c r="A19" s="146" t="s">
        <v>130</v>
      </c>
      <c r="B19" s="147" t="s">
        <v>131</v>
      </c>
      <c r="C19" s="241">
        <v>19.0</v>
      </c>
      <c r="D19" s="240">
        <f>IFERROR(__xludf.DUMMYFUNCTION("GoogleFinance(""currency:usdrub"")"),65.367)</f>
        <v>65.367</v>
      </c>
      <c r="E19" s="240">
        <f>IFERROR(__xludf.DUMMYFUNCTION("GoogleFinance(""currency:audrub"")"),46.42266289)</f>
        <v>46.42266289</v>
      </c>
      <c r="F19" s="240">
        <f>IFERROR(__xludf.DUMMYFUNCTION("GoogleFinance(""currency:cadrub"")"),48.829149)</f>
        <v>48.829149</v>
      </c>
      <c r="G19" s="240">
        <f>IFERROR(__xludf.DUMMYFUNCTION("GoogleFinance(""currency:eurrub"")"),73.2335)</f>
        <v>73.2335</v>
      </c>
      <c r="H19" s="240">
        <f t="shared" si="1"/>
        <v>0.8514739965</v>
      </c>
      <c r="I19" s="240">
        <f>IFERROR(__xludf.DUMMYFUNCTION("GoogleFinance(""currency:gbprub"")"),85.14739965)</f>
        <v>85.14739965</v>
      </c>
      <c r="J19" s="240">
        <f>IFERROR(__xludf.DUMMYFUNCTION("GoogleFinance(""currency:chfrub"")"),65.3735367)</f>
        <v>65.3735367</v>
      </c>
      <c r="K19" s="240">
        <f>IFERROR(__xludf.DUMMYFUNCTION("GoogleFinance(""currency:hkdrub"")"),8.317170466)</f>
        <v>8.317170466</v>
      </c>
      <c r="L19" s="240">
        <f>IFERROR(__xludf.DUMMYFUNCTION("GoogleFinance(""currency:jpyrub"")"),0.585100017)</f>
        <v>0.585100017</v>
      </c>
      <c r="M19" s="240">
        <f>IFERROR(__xludf.DUMMYFUNCTION("GoogleFinance(""currency:cnyrub"")"),9.730272766)</f>
        <v>9.730272766</v>
      </c>
      <c r="N19" s="236">
        <f>IFERROR(__xludf.DUMMYFUNCTION("GoogleFinance(""currency:czkrub"")"),2.862747765)</f>
        <v>2.862747765</v>
      </c>
      <c r="O19" s="236">
        <f>IFERROR(__xludf.DUMMYFUNCTION("GoogleFinance(""currency:ilsrub"")"),18.25194032)</f>
        <v>18.25194032</v>
      </c>
      <c r="P19" s="242">
        <f>IFERROR(__xludf.DUMMYFUNCTION("GoogleFinance(""currency:inrrub"")"),0.944291682)</f>
        <v>0.944291682</v>
      </c>
      <c r="Q19" s="242">
        <f>IFERROR(__xludf.DUMMYFUNCTION("GoogleFinance(""currency:sgdrub"")"),48.23038728)</f>
        <v>48.23038728</v>
      </c>
      <c r="R19" s="242">
        <f>IFERROR(__xludf.DUMMYFUNCTION("GoogleFinance(""currency:sekrub"")"),7.0198)</f>
        <v>7.0198</v>
      </c>
      <c r="S19" s="242">
        <f>IFERROR(__xludf.DUMMYFUNCTION("GoogleFinance(""currency:dkkrub"")"),9.827100894)</f>
        <v>9.827100894</v>
      </c>
      <c r="T19" s="242">
        <f>IFERROR(__xludf.DUMMYFUNCTION("GoogleFinance(""currency:nokrub"")"),7.591724204)</f>
        <v>7.591724204</v>
      </c>
      <c r="U19" s="242">
        <v>1.0</v>
      </c>
      <c r="V19" s="242">
        <f>IFERROR(__xludf.DUMMYFUNCTION("GoogleFinance(""currency:brlrub"")"),16.90259886)</f>
        <v>16.90259886</v>
      </c>
    </row>
    <row r="20">
      <c r="A20" s="146" t="s">
        <v>237</v>
      </c>
      <c r="B20" s="147" t="s">
        <v>232</v>
      </c>
      <c r="C20" s="241">
        <v>20.0</v>
      </c>
      <c r="D20" s="240">
        <f>IFERROR(__xludf.DUMMYFUNCTION("GoogleFinance(""currency:usdbrl"")"),3.8614)</f>
        <v>3.8614</v>
      </c>
      <c r="E20" s="240">
        <f>IFERROR(__xludf.DUMMYFUNCTION("GoogleFinance(""currency:audbrl"")"),2.746249885)</f>
        <v>2.746249885</v>
      </c>
      <c r="F20" s="240">
        <f>IFERROR(__xludf.DUMMYFUNCTION("GoogleFinance(""currency:cadbrl"")"),2.888642376)</f>
        <v>2.888642376</v>
      </c>
      <c r="G20" s="240">
        <f>IFERROR(__xludf.DUMMYFUNCTION("GoogleFinance(""currency:eurbrl"")"),4.340090667)</f>
        <v>4.340090667</v>
      </c>
      <c r="H20" s="240">
        <f t="shared" si="1"/>
        <v>0.0503085</v>
      </c>
      <c r="I20" s="240">
        <f>IFERROR(__xludf.DUMMYFUNCTION("GoogleFinance(""currency:gbpbrl"")"),5.03085)</f>
        <v>5.03085</v>
      </c>
      <c r="J20" s="240">
        <f>IFERROR(__xludf.DUMMYFUNCTION("GoogleFinance(""currency:chfbrl"")"),3.86768673)</f>
        <v>3.86768673</v>
      </c>
      <c r="K20" s="240">
        <f>IFERROR(__xludf.DUMMYFUNCTION("GoogleFinance(""currency:hkdbrl"")"),0.4926746835)</f>
        <v>0.4926746835</v>
      </c>
      <c r="L20" s="240">
        <f>IFERROR(__xludf.DUMMYFUNCTION("GoogleFinance(""currency:jpybrl"")"),0.034618)</f>
        <v>0.034618</v>
      </c>
      <c r="M20" s="240">
        <f>IFERROR(__xludf.DUMMYFUNCTION("GoogleFinance(""currency:cnybrl"")"),0.5756709634)</f>
        <v>0.5756709634</v>
      </c>
      <c r="N20" s="236">
        <f>IFERROR(__xludf.DUMMYFUNCTION("GoogleFinance(""currency:czkbrl"")"),0.1693530752)</f>
        <v>0.1693530752</v>
      </c>
      <c r="O20" s="236">
        <f>IFERROR(__xludf.DUMMYFUNCTION("GoogleFinance(""currency:ilsbrl"")"),1.080272245)</f>
        <v>1.080272245</v>
      </c>
      <c r="P20" s="242">
        <f>IFERROR(__xludf.DUMMYFUNCTION("GoogleFinance(""currency:inrbrl"")"),0.0558242598)</f>
        <v>0.0558242598</v>
      </c>
      <c r="Q20" s="242">
        <f>IFERROR(__xludf.DUMMYFUNCTION("GoogleFinance(""currency:sgdbrl"")"),2.84952013)</f>
        <v>2.84952013</v>
      </c>
      <c r="R20" s="242">
        <f>IFERROR(__xludf.DUMMYFUNCTION("GoogleFinance(""currency:sekbrl"")"),0.4162280627)</f>
        <v>0.4162280627</v>
      </c>
      <c r="S20" s="242">
        <f>IFERROR(__xludf.DUMMYFUNCTION("GoogleFinance(""currency:dkkbrl"")"),0.5814351741)</f>
        <v>0.5814351741</v>
      </c>
      <c r="T20" s="242">
        <f>IFERROR(__xludf.DUMMYFUNCTION("GoogleFinance(""currency:nokbrl"")"),0.4493106486)</f>
        <v>0.4493106486</v>
      </c>
      <c r="U20" s="242">
        <f>IFERROR(__xludf.DUMMYFUNCTION("GoogleFinance(""currency:rubbrl"")"),0.05916969)</f>
        <v>0.05916969</v>
      </c>
      <c r="V20" s="242">
        <v>1.0</v>
      </c>
    </row>
  </sheetData>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13.86"/>
    <col customWidth="1" min="2" max="2" width="17.0"/>
  </cols>
  <sheetData>
    <row r="1">
      <c r="A1" s="198" t="s">
        <v>1</v>
      </c>
      <c r="B1" s="243" t="s">
        <v>2</v>
      </c>
    </row>
    <row r="2">
      <c r="A2" s="244" t="s">
        <v>15</v>
      </c>
      <c r="B2" s="245" t="s">
        <v>18</v>
      </c>
    </row>
    <row r="3">
      <c r="A3" s="244" t="s">
        <v>27</v>
      </c>
      <c r="B3" s="245" t="s">
        <v>35</v>
      </c>
    </row>
    <row r="4">
      <c r="A4" s="244" t="s">
        <v>17</v>
      </c>
      <c r="B4" s="245"/>
    </row>
    <row r="5">
      <c r="A5" s="244" t="s">
        <v>29</v>
      </c>
      <c r="B5" s="246"/>
    </row>
    <row r="6">
      <c r="A6" s="244" t="s">
        <v>34</v>
      </c>
    </row>
    <row r="7">
      <c r="A7" s="244" t="s">
        <v>233</v>
      </c>
    </row>
    <row r="8">
      <c r="A8" s="244" t="s">
        <v>40</v>
      </c>
    </row>
    <row r="9">
      <c r="A9" s="244" t="s">
        <v>43</v>
      </c>
    </row>
    <row r="10">
      <c r="A10" s="244" t="s">
        <v>234</v>
      </c>
    </row>
    <row r="11">
      <c r="A11" s="244" t="s">
        <v>235</v>
      </c>
    </row>
    <row r="12">
      <c r="A12" s="244" t="s">
        <v>52</v>
      </c>
    </row>
    <row r="13">
      <c r="A13" s="138" t="s">
        <v>236</v>
      </c>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2.71"/>
    <col customWidth="1" min="7" max="7" width="12.29"/>
    <col customWidth="1" min="8" max="8" width="11.29"/>
    <col customWidth="1" min="9" max="9" width="9.29"/>
    <col customWidth="1" min="10" max="10" width="7.0"/>
    <col customWidth="1" min="12" max="12" width="9.86"/>
    <col customWidth="1" min="13" max="14" width="11.43"/>
  </cols>
  <sheetData>
    <row r="1">
      <c r="A1" s="103"/>
      <c r="B1" s="105"/>
      <c r="E1" s="106" t="s">
        <v>92</v>
      </c>
      <c r="F1" s="107"/>
      <c r="G1" s="107"/>
      <c r="H1" s="107"/>
      <c r="I1" s="107"/>
      <c r="J1" s="107"/>
      <c r="K1" s="108"/>
    </row>
    <row r="2">
      <c r="A2" s="103"/>
      <c r="B2" s="109"/>
      <c r="C2" s="110"/>
      <c r="D2" s="110"/>
      <c r="E2" s="110"/>
      <c r="F2" s="111"/>
      <c r="G2" s="111"/>
      <c r="H2" s="111"/>
      <c r="I2" s="111"/>
      <c r="J2" s="111"/>
      <c r="K2" s="111"/>
    </row>
    <row r="3">
      <c r="A3" s="103"/>
      <c r="B3" s="112"/>
      <c r="C3" s="113" t="s">
        <v>20</v>
      </c>
      <c r="D3" s="113" t="s">
        <v>21</v>
      </c>
      <c r="E3" s="113" t="s">
        <v>22</v>
      </c>
      <c r="F3" s="114" t="s">
        <v>9</v>
      </c>
      <c r="G3" s="114" t="s">
        <v>93</v>
      </c>
      <c r="H3" s="114" t="s">
        <v>94</v>
      </c>
      <c r="I3" s="114" t="s">
        <v>95</v>
      </c>
      <c r="J3" s="114" t="s">
        <v>12</v>
      </c>
      <c r="K3" s="114" t="s">
        <v>96</v>
      </c>
    </row>
    <row r="4">
      <c r="A4" s="103"/>
      <c r="B4" s="115" t="str">
        <f>Lists!B2</f>
        <v>Brokerage</v>
      </c>
      <c r="C4" s="116">
        <f>IFERROR(__xludf.DUMMYFUNCTION("iferror(sum(query(Portfolio!B$6:Q$55,""select H where B='""&amp;B4&amp;""'"")))"),0.0)</f>
        <v>0</v>
      </c>
      <c r="D4" s="116">
        <f>IFERROR(__xludf.DUMMYFUNCTION("iferror(sum(query(Portfolio!B$6:Q$55,""select J where B='""&amp;B4&amp;""'"")))"),0.0)</f>
        <v>0</v>
      </c>
      <c r="E4" s="116">
        <f>IFERROR(__xludf.DUMMYFUNCTION("iferror(sum(query(Portfolio!B$6:Q$55,""select K where B='""&amp;B4&amp;""'"")))"),0.0)</f>
        <v>0</v>
      </c>
      <c r="F4" s="118">
        <f t="shared" ref="F4:F5" si="1">iferror(E4/D4,0)</f>
        <v>0</v>
      </c>
      <c r="G4" s="116">
        <f>IFERROR(__xludf.DUMMYFUNCTION("iferror(sum(query(Portfolio!B$6:Q$55,""select Q where B='""&amp;B4&amp;""'"")))"),0.0)</f>
        <v>0</v>
      </c>
      <c r="H4" s="116">
        <f t="shared" ref="H4:H5" si="2">G4/12</f>
        <v>0</v>
      </c>
      <c r="I4" s="118">
        <f t="shared" ref="I4:I5" si="3">iferror(G4/C4,0)</f>
        <v>0</v>
      </c>
      <c r="J4" s="118">
        <f t="shared" ref="J4:J5" si="4">iferror(G4/D4,0)</f>
        <v>0</v>
      </c>
      <c r="K4" s="116">
        <f>IFERROR(__xludf.DUMMYFUNCTION("iferror(sum(query(Portfolio!B$6:Q$55,""select O where B='""&amp;B4&amp;""'"")))"),0.0)</f>
        <v>0</v>
      </c>
    </row>
    <row r="5">
      <c r="A5" s="103"/>
      <c r="B5" s="115" t="str">
        <f>Lists!B3</f>
        <v>IRA</v>
      </c>
      <c r="C5" s="116">
        <f>IFERROR(__xludf.DUMMYFUNCTION("iferror(sum(query(Portfolio!B$6:Q$55,""select H where B='""&amp;B5&amp;""'"")))"),0.0)</f>
        <v>0</v>
      </c>
      <c r="D5" s="116">
        <f>IFERROR(__xludf.DUMMYFUNCTION("iferror(sum(query(Portfolio!B$6:Q$55,""select J where B='""&amp;B5&amp;""'"")))"),0.0)</f>
        <v>0</v>
      </c>
      <c r="E5" s="116">
        <f>IFERROR(__xludf.DUMMYFUNCTION("iferror(sum(query(Portfolio!B$6:Q$55,""select K where B='""&amp;B5&amp;""'"")))"),0.0)</f>
        <v>0</v>
      </c>
      <c r="F5" s="118">
        <f t="shared" si="1"/>
        <v>0</v>
      </c>
      <c r="G5" s="116">
        <f>IFERROR(__xludf.DUMMYFUNCTION("iferror(sum(query(Portfolio!B$6:Q$55,""select Q where B='""&amp;B5&amp;""'"")))"),0.0)</f>
        <v>0</v>
      </c>
      <c r="H5" s="116">
        <f t="shared" si="2"/>
        <v>0</v>
      </c>
      <c r="I5" s="118">
        <f t="shared" si="3"/>
        <v>0</v>
      </c>
      <c r="J5" s="118">
        <f t="shared" si="4"/>
        <v>0</v>
      </c>
      <c r="K5" s="116">
        <f>IFERROR(__xludf.DUMMYFUNCTION("iferror(sum(query(Portfolio!B$6:Q$55,""select O where B='""&amp;B5&amp;""'"")))"),0.0)</f>
        <v>0</v>
      </c>
    </row>
    <row r="6">
      <c r="A6" s="103"/>
      <c r="B6" s="119" t="s">
        <v>15</v>
      </c>
      <c r="C6" s="120">
        <f>Portfolio!$H$4</f>
        <v>1781.98</v>
      </c>
      <c r="D6" s="121"/>
      <c r="E6" s="121"/>
      <c r="F6" s="122"/>
      <c r="G6" s="123"/>
      <c r="H6" s="123"/>
      <c r="I6" s="123"/>
      <c r="J6" s="122"/>
      <c r="K6" s="123"/>
    </row>
    <row r="7">
      <c r="A7" s="103"/>
      <c r="B7" s="124" t="str">
        <f>CONCATENATE("Totals [",Portfolio!$H$3,"]" )</f>
        <v>Totals [€]</v>
      </c>
      <c r="C7" s="125">
        <f>sum(C4:C6)</f>
        <v>1781.98</v>
      </c>
      <c r="D7" s="125">
        <f t="shared" ref="D7:E7" si="5">sum(D4:D5)</f>
        <v>0</v>
      </c>
      <c r="E7" s="125">
        <f t="shared" si="5"/>
        <v>0</v>
      </c>
      <c r="F7" s="127">
        <f>iferror((sum(E4:E5)/sum(D4:D5)),0)</f>
        <v>0</v>
      </c>
      <c r="G7" s="125">
        <f t="shared" ref="G7:H7" si="6">sum(G4:G5)</f>
        <v>0</v>
      </c>
      <c r="H7" s="125">
        <f t="shared" si="6"/>
        <v>0</v>
      </c>
      <c r="I7" s="127">
        <f>iferror((sum(G4:G5)/sum(C4:C5)),0)</f>
        <v>0</v>
      </c>
      <c r="J7" s="127">
        <f>iferror((sum(G4:G5)/sum(D4:D5)),0)</f>
        <v>0</v>
      </c>
      <c r="K7" s="125">
        <f>sum(K4:K5)</f>
        <v>0</v>
      </c>
    </row>
    <row r="8">
      <c r="A8" s="103"/>
      <c r="B8" s="103"/>
      <c r="C8" s="103"/>
      <c r="D8" s="103"/>
      <c r="E8" s="103"/>
    </row>
    <row r="9">
      <c r="A9" s="103"/>
      <c r="B9" s="103"/>
      <c r="C9" s="103"/>
      <c r="D9" s="103"/>
      <c r="E9" s="103"/>
      <c r="J9" s="128" t="s">
        <v>1</v>
      </c>
      <c r="K9" s="129"/>
      <c r="L9" s="130" t="s">
        <v>97</v>
      </c>
      <c r="M9" s="130" t="str">
        <f>"Value in " &amp; Portfolio!$H$3</f>
        <v>Value in €</v>
      </c>
    </row>
    <row r="10">
      <c r="A10" s="103"/>
      <c r="B10" s="103"/>
      <c r="C10" s="103"/>
      <c r="D10" s="103"/>
      <c r="E10" s="103"/>
      <c r="J10" s="131" t="str">
        <f>Lists!A2</f>
        <v>Cash</v>
      </c>
      <c r="K10" s="132">
        <f t="shared" ref="K10:K21" si="7">M10/$M$22</f>
        <v>1</v>
      </c>
      <c r="L10" s="133">
        <v>0.0</v>
      </c>
      <c r="M10" s="134">
        <f>Portfolio!$H$4</f>
        <v>1781.98</v>
      </c>
    </row>
    <row r="11">
      <c r="A11" s="103"/>
      <c r="B11" s="103"/>
      <c r="C11" s="103"/>
      <c r="D11" s="103"/>
      <c r="E11" s="103"/>
      <c r="J11" s="131" t="str">
        <f>Lists!A3</f>
        <v>Consumer Discretionary</v>
      </c>
      <c r="K11" s="132">
        <f t="shared" si="7"/>
        <v>0</v>
      </c>
      <c r="L11" s="133">
        <v>0.1</v>
      </c>
      <c r="M11" s="134">
        <f>IFERROR(__xludf.DUMMYFUNCTION("iferror(sum(query(Portfolio!A$6:H$70,""select H where A='""&amp;J11&amp;""'"")),0)"),0.0)</f>
        <v>0</v>
      </c>
    </row>
    <row r="12">
      <c r="A12" s="103"/>
      <c r="B12" s="103"/>
      <c r="C12" s="103"/>
      <c r="D12" s="103"/>
      <c r="E12" s="103"/>
      <c r="J12" s="131" t="str">
        <f>Lists!A4</f>
        <v>Consumer Staples</v>
      </c>
      <c r="K12" s="132">
        <f t="shared" si="7"/>
        <v>0</v>
      </c>
      <c r="L12" s="133">
        <v>0.1</v>
      </c>
      <c r="M12" s="134">
        <f>IFERROR(__xludf.DUMMYFUNCTION("iferror(sum(query(Portfolio!A$6:H$70,""select H where A='""&amp;J12&amp;""'"")),0)"),0.0)</f>
        <v>0</v>
      </c>
    </row>
    <row r="13">
      <c r="A13" s="103"/>
      <c r="B13" s="103"/>
      <c r="C13" s="103"/>
      <c r="D13" s="103"/>
      <c r="E13" s="103"/>
      <c r="J13" s="131" t="str">
        <f>Lists!A5</f>
        <v>Energy</v>
      </c>
      <c r="K13" s="132">
        <f t="shared" si="7"/>
        <v>0</v>
      </c>
      <c r="L13" s="133">
        <v>0.1</v>
      </c>
      <c r="M13" s="134">
        <f>IFERROR(__xludf.DUMMYFUNCTION("iferror(sum(query(Portfolio!A$6:H$70,""select H where A='""&amp;J13&amp;""'"")),0)"),0.0)</f>
        <v>0</v>
      </c>
    </row>
    <row r="14">
      <c r="A14" s="103"/>
      <c r="B14" s="103"/>
      <c r="C14" s="103"/>
      <c r="D14" s="103"/>
      <c r="E14" s="103"/>
      <c r="J14" s="131" t="str">
        <f>Lists!A6</f>
        <v>Financials</v>
      </c>
      <c r="K14" s="132">
        <f t="shared" si="7"/>
        <v>0</v>
      </c>
      <c r="L14" s="133">
        <v>0.1</v>
      </c>
      <c r="M14" s="134">
        <f>IFERROR(__xludf.DUMMYFUNCTION("iferror(sum(query(Portfolio!A$6:H$70,""select H where A='""&amp;J14&amp;""'"")),0)"),0.0)</f>
        <v>0</v>
      </c>
    </row>
    <row r="15">
      <c r="A15" s="103"/>
      <c r="B15" s="103"/>
      <c r="C15" s="103"/>
      <c r="D15" s="103"/>
      <c r="E15" s="103"/>
      <c r="J15" s="131" t="str">
        <f>Lists!A7</f>
        <v>Healthcare</v>
      </c>
      <c r="K15" s="132">
        <f t="shared" si="7"/>
        <v>0</v>
      </c>
      <c r="L15" s="133">
        <v>0.1</v>
      </c>
      <c r="M15" s="134">
        <f>IFERROR(__xludf.DUMMYFUNCTION("iferror(sum(query(Portfolio!A$6:H$70,""select H where A='""&amp;J15&amp;""'"")),0)"),0.0)</f>
        <v>0</v>
      </c>
    </row>
    <row r="16">
      <c r="A16" s="103"/>
      <c r="B16" s="103"/>
      <c r="C16" s="103"/>
      <c r="D16" s="103"/>
      <c r="E16" s="103"/>
      <c r="J16" s="131" t="str">
        <f>Lists!A8</f>
        <v>Industrials</v>
      </c>
      <c r="K16" s="132">
        <f t="shared" si="7"/>
        <v>0</v>
      </c>
      <c r="L16" s="133">
        <v>0.1</v>
      </c>
      <c r="M16" s="134">
        <f>IFERROR(__xludf.DUMMYFUNCTION("iferror(sum(query(Portfolio!A$6:H$70,""select H where A='""&amp;J16&amp;""'"")),0)"),0.0)</f>
        <v>0</v>
      </c>
    </row>
    <row r="17">
      <c r="A17" s="103"/>
      <c r="B17" s="103"/>
      <c r="C17" s="103"/>
      <c r="D17" s="103"/>
      <c r="E17" s="103"/>
      <c r="J17" s="131" t="str">
        <f>Lists!A9</f>
        <v>Information Technology</v>
      </c>
      <c r="K17" s="132">
        <f t="shared" si="7"/>
        <v>0</v>
      </c>
      <c r="L17" s="133">
        <v>0.1</v>
      </c>
      <c r="M17" s="134">
        <f>IFERROR(__xludf.DUMMYFUNCTION("iferror(sum(query(Portfolio!A$6:H$70,""select H where A='""&amp;J17&amp;""'"")),0)"),0.0)</f>
        <v>0</v>
      </c>
    </row>
    <row r="18">
      <c r="A18" s="103"/>
      <c r="B18" s="103"/>
      <c r="C18" s="103"/>
      <c r="D18" s="103"/>
      <c r="E18" s="103"/>
      <c r="J18" s="131" t="str">
        <f>Lists!A10</f>
        <v>Materials</v>
      </c>
      <c r="K18" s="132">
        <f t="shared" si="7"/>
        <v>0</v>
      </c>
      <c r="L18" s="133">
        <v>0.1</v>
      </c>
      <c r="M18" s="134">
        <f>IFERROR(__xludf.DUMMYFUNCTION("iferror(sum(query(Portfolio!A$6:H$70,""select H where A='""&amp;J18&amp;""'"")),0)"),0.0)</f>
        <v>0</v>
      </c>
    </row>
    <row r="19">
      <c r="A19" s="103"/>
      <c r="B19" s="103"/>
      <c r="C19" s="103"/>
      <c r="D19" s="103"/>
      <c r="E19" s="103"/>
      <c r="J19" s="131" t="str">
        <f>Lists!A11</f>
        <v>REITs</v>
      </c>
      <c r="K19" s="132">
        <f t="shared" si="7"/>
        <v>0</v>
      </c>
      <c r="L19" s="133">
        <v>0.1</v>
      </c>
      <c r="M19" s="134">
        <f>IFERROR(__xludf.DUMMYFUNCTION("iferror(sum(query(Portfolio!A$6:H$70,""select H where A='""&amp;J19&amp;""'"")),0)"),0.0)</f>
        <v>0</v>
      </c>
    </row>
    <row r="20">
      <c r="A20" s="103"/>
      <c r="B20" s="103"/>
      <c r="C20" s="103"/>
      <c r="D20" s="103"/>
      <c r="E20" s="103"/>
      <c r="J20" s="131" t="str">
        <f>Lists!A12</f>
        <v>Utilities</v>
      </c>
      <c r="K20" s="132">
        <f t="shared" si="7"/>
        <v>0</v>
      </c>
      <c r="L20" s="133">
        <v>0.1</v>
      </c>
      <c r="M20" s="134">
        <f>IFERROR(__xludf.DUMMYFUNCTION("iferror(sum(query(Portfolio!A$6:H$70,""select H where A='""&amp;J20&amp;""'"")),0)"),0.0)</f>
        <v>0</v>
      </c>
    </row>
    <row r="21">
      <c r="A21" s="103"/>
      <c r="B21" s="103"/>
      <c r="C21" s="103"/>
      <c r="D21" s="103"/>
      <c r="E21" s="103"/>
      <c r="J21" s="131" t="str">
        <f>Lists!A13</f>
        <v>ETF</v>
      </c>
      <c r="K21" s="132">
        <f t="shared" si="7"/>
        <v>0</v>
      </c>
      <c r="L21" s="133">
        <v>0.0</v>
      </c>
      <c r="M21" s="134">
        <f>IFERROR(__xludf.DUMMYFUNCTION("iferror(sum(query(Portfolio!A$6:H$70,""select H where A='""&amp;J21&amp;""'"")),0)"),0.0)</f>
        <v>0</v>
      </c>
    </row>
    <row r="22">
      <c r="A22" s="103"/>
      <c r="B22" s="103"/>
      <c r="C22" s="103"/>
      <c r="D22" s="103"/>
      <c r="E22" s="103"/>
      <c r="K22" s="135">
        <f t="shared" ref="K22:M22" si="8">sum(K10:K21)</f>
        <v>1</v>
      </c>
      <c r="L22" s="135">
        <f t="shared" si="8"/>
        <v>1</v>
      </c>
      <c r="M22" s="136">
        <f t="shared" si="8"/>
        <v>1781.98</v>
      </c>
    </row>
    <row r="23">
      <c r="A23" s="103"/>
      <c r="B23" s="103"/>
      <c r="C23" s="103"/>
      <c r="D23" s="103"/>
      <c r="E23" s="103"/>
    </row>
    <row r="24">
      <c r="A24" s="103"/>
      <c r="B24" s="103"/>
      <c r="C24" s="103"/>
      <c r="D24" s="103"/>
      <c r="E24" s="103"/>
      <c r="K24" s="137"/>
      <c r="L24" s="138"/>
    </row>
    <row r="25">
      <c r="A25" s="103"/>
      <c r="B25" s="103"/>
      <c r="C25" s="103"/>
      <c r="D25" s="103"/>
      <c r="E25" s="103"/>
    </row>
    <row r="26">
      <c r="A26" s="103"/>
      <c r="B26" s="103"/>
      <c r="C26" s="103"/>
      <c r="D26" s="103"/>
      <c r="E26" s="103"/>
    </row>
    <row r="27">
      <c r="A27" s="103"/>
      <c r="B27" s="103"/>
      <c r="C27" s="103"/>
      <c r="D27" s="103"/>
      <c r="E27" s="103"/>
    </row>
    <row r="28">
      <c r="A28" s="103"/>
      <c r="B28" s="103"/>
      <c r="C28" s="103"/>
      <c r="D28" s="103"/>
      <c r="E28" s="103"/>
      <c r="F28" s="128" t="s">
        <v>98</v>
      </c>
      <c r="G28" s="139"/>
      <c r="H28" s="139"/>
    </row>
    <row r="29">
      <c r="A29" s="103"/>
      <c r="B29" s="103"/>
      <c r="C29" s="103"/>
      <c r="D29" s="103"/>
      <c r="E29" s="103"/>
      <c r="F29" s="140" t="s">
        <v>99</v>
      </c>
      <c r="G29" s="141" t="s">
        <v>16</v>
      </c>
      <c r="H29" s="142">
        <f>SUMIF(Portfolio!$F$6:$F$55,G29,Portfolio!$H$6:$H$55)</f>
        <v>0</v>
      </c>
    </row>
    <row r="30">
      <c r="A30" s="103"/>
      <c r="B30" s="103"/>
      <c r="C30" s="103"/>
      <c r="D30" s="103"/>
      <c r="E30" s="103"/>
      <c r="F30" s="140" t="s">
        <v>100</v>
      </c>
      <c r="G30" s="141" t="s">
        <v>101</v>
      </c>
      <c r="H30" s="142">
        <f>SUMIF(Portfolio!$F$6:$F$55,G30,Portfolio!$H$6:$H$55)</f>
        <v>0</v>
      </c>
    </row>
    <row r="31">
      <c r="A31" s="103"/>
      <c r="B31" s="103"/>
      <c r="C31" s="103"/>
      <c r="D31" s="103"/>
      <c r="E31" s="103"/>
      <c r="F31" s="140" t="s">
        <v>102</v>
      </c>
      <c r="G31" s="141" t="s">
        <v>103</v>
      </c>
      <c r="H31" s="142">
        <f>SUMIF(Portfolio!$F$6:$F$55,G31,Portfolio!$H$6:$H$55)</f>
        <v>0</v>
      </c>
    </row>
    <row r="32">
      <c r="A32" s="103"/>
      <c r="B32" s="103"/>
      <c r="C32" s="103"/>
      <c r="D32" s="103"/>
      <c r="E32" s="103"/>
      <c r="F32" s="140" t="s">
        <v>104</v>
      </c>
      <c r="G32" s="141" t="s">
        <v>14</v>
      </c>
      <c r="H32" s="142">
        <f>SUMIF(Portfolio!$F$6:$F$55,G32,Portfolio!$H$6:$H$55)</f>
        <v>0</v>
      </c>
    </row>
    <row r="33">
      <c r="A33" s="103"/>
      <c r="B33" s="103"/>
      <c r="C33" s="103"/>
      <c r="D33" s="103"/>
      <c r="E33" s="103"/>
      <c r="F33" s="143" t="s">
        <v>105</v>
      </c>
      <c r="G33" s="75" t="s">
        <v>58</v>
      </c>
      <c r="H33" s="142">
        <f>SUMIF(Portfolio!$F$6:$F$55,G33,Portfolio!$H$6:$H$55)</f>
        <v>0</v>
      </c>
    </row>
    <row r="34">
      <c r="A34" s="103"/>
      <c r="B34" s="103"/>
      <c r="C34" s="103"/>
      <c r="D34" s="103"/>
      <c r="E34" s="103"/>
      <c r="F34" s="143" t="s">
        <v>106</v>
      </c>
      <c r="G34" s="75" t="s">
        <v>107</v>
      </c>
      <c r="H34" s="142">
        <f>SUMIF(Portfolio!$F$6:$F$55,G34,Portfolio!$H$6:$H$55)</f>
        <v>0</v>
      </c>
    </row>
    <row r="35">
      <c r="A35" s="103"/>
      <c r="B35" s="103"/>
      <c r="C35" s="103"/>
      <c r="D35" s="103"/>
      <c r="E35" s="103"/>
      <c r="F35" s="140" t="s">
        <v>108</v>
      </c>
      <c r="G35" s="141" t="s">
        <v>109</v>
      </c>
      <c r="H35" s="142">
        <f>SUMIF(Portfolio!$F$6:$F$55,G35,Portfolio!$H$6:$H$55)</f>
        <v>0</v>
      </c>
    </row>
    <row r="36">
      <c r="A36" s="103"/>
      <c r="B36" s="103"/>
      <c r="C36" s="103"/>
      <c r="D36" s="103"/>
      <c r="E36" s="103"/>
      <c r="F36" s="140" t="s">
        <v>110</v>
      </c>
      <c r="G36" s="141" t="s">
        <v>111</v>
      </c>
      <c r="H36" s="142">
        <f>SUMIF(Portfolio!$F$6:$F$55,G36,Portfolio!$H$6:$H$55)</f>
        <v>0</v>
      </c>
    </row>
    <row r="37">
      <c r="A37" s="103"/>
      <c r="B37" s="103"/>
      <c r="C37" s="103"/>
      <c r="D37" s="103"/>
      <c r="E37" s="103"/>
      <c r="F37" s="140" t="s">
        <v>112</v>
      </c>
      <c r="G37" s="141" t="s">
        <v>113</v>
      </c>
      <c r="H37" s="142">
        <f>SUMIF(Portfolio!$F$6:$F$55,G37,Portfolio!$H$6:$H$55)</f>
        <v>0</v>
      </c>
    </row>
    <row r="38">
      <c r="A38" s="103"/>
      <c r="B38" s="103"/>
      <c r="C38" s="103"/>
      <c r="D38" s="103"/>
      <c r="E38" s="103"/>
      <c r="F38" s="140" t="s">
        <v>114</v>
      </c>
      <c r="G38" s="141" t="s">
        <v>115</v>
      </c>
      <c r="H38" s="142">
        <f>SUMIF(Portfolio!$F$6:$F$55,G38,Portfolio!$H$6:$H$55)</f>
        <v>0</v>
      </c>
    </row>
    <row r="39">
      <c r="A39" s="103"/>
      <c r="B39" s="103"/>
      <c r="C39" s="103"/>
      <c r="D39" s="103"/>
      <c r="E39" s="103"/>
      <c r="F39" s="144" t="s">
        <v>116</v>
      </c>
      <c r="G39" s="145" t="s">
        <v>117</v>
      </c>
      <c r="H39" s="142">
        <f>SUMIF(Portfolio!$F$6:$F$55,G39,Portfolio!$H$6:$H$55)</f>
        <v>0</v>
      </c>
    </row>
    <row r="40">
      <c r="A40" s="103"/>
      <c r="B40" s="103"/>
      <c r="C40" s="103"/>
      <c r="D40" s="103"/>
      <c r="E40" s="103"/>
      <c r="F40" s="146" t="s">
        <v>118</v>
      </c>
      <c r="G40" s="147" t="s">
        <v>119</v>
      </c>
      <c r="H40" s="142">
        <f>SUMIF(Portfolio!$F$6:$F$55,G40,Portfolio!$H$6:$H$55)</f>
        <v>0</v>
      </c>
    </row>
    <row r="41">
      <c r="A41" s="103"/>
      <c r="B41" s="103"/>
      <c r="C41" s="103"/>
      <c r="D41" s="103"/>
      <c r="E41" s="103"/>
      <c r="F41" s="146" t="s">
        <v>120</v>
      </c>
      <c r="G41" s="147" t="s">
        <v>121</v>
      </c>
      <c r="H41" s="142">
        <f>SUMIF(Portfolio!$F$6:$F$55,G41,Portfolio!$H$6:$H$55)</f>
        <v>0</v>
      </c>
    </row>
    <row r="42">
      <c r="A42" s="103"/>
      <c r="B42" s="103"/>
      <c r="C42" s="103"/>
      <c r="D42" s="103"/>
      <c r="E42" s="103"/>
      <c r="F42" s="146" t="s">
        <v>122</v>
      </c>
      <c r="G42" s="147" t="s">
        <v>123</v>
      </c>
      <c r="H42" s="142">
        <f>SUMIF(Portfolio!$F$6:$F$55,G42,Portfolio!$H$6:$H$55)</f>
        <v>0</v>
      </c>
    </row>
    <row r="43">
      <c r="A43" s="103"/>
      <c r="B43" s="103"/>
      <c r="C43" s="103"/>
      <c r="D43" s="103"/>
      <c r="E43" s="103"/>
      <c r="F43" s="146" t="s">
        <v>124</v>
      </c>
      <c r="G43" s="147" t="s">
        <v>125</v>
      </c>
      <c r="H43" s="142">
        <f>SUMIF(Portfolio!$F$6:$F$55,G43,Portfolio!$H$6:$H$55)</f>
        <v>0</v>
      </c>
    </row>
    <row r="44">
      <c r="A44" s="103"/>
      <c r="B44" s="103"/>
      <c r="C44" s="103"/>
      <c r="D44" s="103"/>
      <c r="E44" s="103"/>
      <c r="F44" s="146" t="s">
        <v>126</v>
      </c>
      <c r="G44" s="147" t="s">
        <v>127</v>
      </c>
      <c r="H44" s="142">
        <f>SUMIF(Portfolio!$F$6:$F$55,G44,Portfolio!$H$6:$H$55)</f>
        <v>0</v>
      </c>
    </row>
    <row r="45">
      <c r="A45" s="103"/>
      <c r="B45" s="103"/>
      <c r="C45" s="103"/>
      <c r="D45" s="103"/>
      <c r="E45" s="103"/>
      <c r="F45" s="146" t="s">
        <v>128</v>
      </c>
      <c r="G45" s="147" t="s">
        <v>129</v>
      </c>
      <c r="H45" s="142">
        <f>SUMIF(Portfolio!$F$6:$F$55,G45,Portfolio!$H$6:$H$55)</f>
        <v>0</v>
      </c>
    </row>
    <row r="46">
      <c r="A46" s="103"/>
      <c r="B46" s="103"/>
      <c r="C46" s="103"/>
      <c r="D46" s="103"/>
      <c r="E46" s="103"/>
      <c r="F46" s="146" t="s">
        <v>130</v>
      </c>
      <c r="G46" s="147" t="s">
        <v>131</v>
      </c>
      <c r="H46" s="142">
        <f>SUMIF(Portfolio!$F$6:$F$55,G46,Portfolio!$H$6:$H$55)</f>
        <v>0</v>
      </c>
    </row>
    <row r="47">
      <c r="A47" s="103"/>
      <c r="B47" s="103"/>
      <c r="C47" s="103"/>
      <c r="D47" s="103"/>
      <c r="E47" s="103"/>
    </row>
    <row r="48">
      <c r="A48" s="103"/>
      <c r="B48" s="148" t="str">
        <f>"Monthly Dividends per Year in " &amp; Portfolio!$H$3</f>
        <v>Monthly Dividends per Year in €</v>
      </c>
      <c r="C48" s="83"/>
      <c r="D48" s="83"/>
      <c r="E48" s="24"/>
    </row>
    <row r="49">
      <c r="A49" s="149"/>
      <c r="B49" s="150" t="s">
        <v>132</v>
      </c>
      <c r="C49" s="151">
        <v>2015.0</v>
      </c>
      <c r="D49" s="151">
        <v>2016.0</v>
      </c>
      <c r="E49" s="151">
        <v>2017.0</v>
      </c>
    </row>
    <row r="50">
      <c r="A50" s="152">
        <v>1.0</v>
      </c>
      <c r="B50" s="153" t="s">
        <v>133</v>
      </c>
      <c r="C50" s="154" t="str">
        <f t="array" ref="C50">SUMPRODUCT(1*(iferror(year(Transactions!$A$2:$A80)=$C$49))*(iferror(month(Transactions!$A$2:$A80)=$A50))*(Transactions!$B$2:$B80="Div")*Transactions!$S$2:$S80)</f>
        <v>#N/A</v>
      </c>
      <c r="D50" s="154" t="str">
        <f t="array" ref="D50">SUMPRODUCT(1*(iferror(year(Transactions!$A$2:$A80)=$D$49))*(iferror(month(Transactions!$A$2:$A80)=$A50))*(Transactions!$B$2:$B80="Div")*Transactions!$S$2:$S80)</f>
        <v>#N/A</v>
      </c>
      <c r="E50" s="154" t="str">
        <f t="array" ref="E50">SUMPRODUCT(1*(iferror(year(Transactions!$A$2:$A80)=$E$49))*(iferror(month(Transactions!$A$2:$A80)=$A50))*(Transactions!$B$2:$B80="Div")*Transactions!$S$2:$S80)</f>
        <v>#N/A</v>
      </c>
    </row>
    <row r="51">
      <c r="A51" s="152">
        <v>2.0</v>
      </c>
      <c r="B51" s="153" t="s">
        <v>134</v>
      </c>
      <c r="C51" s="154" t="str">
        <f t="array" ref="C51">SUMPRODUCT(1*(iferror(year(Transactions!$A$2:$A80)=$C$49))*(iferror(month(Transactions!$A$2:$A80)=$A51))*(Transactions!$B$2:$B80="Div")*Transactions!$S$2:$S80)</f>
        <v>#N/A</v>
      </c>
      <c r="D51" s="154" t="str">
        <f t="array" ref="D51">SUMPRODUCT(1*(iferror(year(Transactions!$A$2:$A80)=$D$49))*(iferror(month(Transactions!$A$2:$A80)=$A51))*(Transactions!$B$2:$B80="Div")*Transactions!$S$2:$S80)</f>
        <v>#N/A</v>
      </c>
      <c r="E51" s="154" t="str">
        <f t="array" ref="E51">SUMPRODUCT(1*(iferror(year(Transactions!$A$2:$A80)=$E$49))*(iferror(month(Transactions!$A$2:$A80)=$A51))*(Transactions!$B$2:$B80="Div")*Transactions!$S$2:$S80)</f>
        <v>#N/A</v>
      </c>
    </row>
    <row r="52">
      <c r="A52" s="152">
        <v>3.0</v>
      </c>
      <c r="B52" s="153" t="s">
        <v>135</v>
      </c>
      <c r="C52" s="154" t="str">
        <f t="array" ref="C52">SUMPRODUCT(1*(iferror(year(Transactions!$A$2:$A80)=$C$49))*(iferror(month(Transactions!$A$2:$A80)=$A52))*(Transactions!$B$2:$B80="Div")*Transactions!$S$2:$S80)</f>
        <v>#N/A</v>
      </c>
      <c r="D52" s="154" t="str">
        <f t="array" ref="D52">SUMPRODUCT(1*(iferror(year(Transactions!$A$2:$A80)=$D$49))*(iferror(month(Transactions!$A$2:$A80)=$A52))*(Transactions!$B$2:$B80="Div")*Transactions!$S$2:$S80)</f>
        <v>#N/A</v>
      </c>
      <c r="E52" s="154" t="str">
        <f t="array" ref="E52">SUMPRODUCT(1*(iferror(year(Transactions!$A$2:$A80)=$E$49))*(iferror(month(Transactions!$A$2:$A80)=$A52))*(Transactions!$B$2:$B80="Div")*Transactions!$S$2:$S80)</f>
        <v>#N/A</v>
      </c>
    </row>
    <row r="53">
      <c r="A53" s="152">
        <v>4.0</v>
      </c>
      <c r="B53" s="153" t="s">
        <v>136</v>
      </c>
      <c r="C53" s="154" t="str">
        <f t="array" ref="C53">SUMPRODUCT(1*(iferror(year(Transactions!$A$2:$A80)=$C$49))*(iferror(month(Transactions!$A$2:$A80)=$A53))*(Transactions!$B$2:$B80="Div")*Transactions!$S$2:$S80)</f>
        <v>#N/A</v>
      </c>
      <c r="D53" s="154" t="str">
        <f t="array" ref="D53">SUMPRODUCT(1*(iferror(year(Transactions!$A$2:$A80)=$D$49))*(iferror(month(Transactions!$A$2:$A80)=$A53))*(Transactions!$B$2:$B80="Div")*Transactions!$S$2:$S80)</f>
        <v>#N/A</v>
      </c>
      <c r="E53" s="154" t="str">
        <f t="array" ref="E53">SUMPRODUCT(1*(iferror(year(Transactions!$A$2:$A80)=$E$49))*(iferror(month(Transactions!$A$2:$A80)=$A53))*(Transactions!$B$2:$B80="Div")*Transactions!$S$2:$S80)</f>
        <v>#N/A</v>
      </c>
    </row>
    <row r="54">
      <c r="A54" s="152">
        <v>5.0</v>
      </c>
      <c r="B54" s="153" t="s">
        <v>137</v>
      </c>
      <c r="C54" s="154" t="str">
        <f t="array" ref="C54">SUMPRODUCT(1*(iferror(year(Transactions!$A$2:$A80)=$C$49))*(iferror(month(Transactions!$A$2:$A80)=$A54))*(Transactions!$B$2:$B80="Div")*Transactions!$S$2:$S80)</f>
        <v>#N/A</v>
      </c>
      <c r="D54" s="154" t="str">
        <f t="array" ref="D54">SUMPRODUCT(1*(iferror(year(Transactions!$A$2:$A80)=$D$49))*(iferror(month(Transactions!$A$2:$A80)=$A54))*(Transactions!$B$2:$B80="Div")*Transactions!$S$2:$S80)</f>
        <v>#N/A</v>
      </c>
      <c r="E54" s="154" t="str">
        <f t="array" ref="E54">SUMPRODUCT(1*(iferror(year(Transactions!$A$2:$A80)=$E$49))*(iferror(month(Transactions!$A$2:$A80)=$A54))*(Transactions!$B$2:$B80="Div")*Transactions!$S$2:$S80)</f>
        <v>#N/A</v>
      </c>
    </row>
    <row r="55">
      <c r="A55" s="152">
        <v>6.0</v>
      </c>
      <c r="B55" s="153" t="s">
        <v>138</v>
      </c>
      <c r="C55" s="154" t="str">
        <f t="array" ref="C55">SUMPRODUCT(1*(iferror(year(Transactions!$A$2:$A80)=$C$49))*(iferror(month(Transactions!$A$2:$A80)=$A55))*(Transactions!$B$2:$B80="Div")*Transactions!$S$2:$S80)</f>
        <v>#N/A</v>
      </c>
      <c r="D55" s="154" t="str">
        <f t="array" ref="D55">SUMPRODUCT(1*(iferror(year(Transactions!$A$2:$A80)=$D$49))*(iferror(month(Transactions!$A$2:$A80)=$A55))*(Transactions!$B$2:$B80="Div")*Transactions!$S$2:$S80)</f>
        <v>#N/A</v>
      </c>
      <c r="E55" s="154" t="str">
        <f t="array" ref="E55">SUMPRODUCT(1*(iferror(year(Transactions!$A$2:$A80)=$E$49))*(iferror(month(Transactions!$A$2:$A80)=$A55))*(Transactions!$B$2:$B80="Div")*Transactions!$S$2:$S80)</f>
        <v>#N/A</v>
      </c>
    </row>
    <row r="56">
      <c r="A56" s="152">
        <v>7.0</v>
      </c>
      <c r="B56" s="153" t="s">
        <v>139</v>
      </c>
      <c r="C56" s="154" t="str">
        <f t="array" ref="C56">SUMPRODUCT(1*(iferror(year(Transactions!$A$2:$A80)=$C$49))*(iferror(month(Transactions!$A$2:$A80)=$A56))*(Transactions!$B$2:$B80="Div")*Transactions!$S$2:$S80)</f>
        <v>#N/A</v>
      </c>
      <c r="D56" s="154" t="str">
        <f t="array" ref="D56">SUMPRODUCT(1*(iferror(year(Transactions!$A$2:$A80)=$D$49))*(iferror(month(Transactions!$A$2:$A80)=$A56))*(Transactions!$B$2:$B80="Div")*Transactions!$S$2:$S80)</f>
        <v>#N/A</v>
      </c>
      <c r="E56" s="154" t="str">
        <f t="array" ref="E56">SUMPRODUCT(1*(iferror(year(Transactions!$A$2:$A80)=$E$49))*(iferror(month(Transactions!$A$2:$A80)=$A56))*(Transactions!$B$2:$B80="Div")*Transactions!$S$2:$S80)</f>
        <v>#N/A</v>
      </c>
    </row>
    <row r="57">
      <c r="A57" s="152">
        <v>8.0</v>
      </c>
      <c r="B57" s="153" t="s">
        <v>140</v>
      </c>
      <c r="C57" s="154" t="str">
        <f t="array" ref="C57">SUMPRODUCT(1*(iferror(year(Transactions!$A$2:$A80)=$C$49))*(iferror(month(Transactions!$A$2:$A80)=$A57))*(Transactions!$B$2:$B80="Div")*Transactions!$S$2:$S80)</f>
        <v>#N/A</v>
      </c>
      <c r="D57" s="154" t="str">
        <f t="array" ref="D57">SUMPRODUCT(1*(iferror(year(Transactions!$A$2:$A80)=$D$49))*(iferror(month(Transactions!$A$2:$A80)=$A57))*(Transactions!$B$2:$B80="Div")*Transactions!$S$2:$S80)</f>
        <v>#N/A</v>
      </c>
      <c r="E57" s="154" t="str">
        <f t="array" ref="E57">SUMPRODUCT(1*(iferror(year(Transactions!$A$2:$A80)=$E$49))*(iferror(month(Transactions!$A$2:$A80)=$A57))*(Transactions!$B$2:$B80="Div")*Transactions!$S$2:$S80)</f>
        <v>#N/A</v>
      </c>
    </row>
    <row r="58">
      <c r="A58" s="152">
        <v>9.0</v>
      </c>
      <c r="B58" s="153" t="s">
        <v>141</v>
      </c>
      <c r="C58" s="154" t="str">
        <f t="array" ref="C58">SUMPRODUCT(1*(iferror(year(Transactions!$A$2:$A80)=$C$49))*(iferror(month(Transactions!$A$2:$A80)=$A58))*(Transactions!$B$2:$B80="Div")*Transactions!$S$2:$S80)</f>
        <v>#N/A</v>
      </c>
      <c r="D58" s="154" t="str">
        <f t="array" ref="D58">SUMPRODUCT(1*(iferror(year(Transactions!$A$2:$A80)=$D$49))*(iferror(month(Transactions!$A$2:$A80)=$A58))*(Transactions!$B$2:$B80="Div")*Transactions!$S$2:$S80)</f>
        <v>#N/A</v>
      </c>
      <c r="E58" s="154" t="str">
        <f t="array" ref="E58">SUMPRODUCT(1*(iferror(year(Transactions!$A$2:$A80)=$E$49))*(iferror(month(Transactions!$A$2:$A80)=$A58))*(Transactions!$B$2:$B80="Div")*Transactions!$S$2:$S80)</f>
        <v>#N/A</v>
      </c>
    </row>
    <row r="59">
      <c r="A59" s="152">
        <v>10.0</v>
      </c>
      <c r="B59" s="153" t="s">
        <v>142</v>
      </c>
      <c r="C59" s="154" t="str">
        <f t="array" ref="C59">SUMPRODUCT(1*(iferror(year(Transactions!$A$2:$A80)=$C$49))*(iferror(month(Transactions!$A$2:$A80)=$A59))*(Transactions!$B$2:$B80="Div")*Transactions!$S$2:$S80)</f>
        <v>#N/A</v>
      </c>
      <c r="D59" s="154" t="str">
        <f t="array" ref="D59">SUMPRODUCT(1*(iferror(year(Transactions!$A$2:$A80)=$D$49))*(iferror(month(Transactions!$A$2:$A80)=$A59))*(Transactions!$B$2:$B80="Div")*Transactions!$S$2:$S80)</f>
        <v>#N/A</v>
      </c>
      <c r="E59" s="154" t="str">
        <f t="array" ref="E59">SUMPRODUCT(1*(iferror(year(Transactions!$A$2:$A80)=$E$49))*(iferror(month(Transactions!$A$2:$A80)=$A59))*(Transactions!$B$2:$B80="Div")*Transactions!$S$2:$S80)</f>
        <v>#N/A</v>
      </c>
    </row>
    <row r="60">
      <c r="A60" s="152">
        <v>11.0</v>
      </c>
      <c r="B60" s="153" t="s">
        <v>143</v>
      </c>
      <c r="C60" s="154" t="str">
        <f t="array" ref="C60">SUMPRODUCT(1*(iferror(year(Transactions!$A$2:$A80)=$C$49))*(iferror(month(Transactions!$A$2:$A80)=$A60))*(Transactions!$B$2:$B80="Div")*Transactions!$S$2:$S80)</f>
        <v>#N/A</v>
      </c>
      <c r="D60" s="154" t="str">
        <f t="array" ref="D60">SUMPRODUCT(1*(iferror(year(Transactions!$A$2:$A80)=$D$49))*(iferror(month(Transactions!$A$2:$A80)=$A60))*(Transactions!$B$2:$B80="Div")*Transactions!$S$2:$S80)</f>
        <v>#N/A</v>
      </c>
      <c r="E60" s="154" t="str">
        <f t="array" ref="E60">SUMPRODUCT(1*(iferror(year(Transactions!$A$2:$A80)=$E$49))*(iferror(month(Transactions!$A$2:$A80)=$A60))*(Transactions!$B$2:$B80="Div")*Transactions!$S$2:$S80)</f>
        <v>#N/A</v>
      </c>
    </row>
    <row r="61">
      <c r="A61" s="152">
        <v>12.0</v>
      </c>
      <c r="B61" s="153" t="s">
        <v>144</v>
      </c>
      <c r="C61" s="154" t="str">
        <f t="array" ref="C61">SUMPRODUCT(1*(iferror(year(Transactions!$A$2:$A80)=$C$49))*(iferror(month(Transactions!$A$2:$A80)=$A61))*(Transactions!$B$2:$B80="Div")*Transactions!$S$2:$S80)</f>
        <v>#N/A</v>
      </c>
      <c r="D61" s="154" t="str">
        <f t="array" ref="D61">SUMPRODUCT(1*(iferror(year(Transactions!$A$2:$A80)=$D$49))*(iferror(month(Transactions!$A$2:$A80)=$A61))*(Transactions!$B$2:$B80="Div")*Transactions!$S$2:$S80)</f>
        <v>#N/A</v>
      </c>
      <c r="E61" s="154" t="str">
        <f t="array" ref="E61">SUMPRODUCT(1*(iferror(year(Transactions!$A$2:$A80)=$E$49))*(iferror(month(Transactions!$A$2:$A80)=$A61))*(Transactions!$B$2:$B80="Div")*Transactions!$S$2:$S80)</f>
        <v>#N/A</v>
      </c>
    </row>
    <row r="62">
      <c r="A62" s="158"/>
      <c r="B62" s="159" t="str">
        <f>CONCATENATE("YTD Total [",Portfolio!$H$3,"]" )</f>
        <v>YTD Total [€]</v>
      </c>
      <c r="C62" s="160" t="str">
        <f t="shared" ref="C62:E62" si="9">sum(C50:C61)</f>
        <v>#N/A</v>
      </c>
      <c r="D62" s="160" t="str">
        <f t="shared" si="9"/>
        <v>#N/A</v>
      </c>
      <c r="E62" s="160" t="str">
        <f t="shared" si="9"/>
        <v>#N/A</v>
      </c>
    </row>
    <row r="67">
      <c r="B67" s="161" t="str">
        <f>"Annual Dividends in " &amp; Portfolio!$H$3</f>
        <v>Annual Dividends in €</v>
      </c>
      <c r="C67" s="3"/>
      <c r="D67" s="3"/>
    </row>
    <row r="68">
      <c r="B68" s="162" t="s">
        <v>145</v>
      </c>
      <c r="C68" s="163" t="s">
        <v>146</v>
      </c>
      <c r="D68" s="164" t="s">
        <v>147</v>
      </c>
    </row>
    <row r="69">
      <c r="B69" s="165">
        <v>2015.0</v>
      </c>
      <c r="C69" s="116" t="str">
        <f t="array" ref="C69">SUMPRODUCT(1*(iferror(year(Transactions!$A$2:$A80)=$B69))*(Transactions!$B$2:$B80="Div")*Transactions!$S$2:$S80)</f>
        <v>#N/A</v>
      </c>
      <c r="D69" s="166" t="str">
        <f t="array" ref="D69">SUMPRODUCT(1*(iferror(year(Transactions!$A$2:$A80)=$B69))*(Transactions!$B$2:$B80="Sell")*Transactions!$S$2:$S80)</f>
        <v>#N/A</v>
      </c>
    </row>
    <row r="70">
      <c r="B70" s="165">
        <v>2016.0</v>
      </c>
      <c r="C70" s="116" t="str">
        <f t="array" ref="C70">SUMPRODUCT(1*(iferror(year(Transactions!$A$2:$A80)=$B70))*(Transactions!$B$2:$B80="Div")*Transactions!$S$2:$S80)</f>
        <v>#N/A</v>
      </c>
      <c r="D70" s="166" t="str">
        <f t="array" ref="D70">SUMPRODUCT(1*(iferror(year(Transactions!$A$2:$A80)=$B70))*(Transactions!$B$2:$B80="Sell")*Transactions!$S$2:$S80)</f>
        <v>#N/A</v>
      </c>
    </row>
    <row r="71">
      <c r="B71" s="165">
        <v>2017.0</v>
      </c>
      <c r="C71" s="116" t="str">
        <f t="array" ref="C71">SUMPRODUCT(1*(iferror(year(Transactions!$A$2:$A80)=$B71))*(Transactions!$B$2:$B80="Div")*Transactions!$S$2:$S80)</f>
        <v>#N/A</v>
      </c>
      <c r="D71" s="166" t="str">
        <f t="array" ref="D71">SUMPRODUCT(1*(iferror(year(Transactions!$A$2:$A80)=$B71))*(Transactions!$B$2:$B80="Sell")*Transactions!$S$2:$S80)</f>
        <v>#N/A</v>
      </c>
    </row>
    <row r="72">
      <c r="B72" s="137"/>
      <c r="C72" s="167"/>
      <c r="D72" s="168"/>
    </row>
  </sheetData>
  <mergeCells count="3">
    <mergeCell ref="B48:E48"/>
    <mergeCell ref="B67:D67"/>
    <mergeCell ref="B1:D1"/>
  </mergeCells>
  <conditionalFormatting sqref="L22">
    <cfRule type="cellIs" dxfId="2" priority="1" operator="greaterThan">
      <formula>1</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5.0" topLeftCell="A6" activePane="bottomLeft" state="frozen"/>
      <selection activeCell="B7" sqref="B7" pane="bottomLeft"/>
    </sheetView>
  </sheetViews>
  <sheetFormatPr customHeight="1" defaultColWidth="14.43" defaultRowHeight="15.75"/>
  <cols>
    <col customWidth="1" min="1" max="1" width="13.0"/>
    <col customWidth="1" min="2" max="2" width="10.43"/>
    <col customWidth="1" min="3" max="3" width="15.43"/>
    <col customWidth="1" min="4" max="4" width="8.57"/>
    <col customWidth="1" min="5" max="5" width="8.43"/>
    <col customWidth="1" min="6" max="6" width="5.0"/>
    <col customWidth="1" min="7" max="7" width="11.14"/>
    <col customWidth="1" min="8" max="8" width="13.57"/>
    <col customWidth="1" min="9" max="9" width="9.86"/>
    <col customWidth="1" min="10" max="10" width="12.14"/>
    <col customWidth="1" min="11" max="11" width="11.57"/>
    <col customWidth="1" min="12" max="12" width="10.57"/>
    <col customWidth="1" min="13" max="13" width="12.57"/>
    <col customWidth="1" min="14" max="14" width="11.29"/>
    <col customWidth="1" min="15" max="15" width="9.43"/>
    <col customWidth="1" min="16" max="16" width="10.0"/>
    <col customWidth="1" min="17" max="17" width="10.71"/>
    <col customWidth="1" min="18" max="18" width="8.71"/>
    <col customWidth="1" min="19" max="19" width="7.0"/>
    <col customWidth="1" hidden="1" min="20" max="21" width="7.0"/>
  </cols>
  <sheetData>
    <row r="1">
      <c r="A1" s="1"/>
      <c r="B1" s="1"/>
      <c r="C1" s="1"/>
      <c r="D1" s="1"/>
      <c r="E1" s="1"/>
      <c r="F1" s="2"/>
      <c r="G1" s="2" t="s">
        <v>0</v>
      </c>
      <c r="H1" s="3"/>
      <c r="I1" s="3"/>
      <c r="J1" s="3"/>
      <c r="K1" s="3"/>
      <c r="L1" s="1"/>
      <c r="M1" s="1"/>
      <c r="N1" s="1"/>
      <c r="O1" s="1"/>
      <c r="P1" s="1"/>
      <c r="Q1" s="1"/>
      <c r="R1" s="1"/>
      <c r="S1" s="1"/>
      <c r="T1" s="4"/>
      <c r="U1" s="4"/>
    </row>
    <row r="2">
      <c r="A2" s="5" t="s">
        <v>1</v>
      </c>
      <c r="B2" s="6" t="s">
        <v>2</v>
      </c>
      <c r="C2" s="5" t="s">
        <v>3</v>
      </c>
      <c r="D2" s="5" t="s">
        <v>4</v>
      </c>
      <c r="E2" s="5" t="s">
        <v>5</v>
      </c>
      <c r="F2" s="7" t="s">
        <v>6</v>
      </c>
      <c r="G2" s="6" t="s">
        <v>7</v>
      </c>
      <c r="H2" s="6" t="str">
        <f>CONCATENATE("Market Value [",$H$3,"]" )</f>
        <v>Market Value [€]</v>
      </c>
      <c r="I2" s="5" t="s">
        <v>8</v>
      </c>
      <c r="J2" s="5" t="str">
        <f>CONCATENATE("Cost Basis [",$H$3,"]" )</f>
        <v>Cost Basis [€]</v>
      </c>
      <c r="K2" s="5" t="str">
        <f>CONCATENATE("Unrealized Gain/Loss [",$H$3,"]" )</f>
        <v>Unrealized Gain/Loss [€]</v>
      </c>
      <c r="L2" s="5" t="s">
        <v>9</v>
      </c>
      <c r="M2" s="6" t="s">
        <v>10</v>
      </c>
      <c r="N2" s="5" t="str">
        <f>CONCATENATE("Realized Gain/Loss [",$H$3,"]" )</f>
        <v>Realized Gain/Loss [€]</v>
      </c>
      <c r="O2" s="5" t="str">
        <f>CONCATENATE("Dividends Collected [",$H$3,"]" )</f>
        <v>Dividends Collected [€]</v>
      </c>
      <c r="P2" s="8" t="str">
        <f>CONCATENATE("Total Gain/Loss [",$H$3,"]" )</f>
        <v>Total Gain/Loss [€]</v>
      </c>
      <c r="Q2" s="9" t="str">
        <f>CONCATENATE("Annual Dividend [",$H$3,"]" )</f>
        <v>Annual Dividend [€]</v>
      </c>
      <c r="R2" s="10" t="s">
        <v>11</v>
      </c>
      <c r="S2" s="5" t="s">
        <v>12</v>
      </c>
      <c r="T2" s="11" t="s">
        <v>7</v>
      </c>
      <c r="U2" s="12" t="s">
        <v>13</v>
      </c>
    </row>
    <row r="3">
      <c r="A3" s="13"/>
      <c r="B3" s="14"/>
      <c r="C3" s="15"/>
      <c r="D3" s="13"/>
      <c r="E3" s="13"/>
      <c r="F3" s="16"/>
      <c r="G3" s="17"/>
      <c r="H3" s="18" t="s">
        <v>14</v>
      </c>
      <c r="I3" s="13"/>
      <c r="J3" s="13"/>
      <c r="K3" s="13"/>
      <c r="L3" s="13"/>
      <c r="M3" s="13"/>
      <c r="N3" s="13"/>
      <c r="O3" s="13"/>
      <c r="P3" s="19"/>
      <c r="Q3" s="20"/>
      <c r="R3" s="21"/>
      <c r="S3" s="22"/>
    </row>
    <row r="4">
      <c r="A4" s="13"/>
      <c r="B4" s="14"/>
      <c r="C4" s="15"/>
      <c r="D4" s="23" t="s">
        <v>15</v>
      </c>
      <c r="E4" s="24"/>
      <c r="F4" s="16" t="s">
        <v>16</v>
      </c>
      <c r="G4" s="25">
        <v>2000.0</v>
      </c>
      <c r="H4" s="26">
        <f>if(isblank(G4),,G4*U4)</f>
        <v>1781.98</v>
      </c>
      <c r="I4" s="13"/>
      <c r="J4" s="13"/>
      <c r="K4" s="13"/>
      <c r="L4" s="13"/>
      <c r="M4" s="13"/>
      <c r="N4" s="13"/>
      <c r="O4" s="13"/>
      <c r="P4" s="19"/>
      <c r="Q4" s="20"/>
      <c r="R4" s="21"/>
      <c r="S4" s="22"/>
      <c r="U4" s="27">
        <f>IFERROR(__xludf.DUMMYFUNCTION("if(isblank(G4),,hlookup(F4,Currency!$D$1:$V$20,query(Currency!$B$2:$C$20,""select C WHERE (B=""""""&amp;$H$3&amp;"""""")""),false))"),0.89099)</f>
        <v>0.89099</v>
      </c>
    </row>
    <row r="5">
      <c r="A5" s="28" t="str">
        <f>CONCATENATE("Totals [",$H$3,"]" )</f>
        <v>Totals [€]</v>
      </c>
      <c r="B5" s="29"/>
      <c r="C5" s="29"/>
      <c r="D5" s="30"/>
      <c r="E5" s="31"/>
      <c r="F5" s="32"/>
      <c r="G5" s="33"/>
      <c r="H5" s="34">
        <f t="shared" ref="H5:K5" si="1">sum(H6:H55)</f>
        <v>0</v>
      </c>
      <c r="I5" s="35" t="str">
        <f t="shared" si="1"/>
        <v>#DIV/0!</v>
      </c>
      <c r="J5" s="36">
        <f t="shared" si="1"/>
        <v>0</v>
      </c>
      <c r="K5" s="36">
        <f t="shared" si="1"/>
        <v>0</v>
      </c>
      <c r="L5" s="37" t="str">
        <f>sum(K6:K55)/sum(J6:J55)</f>
        <v>#DIV/0!</v>
      </c>
      <c r="M5" s="38">
        <f>IFERROR(__xludf.DUMMYFUNCTION("iferror(xirr(split(join("","",query(Transactions!A$2:T82,""select T WHERE (B='Buy' OR B='Sell' OR B='Div')""),sum(H6:H55),"",""),"",""),split(join("","",query(Transactions!A$2:T82,""select A WHERE (B='Buy' OR B='Sell' OR B='Div')""),TODAY(),"",""),"",""))"&amp;",0)"),0.0)</f>
        <v>0</v>
      </c>
      <c r="N5" s="36" t="str">
        <f t="shared" ref="N5:Q5" si="2">sum(N6:N55)</f>
        <v>#N/A</v>
      </c>
      <c r="O5" s="36" t="str">
        <f t="shared" si="2"/>
        <v>#N/A</v>
      </c>
      <c r="P5" s="36" t="str">
        <f t="shared" si="2"/>
        <v>#N/A</v>
      </c>
      <c r="Q5" s="39">
        <f t="shared" si="2"/>
        <v>0</v>
      </c>
      <c r="R5" s="40">
        <f>iferror(sum(Q6:Q55)/T5,0)</f>
        <v>0</v>
      </c>
      <c r="S5" s="40">
        <f>iferror(sum(Q6:Q55)/sum(J6:J55),0)</f>
        <v>0</v>
      </c>
      <c r="T5" s="41">
        <f>sum(T6:T55)</f>
        <v>0</v>
      </c>
      <c r="U5" s="42"/>
    </row>
    <row r="6">
      <c r="A6" s="43" t="s">
        <v>17</v>
      </c>
      <c r="B6" s="44" t="s">
        <v>18</v>
      </c>
      <c r="C6" s="45" t="str">
        <f t="shared" ref="C6:C55" si="3">IFERROR(__xludf.DUMMYFUNCTION("IF($D6="""","""",GOOGLEFINANCE($D6,""name""))"),"Mcdonald's Corp")</f>
        <v>Mcdonald's Corp</v>
      </c>
      <c r="D6" s="44" t="s">
        <v>19</v>
      </c>
      <c r="E6" s="46">
        <f>IFERROR(__xludf.DUMMYFUNCTION("if(isblank(D6),,iferror(INDEX(arrayformula(filter(Transactions!J:J,Transactions!C:C&lt;&gt;"""",row(Transactions!C:C)=max(if(Transactions!C:C=C6,row(Transactions!C:C),0)))) ,1),0))"),0.0)</f>
        <v>0</v>
      </c>
      <c r="F6" s="47" t="s">
        <v>16</v>
      </c>
      <c r="G6" s="48">
        <f>if(isblank(D6),,ReferenceData!C4*E6)</f>
        <v>0</v>
      </c>
      <c r="H6" s="48">
        <f t="shared" ref="H6:H55" si="4">if(isblank(D6),,G6*U6)</f>
        <v>0</v>
      </c>
      <c r="I6" s="49" t="str">
        <f t="shared" ref="I6:I55" si="5">if(isblank(D6),,H6/T$56)</f>
        <v>#DIV/0!</v>
      </c>
      <c r="J6" s="48">
        <f>IFERROR(__xludf.DUMMYFUNCTION("if(isblank(D6),,iferror(INDEX(arrayformula(filter(Transactions!O:O,Transactions!C:C&lt;&gt;"""",row(Transactions!C:C)=max(if(Transactions!C:C=C6,row(Transactions!C:C),0)))) ,1),0)*U6)"),0.0)</f>
        <v>0</v>
      </c>
      <c r="K6" s="48">
        <f>if(isblank(D6),,(ReferenceData!C4-ReferenceData!D4)*E6*U6)</f>
        <v>0</v>
      </c>
      <c r="L6" s="49">
        <f t="shared" ref="L6:L55" si="6">if(isblank(D6),,if(J6=0,0,K6/J6))</f>
        <v>0</v>
      </c>
      <c r="M6" s="50">
        <f>IFERROR(__xludf.DUMMYFUNCTION("if(isblank(D6),,iferror(xirr(split(join("","",query(Transactions!A$2:R82,""select R WHERE (B='Buy' OR B='Sell' OR B='Div') AND C=""""""&amp;C6&amp;"""""" ""),G6,"",""),"",""),split(join("","",query(Transactions!A$2:R82,""select A WHERE (B='Buy' OR B='Sell' OR B='"&amp;"Div') AND C=""""""&amp;C6&amp;"""""" ""),TODAY(),"",""),"","")),0))"),0.0)</f>
        <v>0</v>
      </c>
      <c r="N6" s="48">
        <f t="array" ref="N6">if(isblank(D6),,sumproduct(Transactions!C:C=C6,Transactions!B:B="Sell",Transactions!P:P)*U6)</f>
        <v>0</v>
      </c>
      <c r="O6" s="48">
        <f t="array" ref="O6">if(isblank(D6),,sumproduct(Transactions!C:C=C6,Transactions!B:B="Div",Transactions!P:P)*U6)</f>
        <v>0</v>
      </c>
      <c r="P6" s="66">
        <f t="shared" ref="P6:P55" si="7">if(isblank(D6),,K6+N6+O6)</f>
        <v>0</v>
      </c>
      <c r="Q6" s="48">
        <f t="shared" ref="Q6:Q55" si="8">if(isblank(D6),,R6*H6)</f>
        <v>0</v>
      </c>
      <c r="R6" s="49">
        <f>if(isblank(D6),,ReferenceData!E4)</f>
        <v>0</v>
      </c>
      <c r="S6" s="58" t="str">
        <f t="shared" ref="S6:S55" si="9">if(isblank(D6),,Q6/J6)</f>
        <v>#DIV/0!</v>
      </c>
      <c r="T6" s="41">
        <f t="shared" ref="T6:T55" si="10">H6</f>
        <v>0</v>
      </c>
      <c r="U6" s="27">
        <f>IFERROR(__xludf.DUMMYFUNCTION("if(isblank(D6),,hlookup(F6,Currency!$D$1:$V$20,query(Currency!$B$2:$C$20,""select C WHERE (B=""""""&amp;$H$3&amp;"""""")""),false))"),0.89099)</f>
        <v>0.89099</v>
      </c>
    </row>
    <row r="7">
      <c r="A7" s="72" t="s">
        <v>34</v>
      </c>
      <c r="B7" s="44" t="s">
        <v>35</v>
      </c>
      <c r="C7" s="45" t="str">
        <f t="shared" si="3"/>
        <v>#N/A</v>
      </c>
      <c r="D7" s="44" t="s">
        <v>56</v>
      </c>
      <c r="E7" s="46">
        <f>IFERROR(__xludf.DUMMYFUNCTION("if(isblank(D7),,iferror(INDEX(arrayformula(filter(Transactions!J:J,Transactions!C:C&lt;&gt;"""",row(Transactions!C:C)=max(if(Transactions!C:C=C7,row(Transactions!C:C),0)))) ,1),0))"),0.0)</f>
        <v>0</v>
      </c>
      <c r="F7" s="75" t="s">
        <v>58</v>
      </c>
      <c r="G7" s="48">
        <f>if(isblank(D7),,ReferenceData!C5*E7)</f>
        <v>0</v>
      </c>
      <c r="H7" s="48">
        <f t="shared" si="4"/>
        <v>0</v>
      </c>
      <c r="I7" s="49" t="str">
        <f t="shared" si="5"/>
        <v>#DIV/0!</v>
      </c>
      <c r="J7" s="48">
        <f>IFERROR(__xludf.DUMMYFUNCTION("if(isblank(D7),,iferror(INDEX(arrayformula(filter(Transactions!O:O,Transactions!C:C&lt;&gt;"""",row(Transactions!C:C)=max(if(Transactions!C:C=C7,row(Transactions!C:C),0)))) ,1),0)*U7)"),0.0)</f>
        <v>0</v>
      </c>
      <c r="K7" s="48">
        <f>if(isblank(D7),,(ReferenceData!C5-ReferenceData!D5)*E7*U7)</f>
        <v>0</v>
      </c>
      <c r="L7" s="49">
        <f t="shared" si="6"/>
        <v>0</v>
      </c>
      <c r="M7" s="50">
        <f>IFERROR(__xludf.DUMMYFUNCTION("if(isblank(D7),,iferror(xirr(split(join("","",query(Transactions!A$2:R82,""select R WHERE (B='Buy' OR B='Sell' OR B='Div') AND C=""""""&amp;C7&amp;"""""" ""),G7,"",""),"",""),split(join("","",query(Transactions!A$2:R82,""select A WHERE (B='Buy' OR B='Sell' OR B='"&amp;"Div') AND C=""""""&amp;C7&amp;"""""" ""),TODAY(),"",""),"","")),0))"),0.0)</f>
        <v>0</v>
      </c>
      <c r="N7" s="48" t="str">
        <f t="array" ref="N7">if(isblank(D7),,sumproduct(Transactions!C:C=C7,Transactions!B:B="Sell",Transactions!P:P)*U7)</f>
        <v>#N/A</v>
      </c>
      <c r="O7" s="48" t="str">
        <f t="array" ref="O7">if(isblank(D7),,sumproduct(Transactions!C:C=C7,Transactions!B:B="Div",Transactions!P:P)*U7)</f>
        <v>#N/A</v>
      </c>
      <c r="P7" s="66" t="str">
        <f t="shared" si="7"/>
        <v>#N/A</v>
      </c>
      <c r="Q7" s="48">
        <f t="shared" si="8"/>
        <v>0</v>
      </c>
      <c r="R7" s="49">
        <f>if(isblank(D7),,ReferenceData!E5)</f>
        <v>0</v>
      </c>
      <c r="S7" s="58" t="str">
        <f t="shared" si="9"/>
        <v>#DIV/0!</v>
      </c>
      <c r="T7" s="41">
        <f t="shared" si="10"/>
        <v>0</v>
      </c>
      <c r="U7" s="27">
        <f>IFERROR(__xludf.DUMMYFUNCTION("if(isblank(D7),,hlookup(F7,Currency!$D$1:$V$20,query(Currency!$B$2:$C$20,""select C WHERE (B=""""""&amp;$H$3&amp;"""""")""),false))"),0.0116153)</f>
        <v>0.0116153</v>
      </c>
    </row>
    <row r="8">
      <c r="A8" s="72" t="s">
        <v>52</v>
      </c>
      <c r="B8" s="44" t="s">
        <v>18</v>
      </c>
      <c r="C8" s="45" t="str">
        <f t="shared" si="3"/>
        <v>#N/A</v>
      </c>
      <c r="D8" s="44" t="s">
        <v>73</v>
      </c>
      <c r="E8" s="46">
        <f>IFERROR(__xludf.DUMMYFUNCTION("if(isblank(D8),,iferror(INDEX(arrayformula(filter(Transactions!J:J,Transactions!C:C&lt;&gt;"""",row(Transactions!C:C)=max(if(Transactions!C:C=C8,row(Transactions!C:C),0)))) ,1),0))"),0.0)</f>
        <v>0</v>
      </c>
      <c r="F8" s="75" t="s">
        <v>58</v>
      </c>
      <c r="G8" s="48">
        <f>if(isblank(D8),,ReferenceData!C6*E8)</f>
        <v>0</v>
      </c>
      <c r="H8" s="48">
        <f t="shared" si="4"/>
        <v>0</v>
      </c>
      <c r="I8" s="49" t="str">
        <f t="shared" si="5"/>
        <v>#DIV/0!</v>
      </c>
      <c r="J8" s="48">
        <f>IFERROR(__xludf.DUMMYFUNCTION("if(isblank(D8),,iferror(INDEX(arrayformula(filter(Transactions!O:O,Transactions!C:C&lt;&gt;"""",row(Transactions!C:C)=max(if(Transactions!C:C=C8,row(Transactions!C:C),0)))) ,1),0)*U8)"),0.0)</f>
        <v>0</v>
      </c>
      <c r="K8" s="48">
        <f>if(isblank(D8),,(ReferenceData!C6-ReferenceData!D6)*E8*U8)</f>
        <v>0</v>
      </c>
      <c r="L8" s="49">
        <f t="shared" si="6"/>
        <v>0</v>
      </c>
      <c r="M8" s="50">
        <f>IFERROR(__xludf.DUMMYFUNCTION("if(isblank(D8),,iferror(xirr(split(join("","",query(Transactions!A$2:R82,""select R WHERE (B='Buy' OR B='Sell' OR B='Div') AND C=""""""&amp;C8&amp;"""""" ""),G8,"",""),"",""),split(join("","",query(Transactions!A$2:R82,""select A WHERE (B='Buy' OR B='Sell' OR B='"&amp;"Div') AND C=""""""&amp;C8&amp;"""""" ""),TODAY(),"",""),"","")),0))"),0.0)</f>
        <v>0</v>
      </c>
      <c r="N8" s="48" t="str">
        <f t="array" ref="N8">if(isblank(D8),,sumproduct(Transactions!C:C=C8,Transactions!B:B="Sell",Transactions!P:P)*U8)</f>
        <v>#N/A</v>
      </c>
      <c r="O8" s="48" t="str">
        <f t="array" ref="O8">if(isblank(D8),,sumproduct(Transactions!C:C=C8,Transactions!B:B="Div",Transactions!P:P)*U8)</f>
        <v>#N/A</v>
      </c>
      <c r="P8" s="66" t="str">
        <f t="shared" si="7"/>
        <v>#N/A</v>
      </c>
      <c r="Q8" s="48">
        <f t="shared" si="8"/>
        <v>0</v>
      </c>
      <c r="R8" s="49">
        <f>if(isblank(D8),,ReferenceData!E6)</f>
        <v>0</v>
      </c>
      <c r="S8" s="58" t="str">
        <f t="shared" si="9"/>
        <v>#DIV/0!</v>
      </c>
      <c r="T8" s="41">
        <f t="shared" si="10"/>
        <v>0</v>
      </c>
      <c r="U8" s="27">
        <f>IFERROR(__xludf.DUMMYFUNCTION("if(isblank(D8),,hlookup(F8,Currency!$D$1:$V$20,query(Currency!$B$2:$C$20,""select C WHERE (B=""""""&amp;$H$3&amp;"""""")""),false))"),0.0116153)</f>
        <v>0.0116153</v>
      </c>
    </row>
    <row r="9">
      <c r="A9" s="97"/>
      <c r="B9" s="44"/>
      <c r="C9" s="45" t="str">
        <f t="shared" si="3"/>
        <v/>
      </c>
      <c r="D9" s="54"/>
      <c r="E9" s="46" t="str">
        <f>IFERROR(__xludf.DUMMYFUNCTION("if(isblank(D9),,iferror(INDEX(arrayformula(filter(Transactions!J:J,Transactions!C:C&lt;&gt;"""",row(Transactions!C:C)=max(if(Transactions!C:C=C9,row(Transactions!C:C),0)))) ,1),0))"),"")</f>
        <v/>
      </c>
      <c r="F9" s="99"/>
      <c r="G9" s="48" t="str">
        <f>if(isblank(D9),,ReferenceData!C7*E9)</f>
        <v/>
      </c>
      <c r="H9" s="48" t="str">
        <f t="shared" si="4"/>
        <v/>
      </c>
      <c r="I9" s="49" t="str">
        <f t="shared" si="5"/>
        <v/>
      </c>
      <c r="J9" s="48" t="str">
        <f>IFERROR(__xludf.DUMMYFUNCTION("if(isblank(D9),,iferror(INDEX(arrayformula(filter(Transactions!O:O,Transactions!C:C&lt;&gt;"""",row(Transactions!C:C)=max(if(Transactions!C:C=C9,row(Transactions!C:C),0)))) ,1),0)*U9)"),"")</f>
        <v/>
      </c>
      <c r="K9" s="48" t="str">
        <f>if(isblank(D9),,(ReferenceData!C7-ReferenceData!D7)*E9*U9)</f>
        <v/>
      </c>
      <c r="L9" s="49" t="str">
        <f t="shared" si="6"/>
        <v/>
      </c>
      <c r="M9" s="50" t="str">
        <f>IFERROR(__xludf.DUMMYFUNCTION("if(isblank(D9),,iferror(xirr(split(join("","",query(Transactions!A$2:R82,""select R WHERE (B='Buy' OR B='Sell' OR B='Div') AND C=""""""&amp;C9&amp;"""""" ""),G9,"",""),"",""),split(join("","",query(Transactions!A$2:R82,""select A WHERE (B='Buy' OR B='Sell' OR B='"&amp;"Div') AND C=""""""&amp;C9&amp;"""""" ""),TODAY(),"",""),"","")),0))"),"")</f>
        <v/>
      </c>
      <c r="N9" s="48" t="str">
        <f t="array" ref="N9">if(isblank(D9),,sumproduct(Transactions!C:C=C9,Transactions!B:B="Sell",Transactions!P:P)*U9)</f>
        <v/>
      </c>
      <c r="O9" s="48" t="str">
        <f t="array" ref="O9">if(isblank(D9),,sumproduct(Transactions!C:C=C9,Transactions!B:B="Div",Transactions!P:P)*U9)</f>
        <v/>
      </c>
      <c r="P9" s="66" t="str">
        <f t="shared" si="7"/>
        <v/>
      </c>
      <c r="Q9" s="48" t="str">
        <f t="shared" si="8"/>
        <v/>
      </c>
      <c r="R9" s="49" t="str">
        <f>if(isblank(D9),,ReferenceData!E7)</f>
        <v/>
      </c>
      <c r="S9" s="58" t="str">
        <f t="shared" si="9"/>
        <v/>
      </c>
      <c r="T9" s="41" t="str">
        <f t="shared" si="10"/>
        <v/>
      </c>
      <c r="U9" s="27" t="str">
        <f>IFERROR(__xludf.DUMMYFUNCTION("if(isblank(D9),,hlookup(F9,Currency!$D$1:$V$20,query(Currency!$B$2:$C$20,""select C WHERE (B=""""""&amp;$H$3&amp;"""""")""),false))"),"")</f>
        <v/>
      </c>
    </row>
    <row r="10">
      <c r="A10" s="72"/>
      <c r="B10" s="44"/>
      <c r="C10" s="45" t="str">
        <f t="shared" si="3"/>
        <v/>
      </c>
      <c r="D10" s="54"/>
      <c r="E10" s="46" t="str">
        <f>IFERROR(__xludf.DUMMYFUNCTION("if(isblank(D10),,iferror(INDEX(arrayformula(filter(Transactions!J:J,Transactions!C:C&lt;&gt;"""",row(Transactions!C:C)=max(if(Transactions!C:C=C10,row(Transactions!C:C),0)))) ,1),0))"),"")</f>
        <v/>
      </c>
      <c r="F10" s="99"/>
      <c r="G10" s="48" t="str">
        <f>if(isblank(D10),,ReferenceData!C8*E10)</f>
        <v/>
      </c>
      <c r="H10" s="48" t="str">
        <f t="shared" si="4"/>
        <v/>
      </c>
      <c r="I10" s="49" t="str">
        <f t="shared" si="5"/>
        <v/>
      </c>
      <c r="J10" s="48" t="str">
        <f>IFERROR(__xludf.DUMMYFUNCTION("if(isblank(D10),,iferror(INDEX(arrayformula(filter(Transactions!O:O,Transactions!C:C&lt;&gt;"""",row(Transactions!C:C)=max(if(Transactions!C:C=C10,row(Transactions!C:C),0)))) ,1),0)*U10)"),"")</f>
        <v/>
      </c>
      <c r="K10" s="48" t="str">
        <f>if(isblank(D10),,(ReferenceData!C8-ReferenceData!D8)*E10*U10)</f>
        <v/>
      </c>
      <c r="L10" s="49" t="str">
        <f t="shared" si="6"/>
        <v/>
      </c>
      <c r="M10" s="50" t="str">
        <f>IFERROR(__xludf.DUMMYFUNCTION("if(isblank(D10),,iferror(xirr(split(join("","",query(Transactions!A$2:R82,""select R WHERE (B='Buy' OR B='Sell' OR B='Div') AND C=""""""&amp;C10&amp;"""""" ""),G10,"",""),"",""),split(join("","",query(Transactions!A$2:R82,""select A WHERE (B='Buy' OR B='Sell' OR "&amp;"B='Div') AND C=""""""&amp;C10&amp;"""""" ""),TODAY(),"",""),"","")),0))"),"")</f>
        <v/>
      </c>
      <c r="N10" s="48" t="str">
        <f t="array" ref="N10">if(isblank(D10),,sumproduct(Transactions!C:C=C10,Transactions!B:B="Sell",Transactions!P:P)*U10)</f>
        <v/>
      </c>
      <c r="O10" s="48" t="str">
        <f t="array" ref="O10">if(isblank(D10),,sumproduct(Transactions!C:C=C10,Transactions!B:B="Div",Transactions!P:P)*U10)</f>
        <v/>
      </c>
      <c r="P10" s="66" t="str">
        <f t="shared" si="7"/>
        <v/>
      </c>
      <c r="Q10" s="48" t="str">
        <f t="shared" si="8"/>
        <v/>
      </c>
      <c r="R10" s="49" t="str">
        <f>if(isblank(D10),,ReferenceData!E8)</f>
        <v/>
      </c>
      <c r="S10" s="58" t="str">
        <f t="shared" si="9"/>
        <v/>
      </c>
      <c r="T10" s="41" t="str">
        <f t="shared" si="10"/>
        <v/>
      </c>
      <c r="U10" s="27" t="str">
        <f>IFERROR(__xludf.DUMMYFUNCTION("if(isblank(D10),,hlookup(F10,Currency!$D$1:$V$20,query(Currency!$B$2:$C$20,""select C WHERE (B=""""""&amp;$H$3&amp;"""""")""),false))"),"")</f>
        <v/>
      </c>
    </row>
    <row r="11">
      <c r="A11" s="62"/>
      <c r="B11" s="44"/>
      <c r="C11" s="45" t="str">
        <f t="shared" si="3"/>
        <v/>
      </c>
      <c r="D11" s="54"/>
      <c r="E11" s="46" t="str">
        <f>IFERROR(__xludf.DUMMYFUNCTION("if(isblank(D11),,iferror(INDEX(arrayformula(filter(Transactions!J:J,Transactions!C:C&lt;&gt;"""",row(Transactions!C:C)=max(if(Transactions!C:C=C11,row(Transactions!C:C),0)))) ,1),0))"),"")</f>
        <v/>
      </c>
      <c r="F11" s="99"/>
      <c r="G11" s="48" t="str">
        <f>if(isblank(D11),,ReferenceData!C9*E11)</f>
        <v/>
      </c>
      <c r="H11" s="48" t="str">
        <f t="shared" si="4"/>
        <v/>
      </c>
      <c r="I11" s="49" t="str">
        <f t="shared" si="5"/>
        <v/>
      </c>
      <c r="J11" s="48" t="str">
        <f>IFERROR(__xludf.DUMMYFUNCTION("if(isblank(D11),,iferror(INDEX(arrayformula(filter(Transactions!O:O,Transactions!C:C&lt;&gt;"""",row(Transactions!C:C)=max(if(Transactions!C:C=C11,row(Transactions!C:C),0)))) ,1),0)*U11)"),"")</f>
        <v/>
      </c>
      <c r="K11" s="48" t="str">
        <f>if(isblank(D11),,(ReferenceData!C9-ReferenceData!D9)*E11*U11)</f>
        <v/>
      </c>
      <c r="L11" s="49" t="str">
        <f t="shared" si="6"/>
        <v/>
      </c>
      <c r="M11" s="50" t="str">
        <f>IFERROR(__xludf.DUMMYFUNCTION("if(isblank(D11),,iferror(xirr(split(join("","",query(Transactions!A$2:R82,""select R WHERE (B='Buy' OR B='Sell' OR B='Div') AND C=""""""&amp;C11&amp;"""""" ""),G11,"",""),"",""),split(join("","",query(Transactions!A$2:R82,""select A WHERE (B='Buy' OR B='Sell' OR "&amp;"B='Div') AND C=""""""&amp;C11&amp;"""""" ""),TODAY(),"",""),"","")),0))"),"")</f>
        <v/>
      </c>
      <c r="N11" s="48" t="str">
        <f t="array" ref="N11">if(isblank(D11),,sumproduct(Transactions!C:C=C11,Transactions!B:B="Sell",Transactions!P:P)*U11)</f>
        <v/>
      </c>
      <c r="O11" s="48" t="str">
        <f t="array" ref="O11">if(isblank(D11),,sumproduct(Transactions!C:C=C11,Transactions!B:B="Div",Transactions!P:P)*U11)</f>
        <v/>
      </c>
      <c r="P11" s="66" t="str">
        <f t="shared" si="7"/>
        <v/>
      </c>
      <c r="Q11" s="48" t="str">
        <f t="shared" si="8"/>
        <v/>
      </c>
      <c r="R11" s="49" t="str">
        <f>if(isblank(D11),,ReferenceData!E9)</f>
        <v/>
      </c>
      <c r="S11" s="58" t="str">
        <f t="shared" si="9"/>
        <v/>
      </c>
      <c r="T11" s="41" t="str">
        <f t="shared" si="10"/>
        <v/>
      </c>
      <c r="U11" s="27" t="str">
        <f>IFERROR(__xludf.DUMMYFUNCTION("if(isblank(D11),,hlookup(F11,Currency!$D$1:$V$20,query(Currency!$B$2:$C$20,""select C WHERE (B=""""""&amp;$H$3&amp;"""""")""),false))"),"")</f>
        <v/>
      </c>
    </row>
    <row r="12">
      <c r="A12" s="104"/>
      <c r="B12" s="44"/>
      <c r="C12" s="45" t="str">
        <f t="shared" si="3"/>
        <v/>
      </c>
      <c r="D12" s="54"/>
      <c r="E12" s="46" t="str">
        <f>IFERROR(__xludf.DUMMYFUNCTION("if(isblank(D12),,iferror(INDEX(arrayformula(filter(Transactions!J:J,Transactions!C:C&lt;&gt;"""",row(Transactions!C:C)=max(if(Transactions!C:C=C12,row(Transactions!C:C),0)))) ,1),0))"),"")</f>
        <v/>
      </c>
      <c r="F12" s="99"/>
      <c r="G12" s="48" t="str">
        <f>if(isblank(D12),,ReferenceData!C10*E12)</f>
        <v/>
      </c>
      <c r="H12" s="48" t="str">
        <f t="shared" si="4"/>
        <v/>
      </c>
      <c r="I12" s="49" t="str">
        <f t="shared" si="5"/>
        <v/>
      </c>
      <c r="J12" s="48" t="str">
        <f>IFERROR(__xludf.DUMMYFUNCTION("if(isblank(D12),,iferror(INDEX(arrayformula(filter(Transactions!O:O,Transactions!C:C&lt;&gt;"""",row(Transactions!C:C)=max(if(Transactions!C:C=C12,row(Transactions!C:C),0)))) ,1),0)*U12)"),"")</f>
        <v/>
      </c>
      <c r="K12" s="48" t="str">
        <f>if(isblank(D12),,(ReferenceData!C10-ReferenceData!D10)*E12*U12)</f>
        <v/>
      </c>
      <c r="L12" s="49" t="str">
        <f t="shared" si="6"/>
        <v/>
      </c>
      <c r="M12" s="50" t="str">
        <f>IFERROR(__xludf.DUMMYFUNCTION("if(isblank(D12),,iferror(xirr(split(join("","",query(Transactions!A$2:R82,""select R WHERE (B='Buy' OR B='Sell' OR B='Div') AND C=""""""&amp;C12&amp;"""""" ""),G12,"",""),"",""),split(join("","",query(Transactions!A$2:R82,""select A WHERE (B='Buy' OR B='Sell' OR "&amp;"B='Div') AND C=""""""&amp;C12&amp;"""""" ""),TODAY(),"",""),"","")),0))"),"")</f>
        <v/>
      </c>
      <c r="N12" s="48" t="str">
        <f t="array" ref="N12">if(isblank(D12),,sumproduct(Transactions!C:C=C12,Transactions!B:B="Sell",Transactions!P:P)*U12)</f>
        <v/>
      </c>
      <c r="O12" s="48" t="str">
        <f t="array" ref="O12">if(isblank(D12),,sumproduct(Transactions!C:C=C12,Transactions!B:B="Div",Transactions!P:P)*U12)</f>
        <v/>
      </c>
      <c r="P12" s="66" t="str">
        <f t="shared" si="7"/>
        <v/>
      </c>
      <c r="Q12" s="48" t="str">
        <f t="shared" si="8"/>
        <v/>
      </c>
      <c r="R12" s="49" t="str">
        <f>if(isblank(D12),,ReferenceData!E10)</f>
        <v/>
      </c>
      <c r="S12" s="58" t="str">
        <f t="shared" si="9"/>
        <v/>
      </c>
      <c r="T12" s="41" t="str">
        <f t="shared" si="10"/>
        <v/>
      </c>
      <c r="U12" s="27" t="str">
        <f>IFERROR(__xludf.DUMMYFUNCTION("if(isblank(D12),,hlookup(F12,Currency!$D$1:$V$20,query(Currency!$B$2:$C$20,""select C WHERE (B=""""""&amp;$H$3&amp;"""""")""),false))"),"")</f>
        <v/>
      </c>
    </row>
    <row r="13">
      <c r="A13" s="126"/>
      <c r="B13" s="44"/>
      <c r="C13" s="45" t="str">
        <f t="shared" si="3"/>
        <v/>
      </c>
      <c r="D13" s="54"/>
      <c r="E13" s="46" t="str">
        <f>IFERROR(__xludf.DUMMYFUNCTION("if(isblank(D13),,iferror(INDEX(arrayformula(filter(Transactions!J:J,Transactions!C:C&lt;&gt;"""",row(Transactions!C:C)=max(if(Transactions!C:C=C13,row(Transactions!C:C),0)))) ,1),0))"),"")</f>
        <v/>
      </c>
      <c r="F13" s="99"/>
      <c r="G13" s="48" t="str">
        <f>if(isblank(D13),,ReferenceData!C11*E13)</f>
        <v/>
      </c>
      <c r="H13" s="48" t="str">
        <f t="shared" si="4"/>
        <v/>
      </c>
      <c r="I13" s="49" t="str">
        <f t="shared" si="5"/>
        <v/>
      </c>
      <c r="J13" s="48" t="str">
        <f>IFERROR(__xludf.DUMMYFUNCTION("if(isblank(D13),,iferror(INDEX(arrayformula(filter(Transactions!O:O,Transactions!C:C&lt;&gt;"""",row(Transactions!C:C)=max(if(Transactions!C:C=C13,row(Transactions!C:C),0)))) ,1),0)*U13)"),"")</f>
        <v/>
      </c>
      <c r="K13" s="48" t="str">
        <f>if(isblank(D13),,(ReferenceData!C11-ReferenceData!D11)*E13*U13)</f>
        <v/>
      </c>
      <c r="L13" s="49" t="str">
        <f t="shared" si="6"/>
        <v/>
      </c>
      <c r="M13" s="50" t="str">
        <f>IFERROR(__xludf.DUMMYFUNCTION("if(isblank(D13),,iferror(xirr(split(join("","",query(Transactions!A$2:R82,""select R WHERE (B='Buy' OR B='Sell' OR B='Div') AND C=""""""&amp;C13&amp;"""""" ""),G13,"",""),"",""),split(join("","",query(Transactions!A$2:R82,""select A WHERE (B='Buy' OR B='Sell' OR "&amp;"B='Div') AND C=""""""&amp;C13&amp;"""""" ""),TODAY(),"",""),"","")),0))"),"")</f>
        <v/>
      </c>
      <c r="N13" s="48" t="str">
        <f t="array" ref="N13">if(isblank(D13),,sumproduct(Transactions!C:C=C13,Transactions!B:B="Sell",Transactions!P:P)*U13)</f>
        <v/>
      </c>
      <c r="O13" s="48" t="str">
        <f t="array" ref="O13">if(isblank(D13),,sumproduct(Transactions!C:C=C13,Transactions!B:B="Div",Transactions!P:P)*U13)</f>
        <v/>
      </c>
      <c r="P13" s="66" t="str">
        <f t="shared" si="7"/>
        <v/>
      </c>
      <c r="Q13" s="48" t="str">
        <f t="shared" si="8"/>
        <v/>
      </c>
      <c r="R13" s="49" t="str">
        <f>if(isblank(D13),,ReferenceData!E11)</f>
        <v/>
      </c>
      <c r="S13" s="58" t="str">
        <f t="shared" si="9"/>
        <v/>
      </c>
      <c r="T13" s="41" t="str">
        <f t="shared" si="10"/>
        <v/>
      </c>
      <c r="U13" s="27" t="str">
        <f>IFERROR(__xludf.DUMMYFUNCTION("if(isblank(D13),,hlookup(F13,Currency!$D$1:$V$20,query(Currency!$B$2:$C$20,""select C WHERE (B=""""""&amp;$H$3&amp;"""""")""),false))"),"")</f>
        <v/>
      </c>
    </row>
    <row r="14">
      <c r="A14" s="126"/>
      <c r="B14" s="44"/>
      <c r="C14" s="45" t="str">
        <f t="shared" si="3"/>
        <v/>
      </c>
      <c r="D14" s="54"/>
      <c r="E14" s="46" t="str">
        <f>IFERROR(__xludf.DUMMYFUNCTION("if(isblank(D14),,iferror(INDEX(arrayformula(filter(Transactions!J:J,Transactions!C:C&lt;&gt;"""",row(Transactions!C:C)=max(if(Transactions!C:C=C14,row(Transactions!C:C),0)))) ,1),0))"),"")</f>
        <v/>
      </c>
      <c r="F14" s="99"/>
      <c r="G14" s="48" t="str">
        <f>if(isblank(D14),,ReferenceData!C12*E14)</f>
        <v/>
      </c>
      <c r="H14" s="48" t="str">
        <f t="shared" si="4"/>
        <v/>
      </c>
      <c r="I14" s="49" t="str">
        <f t="shared" si="5"/>
        <v/>
      </c>
      <c r="J14" s="48" t="str">
        <f>IFERROR(__xludf.DUMMYFUNCTION("if(isblank(D14),,iferror(INDEX(arrayformula(filter(Transactions!O:O,Transactions!C:C&lt;&gt;"""",row(Transactions!C:C)=max(if(Transactions!C:C=C14,row(Transactions!C:C),0)))) ,1),0)*U14)"),"")</f>
        <v/>
      </c>
      <c r="K14" s="48" t="str">
        <f>if(isblank(D14),,(ReferenceData!C12-ReferenceData!D12)*E14*U14)</f>
        <v/>
      </c>
      <c r="L14" s="49" t="str">
        <f t="shared" si="6"/>
        <v/>
      </c>
      <c r="M14" s="50" t="str">
        <f>IFERROR(__xludf.DUMMYFUNCTION("if(isblank(D14),,iferror(xirr(split(join("","",query(Transactions!A$2:R82,""select R WHERE (B='Buy' OR B='Sell' OR B='Div') AND C=""""""&amp;C14&amp;"""""" ""),G14,"",""),"",""),split(join("","",query(Transactions!A$2:R82,""select A WHERE (B='Buy' OR B='Sell' OR "&amp;"B='Div') AND C=""""""&amp;C14&amp;"""""" ""),TODAY(),"",""),"","")),0))"),"")</f>
        <v/>
      </c>
      <c r="N14" s="48" t="str">
        <f t="array" ref="N14">if(isblank(D14),,sumproduct(Transactions!C:C=C14,Transactions!B:B="Sell",Transactions!P:P)*U14)</f>
        <v/>
      </c>
      <c r="O14" s="48" t="str">
        <f t="array" ref="O14">if(isblank(D14),,sumproduct(Transactions!C:C=C14,Transactions!B:B="Div",Transactions!P:P)*U14)</f>
        <v/>
      </c>
      <c r="P14" s="66" t="str">
        <f t="shared" si="7"/>
        <v/>
      </c>
      <c r="Q14" s="48" t="str">
        <f t="shared" si="8"/>
        <v/>
      </c>
      <c r="R14" s="49" t="str">
        <f>if(isblank(D14),,ReferenceData!E12)</f>
        <v/>
      </c>
      <c r="S14" s="58" t="str">
        <f t="shared" si="9"/>
        <v/>
      </c>
      <c r="T14" s="41" t="str">
        <f t="shared" si="10"/>
        <v/>
      </c>
      <c r="U14" s="27" t="str">
        <f>IFERROR(__xludf.DUMMYFUNCTION("if(isblank(D14),,hlookup(F14,Currency!$D$1:$V$20,query(Currency!$B$2:$C$20,""select C WHERE (B=""""""&amp;$H$3&amp;"""""")""),false))"),"")</f>
        <v/>
      </c>
    </row>
    <row r="15">
      <c r="A15" s="126"/>
      <c r="B15" s="44"/>
      <c r="C15" s="45" t="str">
        <f t="shared" si="3"/>
        <v/>
      </c>
      <c r="D15" s="54"/>
      <c r="E15" s="46" t="str">
        <f>IFERROR(__xludf.DUMMYFUNCTION("if(isblank(D15),,iferror(INDEX(arrayformula(filter(Transactions!J:J,Transactions!C:C&lt;&gt;"""",row(Transactions!C:C)=max(if(Transactions!C:C=C15,row(Transactions!C:C),0)))) ,1),0))"),"")</f>
        <v/>
      </c>
      <c r="F15" s="99"/>
      <c r="G15" s="48" t="str">
        <f>if(isblank(D15),,ReferenceData!C13*E15)</f>
        <v/>
      </c>
      <c r="H15" s="48" t="str">
        <f t="shared" si="4"/>
        <v/>
      </c>
      <c r="I15" s="49" t="str">
        <f t="shared" si="5"/>
        <v/>
      </c>
      <c r="J15" s="48" t="str">
        <f>IFERROR(__xludf.DUMMYFUNCTION("if(isblank(D15),,iferror(INDEX(arrayformula(filter(Transactions!O:O,Transactions!C:C&lt;&gt;"""",row(Transactions!C:C)=max(if(Transactions!C:C=C15,row(Transactions!C:C),0)))) ,1),0)*U15)"),"")</f>
        <v/>
      </c>
      <c r="K15" s="48" t="str">
        <f>if(isblank(D15),,(ReferenceData!C13-ReferenceData!D13)*E15*U15)</f>
        <v/>
      </c>
      <c r="L15" s="49" t="str">
        <f t="shared" si="6"/>
        <v/>
      </c>
      <c r="M15" s="50" t="str">
        <f>IFERROR(__xludf.DUMMYFUNCTION("if(isblank(D15),,iferror(xirr(split(join("","",query(Transactions!A$2:R82,""select R WHERE (B='Buy' OR B='Sell' OR B='Div') AND C=""""""&amp;C15&amp;"""""" ""),G15,"",""),"",""),split(join("","",query(Transactions!A$2:R82,""select A WHERE (B='Buy' OR B='Sell' OR "&amp;"B='Div') AND C=""""""&amp;C15&amp;"""""" ""),TODAY(),"",""),"","")),0))"),"")</f>
        <v/>
      </c>
      <c r="N15" s="48" t="str">
        <f t="array" ref="N15">if(isblank(D15),,sumproduct(Transactions!C:C=C15,Transactions!B:B="Sell",Transactions!P:P)*U15)</f>
        <v/>
      </c>
      <c r="O15" s="48" t="str">
        <f t="array" ref="O15">if(isblank(D15),,sumproduct(Transactions!C:C=C15,Transactions!B:B="Div",Transactions!P:P)*U15)</f>
        <v/>
      </c>
      <c r="P15" s="66" t="str">
        <f t="shared" si="7"/>
        <v/>
      </c>
      <c r="Q15" s="48" t="str">
        <f t="shared" si="8"/>
        <v/>
      </c>
      <c r="R15" s="49" t="str">
        <f>if(isblank(D15),,ReferenceData!E13)</f>
        <v/>
      </c>
      <c r="S15" s="58" t="str">
        <f t="shared" si="9"/>
        <v/>
      </c>
      <c r="T15" s="41" t="str">
        <f t="shared" si="10"/>
        <v/>
      </c>
      <c r="U15" s="27" t="str">
        <f>IFERROR(__xludf.DUMMYFUNCTION("if(isblank(D15),,hlookup(F15,Currency!$D$1:$V$20,query(Currency!$B$2:$C$20,""select C WHERE (B=""""""&amp;$H$3&amp;"""""")""),false))"),"")</f>
        <v/>
      </c>
    </row>
    <row r="16">
      <c r="A16" s="126"/>
      <c r="B16" s="44"/>
      <c r="C16" s="45" t="str">
        <f t="shared" si="3"/>
        <v/>
      </c>
      <c r="D16" s="54"/>
      <c r="E16" s="46" t="str">
        <f>IFERROR(__xludf.DUMMYFUNCTION("if(isblank(D16),,iferror(INDEX(arrayformula(filter(Transactions!J:J,Transactions!C:C&lt;&gt;"""",row(Transactions!C:C)=max(if(Transactions!C:C=C16,row(Transactions!C:C),0)))) ,1),0))"),"")</f>
        <v/>
      </c>
      <c r="F16" s="99"/>
      <c r="G16" s="48" t="str">
        <f>if(isblank(D16),,ReferenceData!C14*E16)</f>
        <v/>
      </c>
      <c r="H16" s="48" t="str">
        <f t="shared" si="4"/>
        <v/>
      </c>
      <c r="I16" s="49" t="str">
        <f t="shared" si="5"/>
        <v/>
      </c>
      <c r="J16" s="48" t="str">
        <f>IFERROR(__xludf.DUMMYFUNCTION("if(isblank(D16),,iferror(INDEX(arrayformula(filter(Transactions!O:O,Transactions!C:C&lt;&gt;"""",row(Transactions!C:C)=max(if(Transactions!C:C=C16,row(Transactions!C:C),0)))) ,1),0)*U16)"),"")</f>
        <v/>
      </c>
      <c r="K16" s="48" t="str">
        <f>if(isblank(D16),,(ReferenceData!C14-ReferenceData!D14)*E16*U16)</f>
        <v/>
      </c>
      <c r="L16" s="49" t="str">
        <f t="shared" si="6"/>
        <v/>
      </c>
      <c r="M16" s="50" t="str">
        <f>IFERROR(__xludf.DUMMYFUNCTION("if(isblank(D16),,iferror(xirr(split(join("","",query(Transactions!A$2:R82,""select R WHERE (B='Buy' OR B='Sell' OR B='Div') AND C=""""""&amp;C16&amp;"""""" ""),G16,"",""),"",""),split(join("","",query(Transactions!A$2:R82,""select A WHERE (B='Buy' OR B='Sell' OR "&amp;"B='Div') AND C=""""""&amp;C16&amp;"""""" ""),TODAY(),"",""),"","")),0))"),"")</f>
        <v/>
      </c>
      <c r="N16" s="48" t="str">
        <f t="array" ref="N16">if(isblank(D16),,sumproduct(Transactions!C:C=C16,Transactions!B:B="Sell",Transactions!P:P)*U16)</f>
        <v/>
      </c>
      <c r="O16" s="48" t="str">
        <f t="array" ref="O16">if(isblank(D16),,sumproduct(Transactions!C:C=C16,Transactions!B:B="Div",Transactions!P:P)*U16)</f>
        <v/>
      </c>
      <c r="P16" s="66" t="str">
        <f t="shared" si="7"/>
        <v/>
      </c>
      <c r="Q16" s="48" t="str">
        <f t="shared" si="8"/>
        <v/>
      </c>
      <c r="R16" s="49" t="str">
        <f>if(isblank(D16),,ReferenceData!E14)</f>
        <v/>
      </c>
      <c r="S16" s="58" t="str">
        <f t="shared" si="9"/>
        <v/>
      </c>
      <c r="T16" s="41" t="str">
        <f t="shared" si="10"/>
        <v/>
      </c>
      <c r="U16" s="27" t="str">
        <f>IFERROR(__xludf.DUMMYFUNCTION("if(isblank(D16),,hlookup(F16,Currency!$D$1:$V$20,query(Currency!$B$2:$C$20,""select C WHERE (B=""""""&amp;$H$3&amp;"""""")""),false))"),"")</f>
        <v/>
      </c>
    </row>
    <row r="17">
      <c r="A17" s="126"/>
      <c r="B17" s="44"/>
      <c r="C17" s="45" t="str">
        <f t="shared" si="3"/>
        <v/>
      </c>
      <c r="D17" s="54"/>
      <c r="E17" s="46" t="str">
        <f>IFERROR(__xludf.DUMMYFUNCTION("if(isblank(D17),,iferror(INDEX(arrayformula(filter(Transactions!J:J,Transactions!C:C&lt;&gt;"""",row(Transactions!C:C)=max(if(Transactions!C:C=C17,row(Transactions!C:C),0)))) ,1),0))"),"")</f>
        <v/>
      </c>
      <c r="F17" s="99"/>
      <c r="G17" s="48" t="str">
        <f>if(isblank(D17),,ReferenceData!C15*E17)</f>
        <v/>
      </c>
      <c r="H17" s="48" t="str">
        <f t="shared" si="4"/>
        <v/>
      </c>
      <c r="I17" s="49" t="str">
        <f t="shared" si="5"/>
        <v/>
      </c>
      <c r="J17" s="48" t="str">
        <f>IFERROR(__xludf.DUMMYFUNCTION("if(isblank(D17),,iferror(INDEX(arrayformula(filter(Transactions!O:O,Transactions!C:C&lt;&gt;"""",row(Transactions!C:C)=max(if(Transactions!C:C=C17,row(Transactions!C:C),0)))) ,1),0)*U17)"),"")</f>
        <v/>
      </c>
      <c r="K17" s="48" t="str">
        <f>if(isblank(D17),,(ReferenceData!C15-ReferenceData!D15)*E17*U17)</f>
        <v/>
      </c>
      <c r="L17" s="49" t="str">
        <f t="shared" si="6"/>
        <v/>
      </c>
      <c r="M17" s="50" t="str">
        <f>IFERROR(__xludf.DUMMYFUNCTION("if(isblank(D17),,iferror(xirr(split(join("","",query(Transactions!A$2:R82,""select R WHERE (B='Buy' OR B='Sell' OR B='Div') AND C=""""""&amp;C17&amp;"""""" ""),G17,"",""),"",""),split(join("","",query(Transactions!A$2:R82,""select A WHERE (B='Buy' OR B='Sell' OR "&amp;"B='Div') AND C=""""""&amp;C17&amp;"""""" ""),TODAY(),"",""),"","")),0))"),"")</f>
        <v/>
      </c>
      <c r="N17" s="48" t="str">
        <f t="array" ref="N17">if(isblank(D17),,sumproduct(Transactions!C:C=C17,Transactions!B:B="Sell",Transactions!P:P)*U17)</f>
        <v/>
      </c>
      <c r="O17" s="48" t="str">
        <f t="array" ref="O17">if(isblank(D17),,sumproduct(Transactions!C:C=C17,Transactions!B:B="Div",Transactions!P:P)*U17)</f>
        <v/>
      </c>
      <c r="P17" s="66" t="str">
        <f t="shared" si="7"/>
        <v/>
      </c>
      <c r="Q17" s="48" t="str">
        <f t="shared" si="8"/>
        <v/>
      </c>
      <c r="R17" s="49" t="str">
        <f>if(isblank(D17),,ReferenceData!E15)</f>
        <v/>
      </c>
      <c r="S17" s="58" t="str">
        <f t="shared" si="9"/>
        <v/>
      </c>
      <c r="T17" s="41" t="str">
        <f t="shared" si="10"/>
        <v/>
      </c>
      <c r="U17" s="27" t="str">
        <f>IFERROR(__xludf.DUMMYFUNCTION("if(isblank(D17),,hlookup(F17,Currency!$D$1:$V$20,query(Currency!$B$2:$C$20,""select C WHERE (B=""""""&amp;$H$3&amp;"""""")""),false))"),"")</f>
        <v/>
      </c>
    </row>
    <row r="18">
      <c r="A18" s="126"/>
      <c r="B18" s="44"/>
      <c r="C18" s="45" t="str">
        <f t="shared" si="3"/>
        <v/>
      </c>
      <c r="D18" s="54"/>
      <c r="E18" s="46" t="str">
        <f>IFERROR(__xludf.DUMMYFUNCTION("if(isblank(D18),,iferror(INDEX(arrayformula(filter(Transactions!J:J,Transactions!C:C&lt;&gt;"""",row(Transactions!C:C)=max(if(Transactions!C:C=C18,row(Transactions!C:C),0)))) ,1),0))"),"")</f>
        <v/>
      </c>
      <c r="F18" s="99"/>
      <c r="G18" s="48" t="str">
        <f>if(isblank(D18),,ReferenceData!C16*E18)</f>
        <v/>
      </c>
      <c r="H18" s="48" t="str">
        <f t="shared" si="4"/>
        <v/>
      </c>
      <c r="I18" s="49" t="str">
        <f t="shared" si="5"/>
        <v/>
      </c>
      <c r="J18" s="48" t="str">
        <f>IFERROR(__xludf.DUMMYFUNCTION("if(isblank(D18),,iferror(INDEX(arrayformula(filter(Transactions!O:O,Transactions!C:C&lt;&gt;"""",row(Transactions!C:C)=max(if(Transactions!C:C=C18,row(Transactions!C:C),0)))) ,1),0)*U18)"),"")</f>
        <v/>
      </c>
      <c r="K18" s="48" t="str">
        <f>if(isblank(D18),,(ReferenceData!C16-ReferenceData!D16)*E18*U18)</f>
        <v/>
      </c>
      <c r="L18" s="49" t="str">
        <f t="shared" si="6"/>
        <v/>
      </c>
      <c r="M18" s="50" t="str">
        <f>IFERROR(__xludf.DUMMYFUNCTION("if(isblank(D18),,iferror(xirr(split(join("","",query(Transactions!A$2:R82,""select R WHERE (B='Buy' OR B='Sell' OR B='Div') AND C=""""""&amp;C18&amp;"""""" ""),G18,"",""),"",""),split(join("","",query(Transactions!A$2:R82,""select A WHERE (B='Buy' OR B='Sell' OR "&amp;"B='Div') AND C=""""""&amp;C18&amp;"""""" ""),TODAY(),"",""),"","")),0))"),"")</f>
        <v/>
      </c>
      <c r="N18" s="48" t="str">
        <f t="array" ref="N18">if(isblank(D18),,sumproduct(Transactions!C:C=C18,Transactions!B:B="Sell",Transactions!P:P)*U18)</f>
        <v/>
      </c>
      <c r="O18" s="48" t="str">
        <f t="array" ref="O18">if(isblank(D18),,sumproduct(Transactions!C:C=C18,Transactions!B:B="Div",Transactions!P:P)*U18)</f>
        <v/>
      </c>
      <c r="P18" s="66" t="str">
        <f t="shared" si="7"/>
        <v/>
      </c>
      <c r="Q18" s="48" t="str">
        <f t="shared" si="8"/>
        <v/>
      </c>
      <c r="R18" s="49" t="str">
        <f>if(isblank(D18),,ReferenceData!E16)</f>
        <v/>
      </c>
      <c r="S18" s="58" t="str">
        <f t="shared" si="9"/>
        <v/>
      </c>
      <c r="T18" s="41" t="str">
        <f t="shared" si="10"/>
        <v/>
      </c>
      <c r="U18" s="27" t="str">
        <f>IFERROR(__xludf.DUMMYFUNCTION("if(isblank(D18),,hlookup(F18,Currency!$D$1:$V$20,query(Currency!$B$2:$C$20,""select C WHERE (B=""""""&amp;$H$3&amp;"""""")""),false))"),"")</f>
        <v/>
      </c>
    </row>
    <row r="19">
      <c r="A19" s="126"/>
      <c r="B19" s="44"/>
      <c r="C19" s="45" t="str">
        <f t="shared" si="3"/>
        <v/>
      </c>
      <c r="D19" s="54"/>
      <c r="E19" s="46" t="str">
        <f>IFERROR(__xludf.DUMMYFUNCTION("if(isblank(D19),,iferror(INDEX(arrayformula(filter(Transactions!J:J,Transactions!C:C&lt;&gt;"""",row(Transactions!C:C)=max(if(Transactions!C:C=C19,row(Transactions!C:C),0)))) ,1),0))"),"")</f>
        <v/>
      </c>
      <c r="F19" s="99"/>
      <c r="G19" s="48" t="str">
        <f>if(isblank(D19),,ReferenceData!C17*E19)</f>
        <v/>
      </c>
      <c r="H19" s="48" t="str">
        <f t="shared" si="4"/>
        <v/>
      </c>
      <c r="I19" s="49" t="str">
        <f t="shared" si="5"/>
        <v/>
      </c>
      <c r="J19" s="48" t="str">
        <f>IFERROR(__xludf.DUMMYFUNCTION("if(isblank(D19),,iferror(INDEX(arrayformula(filter(Transactions!O:O,Transactions!C:C&lt;&gt;"""",row(Transactions!C:C)=max(if(Transactions!C:C=C19,row(Transactions!C:C),0)))) ,1),0)*U19)"),"")</f>
        <v/>
      </c>
      <c r="K19" s="48" t="str">
        <f>if(isblank(D19),,(ReferenceData!C17-ReferenceData!D17)*E19*U19)</f>
        <v/>
      </c>
      <c r="L19" s="49" t="str">
        <f t="shared" si="6"/>
        <v/>
      </c>
      <c r="M19" s="50" t="str">
        <f>IFERROR(__xludf.DUMMYFUNCTION("if(isblank(D19),,iferror(xirr(split(join("","",query(Transactions!A$2:R82,""select R WHERE (B='Buy' OR B='Sell' OR B='Div') AND C=""""""&amp;C19&amp;"""""" ""),G19,"",""),"",""),split(join("","",query(Transactions!A$2:R82,""select A WHERE (B='Buy' OR B='Sell' OR "&amp;"B='Div') AND C=""""""&amp;C19&amp;"""""" ""),TODAY(),"",""),"","")),0))"),"")</f>
        <v/>
      </c>
      <c r="N19" s="48" t="str">
        <f t="array" ref="N19">if(isblank(D19),,sumproduct(Transactions!C:C=C19,Transactions!B:B="Sell",Transactions!P:P)*U19)</f>
        <v/>
      </c>
      <c r="O19" s="48" t="str">
        <f t="array" ref="O19">if(isblank(D19),,sumproduct(Transactions!C:C=C19,Transactions!B:B="Div",Transactions!P:P)*U19)</f>
        <v/>
      </c>
      <c r="P19" s="66" t="str">
        <f t="shared" si="7"/>
        <v/>
      </c>
      <c r="Q19" s="48" t="str">
        <f t="shared" si="8"/>
        <v/>
      </c>
      <c r="R19" s="49" t="str">
        <f>if(isblank(D19),,ReferenceData!E17)</f>
        <v/>
      </c>
      <c r="S19" s="58" t="str">
        <f t="shared" si="9"/>
        <v/>
      </c>
      <c r="T19" s="41" t="str">
        <f t="shared" si="10"/>
        <v/>
      </c>
      <c r="U19" s="27" t="str">
        <f>IFERROR(__xludf.DUMMYFUNCTION("if(isblank(D19),,hlookup(F19,Currency!$D$1:$V$20,query(Currency!$B$2:$C$20,""select C WHERE (B=""""""&amp;$H$3&amp;"""""")""),false))"),"")</f>
        <v/>
      </c>
    </row>
    <row r="20">
      <c r="A20" s="126"/>
      <c r="B20" s="44"/>
      <c r="C20" s="45" t="str">
        <f t="shared" si="3"/>
        <v/>
      </c>
      <c r="D20" s="54"/>
      <c r="E20" s="46" t="str">
        <f>IFERROR(__xludf.DUMMYFUNCTION("if(isblank(D20),,iferror(INDEX(arrayformula(filter(Transactions!J:J,Transactions!C:C&lt;&gt;"""",row(Transactions!C:C)=max(if(Transactions!C:C=C20,row(Transactions!C:C),0)))) ,1),0))"),"")</f>
        <v/>
      </c>
      <c r="F20" s="99"/>
      <c r="G20" s="48" t="str">
        <f>if(isblank(D20),,ReferenceData!C18*E20)</f>
        <v/>
      </c>
      <c r="H20" s="48" t="str">
        <f t="shared" si="4"/>
        <v/>
      </c>
      <c r="I20" s="49" t="str">
        <f t="shared" si="5"/>
        <v/>
      </c>
      <c r="J20" s="48" t="str">
        <f>IFERROR(__xludf.DUMMYFUNCTION("if(isblank(D20),,iferror(INDEX(arrayformula(filter(Transactions!O:O,Transactions!C:C&lt;&gt;"""",row(Transactions!C:C)=max(if(Transactions!C:C=C20,row(Transactions!C:C),0)))) ,1),0)*U20)"),"")</f>
        <v/>
      </c>
      <c r="K20" s="48" t="str">
        <f>if(isblank(D20),,(ReferenceData!C18-ReferenceData!D18)*E20*U20)</f>
        <v/>
      </c>
      <c r="L20" s="49" t="str">
        <f t="shared" si="6"/>
        <v/>
      </c>
      <c r="M20" s="50" t="str">
        <f>IFERROR(__xludf.DUMMYFUNCTION("if(isblank(D20),,iferror(xirr(split(join("","",query(Transactions!A$2:R82,""select R WHERE (B='Buy' OR B='Sell' OR B='Div') AND C=""""""&amp;C20&amp;"""""" ""),G20,"",""),"",""),split(join("","",query(Transactions!A$2:R82,""select A WHERE (B='Buy' OR B='Sell' OR "&amp;"B='Div') AND C=""""""&amp;C20&amp;"""""" ""),TODAY(),"",""),"","")),0))"),"")</f>
        <v/>
      </c>
      <c r="N20" s="48" t="str">
        <f t="array" ref="N20">if(isblank(D20),,sumproduct(Transactions!C:C=C20,Transactions!B:B="Sell",Transactions!P:P)*U20)</f>
        <v/>
      </c>
      <c r="O20" s="48" t="str">
        <f t="array" ref="O20">if(isblank(D20),,sumproduct(Transactions!C:C=C20,Transactions!B:B="Div",Transactions!P:P)*U20)</f>
        <v/>
      </c>
      <c r="P20" s="66" t="str">
        <f t="shared" si="7"/>
        <v/>
      </c>
      <c r="Q20" s="48" t="str">
        <f t="shared" si="8"/>
        <v/>
      </c>
      <c r="R20" s="49" t="str">
        <f>if(isblank(D20),,ReferenceData!E18)</f>
        <v/>
      </c>
      <c r="S20" s="58" t="str">
        <f t="shared" si="9"/>
        <v/>
      </c>
      <c r="T20" s="41" t="str">
        <f t="shared" si="10"/>
        <v/>
      </c>
      <c r="U20" s="27" t="str">
        <f>IFERROR(__xludf.DUMMYFUNCTION("if(isblank(D20),,hlookup(F20,Currency!$D$1:$V$20,query(Currency!$B$2:$C$20,""select C WHERE (B=""""""&amp;$H$3&amp;"""""")""),false))"),"")</f>
        <v/>
      </c>
    </row>
    <row r="21">
      <c r="A21" s="126"/>
      <c r="B21" s="44"/>
      <c r="C21" s="45" t="str">
        <f t="shared" si="3"/>
        <v/>
      </c>
      <c r="D21" s="54"/>
      <c r="E21" s="46" t="str">
        <f>IFERROR(__xludf.DUMMYFUNCTION("if(isblank(D21),,iferror(INDEX(arrayformula(filter(Transactions!J:J,Transactions!C:C&lt;&gt;"""",row(Transactions!C:C)=max(if(Transactions!C:C=C21,row(Transactions!C:C),0)))) ,1),0))"),"")</f>
        <v/>
      </c>
      <c r="F21" s="99"/>
      <c r="G21" s="48" t="str">
        <f>if(isblank(D21),,ReferenceData!C19*E21)</f>
        <v/>
      </c>
      <c r="H21" s="48" t="str">
        <f t="shared" si="4"/>
        <v/>
      </c>
      <c r="I21" s="49" t="str">
        <f t="shared" si="5"/>
        <v/>
      </c>
      <c r="J21" s="48" t="str">
        <f>IFERROR(__xludf.DUMMYFUNCTION("if(isblank(D21),,iferror(INDEX(arrayformula(filter(Transactions!O:O,Transactions!C:C&lt;&gt;"""",row(Transactions!C:C)=max(if(Transactions!C:C=C21,row(Transactions!C:C),0)))) ,1),0)*U21)"),"")</f>
        <v/>
      </c>
      <c r="K21" s="48" t="str">
        <f>if(isblank(D21),,(ReferenceData!C19-ReferenceData!D19)*E21*U21)</f>
        <v/>
      </c>
      <c r="L21" s="49" t="str">
        <f t="shared" si="6"/>
        <v/>
      </c>
      <c r="M21" s="50" t="str">
        <f>IFERROR(__xludf.DUMMYFUNCTION("if(isblank(D21),,iferror(xirr(split(join("","",query(Transactions!A$2:R82,""select R WHERE (B='Buy' OR B='Sell' OR B='Div') AND C=""""""&amp;C21&amp;"""""" ""),G21,"",""),"",""),split(join("","",query(Transactions!A$2:R82,""select A WHERE (B='Buy' OR B='Sell' OR "&amp;"B='Div') AND C=""""""&amp;C21&amp;"""""" ""),TODAY(),"",""),"","")),0))"),"")</f>
        <v/>
      </c>
      <c r="N21" s="48" t="str">
        <f t="array" ref="N21">if(isblank(D21),,sumproduct(Transactions!C:C=C21,Transactions!B:B="Sell",Transactions!P:P)*U21)</f>
        <v/>
      </c>
      <c r="O21" s="48" t="str">
        <f t="array" ref="O21">if(isblank(D21),,sumproduct(Transactions!C:C=C21,Transactions!B:B="Div",Transactions!P:P)*U21)</f>
        <v/>
      </c>
      <c r="P21" s="66" t="str">
        <f t="shared" si="7"/>
        <v/>
      </c>
      <c r="Q21" s="48" t="str">
        <f t="shared" si="8"/>
        <v/>
      </c>
      <c r="R21" s="49" t="str">
        <f>if(isblank(D21),,ReferenceData!E19)</f>
        <v/>
      </c>
      <c r="S21" s="58" t="str">
        <f t="shared" si="9"/>
        <v/>
      </c>
      <c r="T21" s="41" t="str">
        <f t="shared" si="10"/>
        <v/>
      </c>
      <c r="U21" s="27" t="str">
        <f>IFERROR(__xludf.DUMMYFUNCTION("if(isblank(D21),,hlookup(F21,Currency!$D$1:$V$20,query(Currency!$B$2:$C$20,""select C WHERE (B=""""""&amp;$H$3&amp;"""""")""),false))"),"")</f>
        <v/>
      </c>
    </row>
    <row r="22">
      <c r="A22" s="126"/>
      <c r="B22" s="44"/>
      <c r="C22" s="45" t="str">
        <f t="shared" si="3"/>
        <v/>
      </c>
      <c r="D22" s="54"/>
      <c r="E22" s="46" t="str">
        <f>IFERROR(__xludf.DUMMYFUNCTION("if(isblank(D22),,iferror(INDEX(arrayformula(filter(Transactions!J:J,Transactions!C:C&lt;&gt;"""",row(Transactions!C:C)=max(if(Transactions!C:C=C22,row(Transactions!C:C),0)))) ,1),0))"),"")</f>
        <v/>
      </c>
      <c r="F22" s="99"/>
      <c r="G22" s="48" t="str">
        <f>if(isblank(D22),,ReferenceData!C20*E22)</f>
        <v/>
      </c>
      <c r="H22" s="48" t="str">
        <f t="shared" si="4"/>
        <v/>
      </c>
      <c r="I22" s="49" t="str">
        <f t="shared" si="5"/>
        <v/>
      </c>
      <c r="J22" s="48" t="str">
        <f>IFERROR(__xludf.DUMMYFUNCTION("if(isblank(D22),,iferror(INDEX(arrayformula(filter(Transactions!O:O,Transactions!C:C&lt;&gt;"""",row(Transactions!C:C)=max(if(Transactions!C:C=C22,row(Transactions!C:C),0)))) ,1),0)*U22)"),"")</f>
        <v/>
      </c>
      <c r="K22" s="48" t="str">
        <f>if(isblank(D22),,(ReferenceData!C20-ReferenceData!D20)*E22*U22)</f>
        <v/>
      </c>
      <c r="L22" s="49" t="str">
        <f t="shared" si="6"/>
        <v/>
      </c>
      <c r="M22" s="50" t="str">
        <f>IFERROR(__xludf.DUMMYFUNCTION("if(isblank(D22),,iferror(xirr(split(join("","",query(Transactions!A$2:R82,""select R WHERE (B='Buy' OR B='Sell' OR B='Div') AND C=""""""&amp;C22&amp;"""""" ""),G22,"",""),"",""),split(join("","",query(Transactions!A$2:R82,""select A WHERE (B='Buy' OR B='Sell' OR "&amp;"B='Div') AND C=""""""&amp;C22&amp;"""""" ""),TODAY(),"",""),"","")),0))"),"")</f>
        <v/>
      </c>
      <c r="N22" s="48" t="str">
        <f t="array" ref="N22">if(isblank(D22),,sumproduct(Transactions!C:C=C22,Transactions!B:B="Sell",Transactions!P:P)*U22)</f>
        <v/>
      </c>
      <c r="O22" s="48" t="str">
        <f t="array" ref="O22">if(isblank(D22),,sumproduct(Transactions!C:C=C22,Transactions!B:B="Div",Transactions!P:P)*U22)</f>
        <v/>
      </c>
      <c r="P22" s="66" t="str">
        <f t="shared" si="7"/>
        <v/>
      </c>
      <c r="Q22" s="48" t="str">
        <f t="shared" si="8"/>
        <v/>
      </c>
      <c r="R22" s="49" t="str">
        <f>if(isblank(D22),,ReferenceData!E20)</f>
        <v/>
      </c>
      <c r="S22" s="58" t="str">
        <f t="shared" si="9"/>
        <v/>
      </c>
      <c r="T22" s="41" t="str">
        <f t="shared" si="10"/>
        <v/>
      </c>
      <c r="U22" s="27" t="str">
        <f>IFERROR(__xludf.DUMMYFUNCTION("if(isblank(D22),,hlookup(F22,Currency!$D$1:$V$20,query(Currency!$B$2:$C$20,""select C WHERE (B=""""""&amp;$H$3&amp;"""""")""),false))"),"")</f>
        <v/>
      </c>
    </row>
    <row r="23">
      <c r="A23" s="126"/>
      <c r="B23" s="44"/>
      <c r="C23" s="45" t="str">
        <f t="shared" si="3"/>
        <v/>
      </c>
      <c r="D23" s="54"/>
      <c r="E23" s="46" t="str">
        <f>IFERROR(__xludf.DUMMYFUNCTION("if(isblank(D23),,iferror(INDEX(arrayformula(filter(Transactions!J:J,Transactions!C:C&lt;&gt;"""",row(Transactions!C:C)=max(if(Transactions!C:C=C23,row(Transactions!C:C),0)))) ,1),0))"),"")</f>
        <v/>
      </c>
      <c r="F23" s="99"/>
      <c r="G23" s="48" t="str">
        <f>if(isblank(D23),,ReferenceData!C21*E23)</f>
        <v/>
      </c>
      <c r="H23" s="48" t="str">
        <f t="shared" si="4"/>
        <v/>
      </c>
      <c r="I23" s="49" t="str">
        <f t="shared" si="5"/>
        <v/>
      </c>
      <c r="J23" s="48" t="str">
        <f>IFERROR(__xludf.DUMMYFUNCTION("if(isblank(D23),,iferror(INDEX(arrayformula(filter(Transactions!O:O,Transactions!C:C&lt;&gt;"""",row(Transactions!C:C)=max(if(Transactions!C:C=C23,row(Transactions!C:C),0)))) ,1),0)*U23)"),"")</f>
        <v/>
      </c>
      <c r="K23" s="48" t="str">
        <f>if(isblank(D23),,(ReferenceData!C21-ReferenceData!D21)*E23*U23)</f>
        <v/>
      </c>
      <c r="L23" s="49" t="str">
        <f t="shared" si="6"/>
        <v/>
      </c>
      <c r="M23" s="50" t="str">
        <f>IFERROR(__xludf.DUMMYFUNCTION("if(isblank(D23),,iferror(xirr(split(join("","",query(Transactions!A$2:R82,""select R WHERE (B='Buy' OR B='Sell' OR B='Div') AND C=""""""&amp;C23&amp;"""""" ""),G23,"",""),"",""),split(join("","",query(Transactions!A$2:R82,""select A WHERE (B='Buy' OR B='Sell' OR "&amp;"B='Div') AND C=""""""&amp;C23&amp;"""""" ""),TODAY(),"",""),"","")),0))"),"")</f>
        <v/>
      </c>
      <c r="N23" s="48" t="str">
        <f t="array" ref="N23">if(isblank(D23),,sumproduct(Transactions!C:C=C23,Transactions!B:B="Sell",Transactions!P:P)*U23)</f>
        <v/>
      </c>
      <c r="O23" s="48" t="str">
        <f t="array" ref="O23">if(isblank(D23),,sumproduct(Transactions!C:C=C23,Transactions!B:B="Div",Transactions!P:P)*U23)</f>
        <v/>
      </c>
      <c r="P23" s="66" t="str">
        <f t="shared" si="7"/>
        <v/>
      </c>
      <c r="Q23" s="48" t="str">
        <f t="shared" si="8"/>
        <v/>
      </c>
      <c r="R23" s="49" t="str">
        <f>if(isblank(D23),,ReferenceData!E21)</f>
        <v/>
      </c>
      <c r="S23" s="58" t="str">
        <f t="shared" si="9"/>
        <v/>
      </c>
      <c r="T23" s="41" t="str">
        <f t="shared" si="10"/>
        <v/>
      </c>
      <c r="U23" s="27" t="str">
        <f>IFERROR(__xludf.DUMMYFUNCTION("if(isblank(D23),,hlookup(F23,Currency!$D$1:$V$20,query(Currency!$B$2:$C$20,""select C WHERE (B=""""""&amp;$H$3&amp;"""""")""),false))"),"")</f>
        <v/>
      </c>
    </row>
    <row r="24">
      <c r="A24" s="126"/>
      <c r="B24" s="44"/>
      <c r="C24" s="45" t="str">
        <f t="shared" si="3"/>
        <v/>
      </c>
      <c r="D24" s="54"/>
      <c r="E24" s="46" t="str">
        <f>IFERROR(__xludf.DUMMYFUNCTION("if(isblank(D24),,iferror(INDEX(arrayformula(filter(Transactions!J:J,Transactions!C:C&lt;&gt;"""",row(Transactions!C:C)=max(if(Transactions!C:C=C24,row(Transactions!C:C),0)))) ,1),0))"),"")</f>
        <v/>
      </c>
      <c r="F24" s="99"/>
      <c r="G24" s="48" t="str">
        <f>if(isblank(D24),,ReferenceData!C22*E24)</f>
        <v/>
      </c>
      <c r="H24" s="48" t="str">
        <f t="shared" si="4"/>
        <v/>
      </c>
      <c r="I24" s="49" t="str">
        <f t="shared" si="5"/>
        <v/>
      </c>
      <c r="J24" s="48" t="str">
        <f>IFERROR(__xludf.DUMMYFUNCTION("if(isblank(D24),,iferror(INDEX(arrayformula(filter(Transactions!O:O,Transactions!C:C&lt;&gt;"""",row(Transactions!C:C)=max(if(Transactions!C:C=C24,row(Transactions!C:C),0)))) ,1),0)*U24)"),"")</f>
        <v/>
      </c>
      <c r="K24" s="48" t="str">
        <f>if(isblank(D24),,(ReferenceData!C22-ReferenceData!D22)*E24*U24)</f>
        <v/>
      </c>
      <c r="L24" s="49" t="str">
        <f t="shared" si="6"/>
        <v/>
      </c>
      <c r="M24" s="50" t="str">
        <f>IFERROR(__xludf.DUMMYFUNCTION("if(isblank(D24),,iferror(xirr(split(join("","",query(Transactions!A$2:R82,""select R WHERE (B='Buy' OR B='Sell' OR B='Div') AND C=""""""&amp;C24&amp;"""""" ""),G24,"",""),"",""),split(join("","",query(Transactions!A$2:R82,""select A WHERE (B='Buy' OR B='Sell' OR "&amp;"B='Div') AND C=""""""&amp;C24&amp;"""""" ""),TODAY(),"",""),"","")),0))"),"")</f>
        <v/>
      </c>
      <c r="N24" s="48" t="str">
        <f t="array" ref="N24">if(isblank(D24),,sumproduct(Transactions!C:C=C24,Transactions!B:B="Sell",Transactions!P:P)*U24)</f>
        <v/>
      </c>
      <c r="O24" s="48" t="str">
        <f t="array" ref="O24">if(isblank(D24),,sumproduct(Transactions!C:C=C24,Transactions!B:B="Div",Transactions!P:P)*U24)</f>
        <v/>
      </c>
      <c r="P24" s="66" t="str">
        <f t="shared" si="7"/>
        <v/>
      </c>
      <c r="Q24" s="48" t="str">
        <f t="shared" si="8"/>
        <v/>
      </c>
      <c r="R24" s="49" t="str">
        <f>if(isblank(D24),,ReferenceData!E22)</f>
        <v/>
      </c>
      <c r="S24" s="58" t="str">
        <f t="shared" si="9"/>
        <v/>
      </c>
      <c r="T24" s="41" t="str">
        <f t="shared" si="10"/>
        <v/>
      </c>
      <c r="U24" s="27" t="str">
        <f>IFERROR(__xludf.DUMMYFUNCTION("if(isblank(D24),,hlookup(F24,Currency!$D$1:$V$20,query(Currency!$B$2:$C$20,""select C WHERE (B=""""""&amp;$H$3&amp;"""""")""),false))"),"")</f>
        <v/>
      </c>
    </row>
    <row r="25">
      <c r="A25" s="126"/>
      <c r="B25" s="44"/>
      <c r="C25" s="45" t="str">
        <f t="shared" si="3"/>
        <v/>
      </c>
      <c r="D25" s="54"/>
      <c r="E25" s="46" t="str">
        <f>IFERROR(__xludf.DUMMYFUNCTION("if(isblank(D25),,iferror(INDEX(arrayformula(filter(Transactions!J:J,Transactions!C:C&lt;&gt;"""",row(Transactions!C:C)=max(if(Transactions!C:C=C25,row(Transactions!C:C),0)))) ,1),0))"),"")</f>
        <v/>
      </c>
      <c r="F25" s="99"/>
      <c r="G25" s="48" t="str">
        <f>if(isblank(D25),,ReferenceData!C23*E25)</f>
        <v/>
      </c>
      <c r="H25" s="48" t="str">
        <f t="shared" si="4"/>
        <v/>
      </c>
      <c r="I25" s="49" t="str">
        <f t="shared" si="5"/>
        <v/>
      </c>
      <c r="J25" s="48" t="str">
        <f>IFERROR(__xludf.DUMMYFUNCTION("if(isblank(D25),,iferror(INDEX(arrayformula(filter(Transactions!O:O,Transactions!C:C&lt;&gt;"""",row(Transactions!C:C)=max(if(Transactions!C:C=C25,row(Transactions!C:C),0)))) ,1),0)*U25)"),"")</f>
        <v/>
      </c>
      <c r="K25" s="48" t="str">
        <f>if(isblank(D25),,(ReferenceData!C23-ReferenceData!D23)*E25*U25)</f>
        <v/>
      </c>
      <c r="L25" s="49" t="str">
        <f t="shared" si="6"/>
        <v/>
      </c>
      <c r="M25" s="50" t="str">
        <f>IFERROR(__xludf.DUMMYFUNCTION("if(isblank(D25),,iferror(xirr(split(join("","",query(Transactions!A$2:R82,""select R WHERE (B='Buy' OR B='Sell' OR B='Div') AND C=""""""&amp;C25&amp;"""""" ""),G25,"",""),"",""),split(join("","",query(Transactions!A$2:R82,""select A WHERE (B='Buy' OR B='Sell' OR "&amp;"B='Div') AND C=""""""&amp;C25&amp;"""""" ""),TODAY(),"",""),"","")),0))"),"")</f>
        <v/>
      </c>
      <c r="N25" s="48" t="str">
        <f t="array" ref="N25">if(isblank(D25),,sumproduct(Transactions!C:C=C25,Transactions!B:B="Sell",Transactions!P:P)*U25)</f>
        <v/>
      </c>
      <c r="O25" s="48" t="str">
        <f t="array" ref="O25">if(isblank(D25),,sumproduct(Transactions!C:C=C25,Transactions!B:B="Div",Transactions!P:P)*U25)</f>
        <v/>
      </c>
      <c r="P25" s="66" t="str">
        <f t="shared" si="7"/>
        <v/>
      </c>
      <c r="Q25" s="48" t="str">
        <f t="shared" si="8"/>
        <v/>
      </c>
      <c r="R25" s="49" t="str">
        <f>if(isblank(D25),,ReferenceData!E23)</f>
        <v/>
      </c>
      <c r="S25" s="58" t="str">
        <f t="shared" si="9"/>
        <v/>
      </c>
      <c r="T25" s="41" t="str">
        <f t="shared" si="10"/>
        <v/>
      </c>
      <c r="U25" s="27" t="str">
        <f>IFERROR(__xludf.DUMMYFUNCTION("if(isblank(D25),,hlookup(F25,Currency!$D$1:$V$20,query(Currency!$B$2:$C$20,""select C WHERE (B=""""""&amp;$H$3&amp;"""""")""),false))"),"")</f>
        <v/>
      </c>
    </row>
    <row r="26">
      <c r="A26" s="126"/>
      <c r="B26" s="44"/>
      <c r="C26" s="45" t="str">
        <f t="shared" si="3"/>
        <v/>
      </c>
      <c r="D26" s="54"/>
      <c r="E26" s="46" t="str">
        <f>IFERROR(__xludf.DUMMYFUNCTION("if(isblank(D26),,iferror(INDEX(arrayformula(filter(Transactions!J:J,Transactions!C:C&lt;&gt;"""",row(Transactions!C:C)=max(if(Transactions!C:C=C26,row(Transactions!C:C),0)))) ,1),0))"),"")</f>
        <v/>
      </c>
      <c r="F26" s="99"/>
      <c r="G26" s="48" t="str">
        <f>if(isblank(D26),,ReferenceData!C24*E26)</f>
        <v/>
      </c>
      <c r="H26" s="48" t="str">
        <f t="shared" si="4"/>
        <v/>
      </c>
      <c r="I26" s="49" t="str">
        <f t="shared" si="5"/>
        <v/>
      </c>
      <c r="J26" s="48" t="str">
        <f>IFERROR(__xludf.DUMMYFUNCTION("if(isblank(D26),,iferror(INDEX(arrayformula(filter(Transactions!O:O,Transactions!C:C&lt;&gt;"""",row(Transactions!C:C)=max(if(Transactions!C:C=C26,row(Transactions!C:C),0)))) ,1),0)*U26)"),"")</f>
        <v/>
      </c>
      <c r="K26" s="48" t="str">
        <f>if(isblank(D26),,(ReferenceData!C24-ReferenceData!D24)*E26*U26)</f>
        <v/>
      </c>
      <c r="L26" s="49" t="str">
        <f t="shared" si="6"/>
        <v/>
      </c>
      <c r="M26" s="50" t="str">
        <f>IFERROR(__xludf.DUMMYFUNCTION("if(isblank(D26),,iferror(xirr(split(join("","",query(Transactions!A$2:R82,""select R WHERE (B='Buy' OR B='Sell' OR B='Div') AND C=""""""&amp;C26&amp;"""""" ""),G26,"",""),"",""),split(join("","",query(Transactions!A$2:R82,""select A WHERE (B='Buy' OR B='Sell' OR "&amp;"B='Div') AND C=""""""&amp;C26&amp;"""""" ""),TODAY(),"",""),"","")),0))"),"")</f>
        <v/>
      </c>
      <c r="N26" s="48" t="str">
        <f t="array" ref="N26">if(isblank(D26),,sumproduct(Transactions!C:C=C26,Transactions!B:B="Sell",Transactions!P:P)*U26)</f>
        <v/>
      </c>
      <c r="O26" s="48" t="str">
        <f t="array" ref="O26">if(isblank(D26),,sumproduct(Transactions!C:C=C26,Transactions!B:B="Div",Transactions!P:P)*U26)</f>
        <v/>
      </c>
      <c r="P26" s="66" t="str">
        <f t="shared" si="7"/>
        <v/>
      </c>
      <c r="Q26" s="48" t="str">
        <f t="shared" si="8"/>
        <v/>
      </c>
      <c r="R26" s="49" t="str">
        <f>if(isblank(D26),,ReferenceData!E24)</f>
        <v/>
      </c>
      <c r="S26" s="58" t="str">
        <f t="shared" si="9"/>
        <v/>
      </c>
      <c r="T26" s="41" t="str">
        <f t="shared" si="10"/>
        <v/>
      </c>
      <c r="U26" s="27" t="str">
        <f>IFERROR(__xludf.DUMMYFUNCTION("if(isblank(D26),,hlookup(F26,Currency!$D$1:$V$20,query(Currency!$B$2:$C$20,""select C WHERE (B=""""""&amp;$H$3&amp;"""""")""),false))"),"")</f>
        <v/>
      </c>
    </row>
    <row r="27">
      <c r="A27" s="126"/>
      <c r="B27" s="44"/>
      <c r="C27" s="45" t="str">
        <f t="shared" si="3"/>
        <v/>
      </c>
      <c r="D27" s="54"/>
      <c r="E27" s="46" t="str">
        <f>IFERROR(__xludf.DUMMYFUNCTION("if(isblank(D27),,iferror(INDEX(arrayformula(filter(Transactions!J:J,Transactions!C:C&lt;&gt;"""",row(Transactions!C:C)=max(if(Transactions!C:C=C27,row(Transactions!C:C),0)))) ,1),0))"),"")</f>
        <v/>
      </c>
      <c r="F27" s="99"/>
      <c r="G27" s="48" t="str">
        <f>if(isblank(D27),,ReferenceData!C25*E27)</f>
        <v/>
      </c>
      <c r="H27" s="48" t="str">
        <f t="shared" si="4"/>
        <v/>
      </c>
      <c r="I27" s="49" t="str">
        <f t="shared" si="5"/>
        <v/>
      </c>
      <c r="J27" s="48" t="str">
        <f>IFERROR(__xludf.DUMMYFUNCTION("if(isblank(D27),,iferror(INDEX(arrayformula(filter(Transactions!O:O,Transactions!C:C&lt;&gt;"""",row(Transactions!C:C)=max(if(Transactions!C:C=C27,row(Transactions!C:C),0)))) ,1),0)*U27)"),"")</f>
        <v/>
      </c>
      <c r="K27" s="48" t="str">
        <f>if(isblank(D27),,(ReferenceData!C25-ReferenceData!D25)*E27*U27)</f>
        <v/>
      </c>
      <c r="L27" s="49" t="str">
        <f t="shared" si="6"/>
        <v/>
      </c>
      <c r="M27" s="50" t="str">
        <f>IFERROR(__xludf.DUMMYFUNCTION("if(isblank(D27),,iferror(xirr(split(join("","",query(Transactions!A$2:R82,""select R WHERE (B='Buy' OR B='Sell' OR B='Div') AND C=""""""&amp;C27&amp;"""""" ""),G27,"",""),"",""),split(join("","",query(Transactions!A$2:R82,""select A WHERE (B='Buy' OR B='Sell' OR "&amp;"B='Div') AND C=""""""&amp;C27&amp;"""""" ""),TODAY(),"",""),"","")),0))"),"")</f>
        <v/>
      </c>
      <c r="N27" s="48" t="str">
        <f t="array" ref="N27">if(isblank(D27),,sumproduct(Transactions!C:C=C27,Transactions!B:B="Sell",Transactions!P:P)*U27)</f>
        <v/>
      </c>
      <c r="O27" s="48" t="str">
        <f t="array" ref="O27">if(isblank(D27),,sumproduct(Transactions!C:C=C27,Transactions!B:B="Div",Transactions!P:P)*U27)</f>
        <v/>
      </c>
      <c r="P27" s="66" t="str">
        <f t="shared" si="7"/>
        <v/>
      </c>
      <c r="Q27" s="48" t="str">
        <f t="shared" si="8"/>
        <v/>
      </c>
      <c r="R27" s="49" t="str">
        <f>if(isblank(D27),,ReferenceData!E25)</f>
        <v/>
      </c>
      <c r="S27" s="58" t="str">
        <f t="shared" si="9"/>
        <v/>
      </c>
      <c r="T27" s="41" t="str">
        <f t="shared" si="10"/>
        <v/>
      </c>
      <c r="U27" s="27" t="str">
        <f>IFERROR(__xludf.DUMMYFUNCTION("if(isblank(D27),,hlookup(F27,Currency!$D$1:$V$20,query(Currency!$B$2:$C$20,""select C WHERE (B=""""""&amp;$H$3&amp;"""""")""),false))"),"")</f>
        <v/>
      </c>
    </row>
    <row r="28">
      <c r="A28" s="126"/>
      <c r="B28" s="44"/>
      <c r="C28" s="45" t="str">
        <f t="shared" si="3"/>
        <v/>
      </c>
      <c r="D28" s="54"/>
      <c r="E28" s="46" t="str">
        <f>IFERROR(__xludf.DUMMYFUNCTION("if(isblank(D28),,iferror(INDEX(arrayformula(filter(Transactions!J:J,Transactions!C:C&lt;&gt;"""",row(Transactions!C:C)=max(if(Transactions!C:C=C28,row(Transactions!C:C),0)))) ,1),0))"),"")</f>
        <v/>
      </c>
      <c r="F28" s="99"/>
      <c r="G28" s="48" t="str">
        <f>if(isblank(D28),,ReferenceData!C26*E28)</f>
        <v/>
      </c>
      <c r="H28" s="48" t="str">
        <f t="shared" si="4"/>
        <v/>
      </c>
      <c r="I28" s="49" t="str">
        <f t="shared" si="5"/>
        <v/>
      </c>
      <c r="J28" s="48" t="str">
        <f>IFERROR(__xludf.DUMMYFUNCTION("if(isblank(D28),,iferror(INDEX(arrayformula(filter(Transactions!O:O,Transactions!C:C&lt;&gt;"""",row(Transactions!C:C)=max(if(Transactions!C:C=C28,row(Transactions!C:C),0)))) ,1),0)*U28)"),"")</f>
        <v/>
      </c>
      <c r="K28" s="48" t="str">
        <f>if(isblank(D28),,(ReferenceData!C26-ReferenceData!D26)*E28*U28)</f>
        <v/>
      </c>
      <c r="L28" s="49" t="str">
        <f t="shared" si="6"/>
        <v/>
      </c>
      <c r="M28" s="50" t="str">
        <f>IFERROR(__xludf.DUMMYFUNCTION("if(isblank(D28),,iferror(xirr(split(join("","",query(Transactions!A$2:R82,""select R WHERE (B='Buy' OR B='Sell' OR B='Div') AND C=""""""&amp;C28&amp;"""""" ""),G28,"",""),"",""),split(join("","",query(Transactions!A$2:R82,""select A WHERE (B='Buy' OR B='Sell' OR "&amp;"B='Div') AND C=""""""&amp;C28&amp;"""""" ""),TODAY(),"",""),"","")),0))"),"")</f>
        <v/>
      </c>
      <c r="N28" s="48" t="str">
        <f t="array" ref="N28">if(isblank(D28),,sumproduct(Transactions!C:C=C28,Transactions!B:B="Sell",Transactions!P:P)*U28)</f>
        <v/>
      </c>
      <c r="O28" s="48" t="str">
        <f t="array" ref="O28">if(isblank(D28),,sumproduct(Transactions!C:C=C28,Transactions!B:B="Div",Transactions!P:P)*U28)</f>
        <v/>
      </c>
      <c r="P28" s="66" t="str">
        <f t="shared" si="7"/>
        <v/>
      </c>
      <c r="Q28" s="48" t="str">
        <f t="shared" si="8"/>
        <v/>
      </c>
      <c r="R28" s="49" t="str">
        <f>if(isblank(D28),,ReferenceData!E26)</f>
        <v/>
      </c>
      <c r="S28" s="58" t="str">
        <f t="shared" si="9"/>
        <v/>
      </c>
      <c r="T28" s="41" t="str">
        <f t="shared" si="10"/>
        <v/>
      </c>
      <c r="U28" s="27" t="str">
        <f>IFERROR(__xludf.DUMMYFUNCTION("if(isblank(D28),,hlookup(F28,Currency!$D$1:$V$20,query(Currency!$B$2:$C$20,""select C WHERE (B=""""""&amp;$H$3&amp;"""""")""),false))"),"")</f>
        <v/>
      </c>
    </row>
    <row r="29">
      <c r="A29" s="126"/>
      <c r="B29" s="44"/>
      <c r="C29" s="45" t="str">
        <f t="shared" si="3"/>
        <v/>
      </c>
      <c r="D29" s="54"/>
      <c r="E29" s="46" t="str">
        <f>IFERROR(__xludf.DUMMYFUNCTION("if(isblank(D29),,iferror(INDEX(arrayformula(filter(Transactions!J:J,Transactions!C:C&lt;&gt;"""",row(Transactions!C:C)=max(if(Transactions!C:C=C29,row(Transactions!C:C),0)))) ,1),0))"),"")</f>
        <v/>
      </c>
      <c r="F29" s="99"/>
      <c r="G29" s="48" t="str">
        <f>if(isblank(D29),,ReferenceData!C27*E29)</f>
        <v/>
      </c>
      <c r="H29" s="48" t="str">
        <f t="shared" si="4"/>
        <v/>
      </c>
      <c r="I29" s="49" t="str">
        <f t="shared" si="5"/>
        <v/>
      </c>
      <c r="J29" s="48" t="str">
        <f>IFERROR(__xludf.DUMMYFUNCTION("if(isblank(D29),,iferror(INDEX(arrayformula(filter(Transactions!O:O,Transactions!C:C&lt;&gt;"""",row(Transactions!C:C)=max(if(Transactions!C:C=C29,row(Transactions!C:C),0)))) ,1),0)*U29)"),"")</f>
        <v/>
      </c>
      <c r="K29" s="48" t="str">
        <f>if(isblank(D29),,(ReferenceData!C27-ReferenceData!D27)*E29*U29)</f>
        <v/>
      </c>
      <c r="L29" s="49" t="str">
        <f t="shared" si="6"/>
        <v/>
      </c>
      <c r="M29" s="50" t="str">
        <f>IFERROR(__xludf.DUMMYFUNCTION("if(isblank(D29),,iferror(xirr(split(join("","",query(Transactions!A$2:R82,""select R WHERE (B='Buy' OR B='Sell' OR B='Div') AND C=""""""&amp;C29&amp;"""""" ""),G29,"",""),"",""),split(join("","",query(Transactions!A$2:R82,""select A WHERE (B='Buy' OR B='Sell' OR "&amp;"B='Div') AND C=""""""&amp;C29&amp;"""""" ""),TODAY(),"",""),"","")),0))"),"")</f>
        <v/>
      </c>
      <c r="N29" s="48" t="str">
        <f t="array" ref="N29">if(isblank(D29),,sumproduct(Transactions!C:C=C29,Transactions!B:B="Sell",Transactions!P:P)*U29)</f>
        <v/>
      </c>
      <c r="O29" s="48" t="str">
        <f t="array" ref="O29">if(isblank(D29),,sumproduct(Transactions!C:C=C29,Transactions!B:B="Div",Transactions!P:P)*U29)</f>
        <v/>
      </c>
      <c r="P29" s="66" t="str">
        <f t="shared" si="7"/>
        <v/>
      </c>
      <c r="Q29" s="48" t="str">
        <f t="shared" si="8"/>
        <v/>
      </c>
      <c r="R29" s="49" t="str">
        <f>if(isblank(D29),,ReferenceData!E27)</f>
        <v/>
      </c>
      <c r="S29" s="58" t="str">
        <f t="shared" si="9"/>
        <v/>
      </c>
      <c r="T29" s="41" t="str">
        <f t="shared" si="10"/>
        <v/>
      </c>
      <c r="U29" s="27" t="str">
        <f>IFERROR(__xludf.DUMMYFUNCTION("if(isblank(D29),,hlookup(F29,Currency!$D$1:$V$20,query(Currency!$B$2:$C$20,""select C WHERE (B=""""""&amp;$H$3&amp;"""""")""),false))"),"")</f>
        <v/>
      </c>
    </row>
    <row r="30">
      <c r="A30" s="126"/>
      <c r="B30" s="44"/>
      <c r="C30" s="45" t="str">
        <f t="shared" si="3"/>
        <v/>
      </c>
      <c r="D30" s="54"/>
      <c r="E30" s="46" t="str">
        <f>IFERROR(__xludf.DUMMYFUNCTION("if(isblank(D30),,iferror(INDEX(arrayformula(filter(Transactions!J:J,Transactions!C:C&lt;&gt;"""",row(Transactions!C:C)=max(if(Transactions!C:C=C30,row(Transactions!C:C),0)))) ,1),0))"),"")</f>
        <v/>
      </c>
      <c r="F30" s="99"/>
      <c r="G30" s="48" t="str">
        <f>if(isblank(D30),,ReferenceData!C28*E30)</f>
        <v/>
      </c>
      <c r="H30" s="48" t="str">
        <f t="shared" si="4"/>
        <v/>
      </c>
      <c r="I30" s="49" t="str">
        <f t="shared" si="5"/>
        <v/>
      </c>
      <c r="J30" s="48" t="str">
        <f>IFERROR(__xludf.DUMMYFUNCTION("if(isblank(D30),,iferror(INDEX(arrayformula(filter(Transactions!O:O,Transactions!C:C&lt;&gt;"""",row(Transactions!C:C)=max(if(Transactions!C:C=C30,row(Transactions!C:C),0)))) ,1),0)*U30)"),"")</f>
        <v/>
      </c>
      <c r="K30" s="48" t="str">
        <f>if(isblank(D30),,(ReferenceData!C28-ReferenceData!D28)*E30*U30)</f>
        <v/>
      </c>
      <c r="L30" s="49" t="str">
        <f t="shared" si="6"/>
        <v/>
      </c>
      <c r="M30" s="50" t="str">
        <f>IFERROR(__xludf.DUMMYFUNCTION("if(isblank(D30),,iferror(xirr(split(join("","",query(Transactions!A$2:R82,""select R WHERE (B='Buy' OR B='Sell' OR B='Div') AND C=""""""&amp;C30&amp;"""""" ""),G30,"",""),"",""),split(join("","",query(Transactions!A$2:R82,""select A WHERE (B='Buy' OR B='Sell' OR "&amp;"B='Div') AND C=""""""&amp;C30&amp;"""""" ""),TODAY(),"",""),"","")),0))"),"")</f>
        <v/>
      </c>
      <c r="N30" s="48" t="str">
        <f t="array" ref="N30">if(isblank(D30),,sumproduct(Transactions!C:C=C30,Transactions!B:B="Sell",Transactions!P:P)*U30)</f>
        <v/>
      </c>
      <c r="O30" s="48" t="str">
        <f t="array" ref="O30">if(isblank(D30),,sumproduct(Transactions!C:C=C30,Transactions!B:B="Div",Transactions!P:P)*U30)</f>
        <v/>
      </c>
      <c r="P30" s="66" t="str">
        <f t="shared" si="7"/>
        <v/>
      </c>
      <c r="Q30" s="48" t="str">
        <f t="shared" si="8"/>
        <v/>
      </c>
      <c r="R30" s="49" t="str">
        <f>if(isblank(D30),,ReferenceData!E28)</f>
        <v/>
      </c>
      <c r="S30" s="58" t="str">
        <f t="shared" si="9"/>
        <v/>
      </c>
      <c r="T30" s="41" t="str">
        <f t="shared" si="10"/>
        <v/>
      </c>
      <c r="U30" s="27" t="str">
        <f>IFERROR(__xludf.DUMMYFUNCTION("if(isblank(D30),,hlookup(F30,Currency!$D$1:$V$20,query(Currency!$B$2:$C$20,""select C WHERE (B=""""""&amp;$H$3&amp;"""""")""),false))"),"")</f>
        <v/>
      </c>
    </row>
    <row r="31">
      <c r="A31" s="62"/>
      <c r="B31" s="44"/>
      <c r="C31" s="45" t="str">
        <f t="shared" si="3"/>
        <v/>
      </c>
      <c r="D31" s="44"/>
      <c r="E31" s="46" t="str">
        <f>IFERROR(__xludf.DUMMYFUNCTION("if(isblank(D31),,iferror(INDEX(arrayformula(filter(Transactions!J:J,Transactions!C:C&lt;&gt;"""",row(Transactions!C:C)=max(if(Transactions!C:C=C31,row(Transactions!C:C),0)))) ,1),0))"),"")</f>
        <v/>
      </c>
      <c r="F31" s="99"/>
      <c r="G31" s="48" t="str">
        <f>if(isblank(D31),,ReferenceData!C29*E31)</f>
        <v/>
      </c>
      <c r="H31" s="48" t="str">
        <f t="shared" si="4"/>
        <v/>
      </c>
      <c r="I31" s="49" t="str">
        <f t="shared" si="5"/>
        <v/>
      </c>
      <c r="J31" s="48" t="str">
        <f>IFERROR(__xludf.DUMMYFUNCTION("if(isblank(D31),,iferror(INDEX(arrayformula(filter(Transactions!O:O,Transactions!C:C&lt;&gt;"""",row(Transactions!C:C)=max(if(Transactions!C:C=C31,row(Transactions!C:C),0)))) ,1),0)*U31)"),"")</f>
        <v/>
      </c>
      <c r="K31" s="48" t="str">
        <f>if(isblank(D31),,(ReferenceData!C29-ReferenceData!D29)*E31*U31)</f>
        <v/>
      </c>
      <c r="L31" s="49" t="str">
        <f t="shared" si="6"/>
        <v/>
      </c>
      <c r="M31" s="50" t="str">
        <f>IFERROR(__xludf.DUMMYFUNCTION("if(isblank(D31),,iferror(xirr(split(join("","",query(Transactions!A$2:R82,""select R WHERE (B='Buy' OR B='Sell' OR B='Div') AND C=""""""&amp;C31&amp;"""""" ""),G31,"",""),"",""),split(join("","",query(Transactions!A$2:R82,""select A WHERE (B='Buy' OR B='Sell' OR "&amp;"B='Div') AND C=""""""&amp;C31&amp;"""""" ""),TODAY(),"",""),"","")),0))"),"")</f>
        <v/>
      </c>
      <c r="N31" s="48" t="str">
        <f t="array" ref="N31">if(isblank(D31),,sumproduct(Transactions!C:C=C31,Transactions!B:B="Sell",Transactions!P:P)*U31)</f>
        <v/>
      </c>
      <c r="O31" s="48" t="str">
        <f t="array" ref="O31">if(isblank(D31),,sumproduct(Transactions!C:C=C31,Transactions!B:B="Div",Transactions!P:P)*U31)</f>
        <v/>
      </c>
      <c r="P31" s="66" t="str">
        <f t="shared" si="7"/>
        <v/>
      </c>
      <c r="Q31" s="48" t="str">
        <f t="shared" si="8"/>
        <v/>
      </c>
      <c r="R31" s="49" t="str">
        <f>if(isblank(D31),,ReferenceData!E29)</f>
        <v/>
      </c>
      <c r="S31" s="58" t="str">
        <f t="shared" si="9"/>
        <v/>
      </c>
      <c r="T31" s="41" t="str">
        <f t="shared" si="10"/>
        <v/>
      </c>
      <c r="U31" s="27" t="str">
        <f>IFERROR(__xludf.DUMMYFUNCTION("if(isblank(D31),,hlookup(F31,Currency!$D$1:$V$20,query(Currency!$B$2:$C$20,""select C WHERE (B=""""""&amp;$H$3&amp;"""""")""),false))"),"")</f>
        <v/>
      </c>
    </row>
    <row r="32">
      <c r="A32" s="62"/>
      <c r="B32" s="44"/>
      <c r="C32" s="45" t="str">
        <f t="shared" si="3"/>
        <v/>
      </c>
      <c r="D32" s="44"/>
      <c r="E32" s="46" t="str">
        <f>IFERROR(__xludf.DUMMYFUNCTION("if(isblank(D32),,iferror(INDEX(arrayformula(filter(Transactions!J:J,Transactions!C:C&lt;&gt;"""",row(Transactions!C:C)=max(if(Transactions!C:C=C32,row(Transactions!C:C),0)))) ,1),0))"),"")</f>
        <v/>
      </c>
      <c r="F32" s="99"/>
      <c r="G32" s="48" t="str">
        <f>if(isblank(D32),,ReferenceData!C30*E32)</f>
        <v/>
      </c>
      <c r="H32" s="48" t="str">
        <f t="shared" si="4"/>
        <v/>
      </c>
      <c r="I32" s="49" t="str">
        <f t="shared" si="5"/>
        <v/>
      </c>
      <c r="J32" s="48" t="str">
        <f>IFERROR(__xludf.DUMMYFUNCTION("if(isblank(D32),,iferror(INDEX(arrayformula(filter(Transactions!O:O,Transactions!C:C&lt;&gt;"""",row(Transactions!C:C)=max(if(Transactions!C:C=C32,row(Transactions!C:C),0)))) ,1),0)*U32)"),"")</f>
        <v/>
      </c>
      <c r="K32" s="48" t="str">
        <f>if(isblank(D32),,(ReferenceData!C30-ReferenceData!D30)*E32*U32)</f>
        <v/>
      </c>
      <c r="L32" s="49" t="str">
        <f t="shared" si="6"/>
        <v/>
      </c>
      <c r="M32" s="50" t="str">
        <f>IFERROR(__xludf.DUMMYFUNCTION("if(isblank(D32),,iferror(xirr(split(join("","",query(Transactions!A$2:R82,""select R WHERE (B='Buy' OR B='Sell' OR B='Div') AND C=""""""&amp;C32&amp;"""""" ""),G32,"",""),"",""),split(join("","",query(Transactions!A$2:R82,""select A WHERE (B='Buy' OR B='Sell' OR "&amp;"B='Div') AND C=""""""&amp;C32&amp;"""""" ""),TODAY(),"",""),"","")),0))"),"")</f>
        <v/>
      </c>
      <c r="N32" s="48" t="str">
        <f t="array" ref="N32">if(isblank(D32),,sumproduct(Transactions!C:C=C32,Transactions!B:B="Sell",Transactions!P:P)*U32)</f>
        <v/>
      </c>
      <c r="O32" s="48" t="str">
        <f t="array" ref="O32">if(isblank(D32),,sumproduct(Transactions!C:C=C32,Transactions!B:B="Div",Transactions!P:P)*U32)</f>
        <v/>
      </c>
      <c r="P32" s="66" t="str">
        <f t="shared" si="7"/>
        <v/>
      </c>
      <c r="Q32" s="48" t="str">
        <f t="shared" si="8"/>
        <v/>
      </c>
      <c r="R32" s="49" t="str">
        <f>if(isblank(D32),,ReferenceData!E30)</f>
        <v/>
      </c>
      <c r="S32" s="58" t="str">
        <f t="shared" si="9"/>
        <v/>
      </c>
      <c r="T32" s="41" t="str">
        <f t="shared" si="10"/>
        <v/>
      </c>
      <c r="U32" s="27" t="str">
        <f>IFERROR(__xludf.DUMMYFUNCTION("if(isblank(D32),,hlookup(F32,Currency!$D$1:$V$20,query(Currency!$B$2:$C$20,""select C WHERE (B=""""""&amp;$H$3&amp;"""""")""),false))"),"")</f>
        <v/>
      </c>
    </row>
    <row r="33">
      <c r="A33" s="62"/>
      <c r="B33" s="44"/>
      <c r="C33" s="45" t="str">
        <f t="shared" si="3"/>
        <v/>
      </c>
      <c r="D33" s="44"/>
      <c r="E33" s="46" t="str">
        <f>IFERROR(__xludf.DUMMYFUNCTION("if(isblank(D33),,iferror(INDEX(arrayformula(filter(Transactions!J:J,Transactions!C:C&lt;&gt;"""",row(Transactions!C:C)=max(if(Transactions!C:C=C33,row(Transactions!C:C),0)))) ,1),0))"),"")</f>
        <v/>
      </c>
      <c r="F33" s="99"/>
      <c r="G33" s="48" t="str">
        <f>if(isblank(D33),,ReferenceData!C31*E33)</f>
        <v/>
      </c>
      <c r="H33" s="48" t="str">
        <f t="shared" si="4"/>
        <v/>
      </c>
      <c r="I33" s="49" t="str">
        <f t="shared" si="5"/>
        <v/>
      </c>
      <c r="J33" s="48" t="str">
        <f>IFERROR(__xludf.DUMMYFUNCTION("if(isblank(D33),,iferror(INDEX(arrayformula(filter(Transactions!O:O,Transactions!C:C&lt;&gt;"""",row(Transactions!C:C)=max(if(Transactions!C:C=C33,row(Transactions!C:C),0)))) ,1),0)*U33)"),"")</f>
        <v/>
      </c>
      <c r="K33" s="48" t="str">
        <f>if(isblank(D33),,(ReferenceData!C31-ReferenceData!D31)*E33*U33)</f>
        <v/>
      </c>
      <c r="L33" s="49" t="str">
        <f t="shared" si="6"/>
        <v/>
      </c>
      <c r="M33" s="50" t="str">
        <f>IFERROR(__xludf.DUMMYFUNCTION("if(isblank(D33),,iferror(xirr(split(join("","",query(Transactions!A$2:R82,""select R WHERE (B='Buy' OR B='Sell' OR B='Div') AND C=""""""&amp;C33&amp;"""""" ""),G33,"",""),"",""),split(join("","",query(Transactions!A$2:R82,""select A WHERE (B='Buy' OR B='Sell' OR "&amp;"B='Div') AND C=""""""&amp;C33&amp;"""""" ""),TODAY(),"",""),"","")),0))"),"")</f>
        <v/>
      </c>
      <c r="N33" s="48" t="str">
        <f t="array" ref="N33">if(isblank(D33),,sumproduct(Transactions!C:C=C33,Transactions!B:B="Sell",Transactions!P:P)*U33)</f>
        <v/>
      </c>
      <c r="O33" s="48" t="str">
        <f t="array" ref="O33">if(isblank(D33),,sumproduct(Transactions!C:C=C33,Transactions!B:B="Div",Transactions!P:P)*U33)</f>
        <v/>
      </c>
      <c r="P33" s="66" t="str">
        <f t="shared" si="7"/>
        <v/>
      </c>
      <c r="Q33" s="48" t="str">
        <f t="shared" si="8"/>
        <v/>
      </c>
      <c r="R33" s="49" t="str">
        <f>if(isblank(D33),,ReferenceData!E31)</f>
        <v/>
      </c>
      <c r="S33" s="58" t="str">
        <f t="shared" si="9"/>
        <v/>
      </c>
      <c r="T33" s="41" t="str">
        <f t="shared" si="10"/>
        <v/>
      </c>
      <c r="U33" s="27" t="str">
        <f>IFERROR(__xludf.DUMMYFUNCTION("if(isblank(D33),,hlookup(F33,Currency!$D$1:$V$20,query(Currency!$B$2:$C$20,""select C WHERE (B=""""""&amp;$H$3&amp;"""""")""),false))"),"")</f>
        <v/>
      </c>
    </row>
    <row r="34">
      <c r="A34" s="62"/>
      <c r="B34" s="44"/>
      <c r="C34" s="45" t="str">
        <f t="shared" si="3"/>
        <v/>
      </c>
      <c r="D34" s="44"/>
      <c r="E34" s="46" t="str">
        <f>IFERROR(__xludf.DUMMYFUNCTION("if(isblank(D34),,iferror(INDEX(arrayformula(filter(Transactions!J:J,Transactions!C:C&lt;&gt;"""",row(Transactions!C:C)=max(if(Transactions!C:C=C34,row(Transactions!C:C),0)))) ,1),0))"),"")</f>
        <v/>
      </c>
      <c r="F34" s="99"/>
      <c r="G34" s="48" t="str">
        <f>if(isblank(D34),,ReferenceData!C32*E34)</f>
        <v/>
      </c>
      <c r="H34" s="48" t="str">
        <f t="shared" si="4"/>
        <v/>
      </c>
      <c r="I34" s="49" t="str">
        <f t="shared" si="5"/>
        <v/>
      </c>
      <c r="J34" s="48" t="str">
        <f>IFERROR(__xludf.DUMMYFUNCTION("if(isblank(D34),,iferror(INDEX(arrayformula(filter(Transactions!O:O,Transactions!C:C&lt;&gt;"""",row(Transactions!C:C)=max(if(Transactions!C:C=C34,row(Transactions!C:C),0)))) ,1),0)*U34)"),"")</f>
        <v/>
      </c>
      <c r="K34" s="48" t="str">
        <f>if(isblank(D34),,(ReferenceData!C32-ReferenceData!D32)*E34*U34)</f>
        <v/>
      </c>
      <c r="L34" s="49" t="str">
        <f t="shared" si="6"/>
        <v/>
      </c>
      <c r="M34" s="50" t="str">
        <f>IFERROR(__xludf.DUMMYFUNCTION("if(isblank(D34),,iferror(xirr(split(join("","",query(Transactions!A$2:R82,""select R WHERE (B='Buy' OR B='Sell' OR B='Div') AND C=""""""&amp;C34&amp;"""""" ""),G34,"",""),"",""),split(join("","",query(Transactions!A$2:R82,""select A WHERE (B='Buy' OR B='Sell' OR "&amp;"B='Div') AND C=""""""&amp;C34&amp;"""""" ""),TODAY(),"",""),"","")),0))"),"")</f>
        <v/>
      </c>
      <c r="N34" s="48" t="str">
        <f t="array" ref="N34">if(isblank(D34),,sumproduct(Transactions!C:C=C34,Transactions!B:B="Sell",Transactions!P:P)*U34)</f>
        <v/>
      </c>
      <c r="O34" s="48" t="str">
        <f t="array" ref="O34">if(isblank(D34),,sumproduct(Transactions!C:C=C34,Transactions!B:B="Div",Transactions!P:P)*U34)</f>
        <v/>
      </c>
      <c r="P34" s="66" t="str">
        <f t="shared" si="7"/>
        <v/>
      </c>
      <c r="Q34" s="48" t="str">
        <f t="shared" si="8"/>
        <v/>
      </c>
      <c r="R34" s="49" t="str">
        <f>if(isblank(D34),,ReferenceData!E32)</f>
        <v/>
      </c>
      <c r="S34" s="58" t="str">
        <f t="shared" si="9"/>
        <v/>
      </c>
      <c r="T34" s="41" t="str">
        <f t="shared" si="10"/>
        <v/>
      </c>
      <c r="U34" s="27" t="str">
        <f>IFERROR(__xludf.DUMMYFUNCTION("if(isblank(D34),,hlookup(F34,Currency!$D$1:$V$20,query(Currency!$B$2:$C$20,""select C WHERE (B=""""""&amp;$H$3&amp;"""""")""),false))"),"")</f>
        <v/>
      </c>
    </row>
    <row r="35">
      <c r="A35" s="62"/>
      <c r="B35" s="44"/>
      <c r="C35" s="45" t="str">
        <f t="shared" si="3"/>
        <v/>
      </c>
      <c r="D35" s="44"/>
      <c r="E35" s="46" t="str">
        <f>IFERROR(__xludf.DUMMYFUNCTION("if(isblank(D35),,iferror(INDEX(arrayformula(filter(Transactions!J:J,Transactions!C:C&lt;&gt;"""",row(Transactions!C:C)=max(if(Transactions!C:C=C35,row(Transactions!C:C),0)))) ,1),0))"),"")</f>
        <v/>
      </c>
      <c r="F35" s="99"/>
      <c r="G35" s="48" t="str">
        <f>if(isblank(D35),,ReferenceData!C33*E35)</f>
        <v/>
      </c>
      <c r="H35" s="48" t="str">
        <f t="shared" si="4"/>
        <v/>
      </c>
      <c r="I35" s="49" t="str">
        <f t="shared" si="5"/>
        <v/>
      </c>
      <c r="J35" s="48" t="str">
        <f>IFERROR(__xludf.DUMMYFUNCTION("if(isblank(D35),,iferror(INDEX(arrayformula(filter(Transactions!O:O,Transactions!C:C&lt;&gt;"""",row(Transactions!C:C)=max(if(Transactions!C:C=C35,row(Transactions!C:C),0)))) ,1),0)*U35)"),"")</f>
        <v/>
      </c>
      <c r="K35" s="48" t="str">
        <f>if(isblank(D35),,(ReferenceData!C33-ReferenceData!D33)*E35*U35)</f>
        <v/>
      </c>
      <c r="L35" s="49" t="str">
        <f t="shared" si="6"/>
        <v/>
      </c>
      <c r="M35" s="50" t="str">
        <f>IFERROR(__xludf.DUMMYFUNCTION("if(isblank(D35),,iferror(xirr(split(join("","",query(Transactions!A$2:R82,""select R WHERE (B='Buy' OR B='Sell' OR B='Div') AND C=""""""&amp;C35&amp;"""""" ""),G35,"",""),"",""),split(join("","",query(Transactions!A$2:R82,""select A WHERE (B='Buy' OR B='Sell' OR "&amp;"B='Div') AND C=""""""&amp;C35&amp;"""""" ""),TODAY(),"",""),"","")),0))"),"")</f>
        <v/>
      </c>
      <c r="N35" s="48" t="str">
        <f t="array" ref="N35">if(isblank(D35),,sumproduct(Transactions!C:C=C35,Transactions!B:B="Sell",Transactions!P:P)*U35)</f>
        <v/>
      </c>
      <c r="O35" s="48" t="str">
        <f t="array" ref="O35">if(isblank(D35),,sumproduct(Transactions!C:C=C35,Transactions!B:B="Div",Transactions!P:P)*U35)</f>
        <v/>
      </c>
      <c r="P35" s="66" t="str">
        <f t="shared" si="7"/>
        <v/>
      </c>
      <c r="Q35" s="48" t="str">
        <f t="shared" si="8"/>
        <v/>
      </c>
      <c r="R35" s="49" t="str">
        <f>if(isblank(D35),,ReferenceData!E33)</f>
        <v/>
      </c>
      <c r="S35" s="58" t="str">
        <f t="shared" si="9"/>
        <v/>
      </c>
      <c r="T35" s="41" t="str">
        <f t="shared" si="10"/>
        <v/>
      </c>
      <c r="U35" s="27" t="str">
        <f>IFERROR(__xludf.DUMMYFUNCTION("if(isblank(D35),,hlookup(F35,Currency!$D$1:$V$20,query(Currency!$B$2:$C$20,""select C WHERE (B=""""""&amp;$H$3&amp;"""""")""),false))"),"")</f>
        <v/>
      </c>
    </row>
    <row r="36">
      <c r="A36" s="62"/>
      <c r="B36" s="44"/>
      <c r="C36" s="45" t="str">
        <f t="shared" si="3"/>
        <v/>
      </c>
      <c r="D36" s="44"/>
      <c r="E36" s="46" t="str">
        <f>IFERROR(__xludf.DUMMYFUNCTION("if(isblank(D36),,iferror(INDEX(arrayformula(filter(Transactions!J:J,Transactions!C:C&lt;&gt;"""",row(Transactions!C:C)=max(if(Transactions!C:C=C36,row(Transactions!C:C),0)))) ,1),0))"),"")</f>
        <v/>
      </c>
      <c r="F36" s="99"/>
      <c r="G36" s="48" t="str">
        <f>if(isblank(D36),,ReferenceData!C34*E36)</f>
        <v/>
      </c>
      <c r="H36" s="48" t="str">
        <f t="shared" si="4"/>
        <v/>
      </c>
      <c r="I36" s="49" t="str">
        <f t="shared" si="5"/>
        <v/>
      </c>
      <c r="J36" s="48" t="str">
        <f>IFERROR(__xludf.DUMMYFUNCTION("if(isblank(D36),,iferror(INDEX(arrayformula(filter(Transactions!O:O,Transactions!C:C&lt;&gt;"""",row(Transactions!C:C)=max(if(Transactions!C:C=C36,row(Transactions!C:C),0)))) ,1),0)*U36)"),"")</f>
        <v/>
      </c>
      <c r="K36" s="48" t="str">
        <f>if(isblank(D36),,(ReferenceData!C34-ReferenceData!D34)*E36*U36)</f>
        <v/>
      </c>
      <c r="L36" s="49" t="str">
        <f t="shared" si="6"/>
        <v/>
      </c>
      <c r="M36" s="50" t="str">
        <f>IFERROR(__xludf.DUMMYFUNCTION("if(isblank(D36),,iferror(xirr(split(join("","",query(Transactions!A$2:R82,""select R WHERE (B='Buy' OR B='Sell' OR B='Div') AND C=""""""&amp;C36&amp;"""""" ""),G36,"",""),"",""),split(join("","",query(Transactions!A$2:R82,""select A WHERE (B='Buy' OR B='Sell' OR "&amp;"B='Div') AND C=""""""&amp;C36&amp;"""""" ""),TODAY(),"",""),"","")),0))"),"")</f>
        <v/>
      </c>
      <c r="N36" s="48" t="str">
        <f t="array" ref="N36">if(isblank(D36),,sumproduct(Transactions!C:C=C36,Transactions!B:B="Sell",Transactions!P:P)*U36)</f>
        <v/>
      </c>
      <c r="O36" s="48" t="str">
        <f t="array" ref="O36">if(isblank(D36),,sumproduct(Transactions!C:C=C36,Transactions!B:B="Div",Transactions!P:P)*U36)</f>
        <v/>
      </c>
      <c r="P36" s="66" t="str">
        <f t="shared" si="7"/>
        <v/>
      </c>
      <c r="Q36" s="48" t="str">
        <f t="shared" si="8"/>
        <v/>
      </c>
      <c r="R36" s="49" t="str">
        <f>if(isblank(D36),,ReferenceData!E34)</f>
        <v/>
      </c>
      <c r="S36" s="58" t="str">
        <f t="shared" si="9"/>
        <v/>
      </c>
      <c r="T36" s="41" t="str">
        <f t="shared" si="10"/>
        <v/>
      </c>
      <c r="U36" s="27" t="str">
        <f>IFERROR(__xludf.DUMMYFUNCTION("if(isblank(D36),,hlookup(F36,Currency!$D$1:$V$20,query(Currency!$B$2:$C$20,""select C WHERE (B=""""""&amp;$H$3&amp;"""""")""),false))"),"")</f>
        <v/>
      </c>
    </row>
    <row r="37">
      <c r="A37" s="62"/>
      <c r="B37" s="44"/>
      <c r="C37" s="45" t="str">
        <f t="shared" si="3"/>
        <v/>
      </c>
      <c r="D37" s="44"/>
      <c r="E37" s="46" t="str">
        <f>IFERROR(__xludf.DUMMYFUNCTION("if(isblank(D37),,iferror(INDEX(arrayformula(filter(Transactions!J:J,Transactions!C:C&lt;&gt;"""",row(Transactions!C:C)=max(if(Transactions!C:C=C37,row(Transactions!C:C),0)))) ,1),0))"),"")</f>
        <v/>
      </c>
      <c r="F37" s="99"/>
      <c r="G37" s="48" t="str">
        <f>if(isblank(D37),,ReferenceData!C35*E37)</f>
        <v/>
      </c>
      <c r="H37" s="48" t="str">
        <f t="shared" si="4"/>
        <v/>
      </c>
      <c r="I37" s="49" t="str">
        <f t="shared" si="5"/>
        <v/>
      </c>
      <c r="J37" s="48" t="str">
        <f>IFERROR(__xludf.DUMMYFUNCTION("if(isblank(D37),,iferror(INDEX(arrayformula(filter(Transactions!O:O,Transactions!C:C&lt;&gt;"""",row(Transactions!C:C)=max(if(Transactions!C:C=C37,row(Transactions!C:C),0)))) ,1),0)*U37)"),"")</f>
        <v/>
      </c>
      <c r="K37" s="48" t="str">
        <f>if(isblank(D37),,(ReferenceData!C35-ReferenceData!D35)*E37*U37)</f>
        <v/>
      </c>
      <c r="L37" s="49" t="str">
        <f t="shared" si="6"/>
        <v/>
      </c>
      <c r="M37" s="50" t="str">
        <f>IFERROR(__xludf.DUMMYFUNCTION("if(isblank(D37),,iferror(xirr(split(join("","",query(Transactions!A$2:R82,""select R WHERE (B='Buy' OR B='Sell' OR B='Div') AND C=""""""&amp;C37&amp;"""""" ""),G37,"",""),"",""),split(join("","",query(Transactions!A$2:R82,""select A WHERE (B='Buy' OR B='Sell' OR "&amp;"B='Div') AND C=""""""&amp;C37&amp;"""""" ""),TODAY(),"",""),"","")),0))"),"")</f>
        <v/>
      </c>
      <c r="N37" s="48" t="str">
        <f t="array" ref="N37">if(isblank(D37),,sumproduct(Transactions!C:C=C37,Transactions!B:B="Sell",Transactions!P:P)*U37)</f>
        <v/>
      </c>
      <c r="O37" s="48" t="str">
        <f t="array" ref="O37">if(isblank(D37),,sumproduct(Transactions!C:C=C37,Transactions!B:B="Div",Transactions!P:P)*U37)</f>
        <v/>
      </c>
      <c r="P37" s="66" t="str">
        <f t="shared" si="7"/>
        <v/>
      </c>
      <c r="Q37" s="48" t="str">
        <f t="shared" si="8"/>
        <v/>
      </c>
      <c r="R37" s="49" t="str">
        <f>if(isblank(D37),,ReferenceData!E35)</f>
        <v/>
      </c>
      <c r="S37" s="58" t="str">
        <f t="shared" si="9"/>
        <v/>
      </c>
      <c r="T37" s="41" t="str">
        <f t="shared" si="10"/>
        <v/>
      </c>
      <c r="U37" s="27" t="str">
        <f>IFERROR(__xludf.DUMMYFUNCTION("if(isblank(D37),,hlookup(F37,Currency!$D$1:$V$20,query(Currency!$B$2:$C$20,""select C WHERE (B=""""""&amp;$H$3&amp;"""""")""),false))"),"")</f>
        <v/>
      </c>
    </row>
    <row r="38">
      <c r="A38" s="62"/>
      <c r="B38" s="44"/>
      <c r="C38" s="45" t="str">
        <f t="shared" si="3"/>
        <v/>
      </c>
      <c r="D38" s="44"/>
      <c r="E38" s="46" t="str">
        <f>IFERROR(__xludf.DUMMYFUNCTION("if(isblank(D38),,iferror(INDEX(arrayformula(filter(Transactions!J:J,Transactions!C:C&lt;&gt;"""",row(Transactions!C:C)=max(if(Transactions!C:C=C38,row(Transactions!C:C),0)))) ,1),0))"),"")</f>
        <v/>
      </c>
      <c r="F38" s="99"/>
      <c r="G38" s="48" t="str">
        <f>if(isblank(D38),,ReferenceData!C36*E38)</f>
        <v/>
      </c>
      <c r="H38" s="48" t="str">
        <f t="shared" si="4"/>
        <v/>
      </c>
      <c r="I38" s="49" t="str">
        <f t="shared" si="5"/>
        <v/>
      </c>
      <c r="J38" s="48" t="str">
        <f>IFERROR(__xludf.DUMMYFUNCTION("if(isblank(D38),,iferror(INDEX(arrayformula(filter(Transactions!O:O,Transactions!C:C&lt;&gt;"""",row(Transactions!C:C)=max(if(Transactions!C:C=C38,row(Transactions!C:C),0)))) ,1),0)*U38)"),"")</f>
        <v/>
      </c>
      <c r="K38" s="48" t="str">
        <f>if(isblank(D38),,(ReferenceData!C36-ReferenceData!D36)*E38*U38)</f>
        <v/>
      </c>
      <c r="L38" s="49" t="str">
        <f t="shared" si="6"/>
        <v/>
      </c>
      <c r="M38" s="50" t="str">
        <f>IFERROR(__xludf.DUMMYFUNCTION("if(isblank(D38),,iferror(xirr(split(join("","",query(Transactions!A$2:R82,""select R WHERE (B='Buy' OR B='Sell' OR B='Div') AND C=""""""&amp;C38&amp;"""""" ""),G38,"",""),"",""),split(join("","",query(Transactions!A$2:R82,""select A WHERE (B='Buy' OR B='Sell' OR "&amp;"B='Div') AND C=""""""&amp;C38&amp;"""""" ""),TODAY(),"",""),"","")),0))"),"")</f>
        <v/>
      </c>
      <c r="N38" s="48" t="str">
        <f t="array" ref="N38">if(isblank(D38),,sumproduct(Transactions!C:C=C38,Transactions!B:B="Sell",Transactions!P:P)*U38)</f>
        <v/>
      </c>
      <c r="O38" s="48" t="str">
        <f t="array" ref="O38">if(isblank(D38),,sumproduct(Transactions!C:C=C38,Transactions!B:B="Div",Transactions!P:P)*U38)</f>
        <v/>
      </c>
      <c r="P38" s="66" t="str">
        <f t="shared" si="7"/>
        <v/>
      </c>
      <c r="Q38" s="48" t="str">
        <f t="shared" si="8"/>
        <v/>
      </c>
      <c r="R38" s="49" t="str">
        <f>if(isblank(D38),,ReferenceData!E36)</f>
        <v/>
      </c>
      <c r="S38" s="58" t="str">
        <f t="shared" si="9"/>
        <v/>
      </c>
      <c r="T38" s="41" t="str">
        <f t="shared" si="10"/>
        <v/>
      </c>
      <c r="U38" s="27" t="str">
        <f>IFERROR(__xludf.DUMMYFUNCTION("if(isblank(D38),,hlookup(F38,Currency!$D$1:$V$20,query(Currency!$B$2:$C$20,""select C WHERE (B=""""""&amp;$H$3&amp;"""""")""),false))"),"")</f>
        <v/>
      </c>
    </row>
    <row r="39">
      <c r="A39" s="62"/>
      <c r="B39" s="44"/>
      <c r="C39" s="45" t="str">
        <f t="shared" si="3"/>
        <v/>
      </c>
      <c r="D39" s="44"/>
      <c r="E39" s="46" t="str">
        <f>IFERROR(__xludf.DUMMYFUNCTION("if(isblank(D39),,iferror(INDEX(arrayformula(filter(Transactions!J:J,Transactions!C:C&lt;&gt;"""",row(Transactions!C:C)=max(if(Transactions!C:C=C39,row(Transactions!C:C),0)))) ,1),0))"),"")</f>
        <v/>
      </c>
      <c r="F39" s="99"/>
      <c r="G39" s="48" t="str">
        <f>if(isblank(D39),,ReferenceData!C37*E39)</f>
        <v/>
      </c>
      <c r="H39" s="48" t="str">
        <f t="shared" si="4"/>
        <v/>
      </c>
      <c r="I39" s="49" t="str">
        <f t="shared" si="5"/>
        <v/>
      </c>
      <c r="J39" s="48" t="str">
        <f>IFERROR(__xludf.DUMMYFUNCTION("if(isblank(D39),,iferror(INDEX(arrayformula(filter(Transactions!O:O,Transactions!C:C&lt;&gt;"""",row(Transactions!C:C)=max(if(Transactions!C:C=C39,row(Transactions!C:C),0)))) ,1),0)*U39)"),"")</f>
        <v/>
      </c>
      <c r="K39" s="48" t="str">
        <f>if(isblank(D39),,(ReferenceData!C37-ReferenceData!D37)*E39*U39)</f>
        <v/>
      </c>
      <c r="L39" s="49" t="str">
        <f t="shared" si="6"/>
        <v/>
      </c>
      <c r="M39" s="50" t="str">
        <f>IFERROR(__xludf.DUMMYFUNCTION("if(isblank(D39),,iferror(xirr(split(join("","",query(Transactions!A$2:R82,""select R WHERE (B='Buy' OR B='Sell' OR B='Div') AND C=""""""&amp;C39&amp;"""""" ""),G39,"",""),"",""),split(join("","",query(Transactions!A$2:R82,""select A WHERE (B='Buy' OR B='Sell' OR "&amp;"B='Div') AND C=""""""&amp;C39&amp;"""""" ""),TODAY(),"",""),"","")),0))"),"")</f>
        <v/>
      </c>
      <c r="N39" s="48" t="str">
        <f t="array" ref="N39">if(isblank(D39),,sumproduct(Transactions!C:C=C39,Transactions!B:B="Sell",Transactions!P:P)*U39)</f>
        <v/>
      </c>
      <c r="O39" s="48" t="str">
        <f t="array" ref="O39">if(isblank(D39),,sumproduct(Transactions!C:C=C39,Transactions!B:B="Div",Transactions!P:P)*U39)</f>
        <v/>
      </c>
      <c r="P39" s="66" t="str">
        <f t="shared" si="7"/>
        <v/>
      </c>
      <c r="Q39" s="48" t="str">
        <f t="shared" si="8"/>
        <v/>
      </c>
      <c r="R39" s="49" t="str">
        <f>if(isblank(D39),,ReferenceData!E37)</f>
        <v/>
      </c>
      <c r="S39" s="58" t="str">
        <f t="shared" si="9"/>
        <v/>
      </c>
      <c r="T39" s="41" t="str">
        <f t="shared" si="10"/>
        <v/>
      </c>
      <c r="U39" s="27" t="str">
        <f>IFERROR(__xludf.DUMMYFUNCTION("if(isblank(D39),,hlookup(F39,Currency!$D$1:$V$20,query(Currency!$B$2:$C$20,""select C WHERE (B=""""""&amp;$H$3&amp;"""""")""),false))"),"")</f>
        <v/>
      </c>
    </row>
    <row r="40">
      <c r="A40" s="62"/>
      <c r="B40" s="44"/>
      <c r="C40" s="45" t="str">
        <f t="shared" si="3"/>
        <v/>
      </c>
      <c r="D40" s="44"/>
      <c r="E40" s="46" t="str">
        <f>IFERROR(__xludf.DUMMYFUNCTION("if(isblank(D40),,iferror(INDEX(arrayformula(filter(Transactions!J:J,Transactions!C:C&lt;&gt;"""",row(Transactions!C:C)=max(if(Transactions!C:C=C40,row(Transactions!C:C),0)))) ,1),0))"),"")</f>
        <v/>
      </c>
      <c r="F40" s="99"/>
      <c r="G40" s="48" t="str">
        <f>if(isblank(D40),,ReferenceData!C38*E40)</f>
        <v/>
      </c>
      <c r="H40" s="48" t="str">
        <f t="shared" si="4"/>
        <v/>
      </c>
      <c r="I40" s="49" t="str">
        <f t="shared" si="5"/>
        <v/>
      </c>
      <c r="J40" s="48" t="str">
        <f>IFERROR(__xludf.DUMMYFUNCTION("if(isblank(D40),,iferror(INDEX(arrayformula(filter(Transactions!O:O,Transactions!C:C&lt;&gt;"""",row(Transactions!C:C)=max(if(Transactions!C:C=C40,row(Transactions!C:C),0)))) ,1),0)*U40)"),"")</f>
        <v/>
      </c>
      <c r="K40" s="48" t="str">
        <f>if(isblank(D40),,(ReferenceData!C38-ReferenceData!D38)*E40*U40)</f>
        <v/>
      </c>
      <c r="L40" s="49" t="str">
        <f t="shared" si="6"/>
        <v/>
      </c>
      <c r="M40" s="50" t="str">
        <f>IFERROR(__xludf.DUMMYFUNCTION("if(isblank(D40),,iferror(xirr(split(join("","",query(Transactions!A$2:R82,""select R WHERE (B='Buy' OR B='Sell' OR B='Div') AND C=""""""&amp;C40&amp;"""""" ""),G40,"",""),"",""),split(join("","",query(Transactions!A$2:R82,""select A WHERE (B='Buy' OR B='Sell' OR "&amp;"B='Div') AND C=""""""&amp;C40&amp;"""""" ""),TODAY(),"",""),"","")),0))"),"")</f>
        <v/>
      </c>
      <c r="N40" s="48" t="str">
        <f t="array" ref="N40">if(isblank(D40),,sumproduct(Transactions!C:C=C40,Transactions!B:B="Sell",Transactions!P:P)*U40)</f>
        <v/>
      </c>
      <c r="O40" s="48" t="str">
        <f t="array" ref="O40">if(isblank(D40),,sumproduct(Transactions!C:C=C40,Transactions!B:B="Div",Transactions!P:P)*U40)</f>
        <v/>
      </c>
      <c r="P40" s="66" t="str">
        <f t="shared" si="7"/>
        <v/>
      </c>
      <c r="Q40" s="48" t="str">
        <f t="shared" si="8"/>
        <v/>
      </c>
      <c r="R40" s="49" t="str">
        <f>if(isblank(D40),,ReferenceData!E38)</f>
        <v/>
      </c>
      <c r="S40" s="58" t="str">
        <f t="shared" si="9"/>
        <v/>
      </c>
      <c r="T40" s="41" t="str">
        <f t="shared" si="10"/>
        <v/>
      </c>
      <c r="U40" s="27" t="str">
        <f>IFERROR(__xludf.DUMMYFUNCTION("if(isblank(D40),,hlookup(F40,Currency!$D$1:$V$20,query(Currency!$B$2:$C$20,""select C WHERE (B=""""""&amp;$H$3&amp;"""""")""),false))"),"")</f>
        <v/>
      </c>
    </row>
    <row r="41">
      <c r="A41" s="62"/>
      <c r="B41" s="44"/>
      <c r="C41" s="45" t="str">
        <f t="shared" si="3"/>
        <v/>
      </c>
      <c r="D41" s="44"/>
      <c r="E41" s="46" t="str">
        <f>IFERROR(__xludf.DUMMYFUNCTION("if(isblank(D41),,iferror(INDEX(arrayformula(filter(Transactions!J:J,Transactions!C:C&lt;&gt;"""",row(Transactions!C:C)=max(if(Transactions!C:C=C41,row(Transactions!C:C),0)))) ,1),0))"),"")</f>
        <v/>
      </c>
      <c r="F41" s="99"/>
      <c r="G41" s="48" t="str">
        <f>if(isblank(D41),,ReferenceData!C39*E41)</f>
        <v/>
      </c>
      <c r="H41" s="48" t="str">
        <f t="shared" si="4"/>
        <v/>
      </c>
      <c r="I41" s="49" t="str">
        <f t="shared" si="5"/>
        <v/>
      </c>
      <c r="J41" s="48" t="str">
        <f>IFERROR(__xludf.DUMMYFUNCTION("if(isblank(D41),,iferror(INDEX(arrayformula(filter(Transactions!O:O,Transactions!C:C&lt;&gt;"""",row(Transactions!C:C)=max(if(Transactions!C:C=C41,row(Transactions!C:C),0)))) ,1),0)*U41)"),"")</f>
        <v/>
      </c>
      <c r="K41" s="48" t="str">
        <f>if(isblank(D41),,(ReferenceData!C39-ReferenceData!D39)*E41*U41)</f>
        <v/>
      </c>
      <c r="L41" s="49" t="str">
        <f t="shared" si="6"/>
        <v/>
      </c>
      <c r="M41" s="50" t="str">
        <f>IFERROR(__xludf.DUMMYFUNCTION("if(isblank(D41),,iferror(xirr(split(join("","",query(Transactions!A$2:R82,""select R WHERE (B='Buy' OR B='Sell' OR B='Div') AND C=""""""&amp;C41&amp;"""""" ""),G41,"",""),"",""),split(join("","",query(Transactions!A$2:R82,""select A WHERE (B='Buy' OR B='Sell' OR "&amp;"B='Div') AND C=""""""&amp;C41&amp;"""""" ""),TODAY(),"",""),"","")),0))"),"")</f>
        <v/>
      </c>
      <c r="N41" s="48" t="str">
        <f t="array" ref="N41">if(isblank(D41),,sumproduct(Transactions!C:C=C41,Transactions!B:B="Sell",Transactions!P:P)*U41)</f>
        <v/>
      </c>
      <c r="O41" s="48" t="str">
        <f t="array" ref="O41">if(isblank(D41),,sumproduct(Transactions!C:C=C41,Transactions!B:B="Div",Transactions!P:P)*U41)</f>
        <v/>
      </c>
      <c r="P41" s="66" t="str">
        <f t="shared" si="7"/>
        <v/>
      </c>
      <c r="Q41" s="48" t="str">
        <f t="shared" si="8"/>
        <v/>
      </c>
      <c r="R41" s="49" t="str">
        <f>if(isblank(D41),,ReferenceData!E39)</f>
        <v/>
      </c>
      <c r="S41" s="58" t="str">
        <f t="shared" si="9"/>
        <v/>
      </c>
      <c r="T41" s="41" t="str">
        <f t="shared" si="10"/>
        <v/>
      </c>
      <c r="U41" s="27" t="str">
        <f>IFERROR(__xludf.DUMMYFUNCTION("if(isblank(D41),,hlookup(F41,Currency!$D$1:$V$20,query(Currency!$B$2:$C$20,""select C WHERE (B=""""""&amp;$H$3&amp;"""""")""),false))"),"")</f>
        <v/>
      </c>
    </row>
    <row r="42">
      <c r="A42" s="180"/>
      <c r="B42" s="44"/>
      <c r="C42" s="45" t="str">
        <f t="shared" si="3"/>
        <v/>
      </c>
      <c r="D42" s="44"/>
      <c r="E42" s="46" t="str">
        <f>IFERROR(__xludf.DUMMYFUNCTION("if(isblank(D42),,iferror(INDEX(arrayformula(filter(Transactions!J:J,Transactions!C:C&lt;&gt;"""",row(Transactions!C:C)=max(if(Transactions!C:C=C42,row(Transactions!C:C),0)))) ,1),0))"),"")</f>
        <v/>
      </c>
      <c r="F42" s="99"/>
      <c r="G42" s="48" t="str">
        <f>if(isblank(D42),,ReferenceData!C40*E42)</f>
        <v/>
      </c>
      <c r="H42" s="48" t="str">
        <f t="shared" si="4"/>
        <v/>
      </c>
      <c r="I42" s="49" t="str">
        <f t="shared" si="5"/>
        <v/>
      </c>
      <c r="J42" s="48" t="str">
        <f>IFERROR(__xludf.DUMMYFUNCTION("if(isblank(D42),,iferror(INDEX(arrayformula(filter(Transactions!O:O,Transactions!C:C&lt;&gt;"""",row(Transactions!C:C)=max(if(Transactions!C:C=C42,row(Transactions!C:C),0)))) ,1),0)*U42)"),"")</f>
        <v/>
      </c>
      <c r="K42" s="48" t="str">
        <f>if(isblank(D42),,(ReferenceData!C40-ReferenceData!D40)*E42*U42)</f>
        <v/>
      </c>
      <c r="L42" s="49" t="str">
        <f t="shared" si="6"/>
        <v/>
      </c>
      <c r="M42" s="50" t="str">
        <f>IFERROR(__xludf.DUMMYFUNCTION("if(isblank(D42),,iferror(xirr(split(join("","",query(Transactions!A$2:R82,""select R WHERE (B='Buy' OR B='Sell' OR B='Div') AND C=""""""&amp;C42&amp;"""""" ""),G42,"",""),"",""),split(join("","",query(Transactions!A$2:R82,""select A WHERE (B='Buy' OR B='Sell' OR "&amp;"B='Div') AND C=""""""&amp;C42&amp;"""""" ""),TODAY(),"",""),"","")),0))"),"")</f>
        <v/>
      </c>
      <c r="N42" s="48" t="str">
        <f t="array" ref="N42">if(isblank(D42),,sumproduct(Transactions!C:C=C42,Transactions!B:B="Sell",Transactions!P:P)*U42)</f>
        <v/>
      </c>
      <c r="O42" s="48" t="str">
        <f t="array" ref="O42">if(isblank(D42),,sumproduct(Transactions!C:C=C42,Transactions!B:B="Div",Transactions!P:P)*U42)</f>
        <v/>
      </c>
      <c r="P42" s="66" t="str">
        <f t="shared" si="7"/>
        <v/>
      </c>
      <c r="Q42" s="48" t="str">
        <f t="shared" si="8"/>
        <v/>
      </c>
      <c r="R42" s="49" t="str">
        <f>if(isblank(D42),,ReferenceData!E40)</f>
        <v/>
      </c>
      <c r="S42" s="58" t="str">
        <f t="shared" si="9"/>
        <v/>
      </c>
      <c r="T42" s="41" t="str">
        <f t="shared" si="10"/>
        <v/>
      </c>
      <c r="U42" s="27" t="str">
        <f>IFERROR(__xludf.DUMMYFUNCTION("if(isblank(D42),,hlookup(F42,Currency!$D$1:$V$20,query(Currency!$B$2:$C$20,""select C WHERE (B=""""""&amp;$H$3&amp;"""""")""),false))"),"")</f>
        <v/>
      </c>
    </row>
    <row r="43">
      <c r="A43" s="180"/>
      <c r="B43" s="44"/>
      <c r="C43" s="45" t="str">
        <f t="shared" si="3"/>
        <v/>
      </c>
      <c r="D43" s="44"/>
      <c r="E43" s="46" t="str">
        <f>IFERROR(__xludf.DUMMYFUNCTION("if(isblank(D43),,iferror(INDEX(arrayformula(filter(Transactions!J:J,Transactions!C:C&lt;&gt;"""",row(Transactions!C:C)=max(if(Transactions!C:C=C43,row(Transactions!C:C),0)))) ,1),0))"),"")</f>
        <v/>
      </c>
      <c r="F43" s="99"/>
      <c r="G43" s="48" t="str">
        <f>if(isblank(D43),,ReferenceData!C41*E43)</f>
        <v/>
      </c>
      <c r="H43" s="48" t="str">
        <f t="shared" si="4"/>
        <v/>
      </c>
      <c r="I43" s="49" t="str">
        <f t="shared" si="5"/>
        <v/>
      </c>
      <c r="J43" s="48" t="str">
        <f>IFERROR(__xludf.DUMMYFUNCTION("if(isblank(D43),,iferror(INDEX(arrayformula(filter(Transactions!O:O,Transactions!C:C&lt;&gt;"""",row(Transactions!C:C)=max(if(Transactions!C:C=C43,row(Transactions!C:C),0)))) ,1),0)*U43)"),"")</f>
        <v/>
      </c>
      <c r="K43" s="48" t="str">
        <f>if(isblank(D43),,(ReferenceData!C41-ReferenceData!D41)*E43*U43)</f>
        <v/>
      </c>
      <c r="L43" s="49" t="str">
        <f t="shared" si="6"/>
        <v/>
      </c>
      <c r="M43" s="50" t="str">
        <f>IFERROR(__xludf.DUMMYFUNCTION("if(isblank(D43),,iferror(xirr(split(join("","",query(Transactions!A$2:R82,""select R WHERE (B='Buy' OR B='Sell' OR B='Div') AND C=""""""&amp;C43&amp;"""""" ""),G43,"",""),"",""),split(join("","",query(Transactions!A$2:R82,""select A WHERE (B='Buy' OR B='Sell' OR "&amp;"B='Div') AND C=""""""&amp;C43&amp;"""""" ""),TODAY(),"",""),"","")),0))"),"")</f>
        <v/>
      </c>
      <c r="N43" s="48" t="str">
        <f t="array" ref="N43">if(isblank(D43),,sumproduct(Transactions!C:C=C43,Transactions!B:B="Sell",Transactions!P:P)*U43)</f>
        <v/>
      </c>
      <c r="O43" s="48" t="str">
        <f t="array" ref="O43">if(isblank(D43),,sumproduct(Transactions!C:C=C43,Transactions!B:B="Div",Transactions!P:P)*U43)</f>
        <v/>
      </c>
      <c r="P43" s="66" t="str">
        <f t="shared" si="7"/>
        <v/>
      </c>
      <c r="Q43" s="48" t="str">
        <f t="shared" si="8"/>
        <v/>
      </c>
      <c r="R43" s="49" t="str">
        <f>if(isblank(D43),,ReferenceData!E41)</f>
        <v/>
      </c>
      <c r="S43" s="58" t="str">
        <f t="shared" si="9"/>
        <v/>
      </c>
      <c r="T43" s="41" t="str">
        <f t="shared" si="10"/>
        <v/>
      </c>
      <c r="U43" s="27" t="str">
        <f>IFERROR(__xludf.DUMMYFUNCTION("if(isblank(D43),,hlookup(F43,Currency!$D$1:$V$20,query(Currency!$B$2:$C$20,""select C WHERE (B=""""""&amp;$H$3&amp;"""""")""),false))"),"")</f>
        <v/>
      </c>
    </row>
    <row r="44">
      <c r="A44" s="180"/>
      <c r="B44" s="44"/>
      <c r="C44" s="45" t="str">
        <f t="shared" si="3"/>
        <v/>
      </c>
      <c r="D44" s="44"/>
      <c r="E44" s="46" t="str">
        <f>IFERROR(__xludf.DUMMYFUNCTION("if(isblank(D44),,iferror(INDEX(arrayformula(filter(Transactions!J:J,Transactions!C:C&lt;&gt;"""",row(Transactions!C:C)=max(if(Transactions!C:C=C44,row(Transactions!C:C),0)))) ,1),0))"),"")</f>
        <v/>
      </c>
      <c r="F44" s="99"/>
      <c r="G44" s="48" t="str">
        <f>if(isblank(D44),,ReferenceData!C42*E44)</f>
        <v/>
      </c>
      <c r="H44" s="48" t="str">
        <f t="shared" si="4"/>
        <v/>
      </c>
      <c r="I44" s="49" t="str">
        <f t="shared" si="5"/>
        <v/>
      </c>
      <c r="J44" s="48" t="str">
        <f>IFERROR(__xludf.DUMMYFUNCTION("if(isblank(D44),,iferror(INDEX(arrayformula(filter(Transactions!O:O,Transactions!C:C&lt;&gt;"""",row(Transactions!C:C)=max(if(Transactions!C:C=C44,row(Transactions!C:C),0)))) ,1),0)*U44)"),"")</f>
        <v/>
      </c>
      <c r="K44" s="48" t="str">
        <f>if(isblank(D44),,(ReferenceData!C42-ReferenceData!D42)*E44*U44)</f>
        <v/>
      </c>
      <c r="L44" s="49" t="str">
        <f t="shared" si="6"/>
        <v/>
      </c>
      <c r="M44" s="50" t="str">
        <f>IFERROR(__xludf.DUMMYFUNCTION("if(isblank(D44),,iferror(xirr(split(join("","",query(Transactions!A$2:R82,""select R WHERE (B='Buy' OR B='Sell' OR B='Div') AND C=""""""&amp;C44&amp;"""""" ""),G44,"",""),"",""),split(join("","",query(Transactions!A$2:R82,""select A WHERE (B='Buy' OR B='Sell' OR "&amp;"B='Div') AND C=""""""&amp;C44&amp;"""""" ""),TODAY(),"",""),"","")),0))"),"")</f>
        <v/>
      </c>
      <c r="N44" s="48" t="str">
        <f t="array" ref="N44">if(isblank(D44),,sumproduct(Transactions!C:C=C44,Transactions!B:B="Sell",Transactions!P:P)*U44)</f>
        <v/>
      </c>
      <c r="O44" s="48" t="str">
        <f t="array" ref="O44">if(isblank(D44),,sumproduct(Transactions!C:C=C44,Transactions!B:B="Div",Transactions!P:P)*U44)</f>
        <v/>
      </c>
      <c r="P44" s="66" t="str">
        <f t="shared" si="7"/>
        <v/>
      </c>
      <c r="Q44" s="48" t="str">
        <f t="shared" si="8"/>
        <v/>
      </c>
      <c r="R44" s="49" t="str">
        <f>if(isblank(D44),,ReferenceData!E42)</f>
        <v/>
      </c>
      <c r="S44" s="58" t="str">
        <f t="shared" si="9"/>
        <v/>
      </c>
      <c r="T44" s="41" t="str">
        <f t="shared" si="10"/>
        <v/>
      </c>
      <c r="U44" s="27" t="str">
        <f>IFERROR(__xludf.DUMMYFUNCTION("if(isblank(D44),,hlookup(F44,Currency!$D$1:$V$20,query(Currency!$B$2:$C$20,""select C WHERE (B=""""""&amp;$H$3&amp;"""""")""),false))"),"")</f>
        <v/>
      </c>
    </row>
    <row r="45">
      <c r="A45" s="180"/>
      <c r="B45" s="44"/>
      <c r="C45" s="45" t="str">
        <f t="shared" si="3"/>
        <v/>
      </c>
      <c r="D45" s="44"/>
      <c r="E45" s="46" t="str">
        <f>IFERROR(__xludf.DUMMYFUNCTION("if(isblank(D45),,iferror(INDEX(arrayformula(filter(Transactions!J:J,Transactions!C:C&lt;&gt;"""",row(Transactions!C:C)=max(if(Transactions!C:C=C45,row(Transactions!C:C),0)))) ,1),0))"),"")</f>
        <v/>
      </c>
      <c r="F45" s="99"/>
      <c r="G45" s="48" t="str">
        <f>if(isblank(D45),,ReferenceData!C43*E45)</f>
        <v/>
      </c>
      <c r="H45" s="48" t="str">
        <f t="shared" si="4"/>
        <v/>
      </c>
      <c r="I45" s="49" t="str">
        <f t="shared" si="5"/>
        <v/>
      </c>
      <c r="J45" s="48" t="str">
        <f>IFERROR(__xludf.DUMMYFUNCTION("if(isblank(D45),,iferror(INDEX(arrayformula(filter(Transactions!O:O,Transactions!C:C&lt;&gt;"""",row(Transactions!C:C)=max(if(Transactions!C:C=C45,row(Transactions!C:C),0)))) ,1),0)*U45)"),"")</f>
        <v/>
      </c>
      <c r="K45" s="48" t="str">
        <f>if(isblank(D45),,(ReferenceData!C43-ReferenceData!D43)*E45*U45)</f>
        <v/>
      </c>
      <c r="L45" s="49" t="str">
        <f t="shared" si="6"/>
        <v/>
      </c>
      <c r="M45" s="50" t="str">
        <f>IFERROR(__xludf.DUMMYFUNCTION("if(isblank(D45),,iferror(xirr(split(join("","",query(Transactions!A$2:R82,""select R WHERE (B='Buy' OR B='Sell' OR B='Div') AND C=""""""&amp;C45&amp;"""""" ""),G45,"",""),"",""),split(join("","",query(Transactions!A$2:R82,""select A WHERE (B='Buy' OR B='Sell' OR "&amp;"B='Div') AND C=""""""&amp;C45&amp;"""""" ""),TODAY(),"",""),"","")),0))"),"")</f>
        <v/>
      </c>
      <c r="N45" s="48" t="str">
        <f t="array" ref="N45">if(isblank(D45),,sumproduct(Transactions!C:C=C45,Transactions!B:B="Sell",Transactions!P:P)*U45)</f>
        <v/>
      </c>
      <c r="O45" s="48" t="str">
        <f t="array" ref="O45">if(isblank(D45),,sumproduct(Transactions!C:C=C45,Transactions!B:B="Div",Transactions!P:P)*U45)</f>
        <v/>
      </c>
      <c r="P45" s="66" t="str">
        <f t="shared" si="7"/>
        <v/>
      </c>
      <c r="Q45" s="48" t="str">
        <f t="shared" si="8"/>
        <v/>
      </c>
      <c r="R45" s="49" t="str">
        <f>if(isblank(D45),,ReferenceData!E43)</f>
        <v/>
      </c>
      <c r="S45" s="58" t="str">
        <f t="shared" si="9"/>
        <v/>
      </c>
      <c r="T45" s="41" t="str">
        <f t="shared" si="10"/>
        <v/>
      </c>
      <c r="U45" s="27" t="str">
        <f>IFERROR(__xludf.DUMMYFUNCTION("if(isblank(D45),,hlookup(F45,Currency!$D$1:$V$20,query(Currency!$B$2:$C$20,""select C WHERE (B=""""""&amp;$H$3&amp;"""""")""),false))"),"")</f>
        <v/>
      </c>
    </row>
    <row r="46">
      <c r="A46" s="180"/>
      <c r="B46" s="44"/>
      <c r="C46" s="45" t="str">
        <f t="shared" si="3"/>
        <v/>
      </c>
      <c r="D46" s="44"/>
      <c r="E46" s="46" t="str">
        <f>IFERROR(__xludf.DUMMYFUNCTION("if(isblank(D46),,iferror(INDEX(arrayformula(filter(Transactions!J:J,Transactions!C:C&lt;&gt;"""",row(Transactions!C:C)=max(if(Transactions!C:C=C46,row(Transactions!C:C),0)))) ,1),0))"),"")</f>
        <v/>
      </c>
      <c r="F46" s="99"/>
      <c r="G46" s="48" t="str">
        <f>if(isblank(D46),,ReferenceData!C44*E46)</f>
        <v/>
      </c>
      <c r="H46" s="48" t="str">
        <f t="shared" si="4"/>
        <v/>
      </c>
      <c r="I46" s="49" t="str">
        <f t="shared" si="5"/>
        <v/>
      </c>
      <c r="J46" s="48" t="str">
        <f>IFERROR(__xludf.DUMMYFUNCTION("if(isblank(D46),,iferror(INDEX(arrayformula(filter(Transactions!O:O,Transactions!C:C&lt;&gt;"""",row(Transactions!C:C)=max(if(Transactions!C:C=C46,row(Transactions!C:C),0)))) ,1),0)*U46)"),"")</f>
        <v/>
      </c>
      <c r="K46" s="48" t="str">
        <f>if(isblank(D46),,(ReferenceData!C44-ReferenceData!D44)*E46*U46)</f>
        <v/>
      </c>
      <c r="L46" s="49" t="str">
        <f t="shared" si="6"/>
        <v/>
      </c>
      <c r="M46" s="50" t="str">
        <f>IFERROR(__xludf.DUMMYFUNCTION("if(isblank(D46),,iferror(xirr(split(join("","",query(Transactions!A$2:R82,""select R WHERE (B='Buy' OR B='Sell' OR B='Div') AND C=""""""&amp;C46&amp;"""""" ""),G46,"",""),"",""),split(join("","",query(Transactions!A$2:R82,""select A WHERE (B='Buy' OR B='Sell' OR "&amp;"B='Div') AND C=""""""&amp;C46&amp;"""""" ""),TODAY(),"",""),"","")),0))"),"")</f>
        <v/>
      </c>
      <c r="N46" s="48" t="str">
        <f t="array" ref="N46">if(isblank(D46),,sumproduct(Transactions!C:C=C46,Transactions!B:B="Sell",Transactions!P:P)*U46)</f>
        <v/>
      </c>
      <c r="O46" s="48" t="str">
        <f t="array" ref="O46">if(isblank(D46),,sumproduct(Transactions!C:C=C46,Transactions!B:B="Div",Transactions!P:P)*U46)</f>
        <v/>
      </c>
      <c r="P46" s="66" t="str">
        <f t="shared" si="7"/>
        <v/>
      </c>
      <c r="Q46" s="48" t="str">
        <f t="shared" si="8"/>
        <v/>
      </c>
      <c r="R46" s="49" t="str">
        <f>if(isblank(D46),,ReferenceData!E44)</f>
        <v/>
      </c>
      <c r="S46" s="58" t="str">
        <f t="shared" si="9"/>
        <v/>
      </c>
      <c r="T46" s="41" t="str">
        <f t="shared" si="10"/>
        <v/>
      </c>
      <c r="U46" s="27" t="str">
        <f>IFERROR(__xludf.DUMMYFUNCTION("if(isblank(D46),,hlookup(F46,Currency!$D$1:$V$20,query(Currency!$B$2:$C$20,""select C WHERE (B=""""""&amp;$H$3&amp;"""""")""),false))"),"")</f>
        <v/>
      </c>
    </row>
    <row r="47">
      <c r="A47" s="180"/>
      <c r="B47" s="44"/>
      <c r="C47" s="45" t="str">
        <f t="shared" si="3"/>
        <v/>
      </c>
      <c r="D47" s="44"/>
      <c r="E47" s="46" t="str">
        <f>IFERROR(__xludf.DUMMYFUNCTION("if(isblank(D47),,iferror(INDEX(arrayformula(filter(Transactions!J:J,Transactions!C:C&lt;&gt;"""",row(Transactions!C:C)=max(if(Transactions!C:C=C47,row(Transactions!C:C),0)))) ,1),0))"),"")</f>
        <v/>
      </c>
      <c r="F47" s="99"/>
      <c r="G47" s="48" t="str">
        <f>if(isblank(D47),,ReferenceData!C45*E47)</f>
        <v/>
      </c>
      <c r="H47" s="48" t="str">
        <f t="shared" si="4"/>
        <v/>
      </c>
      <c r="I47" s="49" t="str">
        <f t="shared" si="5"/>
        <v/>
      </c>
      <c r="J47" s="48" t="str">
        <f>IFERROR(__xludf.DUMMYFUNCTION("if(isblank(D47),,iferror(INDEX(arrayformula(filter(Transactions!O:O,Transactions!C:C&lt;&gt;"""",row(Transactions!C:C)=max(if(Transactions!C:C=C47,row(Transactions!C:C),0)))) ,1),0)*U47)"),"")</f>
        <v/>
      </c>
      <c r="K47" s="48" t="str">
        <f>if(isblank(D47),,(ReferenceData!C45-ReferenceData!D45)*E47*U47)</f>
        <v/>
      </c>
      <c r="L47" s="49" t="str">
        <f t="shared" si="6"/>
        <v/>
      </c>
      <c r="M47" s="50" t="str">
        <f>IFERROR(__xludf.DUMMYFUNCTION("if(isblank(D47),,iferror(xirr(split(join("","",query(Transactions!A$2:R82,""select R WHERE (B='Buy' OR B='Sell' OR B='Div') AND C=""""""&amp;C47&amp;"""""" ""),G47,"",""),"",""),split(join("","",query(Transactions!A$2:R82,""select A WHERE (B='Buy' OR B='Sell' OR "&amp;"B='Div') AND C=""""""&amp;C47&amp;"""""" ""),TODAY(),"",""),"","")),0))"),"")</f>
        <v/>
      </c>
      <c r="N47" s="48" t="str">
        <f t="array" ref="N47">if(isblank(D47),,sumproduct(Transactions!C:C=C47,Transactions!B:B="Sell",Transactions!P:P)*U47)</f>
        <v/>
      </c>
      <c r="O47" s="48" t="str">
        <f t="array" ref="O47">if(isblank(D47),,sumproduct(Transactions!C:C=C47,Transactions!B:B="Div",Transactions!P:P)*U47)</f>
        <v/>
      </c>
      <c r="P47" s="66" t="str">
        <f t="shared" si="7"/>
        <v/>
      </c>
      <c r="Q47" s="48" t="str">
        <f t="shared" si="8"/>
        <v/>
      </c>
      <c r="R47" s="49" t="str">
        <f>if(isblank(D47),,ReferenceData!E45)</f>
        <v/>
      </c>
      <c r="S47" s="58" t="str">
        <f t="shared" si="9"/>
        <v/>
      </c>
      <c r="T47" s="41" t="str">
        <f t="shared" si="10"/>
        <v/>
      </c>
      <c r="U47" s="27" t="str">
        <f>IFERROR(__xludf.DUMMYFUNCTION("if(isblank(D47),,hlookup(F47,Currency!$D$1:$V$20,query(Currency!$B$2:$C$20,""select C WHERE (B=""""""&amp;$H$3&amp;"""""")""),false))"),"")</f>
        <v/>
      </c>
    </row>
    <row r="48">
      <c r="A48" s="180"/>
      <c r="B48" s="44"/>
      <c r="C48" s="45" t="str">
        <f t="shared" si="3"/>
        <v/>
      </c>
      <c r="D48" s="44"/>
      <c r="E48" s="46" t="str">
        <f>IFERROR(__xludf.DUMMYFUNCTION("if(isblank(D48),,iferror(INDEX(arrayformula(filter(Transactions!J:J,Transactions!C:C&lt;&gt;"""",row(Transactions!C:C)=max(if(Transactions!C:C=C48,row(Transactions!C:C),0)))) ,1),0))"),"")</f>
        <v/>
      </c>
      <c r="F48" s="99"/>
      <c r="G48" s="48" t="str">
        <f>if(isblank(D48),,ReferenceData!C46*E48)</f>
        <v/>
      </c>
      <c r="H48" s="48" t="str">
        <f t="shared" si="4"/>
        <v/>
      </c>
      <c r="I48" s="49" t="str">
        <f t="shared" si="5"/>
        <v/>
      </c>
      <c r="J48" s="48" t="str">
        <f>IFERROR(__xludf.DUMMYFUNCTION("if(isblank(D48),,iferror(INDEX(arrayformula(filter(Transactions!O:O,Transactions!C:C&lt;&gt;"""",row(Transactions!C:C)=max(if(Transactions!C:C=C48,row(Transactions!C:C),0)))) ,1),0)*U48)"),"")</f>
        <v/>
      </c>
      <c r="K48" s="48" t="str">
        <f>if(isblank(D48),,(ReferenceData!C46-ReferenceData!D46)*E48*U48)</f>
        <v/>
      </c>
      <c r="L48" s="49" t="str">
        <f t="shared" si="6"/>
        <v/>
      </c>
      <c r="M48" s="50" t="str">
        <f>IFERROR(__xludf.DUMMYFUNCTION("if(isblank(D48),,iferror(xirr(split(join("","",query(Transactions!A$2:R82,""select R WHERE (B='Buy' OR B='Sell' OR B='Div') AND C=""""""&amp;C48&amp;"""""" ""),G48,"",""),"",""),split(join("","",query(Transactions!A$2:R82,""select A WHERE (B='Buy' OR B='Sell' OR "&amp;"B='Div') AND C=""""""&amp;C48&amp;"""""" ""),TODAY(),"",""),"","")),0))"),"")</f>
        <v/>
      </c>
      <c r="N48" s="48" t="str">
        <f t="array" ref="N48">if(isblank(D48),,sumproduct(Transactions!C:C=C48,Transactions!B:B="Sell",Transactions!P:P)*U48)</f>
        <v/>
      </c>
      <c r="O48" s="48" t="str">
        <f t="array" ref="O48">if(isblank(D48),,sumproduct(Transactions!C:C=C48,Transactions!B:B="Div",Transactions!P:P)*U48)</f>
        <v/>
      </c>
      <c r="P48" s="66" t="str">
        <f t="shared" si="7"/>
        <v/>
      </c>
      <c r="Q48" s="48" t="str">
        <f t="shared" si="8"/>
        <v/>
      </c>
      <c r="R48" s="49" t="str">
        <f>if(isblank(D48),,ReferenceData!E46)</f>
        <v/>
      </c>
      <c r="S48" s="58" t="str">
        <f t="shared" si="9"/>
        <v/>
      </c>
      <c r="T48" s="41" t="str">
        <f t="shared" si="10"/>
        <v/>
      </c>
      <c r="U48" s="27" t="str">
        <f>IFERROR(__xludf.DUMMYFUNCTION("if(isblank(D48),,hlookup(F48,Currency!$D$1:$V$20,query(Currency!$B$2:$C$20,""select C WHERE (B=""""""&amp;$H$3&amp;"""""")""),false))"),"")</f>
        <v/>
      </c>
    </row>
    <row r="49">
      <c r="A49" s="180"/>
      <c r="B49" s="44"/>
      <c r="C49" s="45" t="str">
        <f t="shared" si="3"/>
        <v/>
      </c>
      <c r="D49" s="44"/>
      <c r="E49" s="46" t="str">
        <f>IFERROR(__xludf.DUMMYFUNCTION("if(isblank(D49),,iferror(INDEX(arrayformula(filter(Transactions!J:J,Transactions!C:C&lt;&gt;"""",row(Transactions!C:C)=max(if(Transactions!C:C=C49,row(Transactions!C:C),0)))) ,1),0))"),"")</f>
        <v/>
      </c>
      <c r="F49" s="99"/>
      <c r="G49" s="48" t="str">
        <f>if(isblank(D49),,ReferenceData!C47*E49)</f>
        <v/>
      </c>
      <c r="H49" s="48" t="str">
        <f t="shared" si="4"/>
        <v/>
      </c>
      <c r="I49" s="49" t="str">
        <f t="shared" si="5"/>
        <v/>
      </c>
      <c r="J49" s="48" t="str">
        <f>IFERROR(__xludf.DUMMYFUNCTION("if(isblank(D49),,iferror(INDEX(arrayformula(filter(Transactions!O:O,Transactions!C:C&lt;&gt;"""",row(Transactions!C:C)=max(if(Transactions!C:C=C49,row(Transactions!C:C),0)))) ,1),0)*U49)"),"")</f>
        <v/>
      </c>
      <c r="K49" s="48" t="str">
        <f>if(isblank(D49),,(ReferenceData!C47-ReferenceData!D47)*E49*U49)</f>
        <v/>
      </c>
      <c r="L49" s="49" t="str">
        <f t="shared" si="6"/>
        <v/>
      </c>
      <c r="M49" s="50" t="str">
        <f>IFERROR(__xludf.DUMMYFUNCTION("if(isblank(D49),,iferror(xirr(split(join("","",query(Transactions!A$2:R82,""select R WHERE (B='Buy' OR B='Sell' OR B='Div') AND C=""""""&amp;C49&amp;"""""" ""),G49,"",""),"",""),split(join("","",query(Transactions!A$2:R82,""select A WHERE (B='Buy' OR B='Sell' OR "&amp;"B='Div') AND C=""""""&amp;C49&amp;"""""" ""),TODAY(),"",""),"","")),0))"),"")</f>
        <v/>
      </c>
      <c r="N49" s="48" t="str">
        <f t="array" ref="N49">if(isblank(D49),,sumproduct(Transactions!C:C=C49,Transactions!B:B="Sell",Transactions!P:P)*U49)</f>
        <v/>
      </c>
      <c r="O49" s="48" t="str">
        <f t="array" ref="O49">if(isblank(D49),,sumproduct(Transactions!C:C=C49,Transactions!B:B="Div",Transactions!P:P)*U49)</f>
        <v/>
      </c>
      <c r="P49" s="66" t="str">
        <f t="shared" si="7"/>
        <v/>
      </c>
      <c r="Q49" s="48" t="str">
        <f t="shared" si="8"/>
        <v/>
      </c>
      <c r="R49" s="49" t="str">
        <f>if(isblank(D49),,ReferenceData!E47)</f>
        <v/>
      </c>
      <c r="S49" s="58" t="str">
        <f t="shared" si="9"/>
        <v/>
      </c>
      <c r="T49" s="41" t="str">
        <f t="shared" si="10"/>
        <v/>
      </c>
      <c r="U49" s="27" t="str">
        <f>IFERROR(__xludf.DUMMYFUNCTION("if(isblank(D49),,hlookup(F49,Currency!$D$1:$V$20,query(Currency!$B$2:$C$20,""select C WHERE (B=""""""&amp;$H$3&amp;"""""")""),false))"),"")</f>
        <v/>
      </c>
    </row>
    <row r="50">
      <c r="A50" s="180"/>
      <c r="B50" s="44"/>
      <c r="C50" s="45" t="str">
        <f t="shared" si="3"/>
        <v/>
      </c>
      <c r="D50" s="44"/>
      <c r="E50" s="46" t="str">
        <f>IFERROR(__xludf.DUMMYFUNCTION("if(isblank(D50),,iferror(INDEX(arrayformula(filter(Transactions!J:J,Transactions!C:C&lt;&gt;"""",row(Transactions!C:C)=max(if(Transactions!C:C=C50,row(Transactions!C:C),0)))) ,1),0))"),"")</f>
        <v/>
      </c>
      <c r="F50" s="99"/>
      <c r="G50" s="48" t="str">
        <f>if(isblank(D50),,ReferenceData!C48*E50)</f>
        <v/>
      </c>
      <c r="H50" s="48" t="str">
        <f t="shared" si="4"/>
        <v/>
      </c>
      <c r="I50" s="49" t="str">
        <f t="shared" si="5"/>
        <v/>
      </c>
      <c r="J50" s="48" t="str">
        <f>IFERROR(__xludf.DUMMYFUNCTION("if(isblank(D50),,iferror(INDEX(arrayformula(filter(Transactions!O:O,Transactions!C:C&lt;&gt;"""",row(Transactions!C:C)=max(if(Transactions!C:C=C50,row(Transactions!C:C),0)))) ,1),0)*U50)"),"")</f>
        <v/>
      </c>
      <c r="K50" s="48" t="str">
        <f>if(isblank(D50),,(ReferenceData!C48-ReferenceData!D48)*E50*U50)</f>
        <v/>
      </c>
      <c r="L50" s="49" t="str">
        <f t="shared" si="6"/>
        <v/>
      </c>
      <c r="M50" s="50" t="str">
        <f>IFERROR(__xludf.DUMMYFUNCTION("if(isblank(D50),,iferror(xirr(split(join("","",query(Transactions!A$2:R82,""select R WHERE (B='Buy' OR B='Sell' OR B='Div') AND C=""""""&amp;C50&amp;"""""" ""),G50,"",""),"",""),split(join("","",query(Transactions!A$2:R82,""select A WHERE (B='Buy' OR B='Sell' OR "&amp;"B='Div') AND C=""""""&amp;C50&amp;"""""" ""),TODAY(),"",""),"","")),0))"),"")</f>
        <v/>
      </c>
      <c r="N50" s="48" t="str">
        <f t="array" ref="N50">if(isblank(D50),,sumproduct(Transactions!C:C=C50,Transactions!B:B="Sell",Transactions!P:P)*U50)</f>
        <v/>
      </c>
      <c r="O50" s="48" t="str">
        <f t="array" ref="O50">if(isblank(D50),,sumproduct(Transactions!C:C=C50,Transactions!B:B="Div",Transactions!P:P)*U50)</f>
        <v/>
      </c>
      <c r="P50" s="66" t="str">
        <f t="shared" si="7"/>
        <v/>
      </c>
      <c r="Q50" s="48" t="str">
        <f t="shared" si="8"/>
        <v/>
      </c>
      <c r="R50" s="49" t="str">
        <f>if(isblank(D50),,ReferenceData!E48)</f>
        <v/>
      </c>
      <c r="S50" s="58" t="str">
        <f t="shared" si="9"/>
        <v/>
      </c>
      <c r="T50" s="41" t="str">
        <f t="shared" si="10"/>
        <v/>
      </c>
      <c r="U50" s="27" t="str">
        <f>IFERROR(__xludf.DUMMYFUNCTION("if(isblank(D50),,hlookup(F50,Currency!$D$1:$V$20,query(Currency!$B$2:$C$20,""select C WHERE (B=""""""&amp;$H$3&amp;"""""")""),false))"),"")</f>
        <v/>
      </c>
    </row>
    <row r="51">
      <c r="A51" s="180"/>
      <c r="B51" s="44"/>
      <c r="C51" s="45" t="str">
        <f t="shared" si="3"/>
        <v/>
      </c>
      <c r="D51" s="44"/>
      <c r="E51" s="46" t="str">
        <f>IFERROR(__xludf.DUMMYFUNCTION("if(isblank(D51),,iferror(INDEX(arrayformula(filter(Transactions!J:J,Transactions!C:C&lt;&gt;"""",row(Transactions!C:C)=max(if(Transactions!C:C=C51,row(Transactions!C:C),0)))) ,1),0))"),"")</f>
        <v/>
      </c>
      <c r="F51" s="99"/>
      <c r="G51" s="48" t="str">
        <f>if(isblank(D51),,ReferenceData!C49*E51)</f>
        <v/>
      </c>
      <c r="H51" s="48" t="str">
        <f t="shared" si="4"/>
        <v/>
      </c>
      <c r="I51" s="49" t="str">
        <f t="shared" si="5"/>
        <v/>
      </c>
      <c r="J51" s="48" t="str">
        <f>IFERROR(__xludf.DUMMYFUNCTION("if(isblank(D51),,iferror(INDEX(arrayformula(filter(Transactions!O:O,Transactions!C:C&lt;&gt;"""",row(Transactions!C:C)=max(if(Transactions!C:C=C51,row(Transactions!C:C),0)))) ,1),0)*U51)"),"")</f>
        <v/>
      </c>
      <c r="K51" s="48" t="str">
        <f>if(isblank(D51),,(ReferenceData!C49-ReferenceData!D49)*E51*U51)</f>
        <v/>
      </c>
      <c r="L51" s="49" t="str">
        <f t="shared" si="6"/>
        <v/>
      </c>
      <c r="M51" s="50" t="str">
        <f>IFERROR(__xludf.DUMMYFUNCTION("if(isblank(D51),,iferror(xirr(split(join("","",query(Transactions!A$2:R82,""select R WHERE (B='Buy' OR B='Sell' OR B='Div') AND C=""""""&amp;C51&amp;"""""" ""),G51,"",""),"",""),split(join("","",query(Transactions!A$2:R82,""select A WHERE (B='Buy' OR B='Sell' OR "&amp;"B='Div') AND C=""""""&amp;C51&amp;"""""" ""),TODAY(),"",""),"","")),0))"),"")</f>
        <v/>
      </c>
      <c r="N51" s="48" t="str">
        <f t="array" ref="N51">if(isblank(D51),,sumproduct(Transactions!C:C=C51,Transactions!B:B="Sell",Transactions!P:P)*U51)</f>
        <v/>
      </c>
      <c r="O51" s="48" t="str">
        <f t="array" ref="O51">if(isblank(D51),,sumproduct(Transactions!C:C=C51,Transactions!B:B="Div",Transactions!P:P)*U51)</f>
        <v/>
      </c>
      <c r="P51" s="66" t="str">
        <f t="shared" si="7"/>
        <v/>
      </c>
      <c r="Q51" s="48" t="str">
        <f t="shared" si="8"/>
        <v/>
      </c>
      <c r="R51" s="49" t="str">
        <f>if(isblank(D51),,ReferenceData!E49)</f>
        <v/>
      </c>
      <c r="S51" s="58" t="str">
        <f t="shared" si="9"/>
        <v/>
      </c>
      <c r="T51" s="41" t="str">
        <f t="shared" si="10"/>
        <v/>
      </c>
      <c r="U51" s="27" t="str">
        <f>IFERROR(__xludf.DUMMYFUNCTION("if(isblank(D51),,hlookup(F51,Currency!$D$1:$V$20,query(Currency!$B$2:$C$20,""select C WHERE (B=""""""&amp;$H$3&amp;"""""")""),false))"),"")</f>
        <v/>
      </c>
    </row>
    <row r="52">
      <c r="A52" s="180"/>
      <c r="B52" s="44"/>
      <c r="C52" s="45" t="str">
        <f t="shared" si="3"/>
        <v/>
      </c>
      <c r="D52" s="44"/>
      <c r="E52" s="46" t="str">
        <f>IFERROR(__xludf.DUMMYFUNCTION("if(isblank(D52),,iferror(INDEX(arrayformula(filter(Transactions!J:J,Transactions!C:C&lt;&gt;"""",row(Transactions!C:C)=max(if(Transactions!C:C=C52,row(Transactions!C:C),0)))) ,1),0))"),"")</f>
        <v/>
      </c>
      <c r="F52" s="99"/>
      <c r="G52" s="48" t="str">
        <f>if(isblank(D52),,ReferenceData!C50*E52)</f>
        <v/>
      </c>
      <c r="H52" s="48" t="str">
        <f t="shared" si="4"/>
        <v/>
      </c>
      <c r="I52" s="49" t="str">
        <f t="shared" si="5"/>
        <v/>
      </c>
      <c r="J52" s="48" t="str">
        <f>IFERROR(__xludf.DUMMYFUNCTION("if(isblank(D52),,iferror(INDEX(arrayformula(filter(Transactions!O:O,Transactions!C:C&lt;&gt;"""",row(Transactions!C:C)=max(if(Transactions!C:C=C52,row(Transactions!C:C),0)))) ,1),0)*U52)"),"")</f>
        <v/>
      </c>
      <c r="K52" s="48" t="str">
        <f>if(isblank(D52),,(ReferenceData!C50-ReferenceData!D50)*E52*U52)</f>
        <v/>
      </c>
      <c r="L52" s="49" t="str">
        <f t="shared" si="6"/>
        <v/>
      </c>
      <c r="M52" s="50" t="str">
        <f>IFERROR(__xludf.DUMMYFUNCTION("if(isblank(D52),,iferror(xirr(split(join("","",query(Transactions!A$2:R82,""select R WHERE (B='Buy' OR B='Sell' OR B='Div') AND C=""""""&amp;C52&amp;"""""" ""),G52,"",""),"",""),split(join("","",query(Transactions!A$2:R82,""select A WHERE (B='Buy' OR B='Sell' OR "&amp;"B='Div') AND C=""""""&amp;C52&amp;"""""" ""),TODAY(),"",""),"","")),0))"),"")</f>
        <v/>
      </c>
      <c r="N52" s="48" t="str">
        <f t="array" ref="N52">if(isblank(D52),,sumproduct(Transactions!C:C=C52,Transactions!B:B="Sell",Transactions!P:P)*U52)</f>
        <v/>
      </c>
      <c r="O52" s="48" t="str">
        <f t="array" ref="O52">if(isblank(D52),,sumproduct(Transactions!C:C=C52,Transactions!B:B="Div",Transactions!P:P)*U52)</f>
        <v/>
      </c>
      <c r="P52" s="66" t="str">
        <f t="shared" si="7"/>
        <v/>
      </c>
      <c r="Q52" s="48" t="str">
        <f t="shared" si="8"/>
        <v/>
      </c>
      <c r="R52" s="49" t="str">
        <f>if(isblank(D52),,ReferenceData!E50)</f>
        <v/>
      </c>
      <c r="S52" s="58" t="str">
        <f t="shared" si="9"/>
        <v/>
      </c>
      <c r="T52" s="41" t="str">
        <f t="shared" si="10"/>
        <v/>
      </c>
      <c r="U52" s="27" t="str">
        <f>IFERROR(__xludf.DUMMYFUNCTION("if(isblank(D52),,hlookup(F52,Currency!$D$1:$V$20,query(Currency!$B$2:$C$20,""select C WHERE (B=""""""&amp;$H$3&amp;"""""")""),false))"),"")</f>
        <v/>
      </c>
    </row>
    <row r="53">
      <c r="A53" s="180"/>
      <c r="B53" s="44"/>
      <c r="C53" s="45" t="str">
        <f t="shared" si="3"/>
        <v/>
      </c>
      <c r="D53" s="44"/>
      <c r="E53" s="46" t="str">
        <f>IFERROR(__xludf.DUMMYFUNCTION("if(isblank(D53),,iferror(INDEX(arrayformula(filter(Transactions!J:J,Transactions!C:C&lt;&gt;"""",row(Transactions!C:C)=max(if(Transactions!C:C=C53,row(Transactions!C:C),0)))) ,1),0))"),"")</f>
        <v/>
      </c>
      <c r="F53" s="99"/>
      <c r="G53" s="48" t="str">
        <f>if(isblank(D53),,ReferenceData!C51*E53)</f>
        <v/>
      </c>
      <c r="H53" s="48" t="str">
        <f t="shared" si="4"/>
        <v/>
      </c>
      <c r="I53" s="49" t="str">
        <f t="shared" si="5"/>
        <v/>
      </c>
      <c r="J53" s="48" t="str">
        <f>IFERROR(__xludf.DUMMYFUNCTION("if(isblank(D53),,iferror(INDEX(arrayformula(filter(Transactions!O:O,Transactions!C:C&lt;&gt;"""",row(Transactions!C:C)=max(if(Transactions!C:C=C53,row(Transactions!C:C),0)))) ,1),0)*U53)"),"")</f>
        <v/>
      </c>
      <c r="K53" s="48" t="str">
        <f>if(isblank(D53),,(ReferenceData!C51-ReferenceData!D51)*E53*U53)</f>
        <v/>
      </c>
      <c r="L53" s="49" t="str">
        <f t="shared" si="6"/>
        <v/>
      </c>
      <c r="M53" s="50" t="str">
        <f>IFERROR(__xludf.DUMMYFUNCTION("if(isblank(D53),,iferror(xirr(split(join("","",query(Transactions!A$2:R82,""select R WHERE (B='Buy' OR B='Sell' OR B='Div') AND C=""""""&amp;C53&amp;"""""" ""),G53,"",""),"",""),split(join("","",query(Transactions!A$2:R82,""select A WHERE (B='Buy' OR B='Sell' OR "&amp;"B='Div') AND C=""""""&amp;C53&amp;"""""" ""),TODAY(),"",""),"","")),0))"),"")</f>
        <v/>
      </c>
      <c r="N53" s="48" t="str">
        <f t="array" ref="N53">if(isblank(D53),,sumproduct(Transactions!C:C=C53,Transactions!B:B="Sell",Transactions!P:P)*U53)</f>
        <v/>
      </c>
      <c r="O53" s="48" t="str">
        <f t="array" ref="O53">if(isblank(D53),,sumproduct(Transactions!C:C=C53,Transactions!B:B="Div",Transactions!P:P)*U53)</f>
        <v/>
      </c>
      <c r="P53" s="66" t="str">
        <f t="shared" si="7"/>
        <v/>
      </c>
      <c r="Q53" s="48" t="str">
        <f t="shared" si="8"/>
        <v/>
      </c>
      <c r="R53" s="49" t="str">
        <f>if(isblank(D53),,ReferenceData!E51)</f>
        <v/>
      </c>
      <c r="S53" s="58" t="str">
        <f t="shared" si="9"/>
        <v/>
      </c>
      <c r="T53" s="41" t="str">
        <f t="shared" si="10"/>
        <v/>
      </c>
      <c r="U53" s="27" t="str">
        <f>IFERROR(__xludf.DUMMYFUNCTION("if(isblank(D53),,hlookup(F53,Currency!$D$1:$V$20,query(Currency!$B$2:$C$20,""select C WHERE (B=""""""&amp;$H$3&amp;"""""")""),false))"),"")</f>
        <v/>
      </c>
    </row>
    <row r="54">
      <c r="A54" s="180"/>
      <c r="B54" s="44"/>
      <c r="C54" s="45" t="str">
        <f t="shared" si="3"/>
        <v/>
      </c>
      <c r="D54" s="44"/>
      <c r="E54" s="46" t="str">
        <f>IFERROR(__xludf.DUMMYFUNCTION("if(isblank(D54),,iferror(INDEX(arrayformula(filter(Transactions!J:J,Transactions!C:C&lt;&gt;"""",row(Transactions!C:C)=max(if(Transactions!C:C=C54,row(Transactions!C:C),0)))) ,1),0))"),"")</f>
        <v/>
      </c>
      <c r="F54" s="99"/>
      <c r="G54" s="48" t="str">
        <f>if(isblank(D54),,ReferenceData!C52*E54)</f>
        <v/>
      </c>
      <c r="H54" s="48" t="str">
        <f t="shared" si="4"/>
        <v/>
      </c>
      <c r="I54" s="49" t="str">
        <f t="shared" si="5"/>
        <v/>
      </c>
      <c r="J54" s="48" t="str">
        <f>IFERROR(__xludf.DUMMYFUNCTION("if(isblank(D54),,iferror(INDEX(arrayformula(filter(Transactions!O:O,Transactions!C:C&lt;&gt;"""",row(Transactions!C:C)=max(if(Transactions!C:C=C54,row(Transactions!C:C),0)))) ,1),0)*U54)"),"")</f>
        <v/>
      </c>
      <c r="K54" s="48" t="str">
        <f>if(isblank(D54),,(ReferenceData!C52-ReferenceData!D52)*E54*U54)</f>
        <v/>
      </c>
      <c r="L54" s="49" t="str">
        <f t="shared" si="6"/>
        <v/>
      </c>
      <c r="M54" s="50" t="str">
        <f>IFERROR(__xludf.DUMMYFUNCTION("if(isblank(D54),,iferror(xirr(split(join("","",query(Transactions!A$2:R82,""select R WHERE (B='Buy' OR B='Sell' OR B='Div') AND C=""""""&amp;C54&amp;"""""" ""),G54,"",""),"",""),split(join("","",query(Transactions!A$2:R82,""select A WHERE (B='Buy' OR B='Sell' OR "&amp;"B='Div') AND C=""""""&amp;C54&amp;"""""" ""),TODAY(),"",""),"","")),0))"),"")</f>
        <v/>
      </c>
      <c r="N54" s="48" t="str">
        <f t="array" ref="N54">if(isblank(D54),,sumproduct(Transactions!C:C=C54,Transactions!B:B="Sell",Transactions!P:P)*U54)</f>
        <v/>
      </c>
      <c r="O54" s="48" t="str">
        <f t="array" ref="O54">if(isblank(D54),,sumproduct(Transactions!C:C=C54,Transactions!B:B="Div",Transactions!P:P)*U54)</f>
        <v/>
      </c>
      <c r="P54" s="66" t="str">
        <f t="shared" si="7"/>
        <v/>
      </c>
      <c r="Q54" s="48" t="str">
        <f t="shared" si="8"/>
        <v/>
      </c>
      <c r="R54" s="49" t="str">
        <f>if(isblank(D54),,ReferenceData!E52)</f>
        <v/>
      </c>
      <c r="S54" s="58" t="str">
        <f t="shared" si="9"/>
        <v/>
      </c>
      <c r="T54" s="41" t="str">
        <f t="shared" si="10"/>
        <v/>
      </c>
      <c r="U54" s="27" t="str">
        <f>IFERROR(__xludf.DUMMYFUNCTION("if(isblank(D54),,hlookup(F54,Currency!$D$1:$V$20,query(Currency!$B$2:$C$20,""select C WHERE (B=""""""&amp;$H$3&amp;"""""")""),false))"),"")</f>
        <v/>
      </c>
    </row>
    <row r="55">
      <c r="A55" s="62"/>
      <c r="B55" s="44"/>
      <c r="C55" s="45" t="str">
        <f t="shared" si="3"/>
        <v/>
      </c>
      <c r="D55" s="44"/>
      <c r="E55" s="46" t="str">
        <f>IFERROR(__xludf.DUMMYFUNCTION("if(isblank(D55),,iferror(INDEX(arrayformula(filter(Transactions!J:J,Transactions!C:C&lt;&gt;"""",row(Transactions!C:C)=max(if(Transactions!C:C=C55,row(Transactions!C:C),0)))) ,1),0))"),"")</f>
        <v/>
      </c>
      <c r="F55" s="99"/>
      <c r="G55" s="48" t="str">
        <f>if(isblank(D55),,ReferenceData!C53*E55)</f>
        <v/>
      </c>
      <c r="H55" s="48" t="str">
        <f t="shared" si="4"/>
        <v/>
      </c>
      <c r="I55" s="49" t="str">
        <f t="shared" si="5"/>
        <v/>
      </c>
      <c r="J55" s="48" t="str">
        <f>IFERROR(__xludf.DUMMYFUNCTION("if(isblank(D55),,iferror(INDEX(arrayformula(filter(Transactions!O:O,Transactions!C:C&lt;&gt;"""",row(Transactions!C:C)=max(if(Transactions!C:C=C55,row(Transactions!C:C),0)))) ,1),0)*U55)"),"")</f>
        <v/>
      </c>
      <c r="K55" s="48" t="str">
        <f>if(isblank(D55),,(ReferenceData!C53-ReferenceData!D53)*E55*U55)</f>
        <v/>
      </c>
      <c r="L55" s="49" t="str">
        <f t="shared" si="6"/>
        <v/>
      </c>
      <c r="M55" s="50" t="str">
        <f>IFERROR(__xludf.DUMMYFUNCTION("if(isblank(D55),,iferror(xirr(split(join("","",query(Transactions!A$2:R82,""select R WHERE (B='Buy' OR B='Sell' OR B='Div') AND C=""""""&amp;C55&amp;"""""" ""),G55,"",""),"",""),split(join("","",query(Transactions!A$2:R82,""select A WHERE (B='Buy' OR B='Sell' OR "&amp;"B='Div') AND C=""""""&amp;C55&amp;"""""" ""),TODAY(),"",""),"","")),0))"),"")</f>
        <v/>
      </c>
      <c r="N55" s="48" t="str">
        <f t="array" ref="N55">if(isblank(D55),,sumproduct(Transactions!C:C=C55,Transactions!B:B="Sell",Transactions!P:P)*U55)</f>
        <v/>
      </c>
      <c r="O55" s="48" t="str">
        <f t="array" ref="O55">if(isblank(D55),,sumproduct(Transactions!C:C=C55,Transactions!B:B="Div",Transactions!P:P)*U55)</f>
        <v/>
      </c>
      <c r="P55" s="66" t="str">
        <f t="shared" si="7"/>
        <v/>
      </c>
      <c r="Q55" s="48" t="str">
        <f t="shared" si="8"/>
        <v/>
      </c>
      <c r="R55" s="49" t="str">
        <f>if(isblank(D55),,ReferenceData!E53)</f>
        <v/>
      </c>
      <c r="S55" s="58" t="str">
        <f t="shared" si="9"/>
        <v/>
      </c>
      <c r="T55" s="41" t="str">
        <f t="shared" si="10"/>
        <v/>
      </c>
      <c r="U55" s="27" t="str">
        <f>IFERROR(__xludf.DUMMYFUNCTION("if(isblank(D55),,hlookup(F55,Currency!$D$1:$V$20,query(Currency!$B$2:$C$20,""select C WHERE (B=""""""&amp;$H$3&amp;"""""")""),false))"),"")</f>
        <v/>
      </c>
    </row>
    <row r="56">
      <c r="A56" s="28" t="str">
        <f>CONCATENATE("Totals [",$H$3,"]" )</f>
        <v>Totals [€]</v>
      </c>
      <c r="B56" s="29"/>
      <c r="C56" s="29"/>
      <c r="D56" s="30"/>
      <c r="E56" s="31"/>
      <c r="F56" s="32"/>
      <c r="G56" s="33"/>
      <c r="H56" s="188" t="str">
        <f>fixed(sum(H6:H55),2)</f>
        <v>0.00</v>
      </c>
      <c r="I56" s="35" t="str">
        <f t="shared" ref="I56:K56" si="11">sum(I6:I55)</f>
        <v>#DIV/0!</v>
      </c>
      <c r="J56" s="36">
        <f t="shared" si="11"/>
        <v>0</v>
      </c>
      <c r="K56" s="36">
        <f t="shared" si="11"/>
        <v>0</v>
      </c>
      <c r="L56" s="37" t="str">
        <f>sum(K6:K55)/sum(J6:J55)</f>
        <v>#DIV/0!</v>
      </c>
      <c r="M56" s="38">
        <f>IFERROR(__xludf.DUMMYFUNCTION("iferror(xirr(split(join("","",query(Transactions!A$2:T82,""select T WHERE (B='Buy' OR B='Sell' OR B='Div')""),T56,"",""),"",""),split(join("","",query(Transactions!A$2:T82,""select A WHERE (B='Buy' OR B='Sell' OR B='Div')""),TODAY(),"",""),"","")),0)"),0.0)</f>
        <v>0</v>
      </c>
      <c r="N56" s="36" t="str">
        <f>sum(N6:N55)</f>
        <v>#N/A</v>
      </c>
      <c r="O56" s="67" t="str">
        <f t="shared" ref="O56:P56" si="12">fixed(sum(O6:O55),2)</f>
        <v>#N/A</v>
      </c>
      <c r="P56" s="67" t="str">
        <f t="shared" si="12"/>
        <v>#N/A</v>
      </c>
      <c r="Q56" s="189">
        <f>sum(Q6:Q55)</f>
        <v>0</v>
      </c>
      <c r="R56" s="40">
        <f>iferror(sum(Q6:Q55)/H56,0)</f>
        <v>0</v>
      </c>
      <c r="S56" s="40">
        <f>iferror(sum(Q6:Q55)/sum(J6:J55),0)</f>
        <v>0</v>
      </c>
      <c r="T56" s="41">
        <f>sum(T6:T55)</f>
        <v>0</v>
      </c>
      <c r="U56" s="41"/>
    </row>
    <row r="57">
      <c r="A57" s="71"/>
      <c r="B57" s="71"/>
      <c r="C57" s="71"/>
      <c r="D57" s="71"/>
      <c r="E57" s="71"/>
      <c r="F57" s="71"/>
      <c r="G57" s="71"/>
      <c r="H57" s="71"/>
      <c r="I57" s="71"/>
      <c r="J57" s="71"/>
      <c r="K57" s="71"/>
      <c r="L57" s="71"/>
      <c r="M57" s="71"/>
      <c r="N57" s="71"/>
      <c r="O57" s="73"/>
      <c r="P57" s="71"/>
      <c r="Q57" s="71"/>
      <c r="R57" s="71"/>
      <c r="S57" s="71"/>
    </row>
    <row r="59">
      <c r="P59" s="78"/>
      <c r="Q59" s="78"/>
    </row>
    <row r="60">
      <c r="P60" s="79"/>
      <c r="Q60" s="190"/>
    </row>
    <row r="61">
      <c r="P61" s="79"/>
      <c r="Q61" s="190"/>
    </row>
    <row r="62">
      <c r="P62" s="79"/>
      <c r="Q62" s="190"/>
    </row>
    <row r="63">
      <c r="P63" s="79"/>
      <c r="Q63" s="190"/>
    </row>
    <row r="64">
      <c r="P64" s="79"/>
      <c r="Q64" s="190"/>
    </row>
    <row r="65">
      <c r="P65" s="79"/>
      <c r="Q65" s="190"/>
    </row>
    <row r="66">
      <c r="P66" s="79"/>
      <c r="Q66" s="190"/>
    </row>
    <row r="67">
      <c r="P67" s="79"/>
      <c r="Q67" s="190"/>
    </row>
    <row r="68">
      <c r="P68" s="79"/>
      <c r="Q68" s="190"/>
    </row>
    <row r="69">
      <c r="J69" s="84"/>
      <c r="K69" s="84"/>
      <c r="L69" s="84"/>
      <c r="M69" s="84"/>
      <c r="N69" s="84"/>
      <c r="O69" s="84"/>
      <c r="P69" s="79"/>
      <c r="Q69" s="190"/>
      <c r="R69" s="84"/>
    </row>
    <row r="70">
      <c r="P70" s="79"/>
      <c r="Q70" s="190"/>
    </row>
    <row r="71">
      <c r="P71" s="79"/>
      <c r="Q71" s="190"/>
    </row>
    <row r="72">
      <c r="P72" s="79"/>
    </row>
  </sheetData>
  <mergeCells count="2">
    <mergeCell ref="G1:K1"/>
    <mergeCell ref="D4:E4"/>
  </mergeCells>
  <conditionalFormatting sqref="P6:P55">
    <cfRule type="cellIs" dxfId="0" priority="1" operator="lessThan">
      <formula>0</formula>
    </cfRule>
  </conditionalFormatting>
  <conditionalFormatting sqref="K6:L55">
    <cfRule type="cellIs" dxfId="1" priority="2" operator="greaterThan">
      <formula>0</formula>
    </cfRule>
  </conditionalFormatting>
  <conditionalFormatting sqref="K6:M55">
    <cfRule type="cellIs" dxfId="0" priority="3" operator="lessThan">
      <formula>0</formula>
    </cfRule>
  </conditionalFormatting>
  <conditionalFormatting sqref="M6:M55">
    <cfRule type="cellIs" dxfId="1" priority="4" operator="greaterThan">
      <formula>0</formula>
    </cfRule>
  </conditionalFormatting>
  <conditionalFormatting sqref="P6:P55">
    <cfRule type="cellIs" dxfId="1" priority="5" operator="greaterThan">
      <formula>0</formula>
    </cfRule>
  </conditionalFormatting>
  <conditionalFormatting sqref="P6:P55">
    <cfRule type="containsBlanks" dxfId="3" priority="6">
      <formula>LEN(TRIM(P6))=0</formula>
    </cfRule>
  </conditionalFormatting>
  <dataValidations>
    <dataValidation type="list" allowBlank="1" showErrorMessage="1" sqref="H3 F6:F55">
      <formula1>Currency!$B$2:$B$25</formula1>
    </dataValidation>
    <dataValidation type="list" allowBlank="1" sqref="F4">
      <formula1>Currency!$B$2:$B$25</formula1>
    </dataValidation>
    <dataValidation type="list" allowBlank="1" showErrorMessage="1" sqref="A6:A55">
      <formula1>Lists!$A$2:$A$20</formula1>
    </dataValidation>
    <dataValidation type="list" allowBlank="1" sqref="B6:B55">
      <formula1>Lists!$B$2:$B$9</formula1>
    </dataValidation>
  </dataValidation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4.43" defaultRowHeight="15.75"/>
  <cols>
    <col customWidth="1" min="1" max="1" width="9.0"/>
    <col customWidth="1" min="2" max="2" width="5.71"/>
    <col customWidth="1" min="3" max="3" width="13.0"/>
    <col customWidth="1" min="4" max="4" width="9.29"/>
    <col customWidth="1" min="5" max="5" width="9.14"/>
    <col customWidth="1" min="6" max="6" width="5.86"/>
    <col customWidth="1" min="7" max="7" width="6.0"/>
    <col customWidth="1" min="8" max="8" width="5.0"/>
    <col customWidth="1" min="9" max="9" width="7.71"/>
    <col customWidth="1" min="10" max="10" width="10.43"/>
    <col customWidth="1" min="11" max="11" width="9.43"/>
    <col customWidth="1" min="12" max="12" width="8.0"/>
    <col customWidth="1" min="13" max="13" width="9.43"/>
    <col customWidth="1" min="14" max="14" width="9.86"/>
    <col customWidth="1" min="15" max="15" width="9.43"/>
    <col customWidth="1" min="16" max="16" width="8.43"/>
    <col customWidth="1" min="17" max="17" width="10.0"/>
    <col customWidth="1" min="18" max="18" width="9.71"/>
    <col customWidth="1" min="19" max="19" width="12.0"/>
    <col customWidth="1" min="20" max="20" width="9.57"/>
  </cols>
  <sheetData>
    <row r="1">
      <c r="A1" s="85" t="s">
        <v>63</v>
      </c>
      <c r="B1" s="85" t="s">
        <v>64</v>
      </c>
      <c r="C1" s="85" t="s">
        <v>65</v>
      </c>
      <c r="D1" s="85" t="s">
        <v>66</v>
      </c>
      <c r="E1" s="85" t="s">
        <v>67</v>
      </c>
      <c r="F1" s="85" t="s">
        <v>68</v>
      </c>
      <c r="G1" s="85" t="s">
        <v>69</v>
      </c>
      <c r="H1" s="85" t="s">
        <v>70</v>
      </c>
      <c r="I1" s="85" t="s">
        <v>71</v>
      </c>
      <c r="J1" s="86" t="s">
        <v>72</v>
      </c>
      <c r="K1" s="85" t="s">
        <v>74</v>
      </c>
      <c r="L1" s="85" t="s">
        <v>75</v>
      </c>
      <c r="M1" s="85" t="s">
        <v>76</v>
      </c>
      <c r="N1" s="85" t="s">
        <v>77</v>
      </c>
      <c r="O1" s="85" t="s">
        <v>78</v>
      </c>
      <c r="P1" s="85" t="s">
        <v>79</v>
      </c>
      <c r="Q1" s="85" t="s">
        <v>80</v>
      </c>
      <c r="R1" s="85" t="s">
        <v>81</v>
      </c>
      <c r="S1" s="87" t="s">
        <v>82</v>
      </c>
      <c r="T1" s="87" t="s">
        <v>83</v>
      </c>
      <c r="U1" s="88" t="s">
        <v>84</v>
      </c>
      <c r="V1" s="88" t="s">
        <v>85</v>
      </c>
    </row>
    <row r="2">
      <c r="A2" s="89">
        <v>41548.0</v>
      </c>
      <c r="B2" s="90" t="s">
        <v>86</v>
      </c>
      <c r="C2" s="91" t="s">
        <v>87</v>
      </c>
      <c r="D2" s="90">
        <v>25.0</v>
      </c>
      <c r="E2" s="92">
        <v>104.5</v>
      </c>
      <c r="F2" s="93"/>
      <c r="G2" s="94"/>
      <c r="H2" s="95">
        <f t="array" ref="H2">if(isblank(B2),,max(if($C$1:$C1=C2,row($C$1:$C1))))</f>
        <v>0</v>
      </c>
      <c r="I2" s="95">
        <f t="shared" ref="I2:I100" si="1">if(isblank(B2),,if(H2=0,0,INDIRECT("J"&amp;H2)))</f>
        <v>0</v>
      </c>
      <c r="J2" s="95">
        <f t="shared" ref="J2:J100" si="2">if(isblank(B2),,if(B2="Buy",I2+D2,if(B2="Sell",I2-D2,if(B2="Div",I2,if(B2="Split",I2*G2,0)))))</f>
        <v>25</v>
      </c>
      <c r="K2" s="96">
        <f t="shared" ref="K2:K100" si="3">if(isblank(B2),,if(B2="Buy",E2*D2+F2,if(B2="Sell",E2*D2-F2,E2*D2)))</f>
        <v>2612.5</v>
      </c>
      <c r="L2" s="96">
        <f t="shared" ref="L2:L100" si="4">if(isblank(B2),,if(H2=0,0,INDIRECT("O"&amp;H2)))</f>
        <v>0</v>
      </c>
      <c r="M2" s="98" t="str">
        <f t="shared" ref="M2:M100" si="5">if(isblank(B2),,if(B2="Sell",if(I2=0,0,D2/I2*L2),"-"))</f>
        <v>-</v>
      </c>
      <c r="N2" s="98" t="str">
        <f t="shared" ref="N2:N100" si="6">if(isblank(B2),,if(B2="Sell",if(I2=0,0,L2/I2),"-"))</f>
        <v>-</v>
      </c>
      <c r="O2" s="96">
        <f t="shared" ref="O2:O100" si="7">if(isblank(B2),,if(B2="Buy",L2+K2,if(B2="Div",L2,if(B2="Sell",if(L2&lt;=0,0,L2-M2),if(B2="Split",L2,"Error")))))</f>
        <v>2612.5</v>
      </c>
      <c r="P2" s="96">
        <f t="shared" ref="P2:P100" si="8">if(isblank(B2),,if(B2="Sell",K2-M2,if(B2="Div",K2,0)))</f>
        <v>0</v>
      </c>
      <c r="Q2" s="100">
        <f t="shared" ref="Q2:Q100" si="9">if(isblank(B2),,IFERROR(if(B2="Div",P2/L2,if(B2="Sell",P2/M2,0)),0))</f>
        <v>0</v>
      </c>
      <c r="R2" s="96">
        <f t="shared" ref="R2:R100" si="10">if(isblank(B2),,if(B2="Buy",-K2,if(B2="Sell",K2,if(B2="Div",K2,0))))</f>
        <v>-2612.5</v>
      </c>
      <c r="S2" s="96" t="str">
        <f>IFERROR(__xludf.DUMMYFUNCTION("if(isblank(B2),,query(Portfolio!C$6:U$55, ""select U WHERE (C=""""""&amp;$C2&amp;"""""")"")*P2)"),"#N/A")</f>
        <v>#N/A</v>
      </c>
      <c r="T2" s="96" t="str">
        <f>IFERROR(__xludf.DUMMYFUNCTION("if(isblank(B2),,query(Portfolio!C$6:U$55, ""select U WHERE (C=""""""&amp;$C2&amp;"""""")"")*R2)"),"#N/A")</f>
        <v>#N/A</v>
      </c>
      <c r="U2" s="101"/>
      <c r="V2" s="101"/>
    </row>
    <row r="3">
      <c r="A3" s="89">
        <v>42311.0</v>
      </c>
      <c r="B3" s="90" t="s">
        <v>86</v>
      </c>
      <c r="C3" s="91" t="s">
        <v>88</v>
      </c>
      <c r="D3" s="90">
        <v>1000.0</v>
      </c>
      <c r="E3" s="92">
        <v>74.0</v>
      </c>
      <c r="F3" s="93"/>
      <c r="G3" s="94"/>
      <c r="H3" s="95">
        <f t="array" ref="H3">if(isblank(B3),,max(if($C$1:$C2=C3,row($C$1:$C2))))</f>
        <v>0</v>
      </c>
      <c r="I3" s="95">
        <f t="shared" si="1"/>
        <v>0</v>
      </c>
      <c r="J3" s="95">
        <f t="shared" si="2"/>
        <v>1000</v>
      </c>
      <c r="K3" s="96">
        <f t="shared" si="3"/>
        <v>74000</v>
      </c>
      <c r="L3" s="96">
        <f t="shared" si="4"/>
        <v>0</v>
      </c>
      <c r="M3" s="98" t="str">
        <f t="shared" si="5"/>
        <v>-</v>
      </c>
      <c r="N3" s="98" t="str">
        <f t="shared" si="6"/>
        <v>-</v>
      </c>
      <c r="O3" s="96">
        <f t="shared" si="7"/>
        <v>74000</v>
      </c>
      <c r="P3" s="96">
        <f t="shared" si="8"/>
        <v>0</v>
      </c>
      <c r="Q3" s="100">
        <f t="shared" si="9"/>
        <v>0</v>
      </c>
      <c r="R3" s="96">
        <f t="shared" si="10"/>
        <v>-74000</v>
      </c>
      <c r="S3" s="96" t="str">
        <f>IFERROR(__xludf.DUMMYFUNCTION("if(isblank(B3),,query(Portfolio!C$6:U$55, ""select U WHERE (C=""""""&amp;$C3&amp;"""""")"")*P3)"),"#N/A")</f>
        <v>#N/A</v>
      </c>
      <c r="T3" s="96" t="str">
        <f>IFERROR(__xludf.DUMMYFUNCTION("if(isblank(B3),,query(Portfolio!C$6:U$55, ""select U WHERE (C=""""""&amp;$C3&amp;"""""")"")*R3)"),"#N/A")</f>
        <v>#N/A</v>
      </c>
      <c r="U3" s="101"/>
      <c r="V3" s="101"/>
    </row>
    <row r="4">
      <c r="A4" s="89">
        <v>42311.0</v>
      </c>
      <c r="B4" s="90" t="s">
        <v>89</v>
      </c>
      <c r="C4" s="91" t="s">
        <v>87</v>
      </c>
      <c r="D4" s="90">
        <v>1.0</v>
      </c>
      <c r="E4" s="92">
        <v>20.0</v>
      </c>
      <c r="F4" s="102"/>
      <c r="G4" s="94"/>
      <c r="H4" s="95">
        <f t="array" ref="H4">if(isblank(B4),,max(if($C$1:$C3=C4,row($C$1:$C3))))</f>
        <v>2</v>
      </c>
      <c r="I4" s="95">
        <f t="shared" si="1"/>
        <v>25</v>
      </c>
      <c r="J4" s="95">
        <f t="shared" si="2"/>
        <v>25</v>
      </c>
      <c r="K4" s="96">
        <f t="shared" si="3"/>
        <v>20</v>
      </c>
      <c r="L4" s="96">
        <f t="shared" si="4"/>
        <v>2612.5</v>
      </c>
      <c r="M4" s="98" t="str">
        <f t="shared" si="5"/>
        <v>-</v>
      </c>
      <c r="N4" s="98" t="str">
        <f t="shared" si="6"/>
        <v>-</v>
      </c>
      <c r="O4" s="96">
        <f t="shared" si="7"/>
        <v>2612.5</v>
      </c>
      <c r="P4" s="96">
        <f t="shared" si="8"/>
        <v>20</v>
      </c>
      <c r="Q4" s="100">
        <f t="shared" si="9"/>
        <v>0.007655502392</v>
      </c>
      <c r="R4" s="96">
        <f t="shared" si="10"/>
        <v>20</v>
      </c>
      <c r="S4" s="96" t="str">
        <f>IFERROR(__xludf.DUMMYFUNCTION("if(isblank(B4),,query(Portfolio!C$6:U$55, ""select U WHERE (C=""""""&amp;$C4&amp;"""""")"")*P4)"),"#N/A")</f>
        <v>#N/A</v>
      </c>
      <c r="T4" s="96" t="str">
        <f>IFERROR(__xludf.DUMMYFUNCTION("if(isblank(B4),,query(Portfolio!C$6:U$55, ""select U WHERE (C=""""""&amp;$C4&amp;"""""")"")*R4)"),"#N/A")</f>
        <v>#N/A</v>
      </c>
      <c r="U4" s="101"/>
      <c r="V4" s="101"/>
    </row>
    <row r="5">
      <c r="A5" s="89">
        <v>42313.0</v>
      </c>
      <c r="B5" s="90" t="s">
        <v>89</v>
      </c>
      <c r="C5" s="91" t="s">
        <v>88</v>
      </c>
      <c r="D5" s="90">
        <v>1.0</v>
      </c>
      <c r="E5" s="92">
        <v>25.0</v>
      </c>
      <c r="F5" s="102"/>
      <c r="G5" s="94"/>
      <c r="H5" s="95">
        <f t="array" ref="H5">if(isblank(B5),,max(if($C$1:$C4=C5,row($C$1:$C4))))</f>
        <v>3</v>
      </c>
      <c r="I5" s="95">
        <f t="shared" si="1"/>
        <v>1000</v>
      </c>
      <c r="J5" s="95">
        <f t="shared" si="2"/>
        <v>1000</v>
      </c>
      <c r="K5" s="96">
        <f t="shared" si="3"/>
        <v>25</v>
      </c>
      <c r="L5" s="96">
        <f t="shared" si="4"/>
        <v>74000</v>
      </c>
      <c r="M5" s="98" t="str">
        <f t="shared" si="5"/>
        <v>-</v>
      </c>
      <c r="N5" s="98" t="str">
        <f t="shared" si="6"/>
        <v>-</v>
      </c>
      <c r="O5" s="96">
        <f t="shared" si="7"/>
        <v>74000</v>
      </c>
      <c r="P5" s="96">
        <f t="shared" si="8"/>
        <v>25</v>
      </c>
      <c r="Q5" s="100">
        <f t="shared" si="9"/>
        <v>0.0003378378378</v>
      </c>
      <c r="R5" s="96">
        <f t="shared" si="10"/>
        <v>25</v>
      </c>
      <c r="S5" s="96" t="str">
        <f>IFERROR(__xludf.DUMMYFUNCTION("if(isblank(B5),,query(Portfolio!C$6:U$55, ""select U WHERE (C=""""""&amp;$C5&amp;"""""")"")*P5)"),"#N/A")</f>
        <v>#N/A</v>
      </c>
      <c r="T5" s="96" t="str">
        <f>IFERROR(__xludf.DUMMYFUNCTION("if(isblank(B5),,query(Portfolio!C$6:U$55, ""select U WHERE (C=""""""&amp;$C5&amp;"""""")"")*R5)"),"#N/A")</f>
        <v>#N/A</v>
      </c>
      <c r="U5" s="101"/>
      <c r="V5" s="101"/>
    </row>
    <row r="6">
      <c r="A6" s="89">
        <v>42314.0</v>
      </c>
      <c r="B6" s="90" t="s">
        <v>90</v>
      </c>
      <c r="C6" s="91" t="s">
        <v>87</v>
      </c>
      <c r="D6" s="90">
        <v>5.0</v>
      </c>
      <c r="E6" s="92">
        <v>100.0</v>
      </c>
      <c r="F6" s="102"/>
      <c r="G6" s="94"/>
      <c r="H6" s="95">
        <f t="array" ref="H6">if(isblank(B6),,max(if($C$1:$C5=C6,row($C$1:$C5))))</f>
        <v>4</v>
      </c>
      <c r="I6" s="95">
        <f t="shared" si="1"/>
        <v>25</v>
      </c>
      <c r="J6" s="95">
        <f t="shared" si="2"/>
        <v>20</v>
      </c>
      <c r="K6" s="96">
        <f t="shared" si="3"/>
        <v>500</v>
      </c>
      <c r="L6" s="96">
        <f t="shared" si="4"/>
        <v>2612.5</v>
      </c>
      <c r="M6" s="98">
        <f t="shared" si="5"/>
        <v>522.5</v>
      </c>
      <c r="N6" s="98">
        <f t="shared" si="6"/>
        <v>104.5</v>
      </c>
      <c r="O6" s="96">
        <f t="shared" si="7"/>
        <v>2090</v>
      </c>
      <c r="P6" s="96">
        <f t="shared" si="8"/>
        <v>-22.5</v>
      </c>
      <c r="Q6" s="100">
        <f t="shared" si="9"/>
        <v>-0.04306220096</v>
      </c>
      <c r="R6" s="96">
        <f t="shared" si="10"/>
        <v>500</v>
      </c>
      <c r="S6" s="96" t="str">
        <f>IFERROR(__xludf.DUMMYFUNCTION("if(isblank(B6),,query(Portfolio!C$6:U$55, ""select U WHERE (C=""""""&amp;$C6&amp;"""""")"")*P6)"),"#N/A")</f>
        <v>#N/A</v>
      </c>
      <c r="T6" s="96" t="str">
        <f>IFERROR(__xludf.DUMMYFUNCTION("if(isblank(B6),,query(Portfolio!C$6:U$55, ""select U WHERE (C=""""""&amp;$C6&amp;"""""")"")*R6)"),"#N/A")</f>
        <v>#N/A</v>
      </c>
      <c r="U6" s="101"/>
      <c r="V6" s="101"/>
    </row>
    <row r="7">
      <c r="A7" s="89">
        <v>42314.0</v>
      </c>
      <c r="B7" s="90" t="s">
        <v>86</v>
      </c>
      <c r="C7" s="91" t="s">
        <v>91</v>
      </c>
      <c r="D7" s="90">
        <v>1000.0</v>
      </c>
      <c r="E7" s="92">
        <v>75.0</v>
      </c>
      <c r="F7" s="102"/>
      <c r="G7" s="94"/>
      <c r="H7" s="95">
        <f t="array" ref="H7">if(isblank(B7),,max(if($C$1:$C6=C7,row($C$1:$C6))))</f>
        <v>0</v>
      </c>
      <c r="I7" s="95">
        <f t="shared" si="1"/>
        <v>0</v>
      </c>
      <c r="J7" s="95">
        <f t="shared" si="2"/>
        <v>1000</v>
      </c>
      <c r="K7" s="96">
        <f t="shared" si="3"/>
        <v>75000</v>
      </c>
      <c r="L7" s="96">
        <f t="shared" si="4"/>
        <v>0</v>
      </c>
      <c r="M7" s="98" t="str">
        <f t="shared" si="5"/>
        <v>-</v>
      </c>
      <c r="N7" s="98" t="str">
        <f t="shared" si="6"/>
        <v>-</v>
      </c>
      <c r="O7" s="96">
        <f t="shared" si="7"/>
        <v>75000</v>
      </c>
      <c r="P7" s="96">
        <f t="shared" si="8"/>
        <v>0</v>
      </c>
      <c r="Q7" s="100">
        <f t="shared" si="9"/>
        <v>0</v>
      </c>
      <c r="R7" s="96">
        <f t="shared" si="10"/>
        <v>-75000</v>
      </c>
      <c r="S7" s="96" t="str">
        <f>IFERROR(__xludf.DUMMYFUNCTION("if(isblank(B7),,query(Portfolio!C$6:U$55, ""select U WHERE (C=""""""&amp;$C7&amp;"""""")"")*P7)"),"#N/A")</f>
        <v>#N/A</v>
      </c>
      <c r="T7" s="96" t="str">
        <f>IFERROR(__xludf.DUMMYFUNCTION("if(isblank(B7),,query(Portfolio!C$6:U$55, ""select U WHERE (C=""""""&amp;$C7&amp;"""""")"")*R7)"),"#N/A")</f>
        <v>#N/A</v>
      </c>
      <c r="U7" s="101"/>
      <c r="V7" s="101"/>
    </row>
    <row r="8">
      <c r="A8" s="89"/>
      <c r="B8" s="90"/>
      <c r="C8" s="91"/>
      <c r="D8" s="90"/>
      <c r="E8" s="92"/>
      <c r="F8" s="102"/>
      <c r="G8" s="94"/>
      <c r="H8" s="95" t="str">
        <f t="array" ref="H8">if(isblank(B8),,max(if($C$1:$C7=C8,row($C$1:$C7))))</f>
        <v/>
      </c>
      <c r="I8" s="95" t="str">
        <f t="shared" si="1"/>
        <v/>
      </c>
      <c r="J8" s="95" t="str">
        <f t="shared" si="2"/>
        <v/>
      </c>
      <c r="K8" s="96" t="str">
        <f t="shared" si="3"/>
        <v/>
      </c>
      <c r="L8" s="96" t="str">
        <f t="shared" si="4"/>
        <v/>
      </c>
      <c r="M8" s="98" t="str">
        <f t="shared" si="5"/>
        <v/>
      </c>
      <c r="N8" s="98" t="str">
        <f t="shared" si="6"/>
        <v/>
      </c>
      <c r="O8" s="96" t="str">
        <f t="shared" si="7"/>
        <v/>
      </c>
      <c r="P8" s="96" t="str">
        <f t="shared" si="8"/>
        <v/>
      </c>
      <c r="Q8" s="100" t="str">
        <f t="shared" si="9"/>
        <v/>
      </c>
      <c r="R8" s="96" t="str">
        <f t="shared" si="10"/>
        <v/>
      </c>
      <c r="S8" s="96" t="str">
        <f>IFERROR(__xludf.DUMMYFUNCTION("if(isblank(B8),,query(Portfolio!C$6:U$55, ""select U WHERE (C=""""""&amp;$C8&amp;"""""")"")*P8)"),"")</f>
        <v/>
      </c>
      <c r="T8" s="96" t="str">
        <f>IFERROR(__xludf.DUMMYFUNCTION("if(isblank(B8),,query(Portfolio!C$6:U$55, ""select U WHERE (C=""""""&amp;$C8&amp;"""""")"")*R8)"),"")</f>
        <v/>
      </c>
      <c r="U8" s="101"/>
      <c r="V8" s="101"/>
    </row>
    <row r="9">
      <c r="A9" s="89"/>
      <c r="B9" s="94"/>
      <c r="C9" s="117"/>
      <c r="D9" s="94"/>
      <c r="E9" s="92"/>
      <c r="F9" s="102"/>
      <c r="G9" s="94"/>
      <c r="H9" s="95" t="str">
        <f t="array" ref="H9">if(isblank(B9),,max(if($C$1:$C8=C9,row($C$1:$C8))))</f>
        <v/>
      </c>
      <c r="I9" s="95" t="str">
        <f t="shared" si="1"/>
        <v/>
      </c>
      <c r="J9" s="95" t="str">
        <f t="shared" si="2"/>
        <v/>
      </c>
      <c r="K9" s="96" t="str">
        <f t="shared" si="3"/>
        <v/>
      </c>
      <c r="L9" s="96" t="str">
        <f t="shared" si="4"/>
        <v/>
      </c>
      <c r="M9" s="98" t="str">
        <f t="shared" si="5"/>
        <v/>
      </c>
      <c r="N9" s="98" t="str">
        <f t="shared" si="6"/>
        <v/>
      </c>
      <c r="O9" s="96" t="str">
        <f t="shared" si="7"/>
        <v/>
      </c>
      <c r="P9" s="96" t="str">
        <f t="shared" si="8"/>
        <v/>
      </c>
      <c r="Q9" s="100" t="str">
        <f t="shared" si="9"/>
        <v/>
      </c>
      <c r="R9" s="96" t="str">
        <f t="shared" si="10"/>
        <v/>
      </c>
      <c r="S9" s="96" t="str">
        <f>IFERROR(__xludf.DUMMYFUNCTION("if(isblank(B9),,query(Portfolio!C$6:U$55, ""select U WHERE (C=""""""&amp;$C9&amp;"""""")"")*P9)"),"")</f>
        <v/>
      </c>
      <c r="T9" s="96" t="str">
        <f>IFERROR(__xludf.DUMMYFUNCTION("if(isblank(B9),,query(Portfolio!C$6:U$55, ""select U WHERE (C=""""""&amp;$C9&amp;"""""")"")*R9)"),"")</f>
        <v/>
      </c>
      <c r="U9" s="101"/>
      <c r="V9" s="101"/>
    </row>
    <row r="10">
      <c r="A10" s="89"/>
      <c r="B10" s="94"/>
      <c r="C10" s="117"/>
      <c r="D10" s="94"/>
      <c r="E10" s="92"/>
      <c r="F10" s="102"/>
      <c r="G10" s="94"/>
      <c r="H10" s="95" t="str">
        <f t="array" ref="H10">if(isblank(B10),,max(if($C$1:$C9=C10,row($C$1:$C9))))</f>
        <v/>
      </c>
      <c r="I10" s="95" t="str">
        <f t="shared" si="1"/>
        <v/>
      </c>
      <c r="J10" s="95" t="str">
        <f t="shared" si="2"/>
        <v/>
      </c>
      <c r="K10" s="96" t="str">
        <f t="shared" si="3"/>
        <v/>
      </c>
      <c r="L10" s="96" t="str">
        <f t="shared" si="4"/>
        <v/>
      </c>
      <c r="M10" s="98" t="str">
        <f t="shared" si="5"/>
        <v/>
      </c>
      <c r="N10" s="98" t="str">
        <f t="shared" si="6"/>
        <v/>
      </c>
      <c r="O10" s="96" t="str">
        <f t="shared" si="7"/>
        <v/>
      </c>
      <c r="P10" s="96" t="str">
        <f t="shared" si="8"/>
        <v/>
      </c>
      <c r="Q10" s="100" t="str">
        <f t="shared" si="9"/>
        <v/>
      </c>
      <c r="R10" s="96" t="str">
        <f t="shared" si="10"/>
        <v/>
      </c>
      <c r="S10" s="96" t="str">
        <f>IFERROR(__xludf.DUMMYFUNCTION("if(isblank(B10),,query(Portfolio!C$6:U$55, ""select U WHERE (C=""""""&amp;$C10&amp;"""""")"")*P10)"),"")</f>
        <v/>
      </c>
      <c r="T10" s="96" t="str">
        <f>IFERROR(__xludf.DUMMYFUNCTION("if(isblank(B10),,query(Portfolio!C$6:U$55, ""select U WHERE (C=""""""&amp;$C10&amp;"""""")"")*R10)"),"")</f>
        <v/>
      </c>
      <c r="U10" s="101"/>
      <c r="V10" s="101"/>
    </row>
    <row r="11">
      <c r="A11" s="89"/>
      <c r="B11" s="94"/>
      <c r="C11" s="117"/>
      <c r="D11" s="94"/>
      <c r="E11" s="92"/>
      <c r="F11" s="102"/>
      <c r="G11" s="94"/>
      <c r="H11" s="95" t="str">
        <f t="array" ref="H11">if(isblank(B11),,max(if($C$1:$C10=C11,row($C$1:$C10))))</f>
        <v/>
      </c>
      <c r="I11" s="95" t="str">
        <f t="shared" si="1"/>
        <v/>
      </c>
      <c r="J11" s="95" t="str">
        <f t="shared" si="2"/>
        <v/>
      </c>
      <c r="K11" s="96" t="str">
        <f t="shared" si="3"/>
        <v/>
      </c>
      <c r="L11" s="96" t="str">
        <f t="shared" si="4"/>
        <v/>
      </c>
      <c r="M11" s="98" t="str">
        <f t="shared" si="5"/>
        <v/>
      </c>
      <c r="N11" s="98" t="str">
        <f t="shared" si="6"/>
        <v/>
      </c>
      <c r="O11" s="96" t="str">
        <f t="shared" si="7"/>
        <v/>
      </c>
      <c r="P11" s="96" t="str">
        <f t="shared" si="8"/>
        <v/>
      </c>
      <c r="Q11" s="100" t="str">
        <f t="shared" si="9"/>
        <v/>
      </c>
      <c r="R11" s="96" t="str">
        <f t="shared" si="10"/>
        <v/>
      </c>
      <c r="S11" s="96" t="str">
        <f>IFERROR(__xludf.DUMMYFUNCTION("if(isblank(B11),,query(Portfolio!C$6:U$55, ""select U WHERE (C=""""""&amp;$C11&amp;"""""")"")*P11)"),"")</f>
        <v/>
      </c>
      <c r="T11" s="96" t="str">
        <f>IFERROR(__xludf.DUMMYFUNCTION("if(isblank(B11),,query(Portfolio!C$6:U$55, ""select U WHERE (C=""""""&amp;$C11&amp;"""""")"")*R11)"),"")</f>
        <v/>
      </c>
      <c r="U11" s="101"/>
      <c r="V11" s="101"/>
    </row>
    <row r="12">
      <c r="A12" s="89"/>
      <c r="B12" s="94"/>
      <c r="C12" s="117"/>
      <c r="D12" s="94"/>
      <c r="E12" s="92"/>
      <c r="F12" s="102"/>
      <c r="G12" s="94"/>
      <c r="H12" s="95" t="str">
        <f t="array" ref="H12">if(isblank(B12),,max(if($C$1:$C11=C12,row($C$1:$C11))))</f>
        <v/>
      </c>
      <c r="I12" s="95" t="str">
        <f t="shared" si="1"/>
        <v/>
      </c>
      <c r="J12" s="95" t="str">
        <f t="shared" si="2"/>
        <v/>
      </c>
      <c r="K12" s="96" t="str">
        <f t="shared" si="3"/>
        <v/>
      </c>
      <c r="L12" s="96" t="str">
        <f t="shared" si="4"/>
        <v/>
      </c>
      <c r="M12" s="98" t="str">
        <f t="shared" si="5"/>
        <v/>
      </c>
      <c r="N12" s="98" t="str">
        <f t="shared" si="6"/>
        <v/>
      </c>
      <c r="O12" s="96" t="str">
        <f t="shared" si="7"/>
        <v/>
      </c>
      <c r="P12" s="96" t="str">
        <f t="shared" si="8"/>
        <v/>
      </c>
      <c r="Q12" s="100" t="str">
        <f t="shared" si="9"/>
        <v/>
      </c>
      <c r="R12" s="96" t="str">
        <f t="shared" si="10"/>
        <v/>
      </c>
      <c r="S12" s="96" t="str">
        <f>IFERROR(__xludf.DUMMYFUNCTION("if(isblank(B12),,query(Portfolio!C$6:U$55, ""select U WHERE (C=""""""&amp;$C12&amp;"""""")"")*P12)"),"")</f>
        <v/>
      </c>
      <c r="T12" s="96" t="str">
        <f>IFERROR(__xludf.DUMMYFUNCTION("if(isblank(B12),,query(Portfolio!C$6:U$55, ""select U WHERE (C=""""""&amp;$C12&amp;"""""")"")*R12)"),"")</f>
        <v/>
      </c>
      <c r="U12" s="101"/>
      <c r="V12" s="101"/>
    </row>
    <row r="13">
      <c r="A13" s="89"/>
      <c r="B13" s="94"/>
      <c r="C13" s="117"/>
      <c r="D13" s="94"/>
      <c r="E13" s="92"/>
      <c r="F13" s="102"/>
      <c r="G13" s="94"/>
      <c r="H13" s="95" t="str">
        <f t="array" ref="H13">if(isblank(B13),,max(if($C$1:$C12=C13,row($C$1:$C12))))</f>
        <v/>
      </c>
      <c r="I13" s="95" t="str">
        <f t="shared" si="1"/>
        <v/>
      </c>
      <c r="J13" s="95" t="str">
        <f t="shared" si="2"/>
        <v/>
      </c>
      <c r="K13" s="96" t="str">
        <f t="shared" si="3"/>
        <v/>
      </c>
      <c r="L13" s="96" t="str">
        <f t="shared" si="4"/>
        <v/>
      </c>
      <c r="M13" s="98" t="str">
        <f t="shared" si="5"/>
        <v/>
      </c>
      <c r="N13" s="98" t="str">
        <f t="shared" si="6"/>
        <v/>
      </c>
      <c r="O13" s="96" t="str">
        <f t="shared" si="7"/>
        <v/>
      </c>
      <c r="P13" s="96" t="str">
        <f t="shared" si="8"/>
        <v/>
      </c>
      <c r="Q13" s="100" t="str">
        <f t="shared" si="9"/>
        <v/>
      </c>
      <c r="R13" s="96" t="str">
        <f t="shared" si="10"/>
        <v/>
      </c>
      <c r="S13" s="96" t="str">
        <f>IFERROR(__xludf.DUMMYFUNCTION("if(isblank(B13),,query(Portfolio!C$6:U$55, ""select U WHERE (C=""""""&amp;$C13&amp;"""""")"")*P13)"),"")</f>
        <v/>
      </c>
      <c r="T13" s="96" t="str">
        <f>IFERROR(__xludf.DUMMYFUNCTION("if(isblank(B13),,query(Portfolio!C$6:U$55, ""select U WHERE (C=""""""&amp;$C13&amp;"""""")"")*R13)"),"")</f>
        <v/>
      </c>
      <c r="U13" s="101"/>
      <c r="V13" s="101"/>
    </row>
    <row r="14">
      <c r="A14" s="89"/>
      <c r="B14" s="94"/>
      <c r="C14" s="117"/>
      <c r="D14" s="94"/>
      <c r="E14" s="92"/>
      <c r="F14" s="102"/>
      <c r="G14" s="94"/>
      <c r="H14" s="95" t="str">
        <f t="array" ref="H14">if(isblank(B14),,max(if($C$1:$C13=C14,row($C$1:$C13))))</f>
        <v/>
      </c>
      <c r="I14" s="95" t="str">
        <f t="shared" si="1"/>
        <v/>
      </c>
      <c r="J14" s="95" t="str">
        <f t="shared" si="2"/>
        <v/>
      </c>
      <c r="K14" s="96" t="str">
        <f t="shared" si="3"/>
        <v/>
      </c>
      <c r="L14" s="96" t="str">
        <f t="shared" si="4"/>
        <v/>
      </c>
      <c r="M14" s="98" t="str">
        <f t="shared" si="5"/>
        <v/>
      </c>
      <c r="N14" s="98" t="str">
        <f t="shared" si="6"/>
        <v/>
      </c>
      <c r="O14" s="96" t="str">
        <f t="shared" si="7"/>
        <v/>
      </c>
      <c r="P14" s="96" t="str">
        <f t="shared" si="8"/>
        <v/>
      </c>
      <c r="Q14" s="100" t="str">
        <f t="shared" si="9"/>
        <v/>
      </c>
      <c r="R14" s="96" t="str">
        <f t="shared" si="10"/>
        <v/>
      </c>
      <c r="S14" s="96" t="str">
        <f>IFERROR(__xludf.DUMMYFUNCTION("if(isblank(B14),,query(Portfolio!C$6:U$55, ""select U WHERE (C=""""""&amp;$C14&amp;"""""")"")*P14)"),"")</f>
        <v/>
      </c>
      <c r="T14" s="96" t="str">
        <f>IFERROR(__xludf.DUMMYFUNCTION("if(isblank(B14),,query(Portfolio!C$6:U$55, ""select U WHERE (C=""""""&amp;$C14&amp;"""""")"")*R14)"),"")</f>
        <v/>
      </c>
      <c r="U14" s="101"/>
      <c r="V14" s="101"/>
    </row>
    <row r="15">
      <c r="A15" s="89"/>
      <c r="B15" s="94"/>
      <c r="C15" s="117"/>
      <c r="D15" s="94"/>
      <c r="E15" s="92"/>
      <c r="F15" s="102"/>
      <c r="G15" s="94"/>
      <c r="H15" s="95" t="str">
        <f t="array" ref="H15">if(isblank(B15),,max(if($C$1:$C14=C15,row($C$1:$C14))))</f>
        <v/>
      </c>
      <c r="I15" s="95" t="str">
        <f t="shared" si="1"/>
        <v/>
      </c>
      <c r="J15" s="95" t="str">
        <f t="shared" si="2"/>
        <v/>
      </c>
      <c r="K15" s="96" t="str">
        <f t="shared" si="3"/>
        <v/>
      </c>
      <c r="L15" s="96" t="str">
        <f t="shared" si="4"/>
        <v/>
      </c>
      <c r="M15" s="98" t="str">
        <f t="shared" si="5"/>
        <v/>
      </c>
      <c r="N15" s="98" t="str">
        <f t="shared" si="6"/>
        <v/>
      </c>
      <c r="O15" s="96" t="str">
        <f t="shared" si="7"/>
        <v/>
      </c>
      <c r="P15" s="96" t="str">
        <f t="shared" si="8"/>
        <v/>
      </c>
      <c r="Q15" s="100" t="str">
        <f t="shared" si="9"/>
        <v/>
      </c>
      <c r="R15" s="96" t="str">
        <f t="shared" si="10"/>
        <v/>
      </c>
      <c r="S15" s="96" t="str">
        <f>IFERROR(__xludf.DUMMYFUNCTION("if(isblank(B15),,query(Portfolio!C$6:U$55, ""select U WHERE (C=""""""&amp;$C15&amp;"""""")"")*P15)"),"")</f>
        <v/>
      </c>
      <c r="T15" s="96" t="str">
        <f>IFERROR(__xludf.DUMMYFUNCTION("if(isblank(B15),,query(Portfolio!C$6:U$55, ""select U WHERE (C=""""""&amp;$C15&amp;"""""")"")*R15)"),"")</f>
        <v/>
      </c>
      <c r="U15" s="101"/>
      <c r="V15" s="101"/>
    </row>
    <row r="16">
      <c r="A16" s="89"/>
      <c r="B16" s="94"/>
      <c r="C16" s="117"/>
      <c r="D16" s="94"/>
      <c r="E16" s="92"/>
      <c r="F16" s="102"/>
      <c r="G16" s="94"/>
      <c r="H16" s="95" t="str">
        <f t="array" ref="H16">if(isblank(B16),,max(if($C$1:$C15=C16,row($C$1:$C15))))</f>
        <v/>
      </c>
      <c r="I16" s="95" t="str">
        <f t="shared" si="1"/>
        <v/>
      </c>
      <c r="J16" s="95" t="str">
        <f t="shared" si="2"/>
        <v/>
      </c>
      <c r="K16" s="96" t="str">
        <f t="shared" si="3"/>
        <v/>
      </c>
      <c r="L16" s="96" t="str">
        <f t="shared" si="4"/>
        <v/>
      </c>
      <c r="M16" s="98" t="str">
        <f t="shared" si="5"/>
        <v/>
      </c>
      <c r="N16" s="98" t="str">
        <f t="shared" si="6"/>
        <v/>
      </c>
      <c r="O16" s="96" t="str">
        <f t="shared" si="7"/>
        <v/>
      </c>
      <c r="P16" s="96" t="str">
        <f t="shared" si="8"/>
        <v/>
      </c>
      <c r="Q16" s="100" t="str">
        <f t="shared" si="9"/>
        <v/>
      </c>
      <c r="R16" s="96" t="str">
        <f t="shared" si="10"/>
        <v/>
      </c>
      <c r="S16" s="96" t="str">
        <f>IFERROR(__xludf.DUMMYFUNCTION("if(isblank(B16),,query(Portfolio!C$6:U$55, ""select U WHERE (C=""""""&amp;$C16&amp;"""""")"")*P16)"),"")</f>
        <v/>
      </c>
      <c r="T16" s="96" t="str">
        <f>IFERROR(__xludf.DUMMYFUNCTION("if(isblank(B16),,query(Portfolio!C$6:U$55, ""select U WHERE (C=""""""&amp;$C16&amp;"""""")"")*R16)"),"")</f>
        <v/>
      </c>
      <c r="U16" s="101"/>
      <c r="V16" s="101"/>
    </row>
    <row r="17">
      <c r="A17" s="89"/>
      <c r="B17" s="94"/>
      <c r="C17" s="117"/>
      <c r="D17" s="94"/>
      <c r="E17" s="92"/>
      <c r="F17" s="102"/>
      <c r="G17" s="94"/>
      <c r="H17" s="95" t="str">
        <f t="array" ref="H17">if(isblank(B17),,max(if($C$1:$C16=C17,row($C$1:$C16))))</f>
        <v/>
      </c>
      <c r="I17" s="95" t="str">
        <f t="shared" si="1"/>
        <v/>
      </c>
      <c r="J17" s="95" t="str">
        <f t="shared" si="2"/>
        <v/>
      </c>
      <c r="K17" s="96" t="str">
        <f t="shared" si="3"/>
        <v/>
      </c>
      <c r="L17" s="96" t="str">
        <f t="shared" si="4"/>
        <v/>
      </c>
      <c r="M17" s="98" t="str">
        <f t="shared" si="5"/>
        <v/>
      </c>
      <c r="N17" s="98" t="str">
        <f t="shared" si="6"/>
        <v/>
      </c>
      <c r="O17" s="96" t="str">
        <f t="shared" si="7"/>
        <v/>
      </c>
      <c r="P17" s="96" t="str">
        <f t="shared" si="8"/>
        <v/>
      </c>
      <c r="Q17" s="100" t="str">
        <f t="shared" si="9"/>
        <v/>
      </c>
      <c r="R17" s="96" t="str">
        <f t="shared" si="10"/>
        <v/>
      </c>
      <c r="S17" s="96" t="str">
        <f>IFERROR(__xludf.DUMMYFUNCTION("if(isblank(B17),,query(Portfolio!C$6:U$55, ""select U WHERE (C=""""""&amp;$C17&amp;"""""")"")*P17)"),"")</f>
        <v/>
      </c>
      <c r="T17" s="96" t="str">
        <f>IFERROR(__xludf.DUMMYFUNCTION("if(isblank(B17),,query(Portfolio!C$6:U$55, ""select U WHERE (C=""""""&amp;$C17&amp;"""""")"")*R17)"),"")</f>
        <v/>
      </c>
      <c r="U17" s="101"/>
      <c r="V17" s="101"/>
    </row>
    <row r="18">
      <c r="A18" s="89"/>
      <c r="B18" s="94"/>
      <c r="C18" s="117"/>
      <c r="D18" s="94"/>
      <c r="E18" s="92"/>
      <c r="F18" s="102"/>
      <c r="G18" s="94"/>
      <c r="H18" s="95" t="str">
        <f t="array" ref="H18">if(isblank(B18),,max(if($C$1:$C17=C18,row($C$1:$C17))))</f>
        <v/>
      </c>
      <c r="I18" s="95" t="str">
        <f t="shared" si="1"/>
        <v/>
      </c>
      <c r="J18" s="95" t="str">
        <f t="shared" si="2"/>
        <v/>
      </c>
      <c r="K18" s="96" t="str">
        <f t="shared" si="3"/>
        <v/>
      </c>
      <c r="L18" s="96" t="str">
        <f t="shared" si="4"/>
        <v/>
      </c>
      <c r="M18" s="98" t="str">
        <f t="shared" si="5"/>
        <v/>
      </c>
      <c r="N18" s="98" t="str">
        <f t="shared" si="6"/>
        <v/>
      </c>
      <c r="O18" s="96" t="str">
        <f t="shared" si="7"/>
        <v/>
      </c>
      <c r="P18" s="96" t="str">
        <f t="shared" si="8"/>
        <v/>
      </c>
      <c r="Q18" s="100" t="str">
        <f t="shared" si="9"/>
        <v/>
      </c>
      <c r="R18" s="96" t="str">
        <f t="shared" si="10"/>
        <v/>
      </c>
      <c r="S18" s="96" t="str">
        <f>IFERROR(__xludf.DUMMYFUNCTION("if(isblank(B18),,query(Portfolio!C$6:U$55, ""select U WHERE (C=""""""&amp;$C18&amp;"""""")"")*P18)"),"")</f>
        <v/>
      </c>
      <c r="T18" s="96" t="str">
        <f>IFERROR(__xludf.DUMMYFUNCTION("if(isblank(B18),,query(Portfolio!C$6:U$55, ""select U WHERE (C=""""""&amp;$C18&amp;"""""")"")*R18)"),"")</f>
        <v/>
      </c>
      <c r="U18" s="101"/>
      <c r="V18" s="101"/>
    </row>
    <row r="19">
      <c r="A19" s="89"/>
      <c r="B19" s="94"/>
      <c r="C19" s="117"/>
      <c r="D19" s="90"/>
      <c r="E19" s="92"/>
      <c r="F19" s="102"/>
      <c r="G19" s="94"/>
      <c r="H19" s="95" t="str">
        <f t="array" ref="H19">if(isblank(B19),,max(if($C$1:$C18=C19,row($C$1:$C18))))</f>
        <v/>
      </c>
      <c r="I19" s="95" t="str">
        <f t="shared" si="1"/>
        <v/>
      </c>
      <c r="J19" s="95" t="str">
        <f t="shared" si="2"/>
        <v/>
      </c>
      <c r="K19" s="96" t="str">
        <f t="shared" si="3"/>
        <v/>
      </c>
      <c r="L19" s="96" t="str">
        <f t="shared" si="4"/>
        <v/>
      </c>
      <c r="M19" s="98" t="str">
        <f t="shared" si="5"/>
        <v/>
      </c>
      <c r="N19" s="98" t="str">
        <f t="shared" si="6"/>
        <v/>
      </c>
      <c r="O19" s="96" t="str">
        <f t="shared" si="7"/>
        <v/>
      </c>
      <c r="P19" s="96" t="str">
        <f t="shared" si="8"/>
        <v/>
      </c>
      <c r="Q19" s="100" t="str">
        <f t="shared" si="9"/>
        <v/>
      </c>
      <c r="R19" s="96" t="str">
        <f t="shared" si="10"/>
        <v/>
      </c>
      <c r="S19" s="96" t="str">
        <f>IFERROR(__xludf.DUMMYFUNCTION("if(isblank(B19),,query(Portfolio!C$6:U$55, ""select U WHERE (C=""""""&amp;$C19&amp;"""""")"")*P19)"),"")</f>
        <v/>
      </c>
      <c r="T19" s="96" t="str">
        <f>IFERROR(__xludf.DUMMYFUNCTION("if(isblank(B19),,query(Portfolio!C$6:U$55, ""select U WHERE (C=""""""&amp;$C19&amp;"""""")"")*R19)"),"")</f>
        <v/>
      </c>
      <c r="U19" s="101"/>
      <c r="V19" s="101"/>
    </row>
    <row r="20">
      <c r="A20" s="89"/>
      <c r="B20" s="94"/>
      <c r="C20" s="117"/>
      <c r="D20" s="94"/>
      <c r="E20" s="92"/>
      <c r="F20" s="102"/>
      <c r="G20" s="94"/>
      <c r="H20" s="95" t="str">
        <f t="array" ref="H20">if(isblank(B20),,max(if($C$1:$C19=C20,row($C$1:$C19))))</f>
        <v/>
      </c>
      <c r="I20" s="95" t="str">
        <f t="shared" si="1"/>
        <v/>
      </c>
      <c r="J20" s="95" t="str">
        <f t="shared" si="2"/>
        <v/>
      </c>
      <c r="K20" s="96" t="str">
        <f t="shared" si="3"/>
        <v/>
      </c>
      <c r="L20" s="96" t="str">
        <f t="shared" si="4"/>
        <v/>
      </c>
      <c r="M20" s="98" t="str">
        <f t="shared" si="5"/>
        <v/>
      </c>
      <c r="N20" s="98" t="str">
        <f t="shared" si="6"/>
        <v/>
      </c>
      <c r="O20" s="96" t="str">
        <f t="shared" si="7"/>
        <v/>
      </c>
      <c r="P20" s="96" t="str">
        <f t="shared" si="8"/>
        <v/>
      </c>
      <c r="Q20" s="100" t="str">
        <f t="shared" si="9"/>
        <v/>
      </c>
      <c r="R20" s="96" t="str">
        <f t="shared" si="10"/>
        <v/>
      </c>
      <c r="S20" s="96" t="str">
        <f>IFERROR(__xludf.DUMMYFUNCTION("if(isblank(B20),,query(Portfolio!C$6:U$55, ""select U WHERE (C=""""""&amp;$C20&amp;"""""")"")*P20)"),"")</f>
        <v/>
      </c>
      <c r="T20" s="96" t="str">
        <f>IFERROR(__xludf.DUMMYFUNCTION("if(isblank(B20),,query(Portfolio!C$6:U$55, ""select U WHERE (C=""""""&amp;$C20&amp;"""""")"")*R20)"),"")</f>
        <v/>
      </c>
      <c r="U20" s="101"/>
      <c r="V20" s="101"/>
    </row>
    <row r="21">
      <c r="A21" s="89"/>
      <c r="B21" s="94"/>
      <c r="C21" s="117"/>
      <c r="D21" s="94"/>
      <c r="E21" s="92"/>
      <c r="F21" s="102"/>
      <c r="G21" s="94"/>
      <c r="H21" s="95" t="str">
        <f t="array" ref="H21">if(isblank(B21),,max(if($C$1:$C20=C21,row($C$1:$C20))))</f>
        <v/>
      </c>
      <c r="I21" s="95" t="str">
        <f t="shared" si="1"/>
        <v/>
      </c>
      <c r="J21" s="95" t="str">
        <f t="shared" si="2"/>
        <v/>
      </c>
      <c r="K21" s="96" t="str">
        <f t="shared" si="3"/>
        <v/>
      </c>
      <c r="L21" s="96" t="str">
        <f t="shared" si="4"/>
        <v/>
      </c>
      <c r="M21" s="98" t="str">
        <f t="shared" si="5"/>
        <v/>
      </c>
      <c r="N21" s="98" t="str">
        <f t="shared" si="6"/>
        <v/>
      </c>
      <c r="O21" s="96" t="str">
        <f t="shared" si="7"/>
        <v/>
      </c>
      <c r="P21" s="96" t="str">
        <f t="shared" si="8"/>
        <v/>
      </c>
      <c r="Q21" s="100" t="str">
        <f t="shared" si="9"/>
        <v/>
      </c>
      <c r="R21" s="96" t="str">
        <f t="shared" si="10"/>
        <v/>
      </c>
      <c r="S21" s="96" t="str">
        <f>IFERROR(__xludf.DUMMYFUNCTION("if(isblank(B21),,query(Portfolio!C$6:U$55, ""select U WHERE (C=""""""&amp;$C21&amp;"""""")"")*P21)"),"")</f>
        <v/>
      </c>
      <c r="T21" s="96" t="str">
        <f>IFERROR(__xludf.DUMMYFUNCTION("if(isblank(B21),,query(Portfolio!C$6:U$55, ""select U WHERE (C=""""""&amp;$C21&amp;"""""")"")*R21)"),"")</f>
        <v/>
      </c>
      <c r="U21" s="101"/>
      <c r="V21" s="101"/>
    </row>
    <row r="22">
      <c r="A22" s="89"/>
      <c r="B22" s="94"/>
      <c r="C22" s="117"/>
      <c r="D22" s="94"/>
      <c r="E22" s="92"/>
      <c r="F22" s="102"/>
      <c r="G22" s="94"/>
      <c r="H22" s="95" t="str">
        <f t="array" ref="H22">if(isblank(B22),,max(if($C$1:$C21=C22,row($C$1:$C21))))</f>
        <v/>
      </c>
      <c r="I22" s="95" t="str">
        <f t="shared" si="1"/>
        <v/>
      </c>
      <c r="J22" s="95" t="str">
        <f t="shared" si="2"/>
        <v/>
      </c>
      <c r="K22" s="96" t="str">
        <f t="shared" si="3"/>
        <v/>
      </c>
      <c r="L22" s="96" t="str">
        <f t="shared" si="4"/>
        <v/>
      </c>
      <c r="M22" s="98" t="str">
        <f t="shared" si="5"/>
        <v/>
      </c>
      <c r="N22" s="98" t="str">
        <f t="shared" si="6"/>
        <v/>
      </c>
      <c r="O22" s="96" t="str">
        <f t="shared" si="7"/>
        <v/>
      </c>
      <c r="P22" s="96" t="str">
        <f t="shared" si="8"/>
        <v/>
      </c>
      <c r="Q22" s="100" t="str">
        <f t="shared" si="9"/>
        <v/>
      </c>
      <c r="R22" s="96" t="str">
        <f t="shared" si="10"/>
        <v/>
      </c>
      <c r="S22" s="96" t="str">
        <f>IFERROR(__xludf.DUMMYFUNCTION("if(isblank(B22),,query(Portfolio!C$6:U$55, ""select U WHERE (C=""""""&amp;$C22&amp;"""""")"")*P22)"),"")</f>
        <v/>
      </c>
      <c r="T22" s="96" t="str">
        <f>IFERROR(__xludf.DUMMYFUNCTION("if(isblank(B22),,query(Portfolio!C$6:U$55, ""select U WHERE (C=""""""&amp;$C22&amp;"""""")"")*R22)"),"")</f>
        <v/>
      </c>
      <c r="U22" s="101"/>
      <c r="V22" s="101"/>
    </row>
    <row r="23">
      <c r="A23" s="89"/>
      <c r="B23" s="94"/>
      <c r="C23" s="117"/>
      <c r="D23" s="94"/>
      <c r="E23" s="92"/>
      <c r="F23" s="102"/>
      <c r="G23" s="94"/>
      <c r="H23" s="95" t="str">
        <f t="array" ref="H23">if(isblank(B23),,max(if($C$1:$C22=C23,row($C$1:$C22))))</f>
        <v/>
      </c>
      <c r="I23" s="95" t="str">
        <f t="shared" si="1"/>
        <v/>
      </c>
      <c r="J23" s="95" t="str">
        <f t="shared" si="2"/>
        <v/>
      </c>
      <c r="K23" s="96" t="str">
        <f t="shared" si="3"/>
        <v/>
      </c>
      <c r="L23" s="96" t="str">
        <f t="shared" si="4"/>
        <v/>
      </c>
      <c r="M23" s="98" t="str">
        <f t="shared" si="5"/>
        <v/>
      </c>
      <c r="N23" s="98" t="str">
        <f t="shared" si="6"/>
        <v/>
      </c>
      <c r="O23" s="96" t="str">
        <f t="shared" si="7"/>
        <v/>
      </c>
      <c r="P23" s="96" t="str">
        <f t="shared" si="8"/>
        <v/>
      </c>
      <c r="Q23" s="100" t="str">
        <f t="shared" si="9"/>
        <v/>
      </c>
      <c r="R23" s="96" t="str">
        <f t="shared" si="10"/>
        <v/>
      </c>
      <c r="S23" s="96" t="str">
        <f>IFERROR(__xludf.DUMMYFUNCTION("if(isblank(B23),,query(Portfolio!C$6:U$55, ""select U WHERE (C=""""""&amp;$C23&amp;"""""")"")*P23)"),"")</f>
        <v/>
      </c>
      <c r="T23" s="96" t="str">
        <f>IFERROR(__xludf.DUMMYFUNCTION("if(isblank(B23),,query(Portfolio!C$6:U$55, ""select U WHERE (C=""""""&amp;$C23&amp;"""""")"")*R23)"),"")</f>
        <v/>
      </c>
      <c r="U23" s="101"/>
      <c r="V23" s="101"/>
    </row>
    <row r="24">
      <c r="A24" s="89"/>
      <c r="B24" s="90"/>
      <c r="C24" s="91"/>
      <c r="D24" s="90"/>
      <c r="E24" s="92"/>
      <c r="F24" s="102"/>
      <c r="G24" s="90"/>
      <c r="H24" s="95" t="str">
        <f t="array" ref="H24">if(isblank(B24),,max(if($C$1:$C23=C24,row($C$1:$C23))))</f>
        <v/>
      </c>
      <c r="I24" s="95" t="str">
        <f t="shared" si="1"/>
        <v/>
      </c>
      <c r="J24" s="95" t="str">
        <f t="shared" si="2"/>
        <v/>
      </c>
      <c r="K24" s="96" t="str">
        <f t="shared" si="3"/>
        <v/>
      </c>
      <c r="L24" s="96" t="str">
        <f t="shared" si="4"/>
        <v/>
      </c>
      <c r="M24" s="98" t="str">
        <f t="shared" si="5"/>
        <v/>
      </c>
      <c r="N24" s="98" t="str">
        <f t="shared" si="6"/>
        <v/>
      </c>
      <c r="O24" s="96" t="str">
        <f t="shared" si="7"/>
        <v/>
      </c>
      <c r="P24" s="96" t="str">
        <f t="shared" si="8"/>
        <v/>
      </c>
      <c r="Q24" s="100" t="str">
        <f t="shared" si="9"/>
        <v/>
      </c>
      <c r="R24" s="96" t="str">
        <f t="shared" si="10"/>
        <v/>
      </c>
      <c r="S24" s="96" t="str">
        <f>IFERROR(__xludf.DUMMYFUNCTION("if(isblank(B24),,query(Portfolio!C$6:U$55, ""select U WHERE (C=""""""&amp;$C24&amp;"""""")"")*P24)"),"")</f>
        <v/>
      </c>
      <c r="T24" s="96" t="str">
        <f>IFERROR(__xludf.DUMMYFUNCTION("if(isblank(B24),,query(Portfolio!C$6:U$55, ""select U WHERE (C=""""""&amp;$C24&amp;"""""")"")*R24)"),"")</f>
        <v/>
      </c>
      <c r="U24" s="101"/>
      <c r="V24" s="101"/>
    </row>
    <row r="25">
      <c r="A25" s="89"/>
      <c r="B25" s="90"/>
      <c r="C25" s="91"/>
      <c r="D25" s="90"/>
      <c r="E25" s="92"/>
      <c r="F25" s="102"/>
      <c r="G25" s="101"/>
      <c r="H25" s="95" t="str">
        <f t="array" ref="H25">if(isblank(B25),,max(if($C$1:$C24=C25,row($C$1:$C24))))</f>
        <v/>
      </c>
      <c r="I25" s="95" t="str">
        <f t="shared" si="1"/>
        <v/>
      </c>
      <c r="J25" s="95" t="str">
        <f t="shared" si="2"/>
        <v/>
      </c>
      <c r="K25" s="96" t="str">
        <f t="shared" si="3"/>
        <v/>
      </c>
      <c r="L25" s="96" t="str">
        <f t="shared" si="4"/>
        <v/>
      </c>
      <c r="M25" s="98" t="str">
        <f t="shared" si="5"/>
        <v/>
      </c>
      <c r="N25" s="98" t="str">
        <f t="shared" si="6"/>
        <v/>
      </c>
      <c r="O25" s="96" t="str">
        <f t="shared" si="7"/>
        <v/>
      </c>
      <c r="P25" s="96" t="str">
        <f t="shared" si="8"/>
        <v/>
      </c>
      <c r="Q25" s="100" t="str">
        <f t="shared" si="9"/>
        <v/>
      </c>
      <c r="R25" s="96" t="str">
        <f t="shared" si="10"/>
        <v/>
      </c>
      <c r="S25" s="96" t="str">
        <f>IFERROR(__xludf.DUMMYFUNCTION("if(isblank(B25),,query(Portfolio!C$6:U$55, ""select U WHERE (C=""""""&amp;$C25&amp;"""""")"")*P25)"),"")</f>
        <v/>
      </c>
      <c r="T25" s="96" t="str">
        <f>IFERROR(__xludf.DUMMYFUNCTION("if(isblank(B25),,query(Portfolio!C$6:U$55, ""select U WHERE (C=""""""&amp;$C25&amp;"""""")"")*R25)"),"")</f>
        <v/>
      </c>
      <c r="U25" s="101"/>
      <c r="V25" s="101"/>
    </row>
    <row r="26">
      <c r="A26" s="89"/>
      <c r="B26" s="90"/>
      <c r="C26" s="91"/>
      <c r="D26" s="90"/>
      <c r="E26" s="92"/>
      <c r="F26" s="102"/>
      <c r="G26" s="101"/>
      <c r="H26" s="95" t="str">
        <f t="array" ref="H26">if(isblank(B26),,max(if($C$1:$C25=C26,row($C$1:$C25))))</f>
        <v/>
      </c>
      <c r="I26" s="95" t="str">
        <f t="shared" si="1"/>
        <v/>
      </c>
      <c r="J26" s="95" t="str">
        <f t="shared" si="2"/>
        <v/>
      </c>
      <c r="K26" s="96" t="str">
        <f t="shared" si="3"/>
        <v/>
      </c>
      <c r="L26" s="96" t="str">
        <f t="shared" si="4"/>
        <v/>
      </c>
      <c r="M26" s="98" t="str">
        <f t="shared" si="5"/>
        <v/>
      </c>
      <c r="N26" s="98" t="str">
        <f t="shared" si="6"/>
        <v/>
      </c>
      <c r="O26" s="96" t="str">
        <f t="shared" si="7"/>
        <v/>
      </c>
      <c r="P26" s="96" t="str">
        <f t="shared" si="8"/>
        <v/>
      </c>
      <c r="Q26" s="100" t="str">
        <f t="shared" si="9"/>
        <v/>
      </c>
      <c r="R26" s="96" t="str">
        <f t="shared" si="10"/>
        <v/>
      </c>
      <c r="S26" s="96" t="str">
        <f>IFERROR(__xludf.DUMMYFUNCTION("if(isblank(B26),,query(Portfolio!C$6:U$55, ""select U WHERE (C=""""""&amp;$C26&amp;"""""")"")*P26)"),"")</f>
        <v/>
      </c>
      <c r="T26" s="96" t="str">
        <f>IFERROR(__xludf.DUMMYFUNCTION("if(isblank(B26),,query(Portfolio!C$6:U$55, ""select U WHERE (C=""""""&amp;$C26&amp;"""""")"")*R26)"),"")</f>
        <v/>
      </c>
      <c r="U26" s="101"/>
      <c r="V26" s="101"/>
    </row>
    <row r="27">
      <c r="A27" s="155"/>
      <c r="B27" s="101"/>
      <c r="C27" s="156"/>
      <c r="D27" s="101"/>
      <c r="E27" s="157"/>
      <c r="F27" s="102"/>
      <c r="G27" s="101"/>
      <c r="H27" s="95" t="str">
        <f t="array" ref="H27">if(isblank(B27),,max(if($C$1:$C26=C27,row($C$1:$C26))))</f>
        <v/>
      </c>
      <c r="I27" s="95" t="str">
        <f t="shared" si="1"/>
        <v/>
      </c>
      <c r="J27" s="95" t="str">
        <f t="shared" si="2"/>
        <v/>
      </c>
      <c r="K27" s="96" t="str">
        <f t="shared" si="3"/>
        <v/>
      </c>
      <c r="L27" s="96" t="str">
        <f t="shared" si="4"/>
        <v/>
      </c>
      <c r="M27" s="98" t="str">
        <f t="shared" si="5"/>
        <v/>
      </c>
      <c r="N27" s="98" t="str">
        <f t="shared" si="6"/>
        <v/>
      </c>
      <c r="O27" s="96" t="str">
        <f t="shared" si="7"/>
        <v/>
      </c>
      <c r="P27" s="96" t="str">
        <f t="shared" si="8"/>
        <v/>
      </c>
      <c r="Q27" s="100" t="str">
        <f t="shared" si="9"/>
        <v/>
      </c>
      <c r="R27" s="96" t="str">
        <f t="shared" si="10"/>
        <v/>
      </c>
      <c r="S27" s="96" t="str">
        <f>IFERROR(__xludf.DUMMYFUNCTION("if(isblank(B27),,query(Portfolio!C$6:U$55, ""select U WHERE (C=""""""&amp;$C27&amp;"""""")"")*P27)"),"")</f>
        <v/>
      </c>
      <c r="T27" s="96" t="str">
        <f>IFERROR(__xludf.DUMMYFUNCTION("if(isblank(B27),,query(Portfolio!C$6:U$55, ""select U WHERE (C=""""""&amp;$C27&amp;"""""")"")*R27)"),"")</f>
        <v/>
      </c>
      <c r="U27" s="101"/>
      <c r="V27" s="101"/>
    </row>
    <row r="28">
      <c r="A28" s="155"/>
      <c r="B28" s="101"/>
      <c r="C28" s="156"/>
      <c r="D28" s="101"/>
      <c r="E28" s="157"/>
      <c r="F28" s="102"/>
      <c r="G28" s="101"/>
      <c r="H28" s="95" t="str">
        <f t="array" ref="H28">if(isblank(B28),,max(if($C$1:$C27=C28,row($C$1:$C27))))</f>
        <v/>
      </c>
      <c r="I28" s="95" t="str">
        <f t="shared" si="1"/>
        <v/>
      </c>
      <c r="J28" s="95" t="str">
        <f t="shared" si="2"/>
        <v/>
      </c>
      <c r="K28" s="96" t="str">
        <f t="shared" si="3"/>
        <v/>
      </c>
      <c r="L28" s="96" t="str">
        <f t="shared" si="4"/>
        <v/>
      </c>
      <c r="M28" s="98" t="str">
        <f t="shared" si="5"/>
        <v/>
      </c>
      <c r="N28" s="98" t="str">
        <f t="shared" si="6"/>
        <v/>
      </c>
      <c r="O28" s="96" t="str">
        <f t="shared" si="7"/>
        <v/>
      </c>
      <c r="P28" s="96" t="str">
        <f t="shared" si="8"/>
        <v/>
      </c>
      <c r="Q28" s="100" t="str">
        <f t="shared" si="9"/>
        <v/>
      </c>
      <c r="R28" s="96" t="str">
        <f t="shared" si="10"/>
        <v/>
      </c>
      <c r="S28" s="96" t="str">
        <f>IFERROR(__xludf.DUMMYFUNCTION("if(isblank(B28),,query(Portfolio!C$6:U$55, ""select U WHERE (C=""""""&amp;$C28&amp;"""""")"")*P28)"),"")</f>
        <v/>
      </c>
      <c r="T28" s="96" t="str">
        <f>IFERROR(__xludf.DUMMYFUNCTION("if(isblank(B28),,query(Portfolio!C$6:U$55, ""select U WHERE (C=""""""&amp;$C28&amp;"""""")"")*R28)"),"")</f>
        <v/>
      </c>
      <c r="U28" s="101"/>
      <c r="V28" s="101"/>
    </row>
    <row r="29">
      <c r="A29" s="155"/>
      <c r="B29" s="101"/>
      <c r="C29" s="156"/>
      <c r="D29" s="101"/>
      <c r="E29" s="157"/>
      <c r="F29" s="102"/>
      <c r="G29" s="101"/>
      <c r="H29" s="95" t="str">
        <f t="array" ref="H29">if(isblank(B29),,max(if($C$1:$C28=C29,row($C$1:$C28))))</f>
        <v/>
      </c>
      <c r="I29" s="95" t="str">
        <f t="shared" si="1"/>
        <v/>
      </c>
      <c r="J29" s="95" t="str">
        <f t="shared" si="2"/>
        <v/>
      </c>
      <c r="K29" s="96" t="str">
        <f t="shared" si="3"/>
        <v/>
      </c>
      <c r="L29" s="96" t="str">
        <f t="shared" si="4"/>
        <v/>
      </c>
      <c r="M29" s="98" t="str">
        <f t="shared" si="5"/>
        <v/>
      </c>
      <c r="N29" s="98" t="str">
        <f t="shared" si="6"/>
        <v/>
      </c>
      <c r="O29" s="96" t="str">
        <f t="shared" si="7"/>
        <v/>
      </c>
      <c r="P29" s="96" t="str">
        <f t="shared" si="8"/>
        <v/>
      </c>
      <c r="Q29" s="100" t="str">
        <f t="shared" si="9"/>
        <v/>
      </c>
      <c r="R29" s="96" t="str">
        <f t="shared" si="10"/>
        <v/>
      </c>
      <c r="S29" s="96" t="str">
        <f>IFERROR(__xludf.DUMMYFUNCTION("if(isblank(B29),,query(Portfolio!C$6:U$55, ""select U WHERE (C=""""""&amp;$C29&amp;"""""")"")*P29)"),"")</f>
        <v/>
      </c>
      <c r="T29" s="96" t="str">
        <f>IFERROR(__xludf.DUMMYFUNCTION("if(isblank(B29),,query(Portfolio!C$6:U$55, ""select U WHERE (C=""""""&amp;$C29&amp;"""""")"")*R29)"),"")</f>
        <v/>
      </c>
      <c r="U29" s="101"/>
      <c r="V29" s="101"/>
    </row>
    <row r="30">
      <c r="A30" s="155"/>
      <c r="B30" s="101"/>
      <c r="C30" s="156"/>
      <c r="D30" s="101"/>
      <c r="E30" s="157"/>
      <c r="F30" s="102"/>
      <c r="G30" s="101"/>
      <c r="H30" s="95" t="str">
        <f t="array" ref="H30">if(isblank(B30),,max(if($C$1:$C29=C30,row($C$1:$C29))))</f>
        <v/>
      </c>
      <c r="I30" s="95" t="str">
        <f t="shared" si="1"/>
        <v/>
      </c>
      <c r="J30" s="95" t="str">
        <f t="shared" si="2"/>
        <v/>
      </c>
      <c r="K30" s="96" t="str">
        <f t="shared" si="3"/>
        <v/>
      </c>
      <c r="L30" s="96" t="str">
        <f t="shared" si="4"/>
        <v/>
      </c>
      <c r="M30" s="98" t="str">
        <f t="shared" si="5"/>
        <v/>
      </c>
      <c r="N30" s="98" t="str">
        <f t="shared" si="6"/>
        <v/>
      </c>
      <c r="O30" s="96" t="str">
        <f t="shared" si="7"/>
        <v/>
      </c>
      <c r="P30" s="96" t="str">
        <f t="shared" si="8"/>
        <v/>
      </c>
      <c r="Q30" s="100" t="str">
        <f t="shared" si="9"/>
        <v/>
      </c>
      <c r="R30" s="96" t="str">
        <f t="shared" si="10"/>
        <v/>
      </c>
      <c r="S30" s="96" t="str">
        <f>IFERROR(__xludf.DUMMYFUNCTION("if(isblank(B30),,query(Portfolio!C$6:U$55, ""select U WHERE (C=""""""&amp;$C30&amp;"""""")"")*P30)"),"")</f>
        <v/>
      </c>
      <c r="T30" s="96" t="str">
        <f>IFERROR(__xludf.DUMMYFUNCTION("if(isblank(B30),,query(Portfolio!C$6:U$55, ""select U WHERE (C=""""""&amp;$C30&amp;"""""")"")*R30)"),"")</f>
        <v/>
      </c>
      <c r="U30" s="101"/>
      <c r="V30" s="101"/>
    </row>
    <row r="31">
      <c r="A31" s="155"/>
      <c r="B31" s="101"/>
      <c r="C31" s="156"/>
      <c r="D31" s="101"/>
      <c r="E31" s="157"/>
      <c r="F31" s="102"/>
      <c r="G31" s="101"/>
      <c r="H31" s="95" t="str">
        <f t="array" ref="H31">if(isblank(B31),,max(if($C$1:$C30=C31,row($C$1:$C30))))</f>
        <v/>
      </c>
      <c r="I31" s="95" t="str">
        <f t="shared" si="1"/>
        <v/>
      </c>
      <c r="J31" s="95" t="str">
        <f t="shared" si="2"/>
        <v/>
      </c>
      <c r="K31" s="96" t="str">
        <f t="shared" si="3"/>
        <v/>
      </c>
      <c r="L31" s="96" t="str">
        <f t="shared" si="4"/>
        <v/>
      </c>
      <c r="M31" s="98" t="str">
        <f t="shared" si="5"/>
        <v/>
      </c>
      <c r="N31" s="98" t="str">
        <f t="shared" si="6"/>
        <v/>
      </c>
      <c r="O31" s="96" t="str">
        <f t="shared" si="7"/>
        <v/>
      </c>
      <c r="P31" s="96" t="str">
        <f t="shared" si="8"/>
        <v/>
      </c>
      <c r="Q31" s="100" t="str">
        <f t="shared" si="9"/>
        <v/>
      </c>
      <c r="R31" s="96" t="str">
        <f t="shared" si="10"/>
        <v/>
      </c>
      <c r="S31" s="96" t="str">
        <f>IFERROR(__xludf.DUMMYFUNCTION("if(isblank(B31),,query(Portfolio!C$6:U$55, ""select U WHERE (C=""""""&amp;$C31&amp;"""""")"")*P31)"),"")</f>
        <v/>
      </c>
      <c r="T31" s="96" t="str">
        <f>IFERROR(__xludf.DUMMYFUNCTION("if(isblank(B31),,query(Portfolio!C$6:U$55, ""select U WHERE (C=""""""&amp;$C31&amp;"""""")"")*R31)"),"")</f>
        <v/>
      </c>
      <c r="U31" s="101"/>
      <c r="V31" s="101"/>
    </row>
    <row r="32">
      <c r="A32" s="155"/>
      <c r="B32" s="101"/>
      <c r="C32" s="156"/>
      <c r="D32" s="101"/>
      <c r="E32" s="157"/>
      <c r="F32" s="102"/>
      <c r="G32" s="101"/>
      <c r="H32" s="95" t="str">
        <f t="array" ref="H32">if(isblank(B32),,max(if($C$1:$C31=C32,row($C$1:$C31))))</f>
        <v/>
      </c>
      <c r="I32" s="95" t="str">
        <f t="shared" si="1"/>
        <v/>
      </c>
      <c r="J32" s="95" t="str">
        <f t="shared" si="2"/>
        <v/>
      </c>
      <c r="K32" s="96" t="str">
        <f t="shared" si="3"/>
        <v/>
      </c>
      <c r="L32" s="96" t="str">
        <f t="shared" si="4"/>
        <v/>
      </c>
      <c r="M32" s="98" t="str">
        <f t="shared" si="5"/>
        <v/>
      </c>
      <c r="N32" s="98" t="str">
        <f t="shared" si="6"/>
        <v/>
      </c>
      <c r="O32" s="96" t="str">
        <f t="shared" si="7"/>
        <v/>
      </c>
      <c r="P32" s="96" t="str">
        <f t="shared" si="8"/>
        <v/>
      </c>
      <c r="Q32" s="100" t="str">
        <f t="shared" si="9"/>
        <v/>
      </c>
      <c r="R32" s="96" t="str">
        <f t="shared" si="10"/>
        <v/>
      </c>
      <c r="S32" s="96" t="str">
        <f>IFERROR(__xludf.DUMMYFUNCTION("if(isblank(B32),,query(Portfolio!C$6:U$55, ""select U WHERE (C=""""""&amp;$C32&amp;"""""")"")*P32)"),"")</f>
        <v/>
      </c>
      <c r="T32" s="96" t="str">
        <f>IFERROR(__xludf.DUMMYFUNCTION("if(isblank(B32),,query(Portfolio!C$6:U$55, ""select U WHERE (C=""""""&amp;$C32&amp;"""""")"")*R32)"),"")</f>
        <v/>
      </c>
      <c r="U32" s="101"/>
      <c r="V32" s="101"/>
    </row>
    <row r="33">
      <c r="A33" s="155"/>
      <c r="B33" s="101"/>
      <c r="C33" s="156"/>
      <c r="D33" s="101"/>
      <c r="E33" s="157"/>
      <c r="F33" s="102"/>
      <c r="G33" s="101"/>
      <c r="H33" s="95" t="str">
        <f t="array" ref="H33">if(isblank(B33),,max(if($C$1:$C32=C33,row($C$1:$C32))))</f>
        <v/>
      </c>
      <c r="I33" s="95" t="str">
        <f t="shared" si="1"/>
        <v/>
      </c>
      <c r="J33" s="95" t="str">
        <f t="shared" si="2"/>
        <v/>
      </c>
      <c r="K33" s="96" t="str">
        <f t="shared" si="3"/>
        <v/>
      </c>
      <c r="L33" s="96" t="str">
        <f t="shared" si="4"/>
        <v/>
      </c>
      <c r="M33" s="98" t="str">
        <f t="shared" si="5"/>
        <v/>
      </c>
      <c r="N33" s="98" t="str">
        <f t="shared" si="6"/>
        <v/>
      </c>
      <c r="O33" s="96" t="str">
        <f t="shared" si="7"/>
        <v/>
      </c>
      <c r="P33" s="96" t="str">
        <f t="shared" si="8"/>
        <v/>
      </c>
      <c r="Q33" s="100" t="str">
        <f t="shared" si="9"/>
        <v/>
      </c>
      <c r="R33" s="96" t="str">
        <f t="shared" si="10"/>
        <v/>
      </c>
      <c r="S33" s="96" t="str">
        <f>IFERROR(__xludf.DUMMYFUNCTION("if(isblank(B33),,query(Portfolio!C$6:U$55, ""select U WHERE (C=""""""&amp;$C33&amp;"""""")"")*P33)"),"")</f>
        <v/>
      </c>
      <c r="T33" s="96" t="str">
        <f>IFERROR(__xludf.DUMMYFUNCTION("if(isblank(B33),,query(Portfolio!C$6:U$55, ""select U WHERE (C=""""""&amp;$C33&amp;"""""")"")*R33)"),"")</f>
        <v/>
      </c>
      <c r="U33" s="101"/>
      <c r="V33" s="101"/>
    </row>
    <row r="34">
      <c r="A34" s="155"/>
      <c r="B34" s="101"/>
      <c r="C34" s="156"/>
      <c r="D34" s="101"/>
      <c r="E34" s="157"/>
      <c r="F34" s="102"/>
      <c r="G34" s="101"/>
      <c r="H34" s="95" t="str">
        <f t="array" ref="H34">if(isblank(B34),,max(if($C$1:$C33=C34,row($C$1:$C33))))</f>
        <v/>
      </c>
      <c r="I34" s="95" t="str">
        <f t="shared" si="1"/>
        <v/>
      </c>
      <c r="J34" s="95" t="str">
        <f t="shared" si="2"/>
        <v/>
      </c>
      <c r="K34" s="96" t="str">
        <f t="shared" si="3"/>
        <v/>
      </c>
      <c r="L34" s="96" t="str">
        <f t="shared" si="4"/>
        <v/>
      </c>
      <c r="M34" s="98" t="str">
        <f t="shared" si="5"/>
        <v/>
      </c>
      <c r="N34" s="98" t="str">
        <f t="shared" si="6"/>
        <v/>
      </c>
      <c r="O34" s="96" t="str">
        <f t="shared" si="7"/>
        <v/>
      </c>
      <c r="P34" s="96" t="str">
        <f t="shared" si="8"/>
        <v/>
      </c>
      <c r="Q34" s="100" t="str">
        <f t="shared" si="9"/>
        <v/>
      </c>
      <c r="R34" s="96" t="str">
        <f t="shared" si="10"/>
        <v/>
      </c>
      <c r="S34" s="96" t="str">
        <f>IFERROR(__xludf.DUMMYFUNCTION("if(isblank(B34),,query(Portfolio!C$6:U$55, ""select U WHERE (C=""""""&amp;$C34&amp;"""""")"")*P34)"),"")</f>
        <v/>
      </c>
      <c r="T34" s="96" t="str">
        <f>IFERROR(__xludf.DUMMYFUNCTION("if(isblank(B34),,query(Portfolio!C$6:U$55, ""select U WHERE (C=""""""&amp;$C34&amp;"""""")"")*R34)"),"")</f>
        <v/>
      </c>
      <c r="U34" s="101"/>
      <c r="V34" s="101"/>
    </row>
    <row r="35">
      <c r="A35" s="155"/>
      <c r="B35" s="101"/>
      <c r="C35" s="156"/>
      <c r="D35" s="101"/>
      <c r="E35" s="157"/>
      <c r="F35" s="102"/>
      <c r="G35" s="101"/>
      <c r="H35" s="95" t="str">
        <f t="array" ref="H35">if(isblank(B35),,max(if($C$1:$C34=C35,row($C$1:$C34))))</f>
        <v/>
      </c>
      <c r="I35" s="95" t="str">
        <f t="shared" si="1"/>
        <v/>
      </c>
      <c r="J35" s="95" t="str">
        <f t="shared" si="2"/>
        <v/>
      </c>
      <c r="K35" s="96" t="str">
        <f t="shared" si="3"/>
        <v/>
      </c>
      <c r="L35" s="96" t="str">
        <f t="shared" si="4"/>
        <v/>
      </c>
      <c r="M35" s="98" t="str">
        <f t="shared" si="5"/>
        <v/>
      </c>
      <c r="N35" s="98" t="str">
        <f t="shared" si="6"/>
        <v/>
      </c>
      <c r="O35" s="96" t="str">
        <f t="shared" si="7"/>
        <v/>
      </c>
      <c r="P35" s="96" t="str">
        <f t="shared" si="8"/>
        <v/>
      </c>
      <c r="Q35" s="100" t="str">
        <f t="shared" si="9"/>
        <v/>
      </c>
      <c r="R35" s="96" t="str">
        <f t="shared" si="10"/>
        <v/>
      </c>
      <c r="S35" s="96" t="str">
        <f>IFERROR(__xludf.DUMMYFUNCTION("if(isblank(B35),,query(Portfolio!C$6:U$55, ""select U WHERE (C=""""""&amp;$C35&amp;"""""")"")*P35)"),"")</f>
        <v/>
      </c>
      <c r="T35" s="96" t="str">
        <f>IFERROR(__xludf.DUMMYFUNCTION("if(isblank(B35),,query(Portfolio!C$6:U$55, ""select U WHERE (C=""""""&amp;$C35&amp;"""""")"")*R35)"),"")</f>
        <v/>
      </c>
      <c r="U35" s="101"/>
      <c r="V35" s="101"/>
    </row>
    <row r="36">
      <c r="A36" s="155"/>
      <c r="B36" s="101"/>
      <c r="C36" s="156"/>
      <c r="D36" s="101"/>
      <c r="E36" s="101"/>
      <c r="F36" s="102"/>
      <c r="G36" s="101"/>
      <c r="H36" s="95" t="str">
        <f t="array" ref="H36">if(isblank(B36),,max(if($C$1:$C35=C36,row($C$1:$C35))))</f>
        <v/>
      </c>
      <c r="I36" s="95" t="str">
        <f t="shared" si="1"/>
        <v/>
      </c>
      <c r="J36" s="95" t="str">
        <f t="shared" si="2"/>
        <v/>
      </c>
      <c r="K36" s="96" t="str">
        <f t="shared" si="3"/>
        <v/>
      </c>
      <c r="L36" s="96" t="str">
        <f t="shared" si="4"/>
        <v/>
      </c>
      <c r="M36" s="98" t="str">
        <f t="shared" si="5"/>
        <v/>
      </c>
      <c r="N36" s="98" t="str">
        <f t="shared" si="6"/>
        <v/>
      </c>
      <c r="O36" s="96" t="str">
        <f t="shared" si="7"/>
        <v/>
      </c>
      <c r="P36" s="96" t="str">
        <f t="shared" si="8"/>
        <v/>
      </c>
      <c r="Q36" s="100" t="str">
        <f t="shared" si="9"/>
        <v/>
      </c>
      <c r="R36" s="96" t="str">
        <f t="shared" si="10"/>
        <v/>
      </c>
      <c r="S36" s="96" t="str">
        <f>IFERROR(__xludf.DUMMYFUNCTION("if(isblank(B36),,query(Portfolio!C$6:U$55, ""select U WHERE (C=""""""&amp;$C36&amp;"""""")"")*P36)"),"")</f>
        <v/>
      </c>
      <c r="T36" s="96" t="str">
        <f>IFERROR(__xludf.DUMMYFUNCTION("if(isblank(B36),,query(Portfolio!C$6:U$55, ""select U WHERE (C=""""""&amp;$C36&amp;"""""")"")*R36)"),"")</f>
        <v/>
      </c>
      <c r="U36" s="101"/>
      <c r="V36" s="101"/>
    </row>
    <row r="37">
      <c r="A37" s="155"/>
      <c r="B37" s="101"/>
      <c r="C37" s="156"/>
      <c r="D37" s="101"/>
      <c r="E37" s="101"/>
      <c r="F37" s="102"/>
      <c r="G37" s="101"/>
      <c r="H37" s="95" t="str">
        <f t="array" ref="H37">if(isblank(B37),,max(if($C$1:$C36=C37,row($C$1:$C36))))</f>
        <v/>
      </c>
      <c r="I37" s="95" t="str">
        <f t="shared" si="1"/>
        <v/>
      </c>
      <c r="J37" s="95" t="str">
        <f t="shared" si="2"/>
        <v/>
      </c>
      <c r="K37" s="96" t="str">
        <f t="shared" si="3"/>
        <v/>
      </c>
      <c r="L37" s="96" t="str">
        <f t="shared" si="4"/>
        <v/>
      </c>
      <c r="M37" s="98" t="str">
        <f t="shared" si="5"/>
        <v/>
      </c>
      <c r="N37" s="98" t="str">
        <f t="shared" si="6"/>
        <v/>
      </c>
      <c r="O37" s="96" t="str">
        <f t="shared" si="7"/>
        <v/>
      </c>
      <c r="P37" s="96" t="str">
        <f t="shared" si="8"/>
        <v/>
      </c>
      <c r="Q37" s="100" t="str">
        <f t="shared" si="9"/>
        <v/>
      </c>
      <c r="R37" s="96" t="str">
        <f t="shared" si="10"/>
        <v/>
      </c>
      <c r="S37" s="96" t="str">
        <f>IFERROR(__xludf.DUMMYFUNCTION("if(isblank(B37),,query(Portfolio!C$6:U$55, ""select U WHERE (C=""""""&amp;$C37&amp;"""""")"")*P37)"),"")</f>
        <v/>
      </c>
      <c r="T37" s="96" t="str">
        <f>IFERROR(__xludf.DUMMYFUNCTION("if(isblank(B37),,query(Portfolio!C$6:U$55, ""select U WHERE (C=""""""&amp;$C37&amp;"""""")"")*R37)"),"")</f>
        <v/>
      </c>
      <c r="U37" s="101"/>
      <c r="V37" s="101"/>
    </row>
    <row r="38">
      <c r="A38" s="155"/>
      <c r="B38" s="101"/>
      <c r="C38" s="156"/>
      <c r="D38" s="101"/>
      <c r="E38" s="101"/>
      <c r="F38" s="102"/>
      <c r="G38" s="101"/>
      <c r="H38" s="95" t="str">
        <f t="array" ref="H38">if(isblank(B38),,max(if($C$1:$C37=C38,row($C$1:$C37))))</f>
        <v/>
      </c>
      <c r="I38" s="95" t="str">
        <f t="shared" si="1"/>
        <v/>
      </c>
      <c r="J38" s="95" t="str">
        <f t="shared" si="2"/>
        <v/>
      </c>
      <c r="K38" s="96" t="str">
        <f t="shared" si="3"/>
        <v/>
      </c>
      <c r="L38" s="96" t="str">
        <f t="shared" si="4"/>
        <v/>
      </c>
      <c r="M38" s="98" t="str">
        <f t="shared" si="5"/>
        <v/>
      </c>
      <c r="N38" s="98" t="str">
        <f t="shared" si="6"/>
        <v/>
      </c>
      <c r="O38" s="96" t="str">
        <f t="shared" si="7"/>
        <v/>
      </c>
      <c r="P38" s="96" t="str">
        <f t="shared" si="8"/>
        <v/>
      </c>
      <c r="Q38" s="100" t="str">
        <f t="shared" si="9"/>
        <v/>
      </c>
      <c r="R38" s="96" t="str">
        <f t="shared" si="10"/>
        <v/>
      </c>
      <c r="S38" s="96" t="str">
        <f>IFERROR(__xludf.DUMMYFUNCTION("if(isblank(B38),,query(Portfolio!C$6:U$55, ""select U WHERE (C=""""""&amp;$C38&amp;"""""")"")*P38)"),"")</f>
        <v/>
      </c>
      <c r="T38" s="96" t="str">
        <f>IFERROR(__xludf.DUMMYFUNCTION("if(isblank(B38),,query(Portfolio!C$6:U$55, ""select U WHERE (C=""""""&amp;$C38&amp;"""""")"")*R38)"),"")</f>
        <v/>
      </c>
      <c r="U38" s="101"/>
      <c r="V38" s="101"/>
    </row>
    <row r="39">
      <c r="A39" s="155"/>
      <c r="B39" s="101"/>
      <c r="C39" s="156"/>
      <c r="D39" s="101"/>
      <c r="E39" s="101"/>
      <c r="F39" s="102"/>
      <c r="G39" s="101"/>
      <c r="H39" s="95" t="str">
        <f t="array" ref="H39">if(isblank(B39),,max(if($C$1:$C38=C39,row($C$1:$C38))))</f>
        <v/>
      </c>
      <c r="I39" s="95" t="str">
        <f t="shared" si="1"/>
        <v/>
      </c>
      <c r="J39" s="95" t="str">
        <f t="shared" si="2"/>
        <v/>
      </c>
      <c r="K39" s="96" t="str">
        <f t="shared" si="3"/>
        <v/>
      </c>
      <c r="L39" s="96" t="str">
        <f t="shared" si="4"/>
        <v/>
      </c>
      <c r="M39" s="98" t="str">
        <f t="shared" si="5"/>
        <v/>
      </c>
      <c r="N39" s="98" t="str">
        <f t="shared" si="6"/>
        <v/>
      </c>
      <c r="O39" s="96" t="str">
        <f t="shared" si="7"/>
        <v/>
      </c>
      <c r="P39" s="96" t="str">
        <f t="shared" si="8"/>
        <v/>
      </c>
      <c r="Q39" s="100" t="str">
        <f t="shared" si="9"/>
        <v/>
      </c>
      <c r="R39" s="96" t="str">
        <f t="shared" si="10"/>
        <v/>
      </c>
      <c r="S39" s="96" t="str">
        <f>IFERROR(__xludf.DUMMYFUNCTION("if(isblank(B39),,query(Portfolio!C$6:U$55, ""select U WHERE (C=""""""&amp;$C39&amp;"""""")"")*P39)"),"")</f>
        <v/>
      </c>
      <c r="T39" s="96" t="str">
        <f>IFERROR(__xludf.DUMMYFUNCTION("if(isblank(B39),,query(Portfolio!C$6:U$55, ""select U WHERE (C=""""""&amp;$C39&amp;"""""")"")*R39)"),"")</f>
        <v/>
      </c>
      <c r="U39" s="101"/>
      <c r="V39" s="101"/>
    </row>
    <row r="40">
      <c r="A40" s="155"/>
      <c r="B40" s="101"/>
      <c r="C40" s="156"/>
      <c r="D40" s="101"/>
      <c r="E40" s="101"/>
      <c r="F40" s="102"/>
      <c r="G40" s="101"/>
      <c r="H40" s="95" t="str">
        <f t="array" ref="H40">if(isblank(B40),,max(if($C$1:$C39=C40,row($C$1:$C39))))</f>
        <v/>
      </c>
      <c r="I40" s="95" t="str">
        <f t="shared" si="1"/>
        <v/>
      </c>
      <c r="J40" s="95" t="str">
        <f t="shared" si="2"/>
        <v/>
      </c>
      <c r="K40" s="96" t="str">
        <f t="shared" si="3"/>
        <v/>
      </c>
      <c r="L40" s="96" t="str">
        <f t="shared" si="4"/>
        <v/>
      </c>
      <c r="M40" s="98" t="str">
        <f t="shared" si="5"/>
        <v/>
      </c>
      <c r="N40" s="98" t="str">
        <f t="shared" si="6"/>
        <v/>
      </c>
      <c r="O40" s="96" t="str">
        <f t="shared" si="7"/>
        <v/>
      </c>
      <c r="P40" s="96" t="str">
        <f t="shared" si="8"/>
        <v/>
      </c>
      <c r="Q40" s="100" t="str">
        <f t="shared" si="9"/>
        <v/>
      </c>
      <c r="R40" s="96" t="str">
        <f t="shared" si="10"/>
        <v/>
      </c>
      <c r="S40" s="96" t="str">
        <f>IFERROR(__xludf.DUMMYFUNCTION("if(isblank(B40),,query(Portfolio!C$6:U$55, ""select U WHERE (C=""""""&amp;$C40&amp;"""""")"")*P40)"),"")</f>
        <v/>
      </c>
      <c r="T40" s="96" t="str">
        <f>IFERROR(__xludf.DUMMYFUNCTION("if(isblank(B40),,query(Portfolio!C$6:U$55, ""select U WHERE (C=""""""&amp;$C40&amp;"""""")"")*R40)"),"")</f>
        <v/>
      </c>
      <c r="U40" s="101"/>
      <c r="V40" s="101"/>
    </row>
    <row r="41">
      <c r="A41" s="155"/>
      <c r="B41" s="101"/>
      <c r="C41" s="156"/>
      <c r="D41" s="101"/>
      <c r="E41" s="101"/>
      <c r="F41" s="102"/>
      <c r="G41" s="101"/>
      <c r="H41" s="95" t="str">
        <f t="array" ref="H41">if(isblank(B41),,max(if($C$1:$C40=C41,row($C$1:$C40))))</f>
        <v/>
      </c>
      <c r="I41" s="95" t="str">
        <f t="shared" si="1"/>
        <v/>
      </c>
      <c r="J41" s="95" t="str">
        <f t="shared" si="2"/>
        <v/>
      </c>
      <c r="K41" s="96" t="str">
        <f t="shared" si="3"/>
        <v/>
      </c>
      <c r="L41" s="96" t="str">
        <f t="shared" si="4"/>
        <v/>
      </c>
      <c r="M41" s="98" t="str">
        <f t="shared" si="5"/>
        <v/>
      </c>
      <c r="N41" s="98" t="str">
        <f t="shared" si="6"/>
        <v/>
      </c>
      <c r="O41" s="96" t="str">
        <f t="shared" si="7"/>
        <v/>
      </c>
      <c r="P41" s="96" t="str">
        <f t="shared" si="8"/>
        <v/>
      </c>
      <c r="Q41" s="100" t="str">
        <f t="shared" si="9"/>
        <v/>
      </c>
      <c r="R41" s="96" t="str">
        <f t="shared" si="10"/>
        <v/>
      </c>
      <c r="S41" s="96" t="str">
        <f>IFERROR(__xludf.DUMMYFUNCTION("if(isblank(B41),,query(Portfolio!C$6:U$55, ""select U WHERE (C=""""""&amp;$C41&amp;"""""")"")*P41)"),"")</f>
        <v/>
      </c>
      <c r="T41" s="96" t="str">
        <f>IFERROR(__xludf.DUMMYFUNCTION("if(isblank(B41),,query(Portfolio!C$6:U$55, ""select U WHERE (C=""""""&amp;$C41&amp;"""""")"")*R41)"),"")</f>
        <v/>
      </c>
      <c r="U41" s="101"/>
      <c r="V41" s="101"/>
    </row>
    <row r="42">
      <c r="A42" s="155"/>
      <c r="B42" s="101"/>
      <c r="C42" s="156"/>
      <c r="D42" s="101"/>
      <c r="E42" s="101"/>
      <c r="F42" s="102"/>
      <c r="G42" s="101"/>
      <c r="H42" s="95" t="str">
        <f t="array" ref="H42">if(isblank(B42),,max(if($C$1:$C41=C42,row($C$1:$C41))))</f>
        <v/>
      </c>
      <c r="I42" s="95" t="str">
        <f t="shared" si="1"/>
        <v/>
      </c>
      <c r="J42" s="95" t="str">
        <f t="shared" si="2"/>
        <v/>
      </c>
      <c r="K42" s="96" t="str">
        <f t="shared" si="3"/>
        <v/>
      </c>
      <c r="L42" s="96" t="str">
        <f t="shared" si="4"/>
        <v/>
      </c>
      <c r="M42" s="98" t="str">
        <f t="shared" si="5"/>
        <v/>
      </c>
      <c r="N42" s="98" t="str">
        <f t="shared" si="6"/>
        <v/>
      </c>
      <c r="O42" s="96" t="str">
        <f t="shared" si="7"/>
        <v/>
      </c>
      <c r="P42" s="96" t="str">
        <f t="shared" si="8"/>
        <v/>
      </c>
      <c r="Q42" s="100" t="str">
        <f t="shared" si="9"/>
        <v/>
      </c>
      <c r="R42" s="96" t="str">
        <f t="shared" si="10"/>
        <v/>
      </c>
      <c r="S42" s="96" t="str">
        <f>IFERROR(__xludf.DUMMYFUNCTION("if(isblank(B42),,query(Portfolio!C$6:U$55, ""select U WHERE (C=""""""&amp;$C42&amp;"""""")"")*P42)"),"")</f>
        <v/>
      </c>
      <c r="T42" s="96" t="str">
        <f>IFERROR(__xludf.DUMMYFUNCTION("if(isblank(B42),,query(Portfolio!C$6:U$55, ""select U WHERE (C=""""""&amp;$C42&amp;"""""")"")*R42)"),"")</f>
        <v/>
      </c>
      <c r="U42" s="101"/>
      <c r="V42" s="101"/>
    </row>
    <row r="43">
      <c r="A43" s="155"/>
      <c r="B43" s="101"/>
      <c r="C43" s="156"/>
      <c r="D43" s="101"/>
      <c r="E43" s="101"/>
      <c r="F43" s="102"/>
      <c r="G43" s="101"/>
      <c r="H43" s="95" t="str">
        <f t="array" ref="H43">if(isblank(B43),,max(if($C$1:$C42=C43,row($C$1:$C42))))</f>
        <v/>
      </c>
      <c r="I43" s="95" t="str">
        <f t="shared" si="1"/>
        <v/>
      </c>
      <c r="J43" s="95" t="str">
        <f t="shared" si="2"/>
        <v/>
      </c>
      <c r="K43" s="96" t="str">
        <f t="shared" si="3"/>
        <v/>
      </c>
      <c r="L43" s="96" t="str">
        <f t="shared" si="4"/>
        <v/>
      </c>
      <c r="M43" s="98" t="str">
        <f t="shared" si="5"/>
        <v/>
      </c>
      <c r="N43" s="98" t="str">
        <f t="shared" si="6"/>
        <v/>
      </c>
      <c r="O43" s="96" t="str">
        <f t="shared" si="7"/>
        <v/>
      </c>
      <c r="P43" s="96" t="str">
        <f t="shared" si="8"/>
        <v/>
      </c>
      <c r="Q43" s="100" t="str">
        <f t="shared" si="9"/>
        <v/>
      </c>
      <c r="R43" s="96" t="str">
        <f t="shared" si="10"/>
        <v/>
      </c>
      <c r="S43" s="96" t="str">
        <f>IFERROR(__xludf.DUMMYFUNCTION("if(isblank(B43),,query(Portfolio!C$6:U$55, ""select U WHERE (C=""""""&amp;$C43&amp;"""""")"")*P43)"),"")</f>
        <v/>
      </c>
      <c r="T43" s="96" t="str">
        <f>IFERROR(__xludf.DUMMYFUNCTION("if(isblank(B43),,query(Portfolio!C$6:U$55, ""select U WHERE (C=""""""&amp;$C43&amp;"""""")"")*R43)"),"")</f>
        <v/>
      </c>
      <c r="U43" s="101"/>
      <c r="V43" s="101"/>
    </row>
    <row r="44">
      <c r="A44" s="155"/>
      <c r="B44" s="101"/>
      <c r="C44" s="156"/>
      <c r="D44" s="101"/>
      <c r="E44" s="101"/>
      <c r="F44" s="102"/>
      <c r="G44" s="101"/>
      <c r="H44" s="95" t="str">
        <f t="array" ref="H44">if(isblank(B44),,max(if($C$1:$C43=C44,row($C$1:$C43))))</f>
        <v/>
      </c>
      <c r="I44" s="95" t="str">
        <f t="shared" si="1"/>
        <v/>
      </c>
      <c r="J44" s="95" t="str">
        <f t="shared" si="2"/>
        <v/>
      </c>
      <c r="K44" s="96" t="str">
        <f t="shared" si="3"/>
        <v/>
      </c>
      <c r="L44" s="96" t="str">
        <f t="shared" si="4"/>
        <v/>
      </c>
      <c r="M44" s="98" t="str">
        <f t="shared" si="5"/>
        <v/>
      </c>
      <c r="N44" s="98" t="str">
        <f t="shared" si="6"/>
        <v/>
      </c>
      <c r="O44" s="96" t="str">
        <f t="shared" si="7"/>
        <v/>
      </c>
      <c r="P44" s="96" t="str">
        <f t="shared" si="8"/>
        <v/>
      </c>
      <c r="Q44" s="100" t="str">
        <f t="shared" si="9"/>
        <v/>
      </c>
      <c r="R44" s="96" t="str">
        <f t="shared" si="10"/>
        <v/>
      </c>
      <c r="S44" s="96" t="str">
        <f>IFERROR(__xludf.DUMMYFUNCTION("if(isblank(B44),,query(Portfolio!C$6:U$55, ""select U WHERE (C=""""""&amp;$C44&amp;"""""")"")*P44)"),"")</f>
        <v/>
      </c>
      <c r="T44" s="96" t="str">
        <f>IFERROR(__xludf.DUMMYFUNCTION("if(isblank(B44),,query(Portfolio!C$6:U$55, ""select U WHERE (C=""""""&amp;$C44&amp;"""""")"")*R44)"),"")</f>
        <v/>
      </c>
      <c r="U44" s="101"/>
      <c r="V44" s="101"/>
    </row>
    <row r="45">
      <c r="A45" s="155"/>
      <c r="B45" s="101"/>
      <c r="C45" s="156"/>
      <c r="D45" s="101"/>
      <c r="E45" s="101"/>
      <c r="F45" s="102"/>
      <c r="G45" s="101"/>
      <c r="H45" s="95" t="str">
        <f t="array" ref="H45">if(isblank(B45),,max(if($C$1:$C44=C45,row($C$1:$C44))))</f>
        <v/>
      </c>
      <c r="I45" s="95" t="str">
        <f t="shared" si="1"/>
        <v/>
      </c>
      <c r="J45" s="95" t="str">
        <f t="shared" si="2"/>
        <v/>
      </c>
      <c r="K45" s="96" t="str">
        <f t="shared" si="3"/>
        <v/>
      </c>
      <c r="L45" s="96" t="str">
        <f t="shared" si="4"/>
        <v/>
      </c>
      <c r="M45" s="98" t="str">
        <f t="shared" si="5"/>
        <v/>
      </c>
      <c r="N45" s="98" t="str">
        <f t="shared" si="6"/>
        <v/>
      </c>
      <c r="O45" s="96" t="str">
        <f t="shared" si="7"/>
        <v/>
      </c>
      <c r="P45" s="96" t="str">
        <f t="shared" si="8"/>
        <v/>
      </c>
      <c r="Q45" s="100" t="str">
        <f t="shared" si="9"/>
        <v/>
      </c>
      <c r="R45" s="96" t="str">
        <f t="shared" si="10"/>
        <v/>
      </c>
      <c r="S45" s="96" t="str">
        <f>IFERROR(__xludf.DUMMYFUNCTION("if(isblank(B45),,query(Portfolio!C$6:U$55, ""select U WHERE (C=""""""&amp;$C45&amp;"""""")"")*P45)"),"")</f>
        <v/>
      </c>
      <c r="T45" s="96" t="str">
        <f>IFERROR(__xludf.DUMMYFUNCTION("if(isblank(B45),,query(Portfolio!C$6:U$55, ""select U WHERE (C=""""""&amp;$C45&amp;"""""")"")*R45)"),"")</f>
        <v/>
      </c>
      <c r="U45" s="101"/>
      <c r="V45" s="101"/>
    </row>
    <row r="46">
      <c r="A46" s="155"/>
      <c r="B46" s="101"/>
      <c r="C46" s="156"/>
      <c r="D46" s="101"/>
      <c r="E46" s="101"/>
      <c r="F46" s="102"/>
      <c r="G46" s="101"/>
      <c r="H46" s="95" t="str">
        <f t="array" ref="H46">if(isblank(B46),,max(if($C$1:$C45=C46,row($C$1:$C45))))</f>
        <v/>
      </c>
      <c r="I46" s="95" t="str">
        <f t="shared" si="1"/>
        <v/>
      </c>
      <c r="J46" s="95" t="str">
        <f t="shared" si="2"/>
        <v/>
      </c>
      <c r="K46" s="96" t="str">
        <f t="shared" si="3"/>
        <v/>
      </c>
      <c r="L46" s="96" t="str">
        <f t="shared" si="4"/>
        <v/>
      </c>
      <c r="M46" s="98" t="str">
        <f t="shared" si="5"/>
        <v/>
      </c>
      <c r="N46" s="98" t="str">
        <f t="shared" si="6"/>
        <v/>
      </c>
      <c r="O46" s="96" t="str">
        <f t="shared" si="7"/>
        <v/>
      </c>
      <c r="P46" s="96" t="str">
        <f t="shared" si="8"/>
        <v/>
      </c>
      <c r="Q46" s="100" t="str">
        <f t="shared" si="9"/>
        <v/>
      </c>
      <c r="R46" s="96" t="str">
        <f t="shared" si="10"/>
        <v/>
      </c>
      <c r="S46" s="96" t="str">
        <f>IFERROR(__xludf.DUMMYFUNCTION("if(isblank(B46),,query(Portfolio!C$6:U$55, ""select U WHERE (C=""""""&amp;$C46&amp;"""""")"")*P46)"),"")</f>
        <v/>
      </c>
      <c r="T46" s="96" t="str">
        <f>IFERROR(__xludf.DUMMYFUNCTION("if(isblank(B46),,query(Portfolio!C$6:U$55, ""select U WHERE (C=""""""&amp;$C46&amp;"""""")"")*R46)"),"")</f>
        <v/>
      </c>
      <c r="U46" s="101"/>
      <c r="V46" s="101"/>
    </row>
    <row r="47">
      <c r="A47" s="155"/>
      <c r="B47" s="101"/>
      <c r="C47" s="156"/>
      <c r="D47" s="101"/>
      <c r="E47" s="101"/>
      <c r="F47" s="102"/>
      <c r="G47" s="101"/>
      <c r="H47" s="95" t="str">
        <f t="array" ref="H47">if(isblank(B47),,max(if($C$1:$C46=C47,row($C$1:$C46))))</f>
        <v/>
      </c>
      <c r="I47" s="95" t="str">
        <f t="shared" si="1"/>
        <v/>
      </c>
      <c r="J47" s="95" t="str">
        <f t="shared" si="2"/>
        <v/>
      </c>
      <c r="K47" s="96" t="str">
        <f t="shared" si="3"/>
        <v/>
      </c>
      <c r="L47" s="96" t="str">
        <f t="shared" si="4"/>
        <v/>
      </c>
      <c r="M47" s="98" t="str">
        <f t="shared" si="5"/>
        <v/>
      </c>
      <c r="N47" s="98" t="str">
        <f t="shared" si="6"/>
        <v/>
      </c>
      <c r="O47" s="96" t="str">
        <f t="shared" si="7"/>
        <v/>
      </c>
      <c r="P47" s="96" t="str">
        <f t="shared" si="8"/>
        <v/>
      </c>
      <c r="Q47" s="100" t="str">
        <f t="shared" si="9"/>
        <v/>
      </c>
      <c r="R47" s="96" t="str">
        <f t="shared" si="10"/>
        <v/>
      </c>
      <c r="S47" s="96" t="str">
        <f>IFERROR(__xludf.DUMMYFUNCTION("if(isblank(B47),,query(Portfolio!C$6:U$55, ""select U WHERE (C=""""""&amp;$C47&amp;"""""")"")*P47)"),"")</f>
        <v/>
      </c>
      <c r="T47" s="96" t="str">
        <f>IFERROR(__xludf.DUMMYFUNCTION("if(isblank(B47),,query(Portfolio!C$6:U$55, ""select U WHERE (C=""""""&amp;$C47&amp;"""""")"")*R47)"),"")</f>
        <v/>
      </c>
      <c r="U47" s="101"/>
      <c r="V47" s="101"/>
    </row>
    <row r="48">
      <c r="A48" s="155"/>
      <c r="B48" s="101"/>
      <c r="C48" s="156"/>
      <c r="D48" s="101"/>
      <c r="E48" s="101"/>
      <c r="F48" s="102"/>
      <c r="G48" s="101"/>
      <c r="H48" s="95" t="str">
        <f t="array" ref="H48">if(isblank(B48),,max(if($C$1:$C47=C48,row($C$1:$C47))))</f>
        <v/>
      </c>
      <c r="I48" s="95" t="str">
        <f t="shared" si="1"/>
        <v/>
      </c>
      <c r="J48" s="95" t="str">
        <f t="shared" si="2"/>
        <v/>
      </c>
      <c r="K48" s="96" t="str">
        <f t="shared" si="3"/>
        <v/>
      </c>
      <c r="L48" s="96" t="str">
        <f t="shared" si="4"/>
        <v/>
      </c>
      <c r="M48" s="98" t="str">
        <f t="shared" si="5"/>
        <v/>
      </c>
      <c r="N48" s="98" t="str">
        <f t="shared" si="6"/>
        <v/>
      </c>
      <c r="O48" s="96" t="str">
        <f t="shared" si="7"/>
        <v/>
      </c>
      <c r="P48" s="96" t="str">
        <f t="shared" si="8"/>
        <v/>
      </c>
      <c r="Q48" s="100" t="str">
        <f t="shared" si="9"/>
        <v/>
      </c>
      <c r="R48" s="96" t="str">
        <f t="shared" si="10"/>
        <v/>
      </c>
      <c r="S48" s="96" t="str">
        <f>IFERROR(__xludf.DUMMYFUNCTION("if(isblank(B48),,query(Portfolio!C$6:U$55, ""select U WHERE (C=""""""&amp;$C48&amp;"""""")"")*P48)"),"")</f>
        <v/>
      </c>
      <c r="T48" s="96" t="str">
        <f>IFERROR(__xludf.DUMMYFUNCTION("if(isblank(B48),,query(Portfolio!C$6:U$55, ""select U WHERE (C=""""""&amp;$C48&amp;"""""")"")*R48)"),"")</f>
        <v/>
      </c>
      <c r="U48" s="101"/>
      <c r="V48" s="101"/>
    </row>
    <row r="49">
      <c r="A49" s="155"/>
      <c r="B49" s="101"/>
      <c r="C49" s="156"/>
      <c r="D49" s="101"/>
      <c r="E49" s="101"/>
      <c r="F49" s="102"/>
      <c r="G49" s="101"/>
      <c r="H49" s="95" t="str">
        <f t="array" ref="H49">if(isblank(B49),,max(if($C$1:$C48=C49,row($C$1:$C48))))</f>
        <v/>
      </c>
      <c r="I49" s="95" t="str">
        <f t="shared" si="1"/>
        <v/>
      </c>
      <c r="J49" s="95" t="str">
        <f t="shared" si="2"/>
        <v/>
      </c>
      <c r="K49" s="96" t="str">
        <f t="shared" si="3"/>
        <v/>
      </c>
      <c r="L49" s="96" t="str">
        <f t="shared" si="4"/>
        <v/>
      </c>
      <c r="M49" s="98" t="str">
        <f t="shared" si="5"/>
        <v/>
      </c>
      <c r="N49" s="98" t="str">
        <f t="shared" si="6"/>
        <v/>
      </c>
      <c r="O49" s="96" t="str">
        <f t="shared" si="7"/>
        <v/>
      </c>
      <c r="P49" s="96" t="str">
        <f t="shared" si="8"/>
        <v/>
      </c>
      <c r="Q49" s="100" t="str">
        <f t="shared" si="9"/>
        <v/>
      </c>
      <c r="R49" s="96" t="str">
        <f t="shared" si="10"/>
        <v/>
      </c>
      <c r="S49" s="96" t="str">
        <f>IFERROR(__xludf.DUMMYFUNCTION("if(isblank(B49),,query(Portfolio!C$6:U$55, ""select U WHERE (C=""""""&amp;$C49&amp;"""""")"")*P49)"),"")</f>
        <v/>
      </c>
      <c r="T49" s="96" t="str">
        <f>IFERROR(__xludf.DUMMYFUNCTION("if(isblank(B49),,query(Portfolio!C$6:U$55, ""select U WHERE (C=""""""&amp;$C49&amp;"""""")"")*R49)"),"")</f>
        <v/>
      </c>
      <c r="U49" s="101"/>
      <c r="V49" s="101"/>
    </row>
    <row r="50">
      <c r="A50" s="155"/>
      <c r="B50" s="101"/>
      <c r="C50" s="156"/>
      <c r="D50" s="101"/>
      <c r="E50" s="101"/>
      <c r="F50" s="102"/>
      <c r="G50" s="101"/>
      <c r="H50" s="95" t="str">
        <f t="array" ref="H50">if(isblank(B50),,max(if($C$1:$C49=C50,row($C$1:$C49))))</f>
        <v/>
      </c>
      <c r="I50" s="95" t="str">
        <f t="shared" si="1"/>
        <v/>
      </c>
      <c r="J50" s="95" t="str">
        <f t="shared" si="2"/>
        <v/>
      </c>
      <c r="K50" s="96" t="str">
        <f t="shared" si="3"/>
        <v/>
      </c>
      <c r="L50" s="96" t="str">
        <f t="shared" si="4"/>
        <v/>
      </c>
      <c r="M50" s="98" t="str">
        <f t="shared" si="5"/>
        <v/>
      </c>
      <c r="N50" s="98" t="str">
        <f t="shared" si="6"/>
        <v/>
      </c>
      <c r="O50" s="96" t="str">
        <f t="shared" si="7"/>
        <v/>
      </c>
      <c r="P50" s="96" t="str">
        <f t="shared" si="8"/>
        <v/>
      </c>
      <c r="Q50" s="100" t="str">
        <f t="shared" si="9"/>
        <v/>
      </c>
      <c r="R50" s="96" t="str">
        <f t="shared" si="10"/>
        <v/>
      </c>
      <c r="S50" s="96" t="str">
        <f>IFERROR(__xludf.DUMMYFUNCTION("if(isblank(B50),,query(Portfolio!C$6:U$55, ""select U WHERE (C=""""""&amp;$C50&amp;"""""")"")*P50)"),"")</f>
        <v/>
      </c>
      <c r="T50" s="96" t="str">
        <f>IFERROR(__xludf.DUMMYFUNCTION("if(isblank(B50),,query(Portfolio!C$6:U$55, ""select U WHERE (C=""""""&amp;$C50&amp;"""""")"")*R50)"),"")</f>
        <v/>
      </c>
      <c r="U50" s="101"/>
      <c r="V50" s="101"/>
    </row>
    <row r="51">
      <c r="A51" s="155"/>
      <c r="B51" s="101"/>
      <c r="C51" s="156"/>
      <c r="D51" s="101"/>
      <c r="E51" s="101"/>
      <c r="F51" s="102"/>
      <c r="G51" s="101"/>
      <c r="H51" s="95" t="str">
        <f t="array" ref="H51">if(isblank(B51),,max(if($C$1:$C50=C51,row($C$1:$C50))))</f>
        <v/>
      </c>
      <c r="I51" s="95" t="str">
        <f t="shared" si="1"/>
        <v/>
      </c>
      <c r="J51" s="95" t="str">
        <f t="shared" si="2"/>
        <v/>
      </c>
      <c r="K51" s="96" t="str">
        <f t="shared" si="3"/>
        <v/>
      </c>
      <c r="L51" s="96" t="str">
        <f t="shared" si="4"/>
        <v/>
      </c>
      <c r="M51" s="98" t="str">
        <f t="shared" si="5"/>
        <v/>
      </c>
      <c r="N51" s="98" t="str">
        <f t="shared" si="6"/>
        <v/>
      </c>
      <c r="O51" s="96" t="str">
        <f t="shared" si="7"/>
        <v/>
      </c>
      <c r="P51" s="96" t="str">
        <f t="shared" si="8"/>
        <v/>
      </c>
      <c r="Q51" s="100" t="str">
        <f t="shared" si="9"/>
        <v/>
      </c>
      <c r="R51" s="96" t="str">
        <f t="shared" si="10"/>
        <v/>
      </c>
      <c r="S51" s="96" t="str">
        <f>IFERROR(__xludf.DUMMYFUNCTION("if(isblank(B51),,query(Portfolio!C$6:U$55, ""select U WHERE (C=""""""&amp;$C51&amp;"""""")"")*P51)"),"")</f>
        <v/>
      </c>
      <c r="T51" s="96" t="str">
        <f>IFERROR(__xludf.DUMMYFUNCTION("if(isblank(B51),,query(Portfolio!C$6:U$55, ""select U WHERE (C=""""""&amp;$C51&amp;"""""")"")*R51)"),"")</f>
        <v/>
      </c>
      <c r="U51" s="101"/>
      <c r="V51" s="101"/>
    </row>
    <row r="52">
      <c r="A52" s="155"/>
      <c r="B52" s="101"/>
      <c r="C52" s="156"/>
      <c r="D52" s="101"/>
      <c r="E52" s="101"/>
      <c r="F52" s="102"/>
      <c r="G52" s="101"/>
      <c r="H52" s="95" t="str">
        <f t="array" ref="H52">if(isblank(B52),,max(if($C$1:$C51=C52,row($C$1:$C51))))</f>
        <v/>
      </c>
      <c r="I52" s="95" t="str">
        <f t="shared" si="1"/>
        <v/>
      </c>
      <c r="J52" s="95" t="str">
        <f t="shared" si="2"/>
        <v/>
      </c>
      <c r="K52" s="96" t="str">
        <f t="shared" si="3"/>
        <v/>
      </c>
      <c r="L52" s="96" t="str">
        <f t="shared" si="4"/>
        <v/>
      </c>
      <c r="M52" s="98" t="str">
        <f t="shared" si="5"/>
        <v/>
      </c>
      <c r="N52" s="98" t="str">
        <f t="shared" si="6"/>
        <v/>
      </c>
      <c r="O52" s="96" t="str">
        <f t="shared" si="7"/>
        <v/>
      </c>
      <c r="P52" s="96" t="str">
        <f t="shared" si="8"/>
        <v/>
      </c>
      <c r="Q52" s="100" t="str">
        <f t="shared" si="9"/>
        <v/>
      </c>
      <c r="R52" s="96" t="str">
        <f t="shared" si="10"/>
        <v/>
      </c>
      <c r="S52" s="96" t="str">
        <f>IFERROR(__xludf.DUMMYFUNCTION("if(isblank(B52),,query(Portfolio!C$6:U$55, ""select U WHERE (C=""""""&amp;$C52&amp;"""""")"")*P52)"),"")</f>
        <v/>
      </c>
      <c r="T52" s="96" t="str">
        <f>IFERROR(__xludf.DUMMYFUNCTION("if(isblank(B52),,query(Portfolio!C$6:U$55, ""select U WHERE (C=""""""&amp;$C52&amp;"""""")"")*R52)"),"")</f>
        <v/>
      </c>
      <c r="U52" s="101"/>
      <c r="V52" s="101"/>
    </row>
    <row r="53">
      <c r="A53" s="155"/>
      <c r="B53" s="101"/>
      <c r="C53" s="156"/>
      <c r="D53" s="101"/>
      <c r="E53" s="101"/>
      <c r="F53" s="102"/>
      <c r="G53" s="101"/>
      <c r="H53" s="95" t="str">
        <f t="array" ref="H53">if(isblank(B53),,max(if($C$1:$C52=C53,row($C$1:$C52))))</f>
        <v/>
      </c>
      <c r="I53" s="95" t="str">
        <f t="shared" si="1"/>
        <v/>
      </c>
      <c r="J53" s="95" t="str">
        <f t="shared" si="2"/>
        <v/>
      </c>
      <c r="K53" s="96" t="str">
        <f t="shared" si="3"/>
        <v/>
      </c>
      <c r="L53" s="96" t="str">
        <f t="shared" si="4"/>
        <v/>
      </c>
      <c r="M53" s="98" t="str">
        <f t="shared" si="5"/>
        <v/>
      </c>
      <c r="N53" s="98" t="str">
        <f t="shared" si="6"/>
        <v/>
      </c>
      <c r="O53" s="96" t="str">
        <f t="shared" si="7"/>
        <v/>
      </c>
      <c r="P53" s="96" t="str">
        <f t="shared" si="8"/>
        <v/>
      </c>
      <c r="Q53" s="100" t="str">
        <f t="shared" si="9"/>
        <v/>
      </c>
      <c r="R53" s="96" t="str">
        <f t="shared" si="10"/>
        <v/>
      </c>
      <c r="S53" s="96" t="str">
        <f>IFERROR(__xludf.DUMMYFUNCTION("if(isblank(B53),,query(Portfolio!C$6:U$55, ""select U WHERE (C=""""""&amp;$C53&amp;"""""")"")*P53)"),"")</f>
        <v/>
      </c>
      <c r="T53" s="96" t="str">
        <f>IFERROR(__xludf.DUMMYFUNCTION("if(isblank(B53),,query(Portfolio!C$6:U$55, ""select U WHERE (C=""""""&amp;$C53&amp;"""""")"")*R53)"),"")</f>
        <v/>
      </c>
      <c r="U53" s="101"/>
      <c r="V53" s="101"/>
    </row>
    <row r="54">
      <c r="A54" s="155"/>
      <c r="B54" s="101"/>
      <c r="C54" s="156"/>
      <c r="D54" s="101"/>
      <c r="E54" s="101"/>
      <c r="F54" s="102"/>
      <c r="G54" s="101"/>
      <c r="H54" s="95" t="str">
        <f t="array" ref="H54">if(isblank(B54),,max(if($C$1:$C53=C54,row($C$1:$C53))))</f>
        <v/>
      </c>
      <c r="I54" s="95" t="str">
        <f t="shared" si="1"/>
        <v/>
      </c>
      <c r="J54" s="95" t="str">
        <f t="shared" si="2"/>
        <v/>
      </c>
      <c r="K54" s="96" t="str">
        <f t="shared" si="3"/>
        <v/>
      </c>
      <c r="L54" s="96" t="str">
        <f t="shared" si="4"/>
        <v/>
      </c>
      <c r="M54" s="98" t="str">
        <f t="shared" si="5"/>
        <v/>
      </c>
      <c r="N54" s="98" t="str">
        <f t="shared" si="6"/>
        <v/>
      </c>
      <c r="O54" s="96" t="str">
        <f t="shared" si="7"/>
        <v/>
      </c>
      <c r="P54" s="96" t="str">
        <f t="shared" si="8"/>
        <v/>
      </c>
      <c r="Q54" s="100" t="str">
        <f t="shared" si="9"/>
        <v/>
      </c>
      <c r="R54" s="96" t="str">
        <f t="shared" si="10"/>
        <v/>
      </c>
      <c r="S54" s="96" t="str">
        <f>IFERROR(__xludf.DUMMYFUNCTION("if(isblank(B54),,query(Portfolio!C$6:U$55, ""select U WHERE (C=""""""&amp;$C54&amp;"""""")"")*P54)"),"")</f>
        <v/>
      </c>
      <c r="T54" s="96" t="str">
        <f>IFERROR(__xludf.DUMMYFUNCTION("if(isblank(B54),,query(Portfolio!C$6:U$55, ""select U WHERE (C=""""""&amp;$C54&amp;"""""")"")*R54)"),"")</f>
        <v/>
      </c>
      <c r="U54" s="101"/>
      <c r="V54" s="101"/>
    </row>
    <row r="55">
      <c r="A55" s="155"/>
      <c r="B55" s="101"/>
      <c r="C55" s="156"/>
      <c r="D55" s="101"/>
      <c r="E55" s="101"/>
      <c r="F55" s="102"/>
      <c r="G55" s="101"/>
      <c r="H55" s="95" t="str">
        <f t="array" ref="H55">if(isblank(B55),,max(if($C$1:$C54=C55,row($C$1:$C54))))</f>
        <v/>
      </c>
      <c r="I55" s="95" t="str">
        <f t="shared" si="1"/>
        <v/>
      </c>
      <c r="J55" s="95" t="str">
        <f t="shared" si="2"/>
        <v/>
      </c>
      <c r="K55" s="96" t="str">
        <f t="shared" si="3"/>
        <v/>
      </c>
      <c r="L55" s="96" t="str">
        <f t="shared" si="4"/>
        <v/>
      </c>
      <c r="M55" s="98" t="str">
        <f t="shared" si="5"/>
        <v/>
      </c>
      <c r="N55" s="98" t="str">
        <f t="shared" si="6"/>
        <v/>
      </c>
      <c r="O55" s="96" t="str">
        <f t="shared" si="7"/>
        <v/>
      </c>
      <c r="P55" s="96" t="str">
        <f t="shared" si="8"/>
        <v/>
      </c>
      <c r="Q55" s="100" t="str">
        <f t="shared" si="9"/>
        <v/>
      </c>
      <c r="R55" s="96" t="str">
        <f t="shared" si="10"/>
        <v/>
      </c>
      <c r="S55" s="96" t="str">
        <f>IFERROR(__xludf.DUMMYFUNCTION("if(isblank(B55),,query(Portfolio!C$6:U$55, ""select U WHERE (C=""""""&amp;$C55&amp;"""""")"")*P55)"),"")</f>
        <v/>
      </c>
      <c r="T55" s="96" t="str">
        <f>IFERROR(__xludf.DUMMYFUNCTION("if(isblank(B55),,query(Portfolio!C$6:U$55, ""select U WHERE (C=""""""&amp;$C55&amp;"""""")"")*R55)"),"")</f>
        <v/>
      </c>
      <c r="U55" s="101"/>
      <c r="V55" s="101"/>
    </row>
    <row r="56">
      <c r="A56" s="155"/>
      <c r="B56" s="101"/>
      <c r="C56" s="156"/>
      <c r="D56" s="101"/>
      <c r="E56" s="101"/>
      <c r="F56" s="102"/>
      <c r="G56" s="101"/>
      <c r="H56" s="95" t="str">
        <f t="array" ref="H56">if(isblank(B56),,max(if($C$1:$C55=C56,row($C$1:$C55))))</f>
        <v/>
      </c>
      <c r="I56" s="95" t="str">
        <f t="shared" si="1"/>
        <v/>
      </c>
      <c r="J56" s="95" t="str">
        <f t="shared" si="2"/>
        <v/>
      </c>
      <c r="K56" s="96" t="str">
        <f t="shared" si="3"/>
        <v/>
      </c>
      <c r="L56" s="96" t="str">
        <f t="shared" si="4"/>
        <v/>
      </c>
      <c r="M56" s="98" t="str">
        <f t="shared" si="5"/>
        <v/>
      </c>
      <c r="N56" s="98" t="str">
        <f t="shared" si="6"/>
        <v/>
      </c>
      <c r="O56" s="96" t="str">
        <f t="shared" si="7"/>
        <v/>
      </c>
      <c r="P56" s="96" t="str">
        <f t="shared" si="8"/>
        <v/>
      </c>
      <c r="Q56" s="100" t="str">
        <f t="shared" si="9"/>
        <v/>
      </c>
      <c r="R56" s="96" t="str">
        <f t="shared" si="10"/>
        <v/>
      </c>
      <c r="S56" s="96" t="str">
        <f>IFERROR(__xludf.DUMMYFUNCTION("if(isblank(B56),,query(Portfolio!C$6:U$55, ""select U WHERE (C=""""""&amp;$C56&amp;"""""")"")*P56)"),"")</f>
        <v/>
      </c>
      <c r="T56" s="96" t="str">
        <f>IFERROR(__xludf.DUMMYFUNCTION("if(isblank(B56),,query(Portfolio!C$6:U$55, ""select U WHERE (C=""""""&amp;$C56&amp;"""""")"")*R56)"),"")</f>
        <v/>
      </c>
      <c r="U56" s="101"/>
      <c r="V56" s="101"/>
    </row>
    <row r="57">
      <c r="A57" s="155"/>
      <c r="B57" s="101"/>
      <c r="C57" s="156"/>
      <c r="D57" s="101"/>
      <c r="E57" s="101"/>
      <c r="F57" s="102"/>
      <c r="G57" s="101"/>
      <c r="H57" s="95" t="str">
        <f t="array" ref="H57">if(isblank(B57),,max(if($C$1:$C56=C57,row($C$1:$C56))))</f>
        <v/>
      </c>
      <c r="I57" s="95" t="str">
        <f t="shared" si="1"/>
        <v/>
      </c>
      <c r="J57" s="95" t="str">
        <f t="shared" si="2"/>
        <v/>
      </c>
      <c r="K57" s="96" t="str">
        <f t="shared" si="3"/>
        <v/>
      </c>
      <c r="L57" s="96" t="str">
        <f t="shared" si="4"/>
        <v/>
      </c>
      <c r="M57" s="98" t="str">
        <f t="shared" si="5"/>
        <v/>
      </c>
      <c r="N57" s="98" t="str">
        <f t="shared" si="6"/>
        <v/>
      </c>
      <c r="O57" s="96" t="str">
        <f t="shared" si="7"/>
        <v/>
      </c>
      <c r="P57" s="96" t="str">
        <f t="shared" si="8"/>
        <v/>
      </c>
      <c r="Q57" s="100" t="str">
        <f t="shared" si="9"/>
        <v/>
      </c>
      <c r="R57" s="96" t="str">
        <f t="shared" si="10"/>
        <v/>
      </c>
      <c r="S57" s="96" t="str">
        <f>IFERROR(__xludf.DUMMYFUNCTION("if(isblank(B57),,query(Portfolio!C$6:U$55, ""select U WHERE (C=""""""&amp;$C57&amp;"""""")"")*P57)"),"")</f>
        <v/>
      </c>
      <c r="T57" s="96" t="str">
        <f>IFERROR(__xludf.DUMMYFUNCTION("if(isblank(B57),,query(Portfolio!C$6:U$55, ""select U WHERE (C=""""""&amp;$C57&amp;"""""")"")*R57)"),"")</f>
        <v/>
      </c>
      <c r="U57" s="101"/>
      <c r="V57" s="101"/>
    </row>
    <row r="58">
      <c r="A58" s="155"/>
      <c r="B58" s="101"/>
      <c r="C58" s="156"/>
      <c r="D58" s="101"/>
      <c r="E58" s="101"/>
      <c r="F58" s="102"/>
      <c r="G58" s="101"/>
      <c r="H58" s="95" t="str">
        <f t="array" ref="H58">if(isblank(B58),,max(if($C$1:$C57=C58,row($C$1:$C57))))</f>
        <v/>
      </c>
      <c r="I58" s="95" t="str">
        <f t="shared" si="1"/>
        <v/>
      </c>
      <c r="J58" s="95" t="str">
        <f t="shared" si="2"/>
        <v/>
      </c>
      <c r="K58" s="96" t="str">
        <f t="shared" si="3"/>
        <v/>
      </c>
      <c r="L58" s="96" t="str">
        <f t="shared" si="4"/>
        <v/>
      </c>
      <c r="M58" s="98" t="str">
        <f t="shared" si="5"/>
        <v/>
      </c>
      <c r="N58" s="98" t="str">
        <f t="shared" si="6"/>
        <v/>
      </c>
      <c r="O58" s="96" t="str">
        <f t="shared" si="7"/>
        <v/>
      </c>
      <c r="P58" s="96" t="str">
        <f t="shared" si="8"/>
        <v/>
      </c>
      <c r="Q58" s="100" t="str">
        <f t="shared" si="9"/>
        <v/>
      </c>
      <c r="R58" s="96" t="str">
        <f t="shared" si="10"/>
        <v/>
      </c>
      <c r="S58" s="96" t="str">
        <f>IFERROR(__xludf.DUMMYFUNCTION("if(isblank(B58),,query(Portfolio!C$6:U$55, ""select U WHERE (C=""""""&amp;$C58&amp;"""""")"")*P58)"),"")</f>
        <v/>
      </c>
      <c r="T58" s="96" t="str">
        <f>IFERROR(__xludf.DUMMYFUNCTION("if(isblank(B58),,query(Portfolio!C$6:U$55, ""select U WHERE (C=""""""&amp;$C58&amp;"""""")"")*R58)"),"")</f>
        <v/>
      </c>
      <c r="U58" s="101"/>
      <c r="V58" s="101"/>
    </row>
    <row r="59">
      <c r="A59" s="155"/>
      <c r="B59" s="101"/>
      <c r="C59" s="156"/>
      <c r="D59" s="101"/>
      <c r="E59" s="101"/>
      <c r="F59" s="102"/>
      <c r="G59" s="101"/>
      <c r="H59" s="95" t="str">
        <f t="array" ref="H59">if(isblank(B59),,max(if($C$1:$C58=C59,row($C$1:$C58))))</f>
        <v/>
      </c>
      <c r="I59" s="95" t="str">
        <f t="shared" si="1"/>
        <v/>
      </c>
      <c r="J59" s="95" t="str">
        <f t="shared" si="2"/>
        <v/>
      </c>
      <c r="K59" s="96" t="str">
        <f t="shared" si="3"/>
        <v/>
      </c>
      <c r="L59" s="96" t="str">
        <f t="shared" si="4"/>
        <v/>
      </c>
      <c r="M59" s="98" t="str">
        <f t="shared" si="5"/>
        <v/>
      </c>
      <c r="N59" s="98" t="str">
        <f t="shared" si="6"/>
        <v/>
      </c>
      <c r="O59" s="96" t="str">
        <f t="shared" si="7"/>
        <v/>
      </c>
      <c r="P59" s="96" t="str">
        <f t="shared" si="8"/>
        <v/>
      </c>
      <c r="Q59" s="100" t="str">
        <f t="shared" si="9"/>
        <v/>
      </c>
      <c r="R59" s="96" t="str">
        <f t="shared" si="10"/>
        <v/>
      </c>
      <c r="S59" s="96" t="str">
        <f>IFERROR(__xludf.DUMMYFUNCTION("if(isblank(B59),,query(Portfolio!C$6:U$55, ""select U WHERE (C=""""""&amp;$C59&amp;"""""")"")*P59)"),"")</f>
        <v/>
      </c>
      <c r="T59" s="96" t="str">
        <f>IFERROR(__xludf.DUMMYFUNCTION("if(isblank(B59),,query(Portfolio!C$6:U$55, ""select U WHERE (C=""""""&amp;$C59&amp;"""""")"")*R59)"),"")</f>
        <v/>
      </c>
      <c r="U59" s="101"/>
      <c r="V59" s="101"/>
    </row>
    <row r="60">
      <c r="A60" s="155"/>
      <c r="B60" s="101"/>
      <c r="C60" s="156"/>
      <c r="D60" s="101"/>
      <c r="E60" s="101"/>
      <c r="F60" s="102"/>
      <c r="G60" s="101"/>
      <c r="H60" s="95" t="str">
        <f t="array" ref="H60">if(isblank(B60),,max(if($C$1:$C59=C60,row($C$1:$C59))))</f>
        <v/>
      </c>
      <c r="I60" s="95" t="str">
        <f t="shared" si="1"/>
        <v/>
      </c>
      <c r="J60" s="95" t="str">
        <f t="shared" si="2"/>
        <v/>
      </c>
      <c r="K60" s="96" t="str">
        <f t="shared" si="3"/>
        <v/>
      </c>
      <c r="L60" s="96" t="str">
        <f t="shared" si="4"/>
        <v/>
      </c>
      <c r="M60" s="98" t="str">
        <f t="shared" si="5"/>
        <v/>
      </c>
      <c r="N60" s="98" t="str">
        <f t="shared" si="6"/>
        <v/>
      </c>
      <c r="O60" s="96" t="str">
        <f t="shared" si="7"/>
        <v/>
      </c>
      <c r="P60" s="96" t="str">
        <f t="shared" si="8"/>
        <v/>
      </c>
      <c r="Q60" s="100" t="str">
        <f t="shared" si="9"/>
        <v/>
      </c>
      <c r="R60" s="96" t="str">
        <f t="shared" si="10"/>
        <v/>
      </c>
      <c r="S60" s="96" t="str">
        <f>IFERROR(__xludf.DUMMYFUNCTION("if(isblank(B60),,query(Portfolio!C$6:U$55, ""select U WHERE (C=""""""&amp;$C60&amp;"""""")"")*P60)"),"")</f>
        <v/>
      </c>
      <c r="T60" s="96" t="str">
        <f>IFERROR(__xludf.DUMMYFUNCTION("if(isblank(B60),,query(Portfolio!C$6:U$55, ""select U WHERE (C=""""""&amp;$C60&amp;"""""")"")*R60)"),"")</f>
        <v/>
      </c>
      <c r="U60" s="101"/>
      <c r="V60" s="101"/>
    </row>
    <row r="61">
      <c r="A61" s="155"/>
      <c r="B61" s="101"/>
      <c r="C61" s="156"/>
      <c r="D61" s="101"/>
      <c r="E61" s="101"/>
      <c r="F61" s="102"/>
      <c r="G61" s="101"/>
      <c r="H61" s="95" t="str">
        <f t="array" ref="H61">if(isblank(B61),,max(if($C$1:$C60=C61,row($C$1:$C60))))</f>
        <v/>
      </c>
      <c r="I61" s="95" t="str">
        <f t="shared" si="1"/>
        <v/>
      </c>
      <c r="J61" s="95" t="str">
        <f t="shared" si="2"/>
        <v/>
      </c>
      <c r="K61" s="96" t="str">
        <f t="shared" si="3"/>
        <v/>
      </c>
      <c r="L61" s="96" t="str">
        <f t="shared" si="4"/>
        <v/>
      </c>
      <c r="M61" s="98" t="str">
        <f t="shared" si="5"/>
        <v/>
      </c>
      <c r="N61" s="98" t="str">
        <f t="shared" si="6"/>
        <v/>
      </c>
      <c r="O61" s="96" t="str">
        <f t="shared" si="7"/>
        <v/>
      </c>
      <c r="P61" s="96" t="str">
        <f t="shared" si="8"/>
        <v/>
      </c>
      <c r="Q61" s="100" t="str">
        <f t="shared" si="9"/>
        <v/>
      </c>
      <c r="R61" s="96" t="str">
        <f t="shared" si="10"/>
        <v/>
      </c>
      <c r="S61" s="96" t="str">
        <f>IFERROR(__xludf.DUMMYFUNCTION("if(isblank(B61),,query(Portfolio!C$6:U$55, ""select U WHERE (C=""""""&amp;$C61&amp;"""""")"")*P61)"),"")</f>
        <v/>
      </c>
      <c r="T61" s="96" t="str">
        <f>IFERROR(__xludf.DUMMYFUNCTION("if(isblank(B61),,query(Portfolio!C$6:U$55, ""select U WHERE (C=""""""&amp;$C61&amp;"""""")"")*R61)"),"")</f>
        <v/>
      </c>
      <c r="U61" s="101"/>
      <c r="V61" s="101"/>
    </row>
    <row r="62">
      <c r="A62" s="155"/>
      <c r="B62" s="101"/>
      <c r="C62" s="156"/>
      <c r="D62" s="101"/>
      <c r="E62" s="101"/>
      <c r="F62" s="102"/>
      <c r="G62" s="101"/>
      <c r="H62" s="95" t="str">
        <f t="array" ref="H62">if(isblank(B62),,max(if($C$1:$C61=C62,row($C$1:$C61))))</f>
        <v/>
      </c>
      <c r="I62" s="95" t="str">
        <f t="shared" si="1"/>
        <v/>
      </c>
      <c r="J62" s="95" t="str">
        <f t="shared" si="2"/>
        <v/>
      </c>
      <c r="K62" s="96" t="str">
        <f t="shared" si="3"/>
        <v/>
      </c>
      <c r="L62" s="96" t="str">
        <f t="shared" si="4"/>
        <v/>
      </c>
      <c r="M62" s="98" t="str">
        <f t="shared" si="5"/>
        <v/>
      </c>
      <c r="N62" s="98" t="str">
        <f t="shared" si="6"/>
        <v/>
      </c>
      <c r="O62" s="96" t="str">
        <f t="shared" si="7"/>
        <v/>
      </c>
      <c r="P62" s="96" t="str">
        <f t="shared" si="8"/>
        <v/>
      </c>
      <c r="Q62" s="100" t="str">
        <f t="shared" si="9"/>
        <v/>
      </c>
      <c r="R62" s="96" t="str">
        <f t="shared" si="10"/>
        <v/>
      </c>
      <c r="S62" s="96" t="str">
        <f>IFERROR(__xludf.DUMMYFUNCTION("if(isblank(B62),,query(Portfolio!C$6:U$55, ""select U WHERE (C=""""""&amp;$C62&amp;"""""")"")*P62)"),"")</f>
        <v/>
      </c>
      <c r="T62" s="96" t="str">
        <f>IFERROR(__xludf.DUMMYFUNCTION("if(isblank(B62),,query(Portfolio!C$6:U$55, ""select U WHERE (C=""""""&amp;$C62&amp;"""""")"")*R62)"),"")</f>
        <v/>
      </c>
      <c r="U62" s="101"/>
      <c r="V62" s="101"/>
    </row>
    <row r="63">
      <c r="A63" s="155"/>
      <c r="B63" s="101"/>
      <c r="C63" s="156"/>
      <c r="D63" s="101"/>
      <c r="E63" s="101"/>
      <c r="F63" s="102"/>
      <c r="G63" s="101"/>
      <c r="H63" s="95" t="str">
        <f t="array" ref="H63">if(isblank(B63),,max(if($C$1:$C62=C63,row($C$1:$C62))))</f>
        <v/>
      </c>
      <c r="I63" s="95" t="str">
        <f t="shared" si="1"/>
        <v/>
      </c>
      <c r="J63" s="95" t="str">
        <f t="shared" si="2"/>
        <v/>
      </c>
      <c r="K63" s="96" t="str">
        <f t="shared" si="3"/>
        <v/>
      </c>
      <c r="L63" s="96" t="str">
        <f t="shared" si="4"/>
        <v/>
      </c>
      <c r="M63" s="98" t="str">
        <f t="shared" si="5"/>
        <v/>
      </c>
      <c r="N63" s="98" t="str">
        <f t="shared" si="6"/>
        <v/>
      </c>
      <c r="O63" s="96" t="str">
        <f t="shared" si="7"/>
        <v/>
      </c>
      <c r="P63" s="96" t="str">
        <f t="shared" si="8"/>
        <v/>
      </c>
      <c r="Q63" s="100" t="str">
        <f t="shared" si="9"/>
        <v/>
      </c>
      <c r="R63" s="96" t="str">
        <f t="shared" si="10"/>
        <v/>
      </c>
      <c r="S63" s="96" t="str">
        <f>IFERROR(__xludf.DUMMYFUNCTION("if(isblank(B63),,query(Portfolio!C$6:U$55, ""select U WHERE (C=""""""&amp;$C63&amp;"""""")"")*P63)"),"")</f>
        <v/>
      </c>
      <c r="T63" s="96" t="str">
        <f>IFERROR(__xludf.DUMMYFUNCTION("if(isblank(B63),,query(Portfolio!C$6:U$55, ""select U WHERE (C=""""""&amp;$C63&amp;"""""")"")*R63)"),"")</f>
        <v/>
      </c>
      <c r="U63" s="101"/>
      <c r="V63" s="101"/>
    </row>
    <row r="64">
      <c r="A64" s="155"/>
      <c r="B64" s="101"/>
      <c r="C64" s="156"/>
      <c r="D64" s="101"/>
      <c r="E64" s="101"/>
      <c r="F64" s="102"/>
      <c r="G64" s="101"/>
      <c r="H64" s="95" t="str">
        <f t="array" ref="H64">if(isblank(B64),,max(if($C$1:$C63=C64,row($C$1:$C63))))</f>
        <v/>
      </c>
      <c r="I64" s="95" t="str">
        <f t="shared" si="1"/>
        <v/>
      </c>
      <c r="J64" s="95" t="str">
        <f t="shared" si="2"/>
        <v/>
      </c>
      <c r="K64" s="96" t="str">
        <f t="shared" si="3"/>
        <v/>
      </c>
      <c r="L64" s="96" t="str">
        <f t="shared" si="4"/>
        <v/>
      </c>
      <c r="M64" s="98" t="str">
        <f t="shared" si="5"/>
        <v/>
      </c>
      <c r="N64" s="98" t="str">
        <f t="shared" si="6"/>
        <v/>
      </c>
      <c r="O64" s="96" t="str">
        <f t="shared" si="7"/>
        <v/>
      </c>
      <c r="P64" s="96" t="str">
        <f t="shared" si="8"/>
        <v/>
      </c>
      <c r="Q64" s="100" t="str">
        <f t="shared" si="9"/>
        <v/>
      </c>
      <c r="R64" s="96" t="str">
        <f t="shared" si="10"/>
        <v/>
      </c>
      <c r="S64" s="96" t="str">
        <f>IFERROR(__xludf.DUMMYFUNCTION("if(isblank(B64),,query(Portfolio!C$6:U$55, ""select U WHERE (C=""""""&amp;$C64&amp;"""""")"")*P64)"),"")</f>
        <v/>
      </c>
      <c r="T64" s="96" t="str">
        <f>IFERROR(__xludf.DUMMYFUNCTION("if(isblank(B64),,query(Portfolio!C$6:U$55, ""select U WHERE (C=""""""&amp;$C64&amp;"""""")"")*R64)"),"")</f>
        <v/>
      </c>
      <c r="U64" s="101"/>
      <c r="V64" s="101"/>
    </row>
    <row r="65">
      <c r="A65" s="155"/>
      <c r="B65" s="101"/>
      <c r="C65" s="156"/>
      <c r="D65" s="101"/>
      <c r="E65" s="101"/>
      <c r="F65" s="102"/>
      <c r="G65" s="101"/>
      <c r="H65" s="95" t="str">
        <f t="array" ref="H65">if(isblank(B65),,max(if($C$1:$C64=C65,row($C$1:$C64))))</f>
        <v/>
      </c>
      <c r="I65" s="95" t="str">
        <f t="shared" si="1"/>
        <v/>
      </c>
      <c r="J65" s="95" t="str">
        <f t="shared" si="2"/>
        <v/>
      </c>
      <c r="K65" s="96" t="str">
        <f t="shared" si="3"/>
        <v/>
      </c>
      <c r="L65" s="96" t="str">
        <f t="shared" si="4"/>
        <v/>
      </c>
      <c r="M65" s="98" t="str">
        <f t="shared" si="5"/>
        <v/>
      </c>
      <c r="N65" s="98" t="str">
        <f t="shared" si="6"/>
        <v/>
      </c>
      <c r="O65" s="96" t="str">
        <f t="shared" si="7"/>
        <v/>
      </c>
      <c r="P65" s="96" t="str">
        <f t="shared" si="8"/>
        <v/>
      </c>
      <c r="Q65" s="100" t="str">
        <f t="shared" si="9"/>
        <v/>
      </c>
      <c r="R65" s="96" t="str">
        <f t="shared" si="10"/>
        <v/>
      </c>
      <c r="S65" s="96" t="str">
        <f>IFERROR(__xludf.DUMMYFUNCTION("if(isblank(B65),,query(Portfolio!C$6:U$55, ""select U WHERE (C=""""""&amp;$C65&amp;"""""")"")*P65)"),"")</f>
        <v/>
      </c>
      <c r="T65" s="96" t="str">
        <f>IFERROR(__xludf.DUMMYFUNCTION("if(isblank(B65),,query(Portfolio!C$6:U$55, ""select U WHERE (C=""""""&amp;$C65&amp;"""""")"")*R65)"),"")</f>
        <v/>
      </c>
      <c r="U65" s="101"/>
      <c r="V65" s="101"/>
    </row>
    <row r="66">
      <c r="A66" s="155"/>
      <c r="B66" s="101"/>
      <c r="C66" s="156"/>
      <c r="D66" s="101"/>
      <c r="E66" s="101"/>
      <c r="F66" s="102"/>
      <c r="G66" s="101"/>
      <c r="H66" s="95" t="str">
        <f t="array" ref="H66">if(isblank(B66),,max(if($C$1:$C65=C66,row($C$1:$C65))))</f>
        <v/>
      </c>
      <c r="I66" s="95" t="str">
        <f t="shared" si="1"/>
        <v/>
      </c>
      <c r="J66" s="95" t="str">
        <f t="shared" si="2"/>
        <v/>
      </c>
      <c r="K66" s="96" t="str">
        <f t="shared" si="3"/>
        <v/>
      </c>
      <c r="L66" s="96" t="str">
        <f t="shared" si="4"/>
        <v/>
      </c>
      <c r="M66" s="98" t="str">
        <f t="shared" si="5"/>
        <v/>
      </c>
      <c r="N66" s="98" t="str">
        <f t="shared" si="6"/>
        <v/>
      </c>
      <c r="O66" s="96" t="str">
        <f t="shared" si="7"/>
        <v/>
      </c>
      <c r="P66" s="96" t="str">
        <f t="shared" si="8"/>
        <v/>
      </c>
      <c r="Q66" s="100" t="str">
        <f t="shared" si="9"/>
        <v/>
      </c>
      <c r="R66" s="96" t="str">
        <f t="shared" si="10"/>
        <v/>
      </c>
      <c r="S66" s="96" t="str">
        <f>IFERROR(__xludf.DUMMYFUNCTION("if(isblank(B66),,query(Portfolio!C$6:U$55, ""select U WHERE (C=""""""&amp;$C66&amp;"""""")"")*P66)"),"")</f>
        <v/>
      </c>
      <c r="T66" s="96" t="str">
        <f>IFERROR(__xludf.DUMMYFUNCTION("if(isblank(B66),,query(Portfolio!C$6:U$55, ""select U WHERE (C=""""""&amp;$C66&amp;"""""")"")*R66)"),"")</f>
        <v/>
      </c>
      <c r="U66" s="101"/>
      <c r="V66" s="101"/>
    </row>
    <row r="67">
      <c r="A67" s="155"/>
      <c r="B67" s="101"/>
      <c r="C67" s="156"/>
      <c r="D67" s="101"/>
      <c r="E67" s="101"/>
      <c r="F67" s="102"/>
      <c r="G67" s="101"/>
      <c r="H67" s="95" t="str">
        <f t="array" ref="H67">if(isblank(B67),,max(if($C$1:$C66=C67,row($C$1:$C66))))</f>
        <v/>
      </c>
      <c r="I67" s="95" t="str">
        <f t="shared" si="1"/>
        <v/>
      </c>
      <c r="J67" s="95" t="str">
        <f t="shared" si="2"/>
        <v/>
      </c>
      <c r="K67" s="96" t="str">
        <f t="shared" si="3"/>
        <v/>
      </c>
      <c r="L67" s="96" t="str">
        <f t="shared" si="4"/>
        <v/>
      </c>
      <c r="M67" s="98" t="str">
        <f t="shared" si="5"/>
        <v/>
      </c>
      <c r="N67" s="98" t="str">
        <f t="shared" si="6"/>
        <v/>
      </c>
      <c r="O67" s="96" t="str">
        <f t="shared" si="7"/>
        <v/>
      </c>
      <c r="P67" s="96" t="str">
        <f t="shared" si="8"/>
        <v/>
      </c>
      <c r="Q67" s="100" t="str">
        <f t="shared" si="9"/>
        <v/>
      </c>
      <c r="R67" s="96" t="str">
        <f t="shared" si="10"/>
        <v/>
      </c>
      <c r="S67" s="96" t="str">
        <f>IFERROR(__xludf.DUMMYFUNCTION("if(isblank(B67),,query(Portfolio!C$6:U$55, ""select U WHERE (C=""""""&amp;$C67&amp;"""""")"")*P67)"),"")</f>
        <v/>
      </c>
      <c r="T67" s="96" t="str">
        <f>IFERROR(__xludf.DUMMYFUNCTION("if(isblank(B67),,query(Portfolio!C$6:U$55, ""select U WHERE (C=""""""&amp;$C67&amp;"""""")"")*R67)"),"")</f>
        <v/>
      </c>
      <c r="U67" s="101"/>
      <c r="V67" s="101"/>
    </row>
    <row r="68">
      <c r="A68" s="155"/>
      <c r="B68" s="101"/>
      <c r="C68" s="156"/>
      <c r="D68" s="101"/>
      <c r="E68" s="101"/>
      <c r="F68" s="102"/>
      <c r="G68" s="101"/>
      <c r="H68" s="95" t="str">
        <f t="array" ref="H68">if(isblank(B68),,max(if($C$1:$C67=C68,row($C$1:$C67))))</f>
        <v/>
      </c>
      <c r="I68" s="95" t="str">
        <f t="shared" si="1"/>
        <v/>
      </c>
      <c r="J68" s="95" t="str">
        <f t="shared" si="2"/>
        <v/>
      </c>
      <c r="K68" s="96" t="str">
        <f t="shared" si="3"/>
        <v/>
      </c>
      <c r="L68" s="96" t="str">
        <f t="shared" si="4"/>
        <v/>
      </c>
      <c r="M68" s="98" t="str">
        <f t="shared" si="5"/>
        <v/>
      </c>
      <c r="N68" s="98" t="str">
        <f t="shared" si="6"/>
        <v/>
      </c>
      <c r="O68" s="96" t="str">
        <f t="shared" si="7"/>
        <v/>
      </c>
      <c r="P68" s="96" t="str">
        <f t="shared" si="8"/>
        <v/>
      </c>
      <c r="Q68" s="100" t="str">
        <f t="shared" si="9"/>
        <v/>
      </c>
      <c r="R68" s="96" t="str">
        <f t="shared" si="10"/>
        <v/>
      </c>
      <c r="S68" s="96" t="str">
        <f>IFERROR(__xludf.DUMMYFUNCTION("if(isblank(B68),,query(Portfolio!C$6:U$55, ""select U WHERE (C=""""""&amp;$C68&amp;"""""")"")*P68)"),"")</f>
        <v/>
      </c>
      <c r="T68" s="96" t="str">
        <f>IFERROR(__xludf.DUMMYFUNCTION("if(isblank(B68),,query(Portfolio!C$6:U$55, ""select U WHERE (C=""""""&amp;$C68&amp;"""""")"")*R68)"),"")</f>
        <v/>
      </c>
      <c r="U68" s="101"/>
      <c r="V68" s="101"/>
    </row>
    <row r="69">
      <c r="A69" s="155"/>
      <c r="B69" s="101"/>
      <c r="C69" s="156"/>
      <c r="D69" s="101"/>
      <c r="E69" s="101"/>
      <c r="F69" s="102"/>
      <c r="G69" s="101"/>
      <c r="H69" s="95" t="str">
        <f t="array" ref="H69">if(isblank(B69),,max(if($C$1:$C68=C69,row($C$1:$C68))))</f>
        <v/>
      </c>
      <c r="I69" s="95" t="str">
        <f t="shared" si="1"/>
        <v/>
      </c>
      <c r="J69" s="95" t="str">
        <f t="shared" si="2"/>
        <v/>
      </c>
      <c r="K69" s="96" t="str">
        <f t="shared" si="3"/>
        <v/>
      </c>
      <c r="L69" s="96" t="str">
        <f t="shared" si="4"/>
        <v/>
      </c>
      <c r="M69" s="98" t="str">
        <f t="shared" si="5"/>
        <v/>
      </c>
      <c r="N69" s="98" t="str">
        <f t="shared" si="6"/>
        <v/>
      </c>
      <c r="O69" s="96" t="str">
        <f t="shared" si="7"/>
        <v/>
      </c>
      <c r="P69" s="96" t="str">
        <f t="shared" si="8"/>
        <v/>
      </c>
      <c r="Q69" s="100" t="str">
        <f t="shared" si="9"/>
        <v/>
      </c>
      <c r="R69" s="96" t="str">
        <f t="shared" si="10"/>
        <v/>
      </c>
      <c r="S69" s="96" t="str">
        <f>IFERROR(__xludf.DUMMYFUNCTION("if(isblank(B69),,query(Portfolio!C$6:U$55, ""select U WHERE (C=""""""&amp;$C69&amp;"""""")"")*P69)"),"")</f>
        <v/>
      </c>
      <c r="T69" s="96" t="str">
        <f>IFERROR(__xludf.DUMMYFUNCTION("if(isblank(B69),,query(Portfolio!C$6:U$55, ""select U WHERE (C=""""""&amp;$C69&amp;"""""")"")*R69)"),"")</f>
        <v/>
      </c>
      <c r="U69" s="101"/>
      <c r="V69" s="101"/>
    </row>
    <row r="70">
      <c r="A70" s="155"/>
      <c r="B70" s="101"/>
      <c r="C70" s="156"/>
      <c r="D70" s="101"/>
      <c r="E70" s="101"/>
      <c r="F70" s="102"/>
      <c r="G70" s="101"/>
      <c r="H70" s="95" t="str">
        <f t="array" ref="H70">if(isblank(B70),,max(if($C$1:$C69=C70,row($C$1:$C69))))</f>
        <v/>
      </c>
      <c r="I70" s="95" t="str">
        <f t="shared" si="1"/>
        <v/>
      </c>
      <c r="J70" s="95" t="str">
        <f t="shared" si="2"/>
        <v/>
      </c>
      <c r="K70" s="96" t="str">
        <f t="shared" si="3"/>
        <v/>
      </c>
      <c r="L70" s="96" t="str">
        <f t="shared" si="4"/>
        <v/>
      </c>
      <c r="M70" s="98" t="str">
        <f t="shared" si="5"/>
        <v/>
      </c>
      <c r="N70" s="98" t="str">
        <f t="shared" si="6"/>
        <v/>
      </c>
      <c r="O70" s="96" t="str">
        <f t="shared" si="7"/>
        <v/>
      </c>
      <c r="P70" s="96" t="str">
        <f t="shared" si="8"/>
        <v/>
      </c>
      <c r="Q70" s="100" t="str">
        <f t="shared" si="9"/>
        <v/>
      </c>
      <c r="R70" s="96" t="str">
        <f t="shared" si="10"/>
        <v/>
      </c>
      <c r="S70" s="96" t="str">
        <f>IFERROR(__xludf.DUMMYFUNCTION("if(isblank(B70),,query(Portfolio!C$6:U$55, ""select U WHERE (C=""""""&amp;$C70&amp;"""""")"")*P70)"),"")</f>
        <v/>
      </c>
      <c r="T70" s="96" t="str">
        <f>IFERROR(__xludf.DUMMYFUNCTION("if(isblank(B70),,query(Portfolio!C$6:U$55, ""select U WHERE (C=""""""&amp;$C70&amp;"""""")"")*R70)"),"")</f>
        <v/>
      </c>
      <c r="U70" s="101"/>
      <c r="V70" s="101"/>
    </row>
    <row r="71">
      <c r="A71" s="155"/>
      <c r="B71" s="101"/>
      <c r="C71" s="156"/>
      <c r="D71" s="101"/>
      <c r="E71" s="101"/>
      <c r="F71" s="102"/>
      <c r="G71" s="101"/>
      <c r="H71" s="95" t="str">
        <f t="array" ref="H71">if(isblank(B71),,max(if($C$1:$C70=C71,row($C$1:$C70))))</f>
        <v/>
      </c>
      <c r="I71" s="95" t="str">
        <f t="shared" si="1"/>
        <v/>
      </c>
      <c r="J71" s="95" t="str">
        <f t="shared" si="2"/>
        <v/>
      </c>
      <c r="K71" s="96" t="str">
        <f t="shared" si="3"/>
        <v/>
      </c>
      <c r="L71" s="96" t="str">
        <f t="shared" si="4"/>
        <v/>
      </c>
      <c r="M71" s="98" t="str">
        <f t="shared" si="5"/>
        <v/>
      </c>
      <c r="N71" s="98" t="str">
        <f t="shared" si="6"/>
        <v/>
      </c>
      <c r="O71" s="96" t="str">
        <f t="shared" si="7"/>
        <v/>
      </c>
      <c r="P71" s="96" t="str">
        <f t="shared" si="8"/>
        <v/>
      </c>
      <c r="Q71" s="100" t="str">
        <f t="shared" si="9"/>
        <v/>
      </c>
      <c r="R71" s="96" t="str">
        <f t="shared" si="10"/>
        <v/>
      </c>
      <c r="S71" s="96" t="str">
        <f>IFERROR(__xludf.DUMMYFUNCTION("if(isblank(B71),,query(Portfolio!C$6:U$55, ""select U WHERE (C=""""""&amp;$C71&amp;"""""")"")*P71)"),"")</f>
        <v/>
      </c>
      <c r="T71" s="96" t="str">
        <f>IFERROR(__xludf.DUMMYFUNCTION("if(isblank(B71),,query(Portfolio!C$6:U$55, ""select U WHERE (C=""""""&amp;$C71&amp;"""""")"")*R71)"),"")</f>
        <v/>
      </c>
      <c r="U71" s="101"/>
      <c r="V71" s="101"/>
    </row>
    <row r="72">
      <c r="A72" s="155"/>
      <c r="B72" s="101"/>
      <c r="C72" s="156"/>
      <c r="D72" s="101"/>
      <c r="E72" s="101"/>
      <c r="F72" s="102"/>
      <c r="G72" s="101"/>
      <c r="H72" s="95" t="str">
        <f t="array" ref="H72">if(isblank(B72),,max(if($C$1:$C71=C72,row($C$1:$C71))))</f>
        <v/>
      </c>
      <c r="I72" s="95" t="str">
        <f t="shared" si="1"/>
        <v/>
      </c>
      <c r="J72" s="95" t="str">
        <f t="shared" si="2"/>
        <v/>
      </c>
      <c r="K72" s="96" t="str">
        <f t="shared" si="3"/>
        <v/>
      </c>
      <c r="L72" s="96" t="str">
        <f t="shared" si="4"/>
        <v/>
      </c>
      <c r="M72" s="98" t="str">
        <f t="shared" si="5"/>
        <v/>
      </c>
      <c r="N72" s="98" t="str">
        <f t="shared" si="6"/>
        <v/>
      </c>
      <c r="O72" s="96" t="str">
        <f t="shared" si="7"/>
        <v/>
      </c>
      <c r="P72" s="96" t="str">
        <f t="shared" si="8"/>
        <v/>
      </c>
      <c r="Q72" s="100" t="str">
        <f t="shared" si="9"/>
        <v/>
      </c>
      <c r="R72" s="96" t="str">
        <f t="shared" si="10"/>
        <v/>
      </c>
      <c r="S72" s="96" t="str">
        <f>IFERROR(__xludf.DUMMYFUNCTION("if(isblank(B72),,query(Portfolio!C$6:U$55, ""select U WHERE (C=""""""&amp;$C72&amp;"""""")"")*P72)"),"")</f>
        <v/>
      </c>
      <c r="T72" s="96" t="str">
        <f>IFERROR(__xludf.DUMMYFUNCTION("if(isblank(B72),,query(Portfolio!C$6:U$55, ""select U WHERE (C=""""""&amp;$C72&amp;"""""")"")*R72)"),"")</f>
        <v/>
      </c>
      <c r="U72" s="101"/>
      <c r="V72" s="101"/>
    </row>
    <row r="73">
      <c r="A73" s="155"/>
      <c r="B73" s="101"/>
      <c r="C73" s="156"/>
      <c r="D73" s="101"/>
      <c r="E73" s="101"/>
      <c r="F73" s="102"/>
      <c r="G73" s="101"/>
      <c r="H73" s="95" t="str">
        <f t="array" ref="H73">if(isblank(B73),,max(if($C$1:$C72=C73,row($C$1:$C72))))</f>
        <v/>
      </c>
      <c r="I73" s="95" t="str">
        <f t="shared" si="1"/>
        <v/>
      </c>
      <c r="J73" s="95" t="str">
        <f t="shared" si="2"/>
        <v/>
      </c>
      <c r="K73" s="96" t="str">
        <f t="shared" si="3"/>
        <v/>
      </c>
      <c r="L73" s="96" t="str">
        <f t="shared" si="4"/>
        <v/>
      </c>
      <c r="M73" s="98" t="str">
        <f t="shared" si="5"/>
        <v/>
      </c>
      <c r="N73" s="98" t="str">
        <f t="shared" si="6"/>
        <v/>
      </c>
      <c r="O73" s="96" t="str">
        <f t="shared" si="7"/>
        <v/>
      </c>
      <c r="P73" s="96" t="str">
        <f t="shared" si="8"/>
        <v/>
      </c>
      <c r="Q73" s="100" t="str">
        <f t="shared" si="9"/>
        <v/>
      </c>
      <c r="R73" s="96" t="str">
        <f t="shared" si="10"/>
        <v/>
      </c>
      <c r="S73" s="96" t="str">
        <f>IFERROR(__xludf.DUMMYFUNCTION("if(isblank(B73),,query(Portfolio!C$6:U$55, ""select U WHERE (C=""""""&amp;$C73&amp;"""""")"")*P73)"),"")</f>
        <v/>
      </c>
      <c r="T73" s="96" t="str">
        <f>IFERROR(__xludf.DUMMYFUNCTION("if(isblank(B73),,query(Portfolio!C$6:U$55, ""select U WHERE (C=""""""&amp;$C73&amp;"""""")"")*R73)"),"")</f>
        <v/>
      </c>
      <c r="U73" s="101"/>
      <c r="V73" s="101"/>
    </row>
    <row r="74">
      <c r="A74" s="155"/>
      <c r="B74" s="101"/>
      <c r="C74" s="156"/>
      <c r="D74" s="101"/>
      <c r="E74" s="101"/>
      <c r="F74" s="102"/>
      <c r="G74" s="101"/>
      <c r="H74" s="95" t="str">
        <f t="array" ref="H74">if(isblank(B74),,max(if($C$1:$C73=C74,row($C$1:$C73))))</f>
        <v/>
      </c>
      <c r="I74" s="95" t="str">
        <f t="shared" si="1"/>
        <v/>
      </c>
      <c r="J74" s="95" t="str">
        <f t="shared" si="2"/>
        <v/>
      </c>
      <c r="K74" s="96" t="str">
        <f t="shared" si="3"/>
        <v/>
      </c>
      <c r="L74" s="96" t="str">
        <f t="shared" si="4"/>
        <v/>
      </c>
      <c r="M74" s="98" t="str">
        <f t="shared" si="5"/>
        <v/>
      </c>
      <c r="N74" s="98" t="str">
        <f t="shared" si="6"/>
        <v/>
      </c>
      <c r="O74" s="96" t="str">
        <f t="shared" si="7"/>
        <v/>
      </c>
      <c r="P74" s="96" t="str">
        <f t="shared" si="8"/>
        <v/>
      </c>
      <c r="Q74" s="100" t="str">
        <f t="shared" si="9"/>
        <v/>
      </c>
      <c r="R74" s="96" t="str">
        <f t="shared" si="10"/>
        <v/>
      </c>
      <c r="S74" s="96" t="str">
        <f>IFERROR(__xludf.DUMMYFUNCTION("if(isblank(B74),,query(Portfolio!C$6:U$55, ""select U WHERE (C=""""""&amp;$C74&amp;"""""")"")*P74)"),"")</f>
        <v/>
      </c>
      <c r="T74" s="96" t="str">
        <f>IFERROR(__xludf.DUMMYFUNCTION("if(isblank(B74),,query(Portfolio!C$6:U$55, ""select U WHERE (C=""""""&amp;$C74&amp;"""""")"")*R74)"),"")</f>
        <v/>
      </c>
      <c r="U74" s="101"/>
      <c r="V74" s="101"/>
    </row>
    <row r="75">
      <c r="A75" s="155"/>
      <c r="B75" s="101"/>
      <c r="C75" s="156"/>
      <c r="D75" s="101"/>
      <c r="E75" s="101"/>
      <c r="F75" s="102"/>
      <c r="G75" s="101"/>
      <c r="H75" s="95" t="str">
        <f t="array" ref="H75">if(isblank(B75),,max(if($C$1:$C74=C75,row($C$1:$C74))))</f>
        <v/>
      </c>
      <c r="I75" s="95" t="str">
        <f t="shared" si="1"/>
        <v/>
      </c>
      <c r="J75" s="95" t="str">
        <f t="shared" si="2"/>
        <v/>
      </c>
      <c r="K75" s="96" t="str">
        <f t="shared" si="3"/>
        <v/>
      </c>
      <c r="L75" s="96" t="str">
        <f t="shared" si="4"/>
        <v/>
      </c>
      <c r="M75" s="98" t="str">
        <f t="shared" si="5"/>
        <v/>
      </c>
      <c r="N75" s="98" t="str">
        <f t="shared" si="6"/>
        <v/>
      </c>
      <c r="O75" s="96" t="str">
        <f t="shared" si="7"/>
        <v/>
      </c>
      <c r="P75" s="96" t="str">
        <f t="shared" si="8"/>
        <v/>
      </c>
      <c r="Q75" s="100" t="str">
        <f t="shared" si="9"/>
        <v/>
      </c>
      <c r="R75" s="96" t="str">
        <f t="shared" si="10"/>
        <v/>
      </c>
      <c r="S75" s="96" t="str">
        <f>IFERROR(__xludf.DUMMYFUNCTION("if(isblank(B75),,query(Portfolio!C$6:U$55, ""select U WHERE (C=""""""&amp;$C75&amp;"""""")"")*P75)"),"")</f>
        <v/>
      </c>
      <c r="T75" s="96" t="str">
        <f>IFERROR(__xludf.DUMMYFUNCTION("if(isblank(B75),,query(Portfolio!C$6:U$55, ""select U WHERE (C=""""""&amp;$C75&amp;"""""")"")*R75)"),"")</f>
        <v/>
      </c>
      <c r="U75" s="101"/>
      <c r="V75" s="101"/>
    </row>
    <row r="76">
      <c r="A76" s="155"/>
      <c r="B76" s="101"/>
      <c r="C76" s="156"/>
      <c r="D76" s="101"/>
      <c r="E76" s="101"/>
      <c r="F76" s="102"/>
      <c r="G76" s="101"/>
      <c r="H76" s="95" t="str">
        <f t="array" ref="H76">if(isblank(B76),,max(if($C$1:$C75=C76,row($C$1:$C75))))</f>
        <v/>
      </c>
      <c r="I76" s="95" t="str">
        <f t="shared" si="1"/>
        <v/>
      </c>
      <c r="J76" s="95" t="str">
        <f t="shared" si="2"/>
        <v/>
      </c>
      <c r="K76" s="96" t="str">
        <f t="shared" si="3"/>
        <v/>
      </c>
      <c r="L76" s="96" t="str">
        <f t="shared" si="4"/>
        <v/>
      </c>
      <c r="M76" s="98" t="str">
        <f t="shared" si="5"/>
        <v/>
      </c>
      <c r="N76" s="98" t="str">
        <f t="shared" si="6"/>
        <v/>
      </c>
      <c r="O76" s="96" t="str">
        <f t="shared" si="7"/>
        <v/>
      </c>
      <c r="P76" s="96" t="str">
        <f t="shared" si="8"/>
        <v/>
      </c>
      <c r="Q76" s="100" t="str">
        <f t="shared" si="9"/>
        <v/>
      </c>
      <c r="R76" s="96" t="str">
        <f t="shared" si="10"/>
        <v/>
      </c>
      <c r="S76" s="96" t="str">
        <f>IFERROR(__xludf.DUMMYFUNCTION("if(isblank(B76),,query(Portfolio!C$6:U$55, ""select U WHERE (C=""""""&amp;$C76&amp;"""""")"")*P76)"),"")</f>
        <v/>
      </c>
      <c r="T76" s="96" t="str">
        <f>IFERROR(__xludf.DUMMYFUNCTION("if(isblank(B76),,query(Portfolio!C$6:U$55, ""select U WHERE (C=""""""&amp;$C76&amp;"""""")"")*R76)"),"")</f>
        <v/>
      </c>
      <c r="U76" s="101"/>
      <c r="V76" s="101"/>
    </row>
    <row r="77">
      <c r="A77" s="155"/>
      <c r="B77" s="101"/>
      <c r="C77" s="156"/>
      <c r="D77" s="101"/>
      <c r="E77" s="101"/>
      <c r="F77" s="102"/>
      <c r="G77" s="101"/>
      <c r="H77" s="95" t="str">
        <f t="array" ref="H77">if(isblank(B77),,max(if($C$1:$C76=C77,row($C$1:$C76))))</f>
        <v/>
      </c>
      <c r="I77" s="95" t="str">
        <f t="shared" si="1"/>
        <v/>
      </c>
      <c r="J77" s="95" t="str">
        <f t="shared" si="2"/>
        <v/>
      </c>
      <c r="K77" s="96" t="str">
        <f t="shared" si="3"/>
        <v/>
      </c>
      <c r="L77" s="96" t="str">
        <f t="shared" si="4"/>
        <v/>
      </c>
      <c r="M77" s="98" t="str">
        <f t="shared" si="5"/>
        <v/>
      </c>
      <c r="N77" s="98" t="str">
        <f t="shared" si="6"/>
        <v/>
      </c>
      <c r="O77" s="96" t="str">
        <f t="shared" si="7"/>
        <v/>
      </c>
      <c r="P77" s="96" t="str">
        <f t="shared" si="8"/>
        <v/>
      </c>
      <c r="Q77" s="100" t="str">
        <f t="shared" si="9"/>
        <v/>
      </c>
      <c r="R77" s="96" t="str">
        <f t="shared" si="10"/>
        <v/>
      </c>
      <c r="S77" s="96" t="str">
        <f>IFERROR(__xludf.DUMMYFUNCTION("if(isblank(B77),,query(Portfolio!C$6:U$55, ""select U WHERE (C=""""""&amp;$C77&amp;"""""")"")*P77)"),"")</f>
        <v/>
      </c>
      <c r="T77" s="96" t="str">
        <f>IFERROR(__xludf.DUMMYFUNCTION("if(isblank(B77),,query(Portfolio!C$6:U$55, ""select U WHERE (C=""""""&amp;$C77&amp;"""""")"")*R77)"),"")</f>
        <v/>
      </c>
      <c r="U77" s="101"/>
      <c r="V77" s="101"/>
    </row>
    <row r="78">
      <c r="A78" s="155"/>
      <c r="B78" s="101"/>
      <c r="C78" s="156"/>
      <c r="D78" s="101"/>
      <c r="E78" s="101"/>
      <c r="F78" s="102"/>
      <c r="G78" s="101"/>
      <c r="H78" s="95" t="str">
        <f t="array" ref="H78">if(isblank(B78),,max(if($C$1:$C77=C78,row($C$1:$C77))))</f>
        <v/>
      </c>
      <c r="I78" s="95" t="str">
        <f t="shared" si="1"/>
        <v/>
      </c>
      <c r="J78" s="95" t="str">
        <f t="shared" si="2"/>
        <v/>
      </c>
      <c r="K78" s="96" t="str">
        <f t="shared" si="3"/>
        <v/>
      </c>
      <c r="L78" s="96" t="str">
        <f t="shared" si="4"/>
        <v/>
      </c>
      <c r="M78" s="98" t="str">
        <f t="shared" si="5"/>
        <v/>
      </c>
      <c r="N78" s="98" t="str">
        <f t="shared" si="6"/>
        <v/>
      </c>
      <c r="O78" s="96" t="str">
        <f t="shared" si="7"/>
        <v/>
      </c>
      <c r="P78" s="96" t="str">
        <f t="shared" si="8"/>
        <v/>
      </c>
      <c r="Q78" s="100" t="str">
        <f t="shared" si="9"/>
        <v/>
      </c>
      <c r="R78" s="96" t="str">
        <f t="shared" si="10"/>
        <v/>
      </c>
      <c r="S78" s="96" t="str">
        <f>IFERROR(__xludf.DUMMYFUNCTION("if(isblank(B78),,query(Portfolio!C$6:U$55, ""select U WHERE (C=""""""&amp;$C78&amp;"""""")"")*P78)"),"")</f>
        <v/>
      </c>
      <c r="T78" s="96" t="str">
        <f>IFERROR(__xludf.DUMMYFUNCTION("if(isblank(B78),,query(Portfolio!C$6:U$55, ""select U WHERE (C=""""""&amp;$C78&amp;"""""")"")*R78)"),"")</f>
        <v/>
      </c>
      <c r="U78" s="101"/>
      <c r="V78" s="101"/>
    </row>
    <row r="79">
      <c r="A79" s="155"/>
      <c r="B79" s="101"/>
      <c r="C79" s="156"/>
      <c r="D79" s="101"/>
      <c r="E79" s="101"/>
      <c r="F79" s="102"/>
      <c r="G79" s="101"/>
      <c r="H79" s="95" t="str">
        <f t="array" ref="H79">if(isblank(B79),,max(if($C$1:$C78=C79,row($C$1:$C78))))</f>
        <v/>
      </c>
      <c r="I79" s="95" t="str">
        <f t="shared" si="1"/>
        <v/>
      </c>
      <c r="J79" s="95" t="str">
        <f t="shared" si="2"/>
        <v/>
      </c>
      <c r="K79" s="96" t="str">
        <f t="shared" si="3"/>
        <v/>
      </c>
      <c r="L79" s="96" t="str">
        <f t="shared" si="4"/>
        <v/>
      </c>
      <c r="M79" s="98" t="str">
        <f t="shared" si="5"/>
        <v/>
      </c>
      <c r="N79" s="98" t="str">
        <f t="shared" si="6"/>
        <v/>
      </c>
      <c r="O79" s="96" t="str">
        <f t="shared" si="7"/>
        <v/>
      </c>
      <c r="P79" s="96" t="str">
        <f t="shared" si="8"/>
        <v/>
      </c>
      <c r="Q79" s="100" t="str">
        <f t="shared" si="9"/>
        <v/>
      </c>
      <c r="R79" s="96" t="str">
        <f t="shared" si="10"/>
        <v/>
      </c>
      <c r="S79" s="96" t="str">
        <f>IFERROR(__xludf.DUMMYFUNCTION("if(isblank(B79),,query(Portfolio!C$6:U$55, ""select U WHERE (C=""""""&amp;$C79&amp;"""""")"")*P79)"),"")</f>
        <v/>
      </c>
      <c r="T79" s="96" t="str">
        <f>IFERROR(__xludf.DUMMYFUNCTION("if(isblank(B79),,query(Portfolio!C$6:U$55, ""select U WHERE (C=""""""&amp;$C79&amp;"""""")"")*R79)"),"")</f>
        <v/>
      </c>
      <c r="U79" s="101"/>
      <c r="V79" s="101"/>
    </row>
    <row r="80">
      <c r="A80" s="155"/>
      <c r="B80" s="101"/>
      <c r="C80" s="156"/>
      <c r="D80" s="101"/>
      <c r="E80" s="101"/>
      <c r="F80" s="102"/>
      <c r="G80" s="101"/>
      <c r="H80" s="95" t="str">
        <f t="array" ref="H80">if(isblank(B80),,max(if($C$1:$C79=C80,row($C$1:$C79))))</f>
        <v/>
      </c>
      <c r="I80" s="95" t="str">
        <f t="shared" si="1"/>
        <v/>
      </c>
      <c r="J80" s="95" t="str">
        <f t="shared" si="2"/>
        <v/>
      </c>
      <c r="K80" s="96" t="str">
        <f t="shared" si="3"/>
        <v/>
      </c>
      <c r="L80" s="96" t="str">
        <f t="shared" si="4"/>
        <v/>
      </c>
      <c r="M80" s="98" t="str">
        <f t="shared" si="5"/>
        <v/>
      </c>
      <c r="N80" s="98" t="str">
        <f t="shared" si="6"/>
        <v/>
      </c>
      <c r="O80" s="96" t="str">
        <f t="shared" si="7"/>
        <v/>
      </c>
      <c r="P80" s="96" t="str">
        <f t="shared" si="8"/>
        <v/>
      </c>
      <c r="Q80" s="100" t="str">
        <f t="shared" si="9"/>
        <v/>
      </c>
      <c r="R80" s="96" t="str">
        <f t="shared" si="10"/>
        <v/>
      </c>
      <c r="S80" s="96" t="str">
        <f>IFERROR(__xludf.DUMMYFUNCTION("if(isblank(B80),,query(Portfolio!C$6:U$55, ""select U WHERE (C=""""""&amp;$C80&amp;"""""")"")*P80)"),"")</f>
        <v/>
      </c>
      <c r="T80" s="96" t="str">
        <f>IFERROR(__xludf.DUMMYFUNCTION("if(isblank(B80),,query(Portfolio!C$6:U$55, ""select U WHERE (C=""""""&amp;$C80&amp;"""""")"")*R80)"),"")</f>
        <v/>
      </c>
      <c r="U80" s="101"/>
      <c r="V80" s="101"/>
    </row>
    <row r="81">
      <c r="A81" s="155"/>
      <c r="B81" s="101"/>
      <c r="C81" s="156"/>
      <c r="D81" s="101"/>
      <c r="E81" s="101"/>
      <c r="F81" s="102"/>
      <c r="G81" s="101"/>
      <c r="H81" s="95" t="str">
        <f t="array" ref="H81">if(isblank(B81),,max(if($C$1:$C80=C81,row($C$1:$C80))))</f>
        <v/>
      </c>
      <c r="I81" s="95" t="str">
        <f t="shared" si="1"/>
        <v/>
      </c>
      <c r="J81" s="95" t="str">
        <f t="shared" si="2"/>
        <v/>
      </c>
      <c r="K81" s="96" t="str">
        <f t="shared" si="3"/>
        <v/>
      </c>
      <c r="L81" s="96" t="str">
        <f t="shared" si="4"/>
        <v/>
      </c>
      <c r="M81" s="98" t="str">
        <f t="shared" si="5"/>
        <v/>
      </c>
      <c r="N81" s="98" t="str">
        <f t="shared" si="6"/>
        <v/>
      </c>
      <c r="O81" s="96" t="str">
        <f t="shared" si="7"/>
        <v/>
      </c>
      <c r="P81" s="96" t="str">
        <f t="shared" si="8"/>
        <v/>
      </c>
      <c r="Q81" s="100" t="str">
        <f t="shared" si="9"/>
        <v/>
      </c>
      <c r="R81" s="96" t="str">
        <f t="shared" si="10"/>
        <v/>
      </c>
      <c r="S81" s="96" t="str">
        <f>IFERROR(__xludf.DUMMYFUNCTION("if(isblank(B81),,query(Portfolio!C$6:U$55, ""select U WHERE (C=""""""&amp;$C81&amp;"""""")"")*P81)"),"")</f>
        <v/>
      </c>
      <c r="T81" s="96" t="str">
        <f>IFERROR(__xludf.DUMMYFUNCTION("if(isblank(B81),,query(Portfolio!C$6:U$55, ""select U WHERE (C=""""""&amp;$C81&amp;"""""")"")*R81)"),"")</f>
        <v/>
      </c>
      <c r="U81" s="101"/>
      <c r="V81" s="101"/>
    </row>
    <row r="82">
      <c r="A82" s="155"/>
      <c r="B82" s="101"/>
      <c r="C82" s="156"/>
      <c r="D82" s="101"/>
      <c r="E82" s="101"/>
      <c r="F82" s="102"/>
      <c r="G82" s="101"/>
      <c r="H82" s="95" t="str">
        <f t="array" ref="H82">if(isblank(B82),,max(if($C$1:$C81=C82,row($C$1:$C81))))</f>
        <v/>
      </c>
      <c r="I82" s="95" t="str">
        <f t="shared" si="1"/>
        <v/>
      </c>
      <c r="J82" s="95" t="str">
        <f t="shared" si="2"/>
        <v/>
      </c>
      <c r="K82" s="96" t="str">
        <f t="shared" si="3"/>
        <v/>
      </c>
      <c r="L82" s="96" t="str">
        <f t="shared" si="4"/>
        <v/>
      </c>
      <c r="M82" s="98" t="str">
        <f t="shared" si="5"/>
        <v/>
      </c>
      <c r="N82" s="98" t="str">
        <f t="shared" si="6"/>
        <v/>
      </c>
      <c r="O82" s="96" t="str">
        <f t="shared" si="7"/>
        <v/>
      </c>
      <c r="P82" s="96" t="str">
        <f t="shared" si="8"/>
        <v/>
      </c>
      <c r="Q82" s="100" t="str">
        <f t="shared" si="9"/>
        <v/>
      </c>
      <c r="R82" s="96" t="str">
        <f t="shared" si="10"/>
        <v/>
      </c>
      <c r="S82" s="96" t="str">
        <f>IFERROR(__xludf.DUMMYFUNCTION("if(isblank(B82),,query(Portfolio!C$6:U$55, ""select U WHERE (C=""""""&amp;$C82&amp;"""""")"")*P82)"),"")</f>
        <v/>
      </c>
      <c r="T82" s="96" t="str">
        <f>IFERROR(__xludf.DUMMYFUNCTION("if(isblank(B82),,query(Portfolio!C$6:U$55, ""select U WHERE (C=""""""&amp;$C82&amp;"""""")"")*R82)"),"")</f>
        <v/>
      </c>
      <c r="U82" s="101"/>
      <c r="V82" s="101"/>
    </row>
    <row r="83">
      <c r="A83" s="155"/>
      <c r="B83" s="101"/>
      <c r="C83" s="156"/>
      <c r="D83" s="101"/>
      <c r="E83" s="101"/>
      <c r="F83" s="102"/>
      <c r="G83" s="101"/>
      <c r="H83" s="95" t="str">
        <f t="array" ref="H83">if(isblank(B83),,max(if($C$1:$C82=C83,row($C$1:$C82))))</f>
        <v/>
      </c>
      <c r="I83" s="95" t="str">
        <f t="shared" si="1"/>
        <v/>
      </c>
      <c r="J83" s="95" t="str">
        <f t="shared" si="2"/>
        <v/>
      </c>
      <c r="K83" s="96" t="str">
        <f t="shared" si="3"/>
        <v/>
      </c>
      <c r="L83" s="96" t="str">
        <f t="shared" si="4"/>
        <v/>
      </c>
      <c r="M83" s="98" t="str">
        <f t="shared" si="5"/>
        <v/>
      </c>
      <c r="N83" s="98" t="str">
        <f t="shared" si="6"/>
        <v/>
      </c>
      <c r="O83" s="96" t="str">
        <f t="shared" si="7"/>
        <v/>
      </c>
      <c r="P83" s="96" t="str">
        <f t="shared" si="8"/>
        <v/>
      </c>
      <c r="Q83" s="100" t="str">
        <f t="shared" si="9"/>
        <v/>
      </c>
      <c r="R83" s="96" t="str">
        <f t="shared" si="10"/>
        <v/>
      </c>
      <c r="S83" s="96" t="str">
        <f>IFERROR(__xludf.DUMMYFUNCTION("if(isblank(B83),,query(Portfolio!C$6:U$55, ""select U WHERE (C=""""""&amp;$C83&amp;"""""")"")*P83)"),"")</f>
        <v/>
      </c>
      <c r="T83" s="96" t="str">
        <f>IFERROR(__xludf.DUMMYFUNCTION("if(isblank(B83),,query(Portfolio!C$6:U$55, ""select U WHERE (C=""""""&amp;$C83&amp;"""""")"")*R83)"),"")</f>
        <v/>
      </c>
      <c r="U83" s="101"/>
      <c r="V83" s="101"/>
    </row>
    <row r="84">
      <c r="A84" s="155"/>
      <c r="B84" s="101"/>
      <c r="C84" s="156"/>
      <c r="D84" s="101"/>
      <c r="E84" s="101"/>
      <c r="F84" s="102"/>
      <c r="G84" s="101"/>
      <c r="H84" s="95" t="str">
        <f t="array" ref="H84">if(isblank(B84),,max(if($C$1:$C83=C84,row($C$1:$C83))))</f>
        <v/>
      </c>
      <c r="I84" s="95" t="str">
        <f t="shared" si="1"/>
        <v/>
      </c>
      <c r="J84" s="95" t="str">
        <f t="shared" si="2"/>
        <v/>
      </c>
      <c r="K84" s="96" t="str">
        <f t="shared" si="3"/>
        <v/>
      </c>
      <c r="L84" s="96" t="str">
        <f t="shared" si="4"/>
        <v/>
      </c>
      <c r="M84" s="98" t="str">
        <f t="shared" si="5"/>
        <v/>
      </c>
      <c r="N84" s="98" t="str">
        <f t="shared" si="6"/>
        <v/>
      </c>
      <c r="O84" s="96" t="str">
        <f t="shared" si="7"/>
        <v/>
      </c>
      <c r="P84" s="96" t="str">
        <f t="shared" si="8"/>
        <v/>
      </c>
      <c r="Q84" s="100" t="str">
        <f t="shared" si="9"/>
        <v/>
      </c>
      <c r="R84" s="96" t="str">
        <f t="shared" si="10"/>
        <v/>
      </c>
      <c r="S84" s="96" t="str">
        <f>IFERROR(__xludf.DUMMYFUNCTION("if(isblank(B84),,query(Portfolio!C$6:U$55, ""select U WHERE (C=""""""&amp;$C84&amp;"""""")"")*P84)"),"")</f>
        <v/>
      </c>
      <c r="T84" s="96" t="str">
        <f>IFERROR(__xludf.DUMMYFUNCTION("if(isblank(B84),,query(Portfolio!C$6:U$55, ""select U WHERE (C=""""""&amp;$C84&amp;"""""")"")*R84)"),"")</f>
        <v/>
      </c>
      <c r="U84" s="101"/>
      <c r="V84" s="101"/>
    </row>
    <row r="85">
      <c r="A85" s="155"/>
      <c r="B85" s="101"/>
      <c r="C85" s="156"/>
      <c r="D85" s="101"/>
      <c r="E85" s="101"/>
      <c r="F85" s="102"/>
      <c r="G85" s="101"/>
      <c r="H85" s="95" t="str">
        <f t="array" ref="H85">if(isblank(B85),,max(if($C$1:$C84=C85,row($C$1:$C84))))</f>
        <v/>
      </c>
      <c r="I85" s="95" t="str">
        <f t="shared" si="1"/>
        <v/>
      </c>
      <c r="J85" s="95" t="str">
        <f t="shared" si="2"/>
        <v/>
      </c>
      <c r="K85" s="96" t="str">
        <f t="shared" si="3"/>
        <v/>
      </c>
      <c r="L85" s="96" t="str">
        <f t="shared" si="4"/>
        <v/>
      </c>
      <c r="M85" s="98" t="str">
        <f t="shared" si="5"/>
        <v/>
      </c>
      <c r="N85" s="98" t="str">
        <f t="shared" si="6"/>
        <v/>
      </c>
      <c r="O85" s="96" t="str">
        <f t="shared" si="7"/>
        <v/>
      </c>
      <c r="P85" s="96" t="str">
        <f t="shared" si="8"/>
        <v/>
      </c>
      <c r="Q85" s="100" t="str">
        <f t="shared" si="9"/>
        <v/>
      </c>
      <c r="R85" s="96" t="str">
        <f t="shared" si="10"/>
        <v/>
      </c>
      <c r="S85" s="96" t="str">
        <f>IFERROR(__xludf.DUMMYFUNCTION("if(isblank(B85),,query(Portfolio!C$6:U$55, ""select U WHERE (C=""""""&amp;$C85&amp;"""""")"")*P85)"),"")</f>
        <v/>
      </c>
      <c r="T85" s="96" t="str">
        <f>IFERROR(__xludf.DUMMYFUNCTION("if(isblank(B85),,query(Portfolio!C$6:U$55, ""select U WHERE (C=""""""&amp;$C85&amp;"""""")"")*R85)"),"")</f>
        <v/>
      </c>
      <c r="U85" s="101"/>
      <c r="V85" s="101"/>
    </row>
    <row r="86">
      <c r="A86" s="155"/>
      <c r="B86" s="101"/>
      <c r="C86" s="156"/>
      <c r="D86" s="101"/>
      <c r="E86" s="101"/>
      <c r="F86" s="102"/>
      <c r="G86" s="101"/>
      <c r="H86" s="95" t="str">
        <f t="array" ref="H86">if(isblank(B86),,max(if($C$1:$C85=C86,row($C$1:$C85))))</f>
        <v/>
      </c>
      <c r="I86" s="95" t="str">
        <f t="shared" si="1"/>
        <v/>
      </c>
      <c r="J86" s="95" t="str">
        <f t="shared" si="2"/>
        <v/>
      </c>
      <c r="K86" s="96" t="str">
        <f t="shared" si="3"/>
        <v/>
      </c>
      <c r="L86" s="96" t="str">
        <f t="shared" si="4"/>
        <v/>
      </c>
      <c r="M86" s="98" t="str">
        <f t="shared" si="5"/>
        <v/>
      </c>
      <c r="N86" s="98" t="str">
        <f t="shared" si="6"/>
        <v/>
      </c>
      <c r="O86" s="96" t="str">
        <f t="shared" si="7"/>
        <v/>
      </c>
      <c r="P86" s="96" t="str">
        <f t="shared" si="8"/>
        <v/>
      </c>
      <c r="Q86" s="100" t="str">
        <f t="shared" si="9"/>
        <v/>
      </c>
      <c r="R86" s="96" t="str">
        <f t="shared" si="10"/>
        <v/>
      </c>
      <c r="S86" s="96" t="str">
        <f>IFERROR(__xludf.DUMMYFUNCTION("if(isblank(B86),,query(Portfolio!C$6:U$55, ""select U WHERE (C=""""""&amp;$C86&amp;"""""")"")*P86)"),"")</f>
        <v/>
      </c>
      <c r="T86" s="96" t="str">
        <f>IFERROR(__xludf.DUMMYFUNCTION("if(isblank(B86),,query(Portfolio!C$6:U$55, ""select U WHERE (C=""""""&amp;$C86&amp;"""""")"")*R86)"),"")</f>
        <v/>
      </c>
      <c r="U86" s="101"/>
      <c r="V86" s="101"/>
    </row>
    <row r="87">
      <c r="A87" s="155"/>
      <c r="B87" s="101"/>
      <c r="C87" s="156"/>
      <c r="D87" s="101"/>
      <c r="E87" s="101"/>
      <c r="F87" s="102"/>
      <c r="G87" s="101"/>
      <c r="H87" s="95" t="str">
        <f t="array" ref="H87">if(isblank(B87),,max(if($C$1:$C86=C87,row($C$1:$C86))))</f>
        <v/>
      </c>
      <c r="I87" s="95" t="str">
        <f t="shared" si="1"/>
        <v/>
      </c>
      <c r="J87" s="95" t="str">
        <f t="shared" si="2"/>
        <v/>
      </c>
      <c r="K87" s="96" t="str">
        <f t="shared" si="3"/>
        <v/>
      </c>
      <c r="L87" s="96" t="str">
        <f t="shared" si="4"/>
        <v/>
      </c>
      <c r="M87" s="98" t="str">
        <f t="shared" si="5"/>
        <v/>
      </c>
      <c r="N87" s="98" t="str">
        <f t="shared" si="6"/>
        <v/>
      </c>
      <c r="O87" s="96" t="str">
        <f t="shared" si="7"/>
        <v/>
      </c>
      <c r="P87" s="96" t="str">
        <f t="shared" si="8"/>
        <v/>
      </c>
      <c r="Q87" s="100" t="str">
        <f t="shared" si="9"/>
        <v/>
      </c>
      <c r="R87" s="96" t="str">
        <f t="shared" si="10"/>
        <v/>
      </c>
      <c r="S87" s="96" t="str">
        <f>IFERROR(__xludf.DUMMYFUNCTION("if(isblank(B87),,query(Portfolio!C$6:U$55, ""select U WHERE (C=""""""&amp;$C87&amp;"""""")"")*P87)"),"")</f>
        <v/>
      </c>
      <c r="T87" s="96" t="str">
        <f>IFERROR(__xludf.DUMMYFUNCTION("if(isblank(B87),,query(Portfolio!C$6:U$55, ""select U WHERE (C=""""""&amp;$C87&amp;"""""")"")*R87)"),"")</f>
        <v/>
      </c>
      <c r="U87" s="101"/>
      <c r="V87" s="101"/>
    </row>
    <row r="88">
      <c r="A88" s="155"/>
      <c r="B88" s="101"/>
      <c r="C88" s="156"/>
      <c r="D88" s="101"/>
      <c r="E88" s="101"/>
      <c r="F88" s="102"/>
      <c r="G88" s="101"/>
      <c r="H88" s="95" t="str">
        <f t="array" ref="H88">if(isblank(B88),,max(if($C$1:$C87=C88,row($C$1:$C87))))</f>
        <v/>
      </c>
      <c r="I88" s="95" t="str">
        <f t="shared" si="1"/>
        <v/>
      </c>
      <c r="J88" s="95" t="str">
        <f t="shared" si="2"/>
        <v/>
      </c>
      <c r="K88" s="96" t="str">
        <f t="shared" si="3"/>
        <v/>
      </c>
      <c r="L88" s="96" t="str">
        <f t="shared" si="4"/>
        <v/>
      </c>
      <c r="M88" s="98" t="str">
        <f t="shared" si="5"/>
        <v/>
      </c>
      <c r="N88" s="98" t="str">
        <f t="shared" si="6"/>
        <v/>
      </c>
      <c r="O88" s="96" t="str">
        <f t="shared" si="7"/>
        <v/>
      </c>
      <c r="P88" s="96" t="str">
        <f t="shared" si="8"/>
        <v/>
      </c>
      <c r="Q88" s="100" t="str">
        <f t="shared" si="9"/>
        <v/>
      </c>
      <c r="R88" s="96" t="str">
        <f t="shared" si="10"/>
        <v/>
      </c>
      <c r="S88" s="96" t="str">
        <f>IFERROR(__xludf.DUMMYFUNCTION("if(isblank(B88),,query(Portfolio!C$6:U$55, ""select U WHERE (C=""""""&amp;$C88&amp;"""""")"")*P88)"),"")</f>
        <v/>
      </c>
      <c r="T88" s="96" t="str">
        <f>IFERROR(__xludf.DUMMYFUNCTION("if(isblank(B88),,query(Portfolio!C$6:U$55, ""select U WHERE (C=""""""&amp;$C88&amp;"""""")"")*R88)"),"")</f>
        <v/>
      </c>
      <c r="U88" s="101"/>
      <c r="V88" s="101"/>
    </row>
    <row r="89">
      <c r="A89" s="155"/>
      <c r="B89" s="101"/>
      <c r="C89" s="156"/>
      <c r="D89" s="101"/>
      <c r="E89" s="101"/>
      <c r="F89" s="102"/>
      <c r="G89" s="101"/>
      <c r="H89" s="95" t="str">
        <f t="array" ref="H89">if(isblank(B89),,max(if($C$1:$C88=C89,row($C$1:$C88))))</f>
        <v/>
      </c>
      <c r="I89" s="95" t="str">
        <f t="shared" si="1"/>
        <v/>
      </c>
      <c r="J89" s="95" t="str">
        <f t="shared" si="2"/>
        <v/>
      </c>
      <c r="K89" s="96" t="str">
        <f t="shared" si="3"/>
        <v/>
      </c>
      <c r="L89" s="96" t="str">
        <f t="shared" si="4"/>
        <v/>
      </c>
      <c r="M89" s="98" t="str">
        <f t="shared" si="5"/>
        <v/>
      </c>
      <c r="N89" s="98" t="str">
        <f t="shared" si="6"/>
        <v/>
      </c>
      <c r="O89" s="96" t="str">
        <f t="shared" si="7"/>
        <v/>
      </c>
      <c r="P89" s="96" t="str">
        <f t="shared" si="8"/>
        <v/>
      </c>
      <c r="Q89" s="100" t="str">
        <f t="shared" si="9"/>
        <v/>
      </c>
      <c r="R89" s="96" t="str">
        <f t="shared" si="10"/>
        <v/>
      </c>
      <c r="S89" s="96" t="str">
        <f>IFERROR(__xludf.DUMMYFUNCTION("if(isblank(B89),,query(Portfolio!C$6:U$55, ""select U WHERE (C=""""""&amp;$C89&amp;"""""")"")*P89)"),"")</f>
        <v/>
      </c>
      <c r="T89" s="96" t="str">
        <f>IFERROR(__xludf.DUMMYFUNCTION("if(isblank(B89),,query(Portfolio!C$6:U$55, ""select U WHERE (C=""""""&amp;$C89&amp;"""""")"")*R89)"),"")</f>
        <v/>
      </c>
      <c r="U89" s="101"/>
      <c r="V89" s="101"/>
    </row>
    <row r="90">
      <c r="A90" s="155"/>
      <c r="B90" s="101"/>
      <c r="C90" s="156"/>
      <c r="D90" s="101"/>
      <c r="E90" s="101"/>
      <c r="F90" s="102"/>
      <c r="G90" s="101"/>
      <c r="H90" s="95" t="str">
        <f t="array" ref="H90">if(isblank(B90),,max(if($C$1:$C89=C90,row($C$1:$C89))))</f>
        <v/>
      </c>
      <c r="I90" s="95" t="str">
        <f t="shared" si="1"/>
        <v/>
      </c>
      <c r="J90" s="95" t="str">
        <f t="shared" si="2"/>
        <v/>
      </c>
      <c r="K90" s="96" t="str">
        <f t="shared" si="3"/>
        <v/>
      </c>
      <c r="L90" s="96" t="str">
        <f t="shared" si="4"/>
        <v/>
      </c>
      <c r="M90" s="98" t="str">
        <f t="shared" si="5"/>
        <v/>
      </c>
      <c r="N90" s="98" t="str">
        <f t="shared" si="6"/>
        <v/>
      </c>
      <c r="O90" s="96" t="str">
        <f t="shared" si="7"/>
        <v/>
      </c>
      <c r="P90" s="96" t="str">
        <f t="shared" si="8"/>
        <v/>
      </c>
      <c r="Q90" s="100" t="str">
        <f t="shared" si="9"/>
        <v/>
      </c>
      <c r="R90" s="96" t="str">
        <f t="shared" si="10"/>
        <v/>
      </c>
      <c r="S90" s="96" t="str">
        <f>IFERROR(__xludf.DUMMYFUNCTION("if(isblank(B90),,query(Portfolio!C$6:U$55, ""select U WHERE (C=""""""&amp;$C90&amp;"""""")"")*P90)"),"")</f>
        <v/>
      </c>
      <c r="T90" s="96" t="str">
        <f>IFERROR(__xludf.DUMMYFUNCTION("if(isblank(B90),,query(Portfolio!C$6:U$55, ""select U WHERE (C=""""""&amp;$C90&amp;"""""")"")*R90)"),"")</f>
        <v/>
      </c>
      <c r="U90" s="101"/>
      <c r="V90" s="101"/>
    </row>
    <row r="91">
      <c r="A91" s="155"/>
      <c r="B91" s="101"/>
      <c r="C91" s="156"/>
      <c r="D91" s="101"/>
      <c r="E91" s="101"/>
      <c r="F91" s="102"/>
      <c r="G91" s="101"/>
      <c r="H91" s="95" t="str">
        <f t="array" ref="H91">if(isblank(B91),,max(if($C$1:$C90=C91,row($C$1:$C90))))</f>
        <v/>
      </c>
      <c r="I91" s="95" t="str">
        <f t="shared" si="1"/>
        <v/>
      </c>
      <c r="J91" s="95" t="str">
        <f t="shared" si="2"/>
        <v/>
      </c>
      <c r="K91" s="96" t="str">
        <f t="shared" si="3"/>
        <v/>
      </c>
      <c r="L91" s="96" t="str">
        <f t="shared" si="4"/>
        <v/>
      </c>
      <c r="M91" s="98" t="str">
        <f t="shared" si="5"/>
        <v/>
      </c>
      <c r="N91" s="98" t="str">
        <f t="shared" si="6"/>
        <v/>
      </c>
      <c r="O91" s="96" t="str">
        <f t="shared" si="7"/>
        <v/>
      </c>
      <c r="P91" s="96" t="str">
        <f t="shared" si="8"/>
        <v/>
      </c>
      <c r="Q91" s="100" t="str">
        <f t="shared" si="9"/>
        <v/>
      </c>
      <c r="R91" s="96" t="str">
        <f t="shared" si="10"/>
        <v/>
      </c>
      <c r="S91" s="96" t="str">
        <f>IFERROR(__xludf.DUMMYFUNCTION("if(isblank(B91),,query(Portfolio!C$6:U$55, ""select U WHERE (C=""""""&amp;$C91&amp;"""""")"")*P91)"),"")</f>
        <v/>
      </c>
      <c r="T91" s="96" t="str">
        <f>IFERROR(__xludf.DUMMYFUNCTION("if(isblank(B91),,query(Portfolio!C$6:U$55, ""select U WHERE (C=""""""&amp;$C91&amp;"""""")"")*R91)"),"")</f>
        <v/>
      </c>
      <c r="U91" s="101"/>
      <c r="V91" s="101"/>
    </row>
    <row r="92">
      <c r="A92" s="155"/>
      <c r="B92" s="101"/>
      <c r="C92" s="156"/>
      <c r="D92" s="101"/>
      <c r="E92" s="101"/>
      <c r="F92" s="102"/>
      <c r="G92" s="101"/>
      <c r="H92" s="95" t="str">
        <f t="array" ref="H92">if(isblank(B92),,max(if($C$1:$C91=C92,row($C$1:$C91))))</f>
        <v/>
      </c>
      <c r="I92" s="95" t="str">
        <f t="shared" si="1"/>
        <v/>
      </c>
      <c r="J92" s="95" t="str">
        <f t="shared" si="2"/>
        <v/>
      </c>
      <c r="K92" s="96" t="str">
        <f t="shared" si="3"/>
        <v/>
      </c>
      <c r="L92" s="96" t="str">
        <f t="shared" si="4"/>
        <v/>
      </c>
      <c r="M92" s="98" t="str">
        <f t="shared" si="5"/>
        <v/>
      </c>
      <c r="N92" s="98" t="str">
        <f t="shared" si="6"/>
        <v/>
      </c>
      <c r="O92" s="96" t="str">
        <f t="shared" si="7"/>
        <v/>
      </c>
      <c r="P92" s="96" t="str">
        <f t="shared" si="8"/>
        <v/>
      </c>
      <c r="Q92" s="100" t="str">
        <f t="shared" si="9"/>
        <v/>
      </c>
      <c r="R92" s="96" t="str">
        <f t="shared" si="10"/>
        <v/>
      </c>
      <c r="S92" s="96" t="str">
        <f>IFERROR(__xludf.DUMMYFUNCTION("if(isblank(B92),,query(Portfolio!C$6:U$55, ""select U WHERE (C=""""""&amp;$C92&amp;"""""")"")*P92)"),"")</f>
        <v/>
      </c>
      <c r="T92" s="96" t="str">
        <f>IFERROR(__xludf.DUMMYFUNCTION("if(isblank(B92),,query(Portfolio!C$6:U$55, ""select U WHERE (C=""""""&amp;$C92&amp;"""""")"")*R92)"),"")</f>
        <v/>
      </c>
      <c r="U92" s="101"/>
      <c r="V92" s="101"/>
    </row>
    <row r="93">
      <c r="A93" s="155"/>
      <c r="B93" s="101"/>
      <c r="C93" s="156"/>
      <c r="D93" s="101"/>
      <c r="E93" s="101"/>
      <c r="F93" s="102"/>
      <c r="G93" s="101"/>
      <c r="H93" s="95" t="str">
        <f t="array" ref="H93">if(isblank(B93),,max(if($C$1:$C92=C93,row($C$1:$C92))))</f>
        <v/>
      </c>
      <c r="I93" s="95" t="str">
        <f t="shared" si="1"/>
        <v/>
      </c>
      <c r="J93" s="95" t="str">
        <f t="shared" si="2"/>
        <v/>
      </c>
      <c r="K93" s="96" t="str">
        <f t="shared" si="3"/>
        <v/>
      </c>
      <c r="L93" s="96" t="str">
        <f t="shared" si="4"/>
        <v/>
      </c>
      <c r="M93" s="98" t="str">
        <f t="shared" si="5"/>
        <v/>
      </c>
      <c r="N93" s="98" t="str">
        <f t="shared" si="6"/>
        <v/>
      </c>
      <c r="O93" s="96" t="str">
        <f t="shared" si="7"/>
        <v/>
      </c>
      <c r="P93" s="96" t="str">
        <f t="shared" si="8"/>
        <v/>
      </c>
      <c r="Q93" s="100" t="str">
        <f t="shared" si="9"/>
        <v/>
      </c>
      <c r="R93" s="96" t="str">
        <f t="shared" si="10"/>
        <v/>
      </c>
      <c r="S93" s="96" t="str">
        <f>IFERROR(__xludf.DUMMYFUNCTION("if(isblank(B93),,query(Portfolio!C$6:U$55, ""select U WHERE (C=""""""&amp;$C93&amp;"""""")"")*P93)"),"")</f>
        <v/>
      </c>
      <c r="T93" s="96" t="str">
        <f>IFERROR(__xludf.DUMMYFUNCTION("if(isblank(B93),,query(Portfolio!C$6:U$55, ""select U WHERE (C=""""""&amp;$C93&amp;"""""")"")*R93)"),"")</f>
        <v/>
      </c>
      <c r="U93" s="101"/>
      <c r="V93" s="101"/>
    </row>
    <row r="94">
      <c r="A94" s="155"/>
      <c r="B94" s="101"/>
      <c r="C94" s="156"/>
      <c r="D94" s="101"/>
      <c r="E94" s="101"/>
      <c r="F94" s="102"/>
      <c r="G94" s="101"/>
      <c r="H94" s="95" t="str">
        <f t="array" ref="H94">if(isblank(B94),,max(if($C$1:$C93=C94,row($C$1:$C93))))</f>
        <v/>
      </c>
      <c r="I94" s="95" t="str">
        <f t="shared" si="1"/>
        <v/>
      </c>
      <c r="J94" s="95" t="str">
        <f t="shared" si="2"/>
        <v/>
      </c>
      <c r="K94" s="96" t="str">
        <f t="shared" si="3"/>
        <v/>
      </c>
      <c r="L94" s="96" t="str">
        <f t="shared" si="4"/>
        <v/>
      </c>
      <c r="M94" s="98" t="str">
        <f t="shared" si="5"/>
        <v/>
      </c>
      <c r="N94" s="98" t="str">
        <f t="shared" si="6"/>
        <v/>
      </c>
      <c r="O94" s="96" t="str">
        <f t="shared" si="7"/>
        <v/>
      </c>
      <c r="P94" s="96" t="str">
        <f t="shared" si="8"/>
        <v/>
      </c>
      <c r="Q94" s="100" t="str">
        <f t="shared" si="9"/>
        <v/>
      </c>
      <c r="R94" s="96" t="str">
        <f t="shared" si="10"/>
        <v/>
      </c>
      <c r="S94" s="96" t="str">
        <f>IFERROR(__xludf.DUMMYFUNCTION("if(isblank(B94),,query(Portfolio!C$6:U$55, ""select U WHERE (C=""""""&amp;$C94&amp;"""""")"")*P94)"),"")</f>
        <v/>
      </c>
      <c r="T94" s="96" t="str">
        <f>IFERROR(__xludf.DUMMYFUNCTION("if(isblank(B94),,query(Portfolio!C$6:U$55, ""select U WHERE (C=""""""&amp;$C94&amp;"""""")"")*R94)"),"")</f>
        <v/>
      </c>
      <c r="U94" s="101"/>
      <c r="V94" s="101"/>
    </row>
    <row r="95">
      <c r="A95" s="155"/>
      <c r="B95" s="101"/>
      <c r="C95" s="156"/>
      <c r="D95" s="101"/>
      <c r="E95" s="101"/>
      <c r="F95" s="102"/>
      <c r="G95" s="101"/>
      <c r="H95" s="95" t="str">
        <f t="array" ref="H95">if(isblank(B95),,max(if($C$1:$C94=C95,row($C$1:$C94))))</f>
        <v/>
      </c>
      <c r="I95" s="95" t="str">
        <f t="shared" si="1"/>
        <v/>
      </c>
      <c r="J95" s="95" t="str">
        <f t="shared" si="2"/>
        <v/>
      </c>
      <c r="K95" s="96" t="str">
        <f t="shared" si="3"/>
        <v/>
      </c>
      <c r="L95" s="96" t="str">
        <f t="shared" si="4"/>
        <v/>
      </c>
      <c r="M95" s="98" t="str">
        <f t="shared" si="5"/>
        <v/>
      </c>
      <c r="N95" s="98" t="str">
        <f t="shared" si="6"/>
        <v/>
      </c>
      <c r="O95" s="96" t="str">
        <f t="shared" si="7"/>
        <v/>
      </c>
      <c r="P95" s="96" t="str">
        <f t="shared" si="8"/>
        <v/>
      </c>
      <c r="Q95" s="100" t="str">
        <f t="shared" si="9"/>
        <v/>
      </c>
      <c r="R95" s="96" t="str">
        <f t="shared" si="10"/>
        <v/>
      </c>
      <c r="S95" s="96" t="str">
        <f>IFERROR(__xludf.DUMMYFUNCTION("if(isblank(B95),,query(Portfolio!C$6:U$55, ""select U WHERE (C=""""""&amp;$C95&amp;"""""")"")*P95)"),"")</f>
        <v/>
      </c>
      <c r="T95" s="96" t="str">
        <f>IFERROR(__xludf.DUMMYFUNCTION("if(isblank(B95),,query(Portfolio!C$6:U$55, ""select U WHERE (C=""""""&amp;$C95&amp;"""""")"")*R95)"),"")</f>
        <v/>
      </c>
      <c r="U95" s="101"/>
      <c r="V95" s="101"/>
    </row>
    <row r="96">
      <c r="A96" s="155"/>
      <c r="B96" s="101"/>
      <c r="C96" s="156"/>
      <c r="D96" s="101"/>
      <c r="E96" s="101"/>
      <c r="F96" s="102"/>
      <c r="G96" s="101"/>
      <c r="H96" s="95" t="str">
        <f t="array" ref="H96">if(isblank(B96),,max(if($C$1:$C95=C96,row($C$1:$C95))))</f>
        <v/>
      </c>
      <c r="I96" s="95" t="str">
        <f t="shared" si="1"/>
        <v/>
      </c>
      <c r="J96" s="95" t="str">
        <f t="shared" si="2"/>
        <v/>
      </c>
      <c r="K96" s="96" t="str">
        <f t="shared" si="3"/>
        <v/>
      </c>
      <c r="L96" s="96" t="str">
        <f t="shared" si="4"/>
        <v/>
      </c>
      <c r="M96" s="98" t="str">
        <f t="shared" si="5"/>
        <v/>
      </c>
      <c r="N96" s="98" t="str">
        <f t="shared" si="6"/>
        <v/>
      </c>
      <c r="O96" s="96" t="str">
        <f t="shared" si="7"/>
        <v/>
      </c>
      <c r="P96" s="96" t="str">
        <f t="shared" si="8"/>
        <v/>
      </c>
      <c r="Q96" s="100" t="str">
        <f t="shared" si="9"/>
        <v/>
      </c>
      <c r="R96" s="96" t="str">
        <f t="shared" si="10"/>
        <v/>
      </c>
      <c r="S96" s="96" t="str">
        <f>IFERROR(__xludf.DUMMYFUNCTION("if(isblank(B96),,query(Portfolio!C$6:U$55, ""select U WHERE (C=""""""&amp;$C96&amp;"""""")"")*P96)"),"")</f>
        <v/>
      </c>
      <c r="T96" s="96" t="str">
        <f>IFERROR(__xludf.DUMMYFUNCTION("if(isblank(B96),,query(Portfolio!C$6:U$55, ""select U WHERE (C=""""""&amp;$C96&amp;"""""")"")*R96)"),"")</f>
        <v/>
      </c>
      <c r="U96" s="101"/>
      <c r="V96" s="101"/>
    </row>
    <row r="97">
      <c r="A97" s="155"/>
      <c r="B97" s="101"/>
      <c r="C97" s="156"/>
      <c r="D97" s="101"/>
      <c r="E97" s="101"/>
      <c r="F97" s="102"/>
      <c r="G97" s="101"/>
      <c r="H97" s="95" t="str">
        <f t="array" ref="H97">if(isblank(B97),,max(if($C$1:$C96=C97,row($C$1:$C96))))</f>
        <v/>
      </c>
      <c r="I97" s="95" t="str">
        <f t="shared" si="1"/>
        <v/>
      </c>
      <c r="J97" s="95" t="str">
        <f t="shared" si="2"/>
        <v/>
      </c>
      <c r="K97" s="96" t="str">
        <f t="shared" si="3"/>
        <v/>
      </c>
      <c r="L97" s="96" t="str">
        <f t="shared" si="4"/>
        <v/>
      </c>
      <c r="M97" s="98" t="str">
        <f t="shared" si="5"/>
        <v/>
      </c>
      <c r="N97" s="98" t="str">
        <f t="shared" si="6"/>
        <v/>
      </c>
      <c r="O97" s="96" t="str">
        <f t="shared" si="7"/>
        <v/>
      </c>
      <c r="P97" s="96" t="str">
        <f t="shared" si="8"/>
        <v/>
      </c>
      <c r="Q97" s="100" t="str">
        <f t="shared" si="9"/>
        <v/>
      </c>
      <c r="R97" s="96" t="str">
        <f t="shared" si="10"/>
        <v/>
      </c>
      <c r="S97" s="96" t="str">
        <f>IFERROR(__xludf.DUMMYFUNCTION("if(isblank(B97),,query(Portfolio!C$6:U$55, ""select U WHERE (C=""""""&amp;$C97&amp;"""""")"")*P97)"),"")</f>
        <v/>
      </c>
      <c r="T97" s="96" t="str">
        <f>IFERROR(__xludf.DUMMYFUNCTION("if(isblank(B97),,query(Portfolio!C$6:U$55, ""select U WHERE (C=""""""&amp;$C97&amp;"""""")"")*R97)"),"")</f>
        <v/>
      </c>
      <c r="U97" s="101"/>
      <c r="V97" s="101"/>
    </row>
    <row r="98">
      <c r="A98" s="155"/>
      <c r="B98" s="101"/>
      <c r="C98" s="156"/>
      <c r="D98" s="101"/>
      <c r="E98" s="101"/>
      <c r="F98" s="102"/>
      <c r="G98" s="101"/>
      <c r="H98" s="95" t="str">
        <f t="array" ref="H98">if(isblank(B98),,max(if($C$1:$C97=C98,row($C$1:$C97))))</f>
        <v/>
      </c>
      <c r="I98" s="95" t="str">
        <f t="shared" si="1"/>
        <v/>
      </c>
      <c r="J98" s="95" t="str">
        <f t="shared" si="2"/>
        <v/>
      </c>
      <c r="K98" s="96" t="str">
        <f t="shared" si="3"/>
        <v/>
      </c>
      <c r="L98" s="96" t="str">
        <f t="shared" si="4"/>
        <v/>
      </c>
      <c r="M98" s="98" t="str">
        <f t="shared" si="5"/>
        <v/>
      </c>
      <c r="N98" s="98" t="str">
        <f t="shared" si="6"/>
        <v/>
      </c>
      <c r="O98" s="96" t="str">
        <f t="shared" si="7"/>
        <v/>
      </c>
      <c r="P98" s="96" t="str">
        <f t="shared" si="8"/>
        <v/>
      </c>
      <c r="Q98" s="100" t="str">
        <f t="shared" si="9"/>
        <v/>
      </c>
      <c r="R98" s="96" t="str">
        <f t="shared" si="10"/>
        <v/>
      </c>
      <c r="S98" s="96" t="str">
        <f>IFERROR(__xludf.DUMMYFUNCTION("if(isblank(B98),,query(Portfolio!C$6:U$55, ""select U WHERE (C=""""""&amp;$C98&amp;"""""")"")*P98)"),"")</f>
        <v/>
      </c>
      <c r="T98" s="96" t="str">
        <f>IFERROR(__xludf.DUMMYFUNCTION("if(isblank(B98),,query(Portfolio!C$6:U$55, ""select U WHERE (C=""""""&amp;$C98&amp;"""""")"")*R98)"),"")</f>
        <v/>
      </c>
      <c r="U98" s="101"/>
      <c r="V98" s="101"/>
    </row>
    <row r="99">
      <c r="A99" s="155"/>
      <c r="B99" s="101"/>
      <c r="C99" s="156"/>
      <c r="D99" s="101"/>
      <c r="E99" s="101"/>
      <c r="F99" s="102"/>
      <c r="G99" s="101"/>
      <c r="H99" s="95" t="str">
        <f t="array" ref="H99">if(isblank(B99),,max(if($C$1:$C98=C99,row($C$1:$C98))))</f>
        <v/>
      </c>
      <c r="I99" s="95" t="str">
        <f t="shared" si="1"/>
        <v/>
      </c>
      <c r="J99" s="95" t="str">
        <f t="shared" si="2"/>
        <v/>
      </c>
      <c r="K99" s="96" t="str">
        <f t="shared" si="3"/>
        <v/>
      </c>
      <c r="L99" s="96" t="str">
        <f t="shared" si="4"/>
        <v/>
      </c>
      <c r="M99" s="98" t="str">
        <f t="shared" si="5"/>
        <v/>
      </c>
      <c r="N99" s="98" t="str">
        <f t="shared" si="6"/>
        <v/>
      </c>
      <c r="O99" s="96" t="str">
        <f t="shared" si="7"/>
        <v/>
      </c>
      <c r="P99" s="96" t="str">
        <f t="shared" si="8"/>
        <v/>
      </c>
      <c r="Q99" s="100" t="str">
        <f t="shared" si="9"/>
        <v/>
      </c>
      <c r="R99" s="96" t="str">
        <f t="shared" si="10"/>
        <v/>
      </c>
      <c r="S99" s="96" t="str">
        <f>IFERROR(__xludf.DUMMYFUNCTION("if(isblank(B99),,query(Portfolio!C$6:U$55, ""select U WHERE (C=""""""&amp;$C99&amp;"""""")"")*P99)"),"")</f>
        <v/>
      </c>
      <c r="T99" s="96" t="str">
        <f>IFERROR(__xludf.DUMMYFUNCTION("if(isblank(B99),,query(Portfolio!C$6:U$55, ""select U WHERE (C=""""""&amp;$C99&amp;"""""")"")*R99)"),"")</f>
        <v/>
      </c>
      <c r="U99" s="101"/>
      <c r="V99" s="101"/>
    </row>
    <row r="100">
      <c r="A100" s="155"/>
      <c r="B100" s="101"/>
      <c r="C100" s="156"/>
      <c r="D100" s="101"/>
      <c r="E100" s="101"/>
      <c r="F100" s="102"/>
      <c r="G100" s="101"/>
      <c r="H100" s="95" t="str">
        <f t="array" ref="H100">if(isblank(B100),,max(if($C$1:$C99=C100,row($C$1:$C99))))</f>
        <v/>
      </c>
      <c r="I100" s="95" t="str">
        <f t="shared" si="1"/>
        <v/>
      </c>
      <c r="J100" s="95" t="str">
        <f t="shared" si="2"/>
        <v/>
      </c>
      <c r="K100" s="96" t="str">
        <f t="shared" si="3"/>
        <v/>
      </c>
      <c r="L100" s="96" t="str">
        <f t="shared" si="4"/>
        <v/>
      </c>
      <c r="M100" s="98" t="str">
        <f t="shared" si="5"/>
        <v/>
      </c>
      <c r="N100" s="98" t="str">
        <f t="shared" si="6"/>
        <v/>
      </c>
      <c r="O100" s="96" t="str">
        <f t="shared" si="7"/>
        <v/>
      </c>
      <c r="P100" s="96" t="str">
        <f t="shared" si="8"/>
        <v/>
      </c>
      <c r="Q100" s="100" t="str">
        <f t="shared" si="9"/>
        <v/>
      </c>
      <c r="R100" s="96" t="str">
        <f t="shared" si="10"/>
        <v/>
      </c>
      <c r="S100" s="96" t="str">
        <f>IFERROR(__xludf.DUMMYFUNCTION("if(isblank(B100),,query(Portfolio!C$6:U$55, ""select U WHERE (C=""""""&amp;$C100&amp;"""""")"")*P100)"),"")</f>
        <v/>
      </c>
      <c r="T100" s="96" t="str">
        <f>IFERROR(__xludf.DUMMYFUNCTION("if(isblank(B100),,query(Portfolio!C$6:U$55, ""select U WHERE (C=""""""&amp;$C100&amp;"""""")"")*R100)"),"")</f>
        <v/>
      </c>
      <c r="U100" s="101"/>
      <c r="V100" s="101"/>
    </row>
  </sheetData>
  <dataValidations>
    <dataValidation type="list" allowBlank="1" sqref="C2:C100">
      <formula1>ReferenceData!$A$4:$A$60</formula1>
    </dataValidation>
    <dataValidation type="list" allowBlank="1" sqref="B2:B100">
      <formula1>"Buy,Sell,Div,Split"</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9.29"/>
    <col customWidth="1" min="2" max="2" width="7.29"/>
    <col customWidth="1" min="3" max="3" width="5.0"/>
    <col customWidth="1" min="4" max="4" width="9.29"/>
    <col customWidth="1" min="5" max="6" width="8.14"/>
    <col customWidth="1" min="7" max="7" width="7.0"/>
    <col customWidth="1" min="8" max="9" width="8.14"/>
    <col customWidth="1" min="10" max="10" width="7.0"/>
    <col customWidth="1" min="11" max="12" width="8.14"/>
    <col customWidth="1" min="13" max="13" width="7.0"/>
    <col customWidth="1" min="14" max="15" width="8.14"/>
    <col customWidth="1" min="16" max="16" width="9.71"/>
  </cols>
  <sheetData>
    <row r="1">
      <c r="A1" s="169">
        <v>2016.0</v>
      </c>
      <c r="B1" s="170" t="str">
        <f>CONCATENATE("Total [",Portfolio!$H$3,"]" )</f>
        <v>Total [€]</v>
      </c>
      <c r="C1" s="24"/>
      <c r="D1" s="171" t="str">
        <f t="shared" ref="D1:P1" si="1">sum(D3:D52)</f>
        <v>#N/A</v>
      </c>
      <c r="E1" s="171" t="str">
        <f t="shared" si="1"/>
        <v>#N/A</v>
      </c>
      <c r="F1" s="171" t="str">
        <f t="shared" si="1"/>
        <v>#N/A</v>
      </c>
      <c r="G1" s="171" t="str">
        <f t="shared" si="1"/>
        <v>#N/A</v>
      </c>
      <c r="H1" s="171" t="str">
        <f t="shared" si="1"/>
        <v>#N/A</v>
      </c>
      <c r="I1" s="171" t="str">
        <f t="shared" si="1"/>
        <v>#N/A</v>
      </c>
      <c r="J1" s="171" t="str">
        <f t="shared" si="1"/>
        <v>#N/A</v>
      </c>
      <c r="K1" s="171" t="str">
        <f t="shared" si="1"/>
        <v>#N/A</v>
      </c>
      <c r="L1" s="171" t="str">
        <f t="shared" si="1"/>
        <v>#N/A</v>
      </c>
      <c r="M1" s="171" t="str">
        <f t="shared" si="1"/>
        <v>#N/A</v>
      </c>
      <c r="N1" s="171" t="str">
        <f t="shared" si="1"/>
        <v>#N/A</v>
      </c>
      <c r="O1" s="171" t="str">
        <f t="shared" si="1"/>
        <v>#N/A</v>
      </c>
      <c r="P1" s="171">
        <f t="shared" si="1"/>
        <v>0</v>
      </c>
    </row>
    <row r="2">
      <c r="A2" s="172" t="s">
        <v>148</v>
      </c>
      <c r="B2" s="173" t="s">
        <v>149</v>
      </c>
      <c r="C2" s="173" t="s">
        <v>150</v>
      </c>
      <c r="D2" s="174" t="s">
        <v>151</v>
      </c>
      <c r="E2" s="174" t="s">
        <v>152</v>
      </c>
      <c r="F2" s="174" t="s">
        <v>153</v>
      </c>
      <c r="G2" s="174" t="s">
        <v>154</v>
      </c>
      <c r="H2" s="174" t="s">
        <v>137</v>
      </c>
      <c r="I2" s="174" t="s">
        <v>155</v>
      </c>
      <c r="J2" s="174" t="s">
        <v>156</v>
      </c>
      <c r="K2" s="174" t="s">
        <v>157</v>
      </c>
      <c r="L2" s="174" t="s">
        <v>158</v>
      </c>
      <c r="M2" s="174" t="s">
        <v>159</v>
      </c>
      <c r="N2" s="174" t="s">
        <v>160</v>
      </c>
      <c r="O2" s="174" t="s">
        <v>161</v>
      </c>
      <c r="P2" s="175" t="s">
        <v>162</v>
      </c>
    </row>
    <row r="3">
      <c r="A3" s="45" t="str">
        <f t="shared" ref="A3:A52" si="2">IFERROR(__xludf.DUMMYFUNCTION("IF($B3="""","""",GOOGLEFINANCE($B3,""name""))"),"Mcdonald's Corp")</f>
        <v>Mcdonald's Corp</v>
      </c>
      <c r="B3" s="176" t="s">
        <v>19</v>
      </c>
      <c r="C3" s="177" t="str">
        <f>IFERROR(__xludf.DUMMYFUNCTION("if(CONCATENATE(MONTH(query(ReferenceData!$B$4:$G$53,""select G where B='""&amp;B3&amp;""'"")),""/"",DAY(query(ReferenceData!$B$4:$G$53,""select G where B='""&amp;B3&amp;""'"")))=0,""N/A"",CONCATENATE(MONTH(query(ReferenceData!$B$4:$G$53,""select G where B='""&amp;B3&amp;""'"")),"&amp;"""/"",DAY(query(ReferenceData!$B$4:$G$53,""select G where B='""&amp;B3&amp;""'""))))"),"12/30")</f>
        <v>12/30</v>
      </c>
      <c r="D3" s="178" t="str">
        <f>if(SUMPRODUCT(1*(iferror(year(Transactions!$A$2:$A54)=$A$1))*(iferror(month(Transactions!$A$2:$A54)=1))*(Transactions!$B$2:$B54="Div")*(Transactions!$C$2:$C54=$A3)*Transactions!$T$2:$T54)=0,,SUMPRODUCT(1*(iferror(year(Transactions!$A$2:$A54)=$A$1))*(iferror(month(Transactions!$A$2:$A54)=1))*(Transactions!$B$2:$B54="Div")*(Transactions!$C$2:$C54=$A3)*Transactions!$T$2:$T54))</f>
        <v>#N/A</v>
      </c>
      <c r="E3" s="178" t="str">
        <f>if(SUMPRODUCT(1*(iferror(year(Transactions!$A$2:$A54)=$A$1))*(iferror(month(Transactions!$A$2:$A54)=2))*(Transactions!$B$2:$B54="Div")*(Transactions!$C$2:$C54=$A3)*Transactions!$T$2:$T54)=0,,SUMPRODUCT(1*(iferror(year(Transactions!$A$2:$A54)=$A$1))*(iferror(month(Transactions!$A$2:$A54)=2))*(Transactions!$B$2:$B54="Div")*(Transactions!$C$2:$C54=$A3)*Transactions!$T$2:$T54))</f>
        <v>#N/A</v>
      </c>
      <c r="F3" s="178" t="str">
        <f>if(SUMPRODUCT(1*(iferror(year(Transactions!$A$2:$A54)=$A$1))*(iferror(month(Transactions!$A$2:$A54)=3))*(Transactions!$B$2:$B54="Div")*(Transactions!$C$2:$C54=$A3)*Transactions!$T$2:$T54)=0,,SUMPRODUCT(1*(iferror(year(Transactions!$A$2:$A54)=$A$1))*(iferror(month(Transactions!$A$2:$A54)=3))*(Transactions!$B$2:$B54="Div")*(Transactions!$C$2:$C54=$A3)*Transactions!$T$2:$T54))</f>
        <v>#N/A</v>
      </c>
      <c r="G3" s="178" t="str">
        <f>if(SUMPRODUCT(1*(iferror(year(Transactions!$A$2:$A54)=$A$1))*(iferror(month(Transactions!$A$2:$A54)=4))*(Transactions!$B$2:$B54="Div")*(Transactions!$C$2:$C54=$A3)*Transactions!$T$2:$T54)=0,,SUMPRODUCT(1*(iferror(year(Transactions!$A$2:$A54)=$A$1))*(iferror(month(Transactions!$A$2:$A54)=4))*(Transactions!$B$2:$B54="Div")*(Transactions!$C$2:$C54=$A3)*Transactions!$T$2:$T54))</f>
        <v>#N/A</v>
      </c>
      <c r="H3" s="178" t="str">
        <f>if(SUMPRODUCT(1*(iferror(year(Transactions!$A$2:$A54)=$A$1))*(iferror(month(Transactions!$A$2:$A54)=5))*(Transactions!$B$2:$B54="Div")*(Transactions!$C$2:$C54=$A3)*Transactions!$T$2:$T54)=0,,SUMPRODUCT(1*(iferror(year(Transactions!$A$2:$A54)=$A$1))*(iferror(month(Transactions!$A$2:$A54)=5))*(Transactions!$B$2:$B54="Div")*(Transactions!$C$2:$C54=$A3)*Transactions!$T$2:$T54))</f>
        <v>#N/A</v>
      </c>
      <c r="I3" s="178" t="str">
        <f>if(SUMPRODUCT(1*(iferror(year(Transactions!$A$2:$A54)=$A$1))*(iferror(month(Transactions!$A$2:$A54)=6))*(Transactions!$B$2:$B54="Div")*(Transactions!$C$2:$C54=$A3)*Transactions!$T$2:$T54)=0,,SUMPRODUCT(1*(iferror(year(Transactions!$A$2:$A54)=$A$1))*(iferror(month(Transactions!$A$2:$A54)=6))*(Transactions!$B$2:$B54="Div")*(Transactions!$C$2:$C54=$A3)*Transactions!$T$2:$T54))</f>
        <v>#N/A</v>
      </c>
      <c r="J3" s="178" t="str">
        <f>if(SUMPRODUCT(1*(iferror(year(Transactions!$A$2:$A54)=$A$1))*(iferror(month(Transactions!$A$2:$A54)=7))*(Transactions!$B$2:$B54="Div")*(Transactions!$C$2:$C54=$A3)*Transactions!$T$2:$T54)=0,,SUMPRODUCT(1*(iferror(year(Transactions!$A$2:$A54)=$A$1))*(iferror(month(Transactions!$A$2:$A54)=7))*(Transactions!$B$2:$B54="Div")*(Transactions!$C$2:$C54=$A3)*Transactions!$T$2:$T54))</f>
        <v>#N/A</v>
      </c>
      <c r="K3" s="178" t="str">
        <f>if(SUMPRODUCT(1*(iferror(year(Transactions!$A$2:$A54)=$A$1))*(iferror(month(Transactions!$A$2:$A54)=8))*(Transactions!$B$2:$B54="Div")*(Transactions!$C$2:$C54=$A3)*Transactions!$T$2:$T54)=0,,SUMPRODUCT(1*(iferror(year(Transactions!$A$2:$A54)=$A$1))*(iferror(month(Transactions!$A$2:$A54)=8))*(Transactions!$B$2:$B54="Div")*(Transactions!$C$2:$C54=$A3)*Transactions!$T$2:$T54))</f>
        <v>#N/A</v>
      </c>
      <c r="L3" s="178" t="str">
        <f>if(SUMPRODUCT(1*(iferror(year(Transactions!$A$2:$A54)=$A$1))*(iferror(month(Transactions!$A$2:$A54)=9))*(Transactions!$B$2:$B54="Div")*(Transactions!$C$2:$C54=$A3)*Transactions!$T$2:$T54)=0,,SUMPRODUCT(1*(iferror(year(Transactions!$A$2:$A54)=$A$1))*(iferror(month(Transactions!$A$2:$A54)=9))*(Transactions!$B$2:$B54="Div")*(Transactions!$C$2:$C54=$A3)*Transactions!$T$2:$T54))</f>
        <v>#N/A</v>
      </c>
      <c r="M3" s="178" t="str">
        <f>if(SUMPRODUCT(1*(iferror(year(Transactions!$A$2:$A54)=$A$1))*(iferror(month(Transactions!$A$2:$A54)=10))*(Transactions!$B$2:$B54="Div")*(Transactions!$C$2:$C54=$A3)*Transactions!$T$2:$T54)=0,,SUMPRODUCT(1*(iferror(year(Transactions!$A$2:$A54)=$A$1))*(iferror(month(Transactions!$A$2:$A54)=10))*(Transactions!$B$2:$B54="Div")*(Transactions!$C$2:$C54=$A3)*Transactions!$T$2:$T54))</f>
        <v>#N/A</v>
      </c>
      <c r="N3" s="178" t="str">
        <f>if(SUMPRODUCT(1*(iferror(year(Transactions!$A$2:$A54)=$A$1))*(iferror(month(Transactions!$A$2:$A54)=11))*(Transactions!$B$2:$B54="Div")*(Transactions!$C$2:$C54=$A3)*Transactions!$T$2:$T54)=0,,SUMPRODUCT(1*(iferror(year(Transactions!$A$2:$A54)=$A$1))*(iferror(month(Transactions!$A$2:$A54)=11))*(Transactions!$B$2:$B54="Div")*(Transactions!$C$2:$C54=$A3)*Transactions!$T$2:$T54))</f>
        <v>#N/A</v>
      </c>
      <c r="O3" s="178" t="str">
        <f>if(SUMPRODUCT(1*(iferror(year(Transactions!$A$2:$A54)=$A$1))*(iferror(month(Transactions!$A$2:$A54)=12))*(Transactions!$B$2:$B54="Div")*(Transactions!$C$2:$C54=$A3)*Transactions!$T$2:$T54)=0,,SUMPRODUCT(1*(iferror(year(Transactions!$A$2:$A54)=$A$1))*(iferror(month(Transactions!$A$2:$A54)=12))*(Transactions!$B$2:$B54="Div")*(Transactions!$C$2:$C54=$A3)*Transactions!$T$2:$T54))</f>
        <v>#N/A</v>
      </c>
      <c r="P3" s="179"/>
    </row>
    <row r="4">
      <c r="A4" s="45" t="str">
        <f t="shared" si="2"/>
        <v>#N/A</v>
      </c>
      <c r="B4" s="176" t="s">
        <v>56</v>
      </c>
      <c r="C4" s="177"/>
      <c r="D4" s="178" t="str">
        <f>if(SUMPRODUCT(1*(iferror(year(Transactions!$A$2:$A54)=$A$1))*(iferror(month(Transactions!$A$2:$A54)=1))*(Transactions!$B$2:$B54="Div")*(Transactions!$C$2:$C54=$A4)*Transactions!$T$2:$T54)=0,,SUMPRODUCT(1*(iferror(year(Transactions!$A$2:$A54)=$A$1))*(iferror(month(Transactions!$A$2:$A54)=1))*(Transactions!$B$2:$B54="Div")*(Transactions!$C$2:$C54=$A4)*Transactions!$T$2:$T54))</f>
        <v>#N/A</v>
      </c>
      <c r="E4" s="178" t="str">
        <f>if(SUMPRODUCT(1*(iferror(year(Transactions!$A$2:$A54)=$A$1))*(iferror(month(Transactions!$A$2:$A54)=2))*(Transactions!$B$2:$B54="Div")*(Transactions!$C$2:$C54=$A4)*Transactions!$T$2:$T54)=0,,SUMPRODUCT(1*(iferror(year(Transactions!$A$2:$A54)=$A$1))*(iferror(month(Transactions!$A$2:$A54)=2))*(Transactions!$B$2:$B54="Div")*(Transactions!$C$2:$C54=$A4)*Transactions!$T$2:$T54))</f>
        <v>#N/A</v>
      </c>
      <c r="F4" s="178" t="str">
        <f>if(SUMPRODUCT(1*(iferror(year(Transactions!$A$2:$A54)=$A$1))*(iferror(month(Transactions!$A$2:$A54)=3))*(Transactions!$B$2:$B54="Div")*(Transactions!$C$2:$C54=$A4)*Transactions!$T$2:$T54)=0,,SUMPRODUCT(1*(iferror(year(Transactions!$A$2:$A54)=$A$1))*(iferror(month(Transactions!$A$2:$A54)=3))*(Transactions!$B$2:$B54="Div")*(Transactions!$C$2:$C54=$A4)*Transactions!$T$2:$T54))</f>
        <v>#N/A</v>
      </c>
      <c r="G4" s="178" t="str">
        <f>if(SUMPRODUCT(1*(iferror(year(Transactions!$A$2:$A54)=$A$1))*(iferror(month(Transactions!$A$2:$A54)=4))*(Transactions!$B$2:$B54="Div")*(Transactions!$C$2:$C54=$A4)*Transactions!$T$2:$T54)=0,,SUMPRODUCT(1*(iferror(year(Transactions!$A$2:$A54)=$A$1))*(iferror(month(Transactions!$A$2:$A54)=4))*(Transactions!$B$2:$B54="Div")*(Transactions!$C$2:$C54=$A4)*Transactions!$T$2:$T54))</f>
        <v>#N/A</v>
      </c>
      <c r="H4" s="178" t="str">
        <f>if(SUMPRODUCT(1*(iferror(year(Transactions!$A$2:$A54)=$A$1))*(iferror(month(Transactions!$A$2:$A54)=5))*(Transactions!$B$2:$B54="Div")*(Transactions!$C$2:$C54=$A4)*Transactions!$T$2:$T54)=0,,SUMPRODUCT(1*(iferror(year(Transactions!$A$2:$A54)=$A$1))*(iferror(month(Transactions!$A$2:$A54)=5))*(Transactions!$B$2:$B54="Div")*(Transactions!$C$2:$C54=$A4)*Transactions!$T$2:$T54))</f>
        <v>#N/A</v>
      </c>
      <c r="I4" s="178" t="str">
        <f>if(SUMPRODUCT(1*(iferror(year(Transactions!$A$2:$A54)=$A$1))*(iferror(month(Transactions!$A$2:$A54)=6))*(Transactions!$B$2:$B54="Div")*(Transactions!$C$2:$C54=$A4)*Transactions!$T$2:$T54)=0,,SUMPRODUCT(1*(iferror(year(Transactions!$A$2:$A54)=$A$1))*(iferror(month(Transactions!$A$2:$A54)=6))*(Transactions!$B$2:$B54="Div")*(Transactions!$C$2:$C54=$A4)*Transactions!$T$2:$T54))</f>
        <v>#N/A</v>
      </c>
      <c r="J4" s="178" t="str">
        <f>if(SUMPRODUCT(1*(iferror(year(Transactions!$A$2:$A54)=$A$1))*(iferror(month(Transactions!$A$2:$A54)=7))*(Transactions!$B$2:$B54="Div")*(Transactions!$C$2:$C54=$A4)*Transactions!$T$2:$T54)=0,,SUMPRODUCT(1*(iferror(year(Transactions!$A$2:$A54)=$A$1))*(iferror(month(Transactions!$A$2:$A54)=7))*(Transactions!$B$2:$B54="Div")*(Transactions!$C$2:$C54=$A4)*Transactions!$T$2:$T54))</f>
        <v>#N/A</v>
      </c>
      <c r="K4" s="178" t="str">
        <f>if(SUMPRODUCT(1*(iferror(year(Transactions!$A$2:$A54)=$A$1))*(iferror(month(Transactions!$A$2:$A54)=8))*(Transactions!$B$2:$B54="Div")*(Transactions!$C$2:$C54=$A4)*Transactions!$T$2:$T54)=0,,SUMPRODUCT(1*(iferror(year(Transactions!$A$2:$A54)=$A$1))*(iferror(month(Transactions!$A$2:$A54)=8))*(Transactions!$B$2:$B54="Div")*(Transactions!$C$2:$C54=$A4)*Transactions!$T$2:$T54))</f>
        <v>#N/A</v>
      </c>
      <c r="L4" s="178" t="str">
        <f>if(SUMPRODUCT(1*(iferror(year(Transactions!$A$2:$A54)=$A$1))*(iferror(month(Transactions!$A$2:$A54)=9))*(Transactions!$B$2:$B54="Div")*(Transactions!$C$2:$C54=$A4)*Transactions!$T$2:$T54)=0,,SUMPRODUCT(1*(iferror(year(Transactions!$A$2:$A54)=$A$1))*(iferror(month(Transactions!$A$2:$A54)=9))*(Transactions!$B$2:$B54="Div")*(Transactions!$C$2:$C54=$A4)*Transactions!$T$2:$T54))</f>
        <v>#N/A</v>
      </c>
      <c r="M4" s="178" t="str">
        <f>if(SUMPRODUCT(1*(iferror(year(Transactions!$A$2:$A54)=$A$1))*(iferror(month(Transactions!$A$2:$A54)=10))*(Transactions!$B$2:$B54="Div")*(Transactions!$C$2:$C54=$A4)*Transactions!$T$2:$T54)=0,,SUMPRODUCT(1*(iferror(year(Transactions!$A$2:$A54)=$A$1))*(iferror(month(Transactions!$A$2:$A54)=10))*(Transactions!$B$2:$B54="Div")*(Transactions!$C$2:$C54=$A4)*Transactions!$T$2:$T54))</f>
        <v>#N/A</v>
      </c>
      <c r="N4" s="178" t="str">
        <f>if(SUMPRODUCT(1*(iferror(year(Transactions!$A$2:$A54)=$A$1))*(iferror(month(Transactions!$A$2:$A54)=11))*(Transactions!$B$2:$B54="Div")*(Transactions!$C$2:$C54=$A4)*Transactions!$T$2:$T54)=0,,SUMPRODUCT(1*(iferror(year(Transactions!$A$2:$A54)=$A$1))*(iferror(month(Transactions!$A$2:$A54)=11))*(Transactions!$B$2:$B54="Div")*(Transactions!$C$2:$C54=$A4)*Transactions!$T$2:$T54))</f>
        <v>#N/A</v>
      </c>
      <c r="O4" s="178" t="str">
        <f>if(SUMPRODUCT(1*(iferror(year(Transactions!$A$2:$A54)=$A$1))*(iferror(month(Transactions!$A$2:$A54)=12))*(Transactions!$B$2:$B54="Div")*(Transactions!$C$2:$C54=$A4)*Transactions!$T$2:$T54)=0,,SUMPRODUCT(1*(iferror(year(Transactions!$A$2:$A54)=$A$1))*(iferror(month(Transactions!$A$2:$A54)=12))*(Transactions!$B$2:$B54="Div")*(Transactions!$C$2:$C54=$A4)*Transactions!$T$2:$T54))</f>
        <v>#N/A</v>
      </c>
      <c r="P4" s="179"/>
    </row>
    <row r="5">
      <c r="A5" s="45" t="str">
        <f t="shared" si="2"/>
        <v>#N/A</v>
      </c>
      <c r="B5" s="176" t="s">
        <v>73</v>
      </c>
      <c r="C5" s="177"/>
      <c r="D5" s="178" t="str">
        <f>if(SUMPRODUCT(1*(iferror(year(Transactions!$A$2:$A54)=$A$1))*(iferror(month(Transactions!$A$2:$A54)=1))*(Transactions!$B$2:$B54="Div")*(Transactions!$C$2:$C54=$A5)*Transactions!$T$2:$T54)=0,,SUMPRODUCT(1*(iferror(year(Transactions!$A$2:$A54)=$A$1))*(iferror(month(Transactions!$A$2:$A54)=1))*(Transactions!$B$2:$B54="Div")*(Transactions!$C$2:$C54=$A5)*Transactions!$T$2:$T54))</f>
        <v>#N/A</v>
      </c>
      <c r="E5" s="178" t="str">
        <f>if(SUMPRODUCT(1*(iferror(year(Transactions!$A$2:$A54)=$A$1))*(iferror(month(Transactions!$A$2:$A54)=2))*(Transactions!$B$2:$B54="Div")*(Transactions!$C$2:$C54=$A5)*Transactions!$T$2:$T54)=0,,SUMPRODUCT(1*(iferror(year(Transactions!$A$2:$A54)=$A$1))*(iferror(month(Transactions!$A$2:$A54)=2))*(Transactions!$B$2:$B54="Div")*(Transactions!$C$2:$C54=$A5)*Transactions!$T$2:$T54))</f>
        <v>#N/A</v>
      </c>
      <c r="F5" s="178" t="str">
        <f>if(SUMPRODUCT(1*(iferror(year(Transactions!$A$2:$A54)=$A$1))*(iferror(month(Transactions!$A$2:$A54)=3))*(Transactions!$B$2:$B54="Div")*(Transactions!$C$2:$C54=$A5)*Transactions!$T$2:$T54)=0,,SUMPRODUCT(1*(iferror(year(Transactions!$A$2:$A54)=$A$1))*(iferror(month(Transactions!$A$2:$A54)=3))*(Transactions!$B$2:$B54="Div")*(Transactions!$C$2:$C54=$A5)*Transactions!$T$2:$T54))</f>
        <v>#N/A</v>
      </c>
      <c r="G5" s="178" t="str">
        <f>if(SUMPRODUCT(1*(iferror(year(Transactions!$A$2:$A54)=$A$1))*(iferror(month(Transactions!$A$2:$A54)=4))*(Transactions!$B$2:$B54="Div")*(Transactions!$C$2:$C54=$A5)*Transactions!$T$2:$T54)=0,,SUMPRODUCT(1*(iferror(year(Transactions!$A$2:$A54)=$A$1))*(iferror(month(Transactions!$A$2:$A54)=4))*(Transactions!$B$2:$B54="Div")*(Transactions!$C$2:$C54=$A5)*Transactions!$T$2:$T54))</f>
        <v>#N/A</v>
      </c>
      <c r="H5" s="178" t="str">
        <f>if(SUMPRODUCT(1*(iferror(year(Transactions!$A$2:$A54)=$A$1))*(iferror(month(Transactions!$A$2:$A54)=5))*(Transactions!$B$2:$B54="Div")*(Transactions!$C$2:$C54=$A5)*Transactions!$T$2:$T54)=0,,SUMPRODUCT(1*(iferror(year(Transactions!$A$2:$A54)=$A$1))*(iferror(month(Transactions!$A$2:$A54)=5))*(Transactions!$B$2:$B54="Div")*(Transactions!$C$2:$C54=$A5)*Transactions!$T$2:$T54))</f>
        <v>#N/A</v>
      </c>
      <c r="I5" s="178" t="str">
        <f>if(SUMPRODUCT(1*(iferror(year(Transactions!$A$2:$A54)=$A$1))*(iferror(month(Transactions!$A$2:$A54)=6))*(Transactions!$B$2:$B54="Div")*(Transactions!$C$2:$C54=$A5)*Transactions!$T$2:$T54)=0,,SUMPRODUCT(1*(iferror(year(Transactions!$A$2:$A54)=$A$1))*(iferror(month(Transactions!$A$2:$A54)=6))*(Transactions!$B$2:$B54="Div")*(Transactions!$C$2:$C54=$A5)*Transactions!$T$2:$T54))</f>
        <v>#N/A</v>
      </c>
      <c r="J5" s="178" t="str">
        <f>if(SUMPRODUCT(1*(iferror(year(Transactions!$A$2:$A54)=$A$1))*(iferror(month(Transactions!$A$2:$A54)=7))*(Transactions!$B$2:$B54="Div")*(Transactions!$C$2:$C54=$A5)*Transactions!$T$2:$T54)=0,,SUMPRODUCT(1*(iferror(year(Transactions!$A$2:$A54)=$A$1))*(iferror(month(Transactions!$A$2:$A54)=7))*(Transactions!$B$2:$B54="Div")*(Transactions!$C$2:$C54=$A5)*Transactions!$T$2:$T54))</f>
        <v>#N/A</v>
      </c>
      <c r="K5" s="178" t="str">
        <f>if(SUMPRODUCT(1*(iferror(year(Transactions!$A$2:$A54)=$A$1))*(iferror(month(Transactions!$A$2:$A54)=8))*(Transactions!$B$2:$B54="Div")*(Transactions!$C$2:$C54=$A5)*Transactions!$T$2:$T54)=0,,SUMPRODUCT(1*(iferror(year(Transactions!$A$2:$A54)=$A$1))*(iferror(month(Transactions!$A$2:$A54)=8))*(Transactions!$B$2:$B54="Div")*(Transactions!$C$2:$C54=$A5)*Transactions!$T$2:$T54))</f>
        <v>#N/A</v>
      </c>
      <c r="L5" s="178" t="str">
        <f>if(SUMPRODUCT(1*(iferror(year(Transactions!$A$2:$A54)=$A$1))*(iferror(month(Transactions!$A$2:$A54)=9))*(Transactions!$B$2:$B54="Div")*(Transactions!$C$2:$C54=$A5)*Transactions!$T$2:$T54)=0,,SUMPRODUCT(1*(iferror(year(Transactions!$A$2:$A54)=$A$1))*(iferror(month(Transactions!$A$2:$A54)=9))*(Transactions!$B$2:$B54="Div")*(Transactions!$C$2:$C54=$A5)*Transactions!$T$2:$T54))</f>
        <v>#N/A</v>
      </c>
      <c r="M5" s="178" t="str">
        <f>if(SUMPRODUCT(1*(iferror(year(Transactions!$A$2:$A54)=$A$1))*(iferror(month(Transactions!$A$2:$A54)=10))*(Transactions!$B$2:$B54="Div")*(Transactions!$C$2:$C54=$A5)*Transactions!$T$2:$T54)=0,,SUMPRODUCT(1*(iferror(year(Transactions!$A$2:$A54)=$A$1))*(iferror(month(Transactions!$A$2:$A54)=10))*(Transactions!$B$2:$B54="Div")*(Transactions!$C$2:$C54=$A5)*Transactions!$T$2:$T54))</f>
        <v>#N/A</v>
      </c>
      <c r="N5" s="178" t="str">
        <f>if(SUMPRODUCT(1*(iferror(year(Transactions!$A$2:$A54)=$A$1))*(iferror(month(Transactions!$A$2:$A54)=11))*(Transactions!$B$2:$B54="Div")*(Transactions!$C$2:$C54=$A5)*Transactions!$T$2:$T54)=0,,SUMPRODUCT(1*(iferror(year(Transactions!$A$2:$A54)=$A$1))*(iferror(month(Transactions!$A$2:$A54)=11))*(Transactions!$B$2:$B54="Div")*(Transactions!$C$2:$C54=$A5)*Transactions!$T$2:$T54))</f>
        <v>#N/A</v>
      </c>
      <c r="O5" s="178" t="str">
        <f>if(SUMPRODUCT(1*(iferror(year(Transactions!$A$2:$A54)=$A$1))*(iferror(month(Transactions!$A$2:$A54)=12))*(Transactions!$B$2:$B54="Div")*(Transactions!$C$2:$C54=$A5)*Transactions!$T$2:$T54)=0,,SUMPRODUCT(1*(iferror(year(Transactions!$A$2:$A54)=$A$1))*(iferror(month(Transactions!$A$2:$A54)=12))*(Transactions!$B$2:$B54="Div")*(Transactions!$C$2:$C54=$A5)*Transactions!$T$2:$T54))</f>
        <v>#N/A</v>
      </c>
      <c r="P5" s="179"/>
    </row>
    <row r="6">
      <c r="A6" s="45" t="str">
        <f t="shared" si="2"/>
        <v/>
      </c>
      <c r="B6" s="181"/>
      <c r="C6" s="177"/>
      <c r="D6" s="178" t="str">
        <f>if(SUMPRODUCT(1*(iferror(year(Transactions!$A$2:$A54)=$A$1))*(iferror(month(Transactions!$A$2:$A54)=1))*(Transactions!$B$2:$B54="Div")*(Transactions!$C$2:$C54=$A6)*Transactions!$T$2:$T54)=0,,SUMPRODUCT(1*(iferror(year(Transactions!$A$2:$A54)=$A$1))*(iferror(month(Transactions!$A$2:$A54)=1))*(Transactions!$B$2:$B54="Div")*(Transactions!$C$2:$C54=$A6)*Transactions!$T$2:$T54))</f>
        <v>#N/A</v>
      </c>
      <c r="E6" s="178" t="str">
        <f>if(SUMPRODUCT(1*(iferror(year(Transactions!$A$2:$A54)=$A$1))*(iferror(month(Transactions!$A$2:$A54)=2))*(Transactions!$B$2:$B54="Div")*(Transactions!$C$2:$C54=$A6)*Transactions!$T$2:$T54)=0,,SUMPRODUCT(1*(iferror(year(Transactions!$A$2:$A54)=$A$1))*(iferror(month(Transactions!$A$2:$A54)=2))*(Transactions!$B$2:$B54="Div")*(Transactions!$C$2:$C54=$A6)*Transactions!$T$2:$T54))</f>
        <v>#N/A</v>
      </c>
      <c r="F6" s="178" t="str">
        <f>if(SUMPRODUCT(1*(iferror(year(Transactions!$A$2:$A54)=$A$1))*(iferror(month(Transactions!$A$2:$A54)=3))*(Transactions!$B$2:$B54="Div")*(Transactions!$C$2:$C54=$A6)*Transactions!$T$2:$T54)=0,,SUMPRODUCT(1*(iferror(year(Transactions!$A$2:$A54)=$A$1))*(iferror(month(Transactions!$A$2:$A54)=3))*(Transactions!$B$2:$B54="Div")*(Transactions!$C$2:$C54=$A6)*Transactions!$T$2:$T54))</f>
        <v>#N/A</v>
      </c>
      <c r="G6" s="178" t="str">
        <f>if(SUMPRODUCT(1*(iferror(year(Transactions!$A$2:$A54)=$A$1))*(iferror(month(Transactions!$A$2:$A54)=4))*(Transactions!$B$2:$B54="Div")*(Transactions!$C$2:$C54=$A6)*Transactions!$T$2:$T54)=0,,SUMPRODUCT(1*(iferror(year(Transactions!$A$2:$A54)=$A$1))*(iferror(month(Transactions!$A$2:$A54)=4))*(Transactions!$B$2:$B54="Div")*(Transactions!$C$2:$C54=$A6)*Transactions!$T$2:$T54))</f>
        <v>#N/A</v>
      </c>
      <c r="H6" s="178" t="str">
        <f>if(SUMPRODUCT(1*(iferror(year(Transactions!$A$2:$A54)=$A$1))*(iferror(month(Transactions!$A$2:$A54)=5))*(Transactions!$B$2:$B54="Div")*(Transactions!$C$2:$C54=$A6)*Transactions!$T$2:$T54)=0,,SUMPRODUCT(1*(iferror(year(Transactions!$A$2:$A54)=$A$1))*(iferror(month(Transactions!$A$2:$A54)=5))*(Transactions!$B$2:$B54="Div")*(Transactions!$C$2:$C54=$A6)*Transactions!$T$2:$T54))</f>
        <v>#N/A</v>
      </c>
      <c r="I6" s="178" t="str">
        <f>if(SUMPRODUCT(1*(iferror(year(Transactions!$A$2:$A54)=$A$1))*(iferror(month(Transactions!$A$2:$A54)=6))*(Transactions!$B$2:$B54="Div")*(Transactions!$C$2:$C54=$A6)*Transactions!$T$2:$T54)=0,,SUMPRODUCT(1*(iferror(year(Transactions!$A$2:$A54)=$A$1))*(iferror(month(Transactions!$A$2:$A54)=6))*(Transactions!$B$2:$B54="Div")*(Transactions!$C$2:$C54=$A6)*Transactions!$T$2:$T54))</f>
        <v>#N/A</v>
      </c>
      <c r="J6" s="178" t="str">
        <f>if(SUMPRODUCT(1*(iferror(year(Transactions!$A$2:$A54)=$A$1))*(iferror(month(Transactions!$A$2:$A54)=7))*(Transactions!$B$2:$B54="Div")*(Transactions!$C$2:$C54=$A6)*Transactions!$T$2:$T54)=0,,SUMPRODUCT(1*(iferror(year(Transactions!$A$2:$A54)=$A$1))*(iferror(month(Transactions!$A$2:$A54)=7))*(Transactions!$B$2:$B54="Div")*(Transactions!$C$2:$C54=$A6)*Transactions!$T$2:$T54))</f>
        <v>#N/A</v>
      </c>
      <c r="K6" s="178" t="str">
        <f>if(SUMPRODUCT(1*(iferror(year(Transactions!$A$2:$A54)=$A$1))*(iferror(month(Transactions!$A$2:$A54)=8))*(Transactions!$B$2:$B54="Div")*(Transactions!$C$2:$C54=$A6)*Transactions!$T$2:$T54)=0,,SUMPRODUCT(1*(iferror(year(Transactions!$A$2:$A54)=$A$1))*(iferror(month(Transactions!$A$2:$A54)=8))*(Transactions!$B$2:$B54="Div")*(Transactions!$C$2:$C54=$A6)*Transactions!$T$2:$T54))</f>
        <v>#N/A</v>
      </c>
      <c r="L6" s="178" t="str">
        <f>if(SUMPRODUCT(1*(iferror(year(Transactions!$A$2:$A54)=$A$1))*(iferror(month(Transactions!$A$2:$A54)=9))*(Transactions!$B$2:$B54="Div")*(Transactions!$C$2:$C54=$A6)*Transactions!$T$2:$T54)=0,,SUMPRODUCT(1*(iferror(year(Transactions!$A$2:$A54)=$A$1))*(iferror(month(Transactions!$A$2:$A54)=9))*(Transactions!$B$2:$B54="Div")*(Transactions!$C$2:$C54=$A6)*Transactions!$T$2:$T54))</f>
        <v>#N/A</v>
      </c>
      <c r="M6" s="178" t="str">
        <f>if(SUMPRODUCT(1*(iferror(year(Transactions!$A$2:$A54)=$A$1))*(iferror(month(Transactions!$A$2:$A54)=10))*(Transactions!$B$2:$B54="Div")*(Transactions!$C$2:$C54=$A6)*Transactions!$T$2:$T54)=0,,SUMPRODUCT(1*(iferror(year(Transactions!$A$2:$A54)=$A$1))*(iferror(month(Transactions!$A$2:$A54)=10))*(Transactions!$B$2:$B54="Div")*(Transactions!$C$2:$C54=$A6)*Transactions!$T$2:$T54))</f>
        <v>#N/A</v>
      </c>
      <c r="N6" s="178" t="str">
        <f>if(SUMPRODUCT(1*(iferror(year(Transactions!$A$2:$A54)=$A$1))*(iferror(month(Transactions!$A$2:$A54)=11))*(Transactions!$B$2:$B54="Div")*(Transactions!$C$2:$C54=$A6)*Transactions!$T$2:$T54)=0,,SUMPRODUCT(1*(iferror(year(Transactions!$A$2:$A54)=$A$1))*(iferror(month(Transactions!$A$2:$A54)=11))*(Transactions!$B$2:$B54="Div")*(Transactions!$C$2:$C54=$A6)*Transactions!$T$2:$T54))</f>
        <v>#N/A</v>
      </c>
      <c r="O6" s="178" t="str">
        <f>if(SUMPRODUCT(1*(iferror(year(Transactions!$A$2:$A54)=$A$1))*(iferror(month(Transactions!$A$2:$A54)=12))*(Transactions!$B$2:$B54="Div")*(Transactions!$C$2:$C54=$A6)*Transactions!$T$2:$T54)=0,,SUMPRODUCT(1*(iferror(year(Transactions!$A$2:$A54)=$A$1))*(iferror(month(Transactions!$A$2:$A54)=12))*(Transactions!$B$2:$B54="Div")*(Transactions!$C$2:$C54=$A6)*Transactions!$T$2:$T54))</f>
        <v>#N/A</v>
      </c>
      <c r="P6" s="179"/>
    </row>
    <row r="7">
      <c r="A7" s="45" t="str">
        <f t="shared" si="2"/>
        <v/>
      </c>
      <c r="B7" s="181"/>
      <c r="C7" s="177"/>
      <c r="D7" s="178" t="str">
        <f>if(SUMPRODUCT(1*(iferror(year(Transactions!$A$2:$A54)=$A$1))*(iferror(month(Transactions!$A$2:$A54)=1))*(Transactions!$B$2:$B54="Div")*(Transactions!$C$2:$C54=$A7)*Transactions!$T$2:$T54)=0,,SUMPRODUCT(1*(iferror(year(Transactions!$A$2:$A54)=$A$1))*(iferror(month(Transactions!$A$2:$A54)=1))*(Transactions!$B$2:$B54="Div")*(Transactions!$C$2:$C54=$A7)*Transactions!$T$2:$T54))</f>
        <v>#N/A</v>
      </c>
      <c r="E7" s="178" t="str">
        <f>if(SUMPRODUCT(1*(iferror(year(Transactions!$A$2:$A54)=$A$1))*(iferror(month(Transactions!$A$2:$A54)=2))*(Transactions!$B$2:$B54="Div")*(Transactions!$C$2:$C54=$A7)*Transactions!$T$2:$T54)=0,,SUMPRODUCT(1*(iferror(year(Transactions!$A$2:$A54)=$A$1))*(iferror(month(Transactions!$A$2:$A54)=2))*(Transactions!$B$2:$B54="Div")*(Transactions!$C$2:$C54=$A7)*Transactions!$T$2:$T54))</f>
        <v>#N/A</v>
      </c>
      <c r="F7" s="178" t="str">
        <f>if(SUMPRODUCT(1*(iferror(year(Transactions!$A$2:$A54)=$A$1))*(iferror(month(Transactions!$A$2:$A54)=3))*(Transactions!$B$2:$B54="Div")*(Transactions!$C$2:$C54=$A7)*Transactions!$T$2:$T54)=0,,SUMPRODUCT(1*(iferror(year(Transactions!$A$2:$A54)=$A$1))*(iferror(month(Transactions!$A$2:$A54)=3))*(Transactions!$B$2:$B54="Div")*(Transactions!$C$2:$C54=$A7)*Transactions!$T$2:$T54))</f>
        <v>#N/A</v>
      </c>
      <c r="G7" s="178" t="str">
        <f>if(SUMPRODUCT(1*(iferror(year(Transactions!$A$2:$A54)=$A$1))*(iferror(month(Transactions!$A$2:$A54)=4))*(Transactions!$B$2:$B54="Div")*(Transactions!$C$2:$C54=$A7)*Transactions!$T$2:$T54)=0,,SUMPRODUCT(1*(iferror(year(Transactions!$A$2:$A54)=$A$1))*(iferror(month(Transactions!$A$2:$A54)=4))*(Transactions!$B$2:$B54="Div")*(Transactions!$C$2:$C54=$A7)*Transactions!$T$2:$T54))</f>
        <v>#N/A</v>
      </c>
      <c r="H7" s="178" t="str">
        <f>if(SUMPRODUCT(1*(iferror(year(Transactions!$A$2:$A54)=$A$1))*(iferror(month(Transactions!$A$2:$A54)=5))*(Transactions!$B$2:$B54="Div")*(Transactions!$C$2:$C54=$A7)*Transactions!$T$2:$T54)=0,,SUMPRODUCT(1*(iferror(year(Transactions!$A$2:$A54)=$A$1))*(iferror(month(Transactions!$A$2:$A54)=5))*(Transactions!$B$2:$B54="Div")*(Transactions!$C$2:$C54=$A7)*Transactions!$T$2:$T54))</f>
        <v>#N/A</v>
      </c>
      <c r="I7" s="178" t="str">
        <f>if(SUMPRODUCT(1*(iferror(year(Transactions!$A$2:$A54)=$A$1))*(iferror(month(Transactions!$A$2:$A54)=6))*(Transactions!$B$2:$B54="Div")*(Transactions!$C$2:$C54=$A7)*Transactions!$T$2:$T54)=0,,SUMPRODUCT(1*(iferror(year(Transactions!$A$2:$A54)=$A$1))*(iferror(month(Transactions!$A$2:$A54)=6))*(Transactions!$B$2:$B54="Div")*(Transactions!$C$2:$C54=$A7)*Transactions!$T$2:$T54))</f>
        <v>#N/A</v>
      </c>
      <c r="J7" s="178" t="str">
        <f>if(SUMPRODUCT(1*(iferror(year(Transactions!$A$2:$A54)=$A$1))*(iferror(month(Transactions!$A$2:$A54)=7))*(Transactions!$B$2:$B54="Div")*(Transactions!$C$2:$C54=$A7)*Transactions!$T$2:$T54)=0,,SUMPRODUCT(1*(iferror(year(Transactions!$A$2:$A54)=$A$1))*(iferror(month(Transactions!$A$2:$A54)=7))*(Transactions!$B$2:$B54="Div")*(Transactions!$C$2:$C54=$A7)*Transactions!$T$2:$T54))</f>
        <v>#N/A</v>
      </c>
      <c r="K7" s="178" t="str">
        <f>if(SUMPRODUCT(1*(iferror(year(Transactions!$A$2:$A54)=$A$1))*(iferror(month(Transactions!$A$2:$A54)=8))*(Transactions!$B$2:$B54="Div")*(Transactions!$C$2:$C54=$A7)*Transactions!$T$2:$T54)=0,,SUMPRODUCT(1*(iferror(year(Transactions!$A$2:$A54)=$A$1))*(iferror(month(Transactions!$A$2:$A54)=8))*(Transactions!$B$2:$B54="Div")*(Transactions!$C$2:$C54=$A7)*Transactions!$T$2:$T54))</f>
        <v>#N/A</v>
      </c>
      <c r="L7" s="178" t="str">
        <f>if(SUMPRODUCT(1*(iferror(year(Transactions!$A$2:$A54)=$A$1))*(iferror(month(Transactions!$A$2:$A54)=9))*(Transactions!$B$2:$B54="Div")*(Transactions!$C$2:$C54=$A7)*Transactions!$T$2:$T54)=0,,SUMPRODUCT(1*(iferror(year(Transactions!$A$2:$A54)=$A$1))*(iferror(month(Transactions!$A$2:$A54)=9))*(Transactions!$B$2:$B54="Div")*(Transactions!$C$2:$C54=$A7)*Transactions!$T$2:$T54))</f>
        <v>#N/A</v>
      </c>
      <c r="M7" s="178" t="str">
        <f>if(SUMPRODUCT(1*(iferror(year(Transactions!$A$2:$A54)=$A$1))*(iferror(month(Transactions!$A$2:$A54)=10))*(Transactions!$B$2:$B54="Div")*(Transactions!$C$2:$C54=$A7)*Transactions!$T$2:$T54)=0,,SUMPRODUCT(1*(iferror(year(Transactions!$A$2:$A54)=$A$1))*(iferror(month(Transactions!$A$2:$A54)=10))*(Transactions!$B$2:$B54="Div")*(Transactions!$C$2:$C54=$A7)*Transactions!$T$2:$T54))</f>
        <v>#N/A</v>
      </c>
      <c r="N7" s="178" t="str">
        <f>if(SUMPRODUCT(1*(iferror(year(Transactions!$A$2:$A54)=$A$1))*(iferror(month(Transactions!$A$2:$A54)=11))*(Transactions!$B$2:$B54="Div")*(Transactions!$C$2:$C54=$A7)*Transactions!$T$2:$T54)=0,,SUMPRODUCT(1*(iferror(year(Transactions!$A$2:$A54)=$A$1))*(iferror(month(Transactions!$A$2:$A54)=11))*(Transactions!$B$2:$B54="Div")*(Transactions!$C$2:$C54=$A7)*Transactions!$T$2:$T54))</f>
        <v>#N/A</v>
      </c>
      <c r="O7" s="178" t="str">
        <f>if(SUMPRODUCT(1*(iferror(year(Transactions!$A$2:$A54)=$A$1))*(iferror(month(Transactions!$A$2:$A54)=12))*(Transactions!$B$2:$B54="Div")*(Transactions!$C$2:$C54=$A7)*Transactions!$T$2:$T54)=0,,SUMPRODUCT(1*(iferror(year(Transactions!$A$2:$A54)=$A$1))*(iferror(month(Transactions!$A$2:$A54)=12))*(Transactions!$B$2:$B54="Div")*(Transactions!$C$2:$C54=$A7)*Transactions!$T$2:$T54))</f>
        <v>#N/A</v>
      </c>
      <c r="P7" s="179"/>
    </row>
    <row r="8">
      <c r="A8" s="45" t="str">
        <f t="shared" si="2"/>
        <v/>
      </c>
      <c r="B8" s="181"/>
      <c r="C8" s="177"/>
      <c r="D8" s="178" t="str">
        <f>if(SUMPRODUCT(1*(iferror(year(Transactions!$A$2:$A54)=$A$1))*(iferror(month(Transactions!$A$2:$A54)=1))*(Transactions!$B$2:$B54="Div")*(Transactions!$C$2:$C54=$A8)*Transactions!$T$2:$T54)=0,,SUMPRODUCT(1*(iferror(year(Transactions!$A$2:$A54)=$A$1))*(iferror(month(Transactions!$A$2:$A54)=1))*(Transactions!$B$2:$B54="Div")*(Transactions!$C$2:$C54=$A8)*Transactions!$T$2:$T54))</f>
        <v>#N/A</v>
      </c>
      <c r="E8" s="178" t="str">
        <f>if(SUMPRODUCT(1*(iferror(year(Transactions!$A$2:$A54)=$A$1))*(iferror(month(Transactions!$A$2:$A54)=2))*(Transactions!$B$2:$B54="Div")*(Transactions!$C$2:$C54=$A8)*Transactions!$T$2:$T54)=0,,SUMPRODUCT(1*(iferror(year(Transactions!$A$2:$A54)=$A$1))*(iferror(month(Transactions!$A$2:$A54)=2))*(Transactions!$B$2:$B54="Div")*(Transactions!$C$2:$C54=$A8)*Transactions!$T$2:$T54))</f>
        <v>#N/A</v>
      </c>
      <c r="F8" s="178" t="str">
        <f>if(SUMPRODUCT(1*(iferror(year(Transactions!$A$2:$A54)=$A$1))*(iferror(month(Transactions!$A$2:$A54)=3))*(Transactions!$B$2:$B54="Div")*(Transactions!$C$2:$C54=$A8)*Transactions!$T$2:$T54)=0,,SUMPRODUCT(1*(iferror(year(Transactions!$A$2:$A54)=$A$1))*(iferror(month(Transactions!$A$2:$A54)=3))*(Transactions!$B$2:$B54="Div")*(Transactions!$C$2:$C54=$A8)*Transactions!$T$2:$T54))</f>
        <v>#N/A</v>
      </c>
      <c r="G8" s="178" t="str">
        <f>if(SUMPRODUCT(1*(iferror(year(Transactions!$A$2:$A54)=$A$1))*(iferror(month(Transactions!$A$2:$A54)=4))*(Transactions!$B$2:$B54="Div")*(Transactions!$C$2:$C54=$A8)*Transactions!$T$2:$T54)=0,,SUMPRODUCT(1*(iferror(year(Transactions!$A$2:$A54)=$A$1))*(iferror(month(Transactions!$A$2:$A54)=4))*(Transactions!$B$2:$B54="Div")*(Transactions!$C$2:$C54=$A8)*Transactions!$T$2:$T54))</f>
        <v>#N/A</v>
      </c>
      <c r="H8" s="178" t="str">
        <f>if(SUMPRODUCT(1*(iferror(year(Transactions!$A$2:$A54)=$A$1))*(iferror(month(Transactions!$A$2:$A54)=5))*(Transactions!$B$2:$B54="Div")*(Transactions!$C$2:$C54=$A8)*Transactions!$T$2:$T54)=0,,SUMPRODUCT(1*(iferror(year(Transactions!$A$2:$A54)=$A$1))*(iferror(month(Transactions!$A$2:$A54)=5))*(Transactions!$B$2:$B54="Div")*(Transactions!$C$2:$C54=$A8)*Transactions!$T$2:$T54))</f>
        <v>#N/A</v>
      </c>
      <c r="I8" s="178" t="str">
        <f>if(SUMPRODUCT(1*(iferror(year(Transactions!$A$2:$A54)=$A$1))*(iferror(month(Transactions!$A$2:$A54)=6))*(Transactions!$B$2:$B54="Div")*(Transactions!$C$2:$C54=$A8)*Transactions!$T$2:$T54)=0,,SUMPRODUCT(1*(iferror(year(Transactions!$A$2:$A54)=$A$1))*(iferror(month(Transactions!$A$2:$A54)=6))*(Transactions!$B$2:$B54="Div")*(Transactions!$C$2:$C54=$A8)*Transactions!$T$2:$T54))</f>
        <v>#N/A</v>
      </c>
      <c r="J8" s="178" t="str">
        <f>if(SUMPRODUCT(1*(iferror(year(Transactions!$A$2:$A54)=$A$1))*(iferror(month(Transactions!$A$2:$A54)=7))*(Transactions!$B$2:$B54="Div")*(Transactions!$C$2:$C54=$A8)*Transactions!$T$2:$T54)=0,,SUMPRODUCT(1*(iferror(year(Transactions!$A$2:$A54)=$A$1))*(iferror(month(Transactions!$A$2:$A54)=7))*(Transactions!$B$2:$B54="Div")*(Transactions!$C$2:$C54=$A8)*Transactions!$T$2:$T54))</f>
        <v>#N/A</v>
      </c>
      <c r="K8" s="178" t="str">
        <f>if(SUMPRODUCT(1*(iferror(year(Transactions!$A$2:$A54)=$A$1))*(iferror(month(Transactions!$A$2:$A54)=8))*(Transactions!$B$2:$B54="Div")*(Transactions!$C$2:$C54=$A8)*Transactions!$T$2:$T54)=0,,SUMPRODUCT(1*(iferror(year(Transactions!$A$2:$A54)=$A$1))*(iferror(month(Transactions!$A$2:$A54)=8))*(Transactions!$B$2:$B54="Div")*(Transactions!$C$2:$C54=$A8)*Transactions!$T$2:$T54))</f>
        <v>#N/A</v>
      </c>
      <c r="L8" s="178" t="str">
        <f>if(SUMPRODUCT(1*(iferror(year(Transactions!$A$2:$A54)=$A$1))*(iferror(month(Transactions!$A$2:$A54)=9))*(Transactions!$B$2:$B54="Div")*(Transactions!$C$2:$C54=$A8)*Transactions!$T$2:$T54)=0,,SUMPRODUCT(1*(iferror(year(Transactions!$A$2:$A54)=$A$1))*(iferror(month(Transactions!$A$2:$A54)=9))*(Transactions!$B$2:$B54="Div")*(Transactions!$C$2:$C54=$A8)*Transactions!$T$2:$T54))</f>
        <v>#N/A</v>
      </c>
      <c r="M8" s="178" t="str">
        <f>if(SUMPRODUCT(1*(iferror(year(Transactions!$A$2:$A54)=$A$1))*(iferror(month(Transactions!$A$2:$A54)=10))*(Transactions!$B$2:$B54="Div")*(Transactions!$C$2:$C54=$A8)*Transactions!$T$2:$T54)=0,,SUMPRODUCT(1*(iferror(year(Transactions!$A$2:$A54)=$A$1))*(iferror(month(Transactions!$A$2:$A54)=10))*(Transactions!$B$2:$B54="Div")*(Transactions!$C$2:$C54=$A8)*Transactions!$T$2:$T54))</f>
        <v>#N/A</v>
      </c>
      <c r="N8" s="178" t="str">
        <f>if(SUMPRODUCT(1*(iferror(year(Transactions!$A$2:$A54)=$A$1))*(iferror(month(Transactions!$A$2:$A54)=11))*(Transactions!$B$2:$B54="Div")*(Transactions!$C$2:$C54=$A8)*Transactions!$T$2:$T54)=0,,SUMPRODUCT(1*(iferror(year(Transactions!$A$2:$A54)=$A$1))*(iferror(month(Transactions!$A$2:$A54)=11))*(Transactions!$B$2:$B54="Div")*(Transactions!$C$2:$C54=$A8)*Transactions!$T$2:$T54))</f>
        <v>#N/A</v>
      </c>
      <c r="O8" s="178" t="str">
        <f>if(SUMPRODUCT(1*(iferror(year(Transactions!$A$2:$A54)=$A$1))*(iferror(month(Transactions!$A$2:$A54)=12))*(Transactions!$B$2:$B54="Div")*(Transactions!$C$2:$C54=$A8)*Transactions!$T$2:$T54)=0,,SUMPRODUCT(1*(iferror(year(Transactions!$A$2:$A54)=$A$1))*(iferror(month(Transactions!$A$2:$A54)=12))*(Transactions!$B$2:$B54="Div")*(Transactions!$C$2:$C54=$A8)*Transactions!$T$2:$T54))</f>
        <v>#N/A</v>
      </c>
      <c r="P8" s="179"/>
    </row>
    <row r="9">
      <c r="A9" s="45" t="str">
        <f t="shared" si="2"/>
        <v/>
      </c>
      <c r="B9" s="181"/>
      <c r="C9" s="177"/>
      <c r="D9" s="178" t="str">
        <f>if(SUMPRODUCT(1*(iferror(year(Transactions!$A$2:$A54)=$A$1))*(iferror(month(Transactions!$A$2:$A54)=1))*(Transactions!$B$2:$B54="Div")*(Transactions!$C$2:$C54=$A9)*Transactions!$T$2:$T54)=0,,SUMPRODUCT(1*(iferror(year(Transactions!$A$2:$A54)=$A$1))*(iferror(month(Transactions!$A$2:$A54)=1))*(Transactions!$B$2:$B54="Div")*(Transactions!$C$2:$C54=$A9)*Transactions!$T$2:$T54))</f>
        <v>#N/A</v>
      </c>
      <c r="E9" s="178" t="str">
        <f>if(SUMPRODUCT(1*(iferror(year(Transactions!$A$2:$A54)=$A$1))*(iferror(month(Transactions!$A$2:$A54)=2))*(Transactions!$B$2:$B54="Div")*(Transactions!$C$2:$C54=$A9)*Transactions!$T$2:$T54)=0,,SUMPRODUCT(1*(iferror(year(Transactions!$A$2:$A54)=$A$1))*(iferror(month(Transactions!$A$2:$A54)=2))*(Transactions!$B$2:$B54="Div")*(Transactions!$C$2:$C54=$A9)*Transactions!$T$2:$T54))</f>
        <v>#N/A</v>
      </c>
      <c r="F9" s="178" t="str">
        <f>if(SUMPRODUCT(1*(iferror(year(Transactions!$A$2:$A54)=$A$1))*(iferror(month(Transactions!$A$2:$A54)=3))*(Transactions!$B$2:$B54="Div")*(Transactions!$C$2:$C54=$A9)*Transactions!$T$2:$T54)=0,,SUMPRODUCT(1*(iferror(year(Transactions!$A$2:$A54)=$A$1))*(iferror(month(Transactions!$A$2:$A54)=3))*(Transactions!$B$2:$B54="Div")*(Transactions!$C$2:$C54=$A9)*Transactions!$T$2:$T54))</f>
        <v>#N/A</v>
      </c>
      <c r="G9" s="178" t="str">
        <f>if(SUMPRODUCT(1*(iferror(year(Transactions!$A$2:$A54)=$A$1))*(iferror(month(Transactions!$A$2:$A54)=4))*(Transactions!$B$2:$B54="Div")*(Transactions!$C$2:$C54=$A9)*Transactions!$T$2:$T54)=0,,SUMPRODUCT(1*(iferror(year(Transactions!$A$2:$A54)=$A$1))*(iferror(month(Transactions!$A$2:$A54)=4))*(Transactions!$B$2:$B54="Div")*(Transactions!$C$2:$C54=$A9)*Transactions!$T$2:$T54))</f>
        <v>#N/A</v>
      </c>
      <c r="H9" s="178" t="str">
        <f>if(SUMPRODUCT(1*(iferror(year(Transactions!$A$2:$A54)=$A$1))*(iferror(month(Transactions!$A$2:$A54)=5))*(Transactions!$B$2:$B54="Div")*(Transactions!$C$2:$C54=$A9)*Transactions!$T$2:$T54)=0,,SUMPRODUCT(1*(iferror(year(Transactions!$A$2:$A54)=$A$1))*(iferror(month(Transactions!$A$2:$A54)=5))*(Transactions!$B$2:$B54="Div")*(Transactions!$C$2:$C54=$A9)*Transactions!$T$2:$T54))</f>
        <v>#N/A</v>
      </c>
      <c r="I9" s="178" t="str">
        <f>if(SUMPRODUCT(1*(iferror(year(Transactions!$A$2:$A54)=$A$1))*(iferror(month(Transactions!$A$2:$A54)=6))*(Transactions!$B$2:$B54="Div")*(Transactions!$C$2:$C54=$A9)*Transactions!$T$2:$T54)=0,,SUMPRODUCT(1*(iferror(year(Transactions!$A$2:$A54)=$A$1))*(iferror(month(Transactions!$A$2:$A54)=6))*(Transactions!$B$2:$B54="Div")*(Transactions!$C$2:$C54=$A9)*Transactions!$T$2:$T54))</f>
        <v>#N/A</v>
      </c>
      <c r="J9" s="178" t="str">
        <f>if(SUMPRODUCT(1*(iferror(year(Transactions!$A$2:$A54)=$A$1))*(iferror(month(Transactions!$A$2:$A54)=7))*(Transactions!$B$2:$B54="Div")*(Transactions!$C$2:$C54=$A9)*Transactions!$T$2:$T54)=0,,SUMPRODUCT(1*(iferror(year(Transactions!$A$2:$A54)=$A$1))*(iferror(month(Transactions!$A$2:$A54)=7))*(Transactions!$B$2:$B54="Div")*(Transactions!$C$2:$C54=$A9)*Transactions!$T$2:$T54))</f>
        <v>#N/A</v>
      </c>
      <c r="K9" s="178" t="str">
        <f>if(SUMPRODUCT(1*(iferror(year(Transactions!$A$2:$A54)=$A$1))*(iferror(month(Transactions!$A$2:$A54)=8))*(Transactions!$B$2:$B54="Div")*(Transactions!$C$2:$C54=$A9)*Transactions!$T$2:$T54)=0,,SUMPRODUCT(1*(iferror(year(Transactions!$A$2:$A54)=$A$1))*(iferror(month(Transactions!$A$2:$A54)=8))*(Transactions!$B$2:$B54="Div")*(Transactions!$C$2:$C54=$A9)*Transactions!$T$2:$T54))</f>
        <v>#N/A</v>
      </c>
      <c r="L9" s="178" t="str">
        <f>if(SUMPRODUCT(1*(iferror(year(Transactions!$A$2:$A54)=$A$1))*(iferror(month(Transactions!$A$2:$A54)=9))*(Transactions!$B$2:$B54="Div")*(Transactions!$C$2:$C54=$A9)*Transactions!$T$2:$T54)=0,,SUMPRODUCT(1*(iferror(year(Transactions!$A$2:$A54)=$A$1))*(iferror(month(Transactions!$A$2:$A54)=9))*(Transactions!$B$2:$B54="Div")*(Transactions!$C$2:$C54=$A9)*Transactions!$T$2:$T54))</f>
        <v>#N/A</v>
      </c>
      <c r="M9" s="178" t="str">
        <f>if(SUMPRODUCT(1*(iferror(year(Transactions!$A$2:$A54)=$A$1))*(iferror(month(Transactions!$A$2:$A54)=10))*(Transactions!$B$2:$B54="Div")*(Transactions!$C$2:$C54=$A9)*Transactions!$T$2:$T54)=0,,SUMPRODUCT(1*(iferror(year(Transactions!$A$2:$A54)=$A$1))*(iferror(month(Transactions!$A$2:$A54)=10))*(Transactions!$B$2:$B54="Div")*(Transactions!$C$2:$C54=$A9)*Transactions!$T$2:$T54))</f>
        <v>#N/A</v>
      </c>
      <c r="N9" s="178" t="str">
        <f>if(SUMPRODUCT(1*(iferror(year(Transactions!$A$2:$A54)=$A$1))*(iferror(month(Transactions!$A$2:$A54)=11))*(Transactions!$B$2:$B54="Div")*(Transactions!$C$2:$C54=$A9)*Transactions!$T$2:$T54)=0,,SUMPRODUCT(1*(iferror(year(Transactions!$A$2:$A54)=$A$1))*(iferror(month(Transactions!$A$2:$A54)=11))*(Transactions!$B$2:$B54="Div")*(Transactions!$C$2:$C54=$A9)*Transactions!$T$2:$T54))</f>
        <v>#N/A</v>
      </c>
      <c r="O9" s="178" t="str">
        <f>if(SUMPRODUCT(1*(iferror(year(Transactions!$A$2:$A54)=$A$1))*(iferror(month(Transactions!$A$2:$A54)=12))*(Transactions!$B$2:$B54="Div")*(Transactions!$C$2:$C54=$A9)*Transactions!$T$2:$T54)=0,,SUMPRODUCT(1*(iferror(year(Transactions!$A$2:$A54)=$A$1))*(iferror(month(Transactions!$A$2:$A54)=12))*(Transactions!$B$2:$B54="Div")*(Transactions!$C$2:$C54=$A9)*Transactions!$T$2:$T54))</f>
        <v>#N/A</v>
      </c>
      <c r="P9" s="179"/>
    </row>
    <row r="10">
      <c r="A10" s="45" t="str">
        <f t="shared" si="2"/>
        <v/>
      </c>
      <c r="B10" s="181"/>
      <c r="C10" s="177"/>
      <c r="D10" s="178" t="str">
        <f>if(SUMPRODUCT(1*(iferror(year(Transactions!$A$2:$A54)=$A$1))*(iferror(month(Transactions!$A$2:$A54)=1))*(Transactions!$B$2:$B54="Div")*(Transactions!$C$2:$C54=$A10)*Transactions!$T$2:$T54)=0,,SUMPRODUCT(1*(iferror(year(Transactions!$A$2:$A54)=$A$1))*(iferror(month(Transactions!$A$2:$A54)=1))*(Transactions!$B$2:$B54="Div")*(Transactions!$C$2:$C54=$A10)*Transactions!$T$2:$T54))</f>
        <v>#N/A</v>
      </c>
      <c r="E10" s="178" t="str">
        <f>if(SUMPRODUCT(1*(iferror(year(Transactions!$A$2:$A54)=$A$1))*(iferror(month(Transactions!$A$2:$A54)=2))*(Transactions!$B$2:$B54="Div")*(Transactions!$C$2:$C54=$A10)*Transactions!$T$2:$T54)=0,,SUMPRODUCT(1*(iferror(year(Transactions!$A$2:$A54)=$A$1))*(iferror(month(Transactions!$A$2:$A54)=2))*(Transactions!$B$2:$B54="Div")*(Transactions!$C$2:$C54=$A10)*Transactions!$T$2:$T54))</f>
        <v>#N/A</v>
      </c>
      <c r="F10" s="178" t="str">
        <f>if(SUMPRODUCT(1*(iferror(year(Transactions!$A$2:$A54)=$A$1))*(iferror(month(Transactions!$A$2:$A54)=3))*(Transactions!$B$2:$B54="Div")*(Transactions!$C$2:$C54=$A10)*Transactions!$T$2:$T54)=0,,SUMPRODUCT(1*(iferror(year(Transactions!$A$2:$A54)=$A$1))*(iferror(month(Transactions!$A$2:$A54)=3))*(Transactions!$B$2:$B54="Div")*(Transactions!$C$2:$C54=$A10)*Transactions!$T$2:$T54))</f>
        <v>#N/A</v>
      </c>
      <c r="G10" s="178" t="str">
        <f>if(SUMPRODUCT(1*(iferror(year(Transactions!$A$2:$A54)=$A$1))*(iferror(month(Transactions!$A$2:$A54)=4))*(Transactions!$B$2:$B54="Div")*(Transactions!$C$2:$C54=$A10)*Transactions!$T$2:$T54)=0,,SUMPRODUCT(1*(iferror(year(Transactions!$A$2:$A54)=$A$1))*(iferror(month(Transactions!$A$2:$A54)=4))*(Transactions!$B$2:$B54="Div")*(Transactions!$C$2:$C54=$A10)*Transactions!$T$2:$T54))</f>
        <v>#N/A</v>
      </c>
      <c r="H10" s="178" t="str">
        <f>if(SUMPRODUCT(1*(iferror(year(Transactions!$A$2:$A54)=$A$1))*(iferror(month(Transactions!$A$2:$A54)=5))*(Transactions!$B$2:$B54="Div")*(Transactions!$C$2:$C54=$A10)*Transactions!$T$2:$T54)=0,,SUMPRODUCT(1*(iferror(year(Transactions!$A$2:$A54)=$A$1))*(iferror(month(Transactions!$A$2:$A54)=5))*(Transactions!$B$2:$B54="Div")*(Transactions!$C$2:$C54=$A10)*Transactions!$T$2:$T54))</f>
        <v>#N/A</v>
      </c>
      <c r="I10" s="178" t="str">
        <f>if(SUMPRODUCT(1*(iferror(year(Transactions!$A$2:$A54)=$A$1))*(iferror(month(Transactions!$A$2:$A54)=6))*(Transactions!$B$2:$B54="Div")*(Transactions!$C$2:$C54=$A10)*Transactions!$T$2:$T54)=0,,SUMPRODUCT(1*(iferror(year(Transactions!$A$2:$A54)=$A$1))*(iferror(month(Transactions!$A$2:$A54)=6))*(Transactions!$B$2:$B54="Div")*(Transactions!$C$2:$C54=$A10)*Transactions!$T$2:$T54))</f>
        <v>#N/A</v>
      </c>
      <c r="J10" s="178" t="str">
        <f>if(SUMPRODUCT(1*(iferror(year(Transactions!$A$2:$A54)=$A$1))*(iferror(month(Transactions!$A$2:$A54)=7))*(Transactions!$B$2:$B54="Div")*(Transactions!$C$2:$C54=$A10)*Transactions!$T$2:$T54)=0,,SUMPRODUCT(1*(iferror(year(Transactions!$A$2:$A54)=$A$1))*(iferror(month(Transactions!$A$2:$A54)=7))*(Transactions!$B$2:$B54="Div")*(Transactions!$C$2:$C54=$A10)*Transactions!$T$2:$T54))</f>
        <v>#N/A</v>
      </c>
      <c r="K10" s="178" t="str">
        <f>if(SUMPRODUCT(1*(iferror(year(Transactions!$A$2:$A54)=$A$1))*(iferror(month(Transactions!$A$2:$A54)=8))*(Transactions!$B$2:$B54="Div")*(Transactions!$C$2:$C54=$A10)*Transactions!$T$2:$T54)=0,,SUMPRODUCT(1*(iferror(year(Transactions!$A$2:$A54)=$A$1))*(iferror(month(Transactions!$A$2:$A54)=8))*(Transactions!$B$2:$B54="Div")*(Transactions!$C$2:$C54=$A10)*Transactions!$T$2:$T54))</f>
        <v>#N/A</v>
      </c>
      <c r="L10" s="178" t="str">
        <f>if(SUMPRODUCT(1*(iferror(year(Transactions!$A$2:$A54)=$A$1))*(iferror(month(Transactions!$A$2:$A54)=9))*(Transactions!$B$2:$B54="Div")*(Transactions!$C$2:$C54=$A10)*Transactions!$T$2:$T54)=0,,SUMPRODUCT(1*(iferror(year(Transactions!$A$2:$A54)=$A$1))*(iferror(month(Transactions!$A$2:$A54)=9))*(Transactions!$B$2:$B54="Div")*(Transactions!$C$2:$C54=$A10)*Transactions!$T$2:$T54))</f>
        <v>#N/A</v>
      </c>
      <c r="M10" s="178" t="str">
        <f>if(SUMPRODUCT(1*(iferror(year(Transactions!$A$2:$A54)=$A$1))*(iferror(month(Transactions!$A$2:$A54)=10))*(Transactions!$B$2:$B54="Div")*(Transactions!$C$2:$C54=$A10)*Transactions!$T$2:$T54)=0,,SUMPRODUCT(1*(iferror(year(Transactions!$A$2:$A54)=$A$1))*(iferror(month(Transactions!$A$2:$A54)=10))*(Transactions!$B$2:$B54="Div")*(Transactions!$C$2:$C54=$A10)*Transactions!$T$2:$T54))</f>
        <v>#N/A</v>
      </c>
      <c r="N10" s="178" t="str">
        <f>if(SUMPRODUCT(1*(iferror(year(Transactions!$A$2:$A54)=$A$1))*(iferror(month(Transactions!$A$2:$A54)=11))*(Transactions!$B$2:$B54="Div")*(Transactions!$C$2:$C54=$A10)*Transactions!$T$2:$T54)=0,,SUMPRODUCT(1*(iferror(year(Transactions!$A$2:$A54)=$A$1))*(iferror(month(Transactions!$A$2:$A54)=11))*(Transactions!$B$2:$B54="Div")*(Transactions!$C$2:$C54=$A10)*Transactions!$T$2:$T54))</f>
        <v>#N/A</v>
      </c>
      <c r="O10" s="178" t="str">
        <f>if(SUMPRODUCT(1*(iferror(year(Transactions!$A$2:$A54)=$A$1))*(iferror(month(Transactions!$A$2:$A54)=12))*(Transactions!$B$2:$B54="Div")*(Transactions!$C$2:$C54=$A10)*Transactions!$T$2:$T54)=0,,SUMPRODUCT(1*(iferror(year(Transactions!$A$2:$A54)=$A$1))*(iferror(month(Transactions!$A$2:$A54)=12))*(Transactions!$B$2:$B54="Div")*(Transactions!$C$2:$C54=$A10)*Transactions!$T$2:$T54))</f>
        <v>#N/A</v>
      </c>
      <c r="P10" s="179"/>
    </row>
    <row r="11">
      <c r="A11" s="45" t="str">
        <f t="shared" si="2"/>
        <v/>
      </c>
      <c r="B11" s="181"/>
      <c r="C11" s="177"/>
      <c r="D11" s="178" t="str">
        <f>if(SUMPRODUCT(1*(iferror(year(Transactions!$A$2:$A54)=$A$1))*(iferror(month(Transactions!$A$2:$A54)=1))*(Transactions!$B$2:$B54="Div")*(Transactions!$C$2:$C54=$A11)*Transactions!$T$2:$T54)=0,,SUMPRODUCT(1*(iferror(year(Transactions!$A$2:$A54)=$A$1))*(iferror(month(Transactions!$A$2:$A54)=1))*(Transactions!$B$2:$B54="Div")*(Transactions!$C$2:$C54=$A11)*Transactions!$T$2:$T54))</f>
        <v>#N/A</v>
      </c>
      <c r="E11" s="178" t="str">
        <f>if(SUMPRODUCT(1*(iferror(year(Transactions!$A$2:$A54)=$A$1))*(iferror(month(Transactions!$A$2:$A54)=2))*(Transactions!$B$2:$B54="Div")*(Transactions!$C$2:$C54=$A11)*Transactions!$T$2:$T54)=0,,SUMPRODUCT(1*(iferror(year(Transactions!$A$2:$A54)=$A$1))*(iferror(month(Transactions!$A$2:$A54)=2))*(Transactions!$B$2:$B54="Div")*(Transactions!$C$2:$C54=$A11)*Transactions!$T$2:$T54))</f>
        <v>#N/A</v>
      </c>
      <c r="F11" s="178" t="str">
        <f>if(SUMPRODUCT(1*(iferror(year(Transactions!$A$2:$A54)=$A$1))*(iferror(month(Transactions!$A$2:$A54)=3))*(Transactions!$B$2:$B54="Div")*(Transactions!$C$2:$C54=$A11)*Transactions!$T$2:$T54)=0,,SUMPRODUCT(1*(iferror(year(Transactions!$A$2:$A54)=$A$1))*(iferror(month(Transactions!$A$2:$A54)=3))*(Transactions!$B$2:$B54="Div")*(Transactions!$C$2:$C54=$A11)*Transactions!$T$2:$T54))</f>
        <v>#N/A</v>
      </c>
      <c r="G11" s="178" t="str">
        <f>if(SUMPRODUCT(1*(iferror(year(Transactions!$A$2:$A54)=$A$1))*(iferror(month(Transactions!$A$2:$A54)=4))*(Transactions!$B$2:$B54="Div")*(Transactions!$C$2:$C54=$A11)*Transactions!$T$2:$T54)=0,,SUMPRODUCT(1*(iferror(year(Transactions!$A$2:$A54)=$A$1))*(iferror(month(Transactions!$A$2:$A54)=4))*(Transactions!$B$2:$B54="Div")*(Transactions!$C$2:$C54=$A11)*Transactions!$T$2:$T54))</f>
        <v>#N/A</v>
      </c>
      <c r="H11" s="178" t="str">
        <f>if(SUMPRODUCT(1*(iferror(year(Transactions!$A$2:$A54)=$A$1))*(iferror(month(Transactions!$A$2:$A54)=5))*(Transactions!$B$2:$B54="Div")*(Transactions!$C$2:$C54=$A11)*Transactions!$T$2:$T54)=0,,SUMPRODUCT(1*(iferror(year(Transactions!$A$2:$A54)=$A$1))*(iferror(month(Transactions!$A$2:$A54)=5))*(Transactions!$B$2:$B54="Div")*(Transactions!$C$2:$C54=$A11)*Transactions!$T$2:$T54))</f>
        <v>#N/A</v>
      </c>
      <c r="I11" s="178" t="str">
        <f>if(SUMPRODUCT(1*(iferror(year(Transactions!$A$2:$A54)=$A$1))*(iferror(month(Transactions!$A$2:$A54)=6))*(Transactions!$B$2:$B54="Div")*(Transactions!$C$2:$C54=$A11)*Transactions!$T$2:$T54)=0,,SUMPRODUCT(1*(iferror(year(Transactions!$A$2:$A54)=$A$1))*(iferror(month(Transactions!$A$2:$A54)=6))*(Transactions!$B$2:$B54="Div")*(Transactions!$C$2:$C54=$A11)*Transactions!$T$2:$T54))</f>
        <v>#N/A</v>
      </c>
      <c r="J11" s="178" t="str">
        <f>if(SUMPRODUCT(1*(iferror(year(Transactions!$A$2:$A54)=$A$1))*(iferror(month(Transactions!$A$2:$A54)=7))*(Transactions!$B$2:$B54="Div")*(Transactions!$C$2:$C54=$A11)*Transactions!$T$2:$T54)=0,,SUMPRODUCT(1*(iferror(year(Transactions!$A$2:$A54)=$A$1))*(iferror(month(Transactions!$A$2:$A54)=7))*(Transactions!$B$2:$B54="Div")*(Transactions!$C$2:$C54=$A11)*Transactions!$T$2:$T54))</f>
        <v>#N/A</v>
      </c>
      <c r="K11" s="178" t="str">
        <f>if(SUMPRODUCT(1*(iferror(year(Transactions!$A$2:$A54)=$A$1))*(iferror(month(Transactions!$A$2:$A54)=8))*(Transactions!$B$2:$B54="Div")*(Transactions!$C$2:$C54=$A11)*Transactions!$T$2:$T54)=0,,SUMPRODUCT(1*(iferror(year(Transactions!$A$2:$A54)=$A$1))*(iferror(month(Transactions!$A$2:$A54)=8))*(Transactions!$B$2:$B54="Div")*(Transactions!$C$2:$C54=$A11)*Transactions!$T$2:$T54))</f>
        <v>#N/A</v>
      </c>
      <c r="L11" s="178" t="str">
        <f>if(SUMPRODUCT(1*(iferror(year(Transactions!$A$2:$A54)=$A$1))*(iferror(month(Transactions!$A$2:$A54)=9))*(Transactions!$B$2:$B54="Div")*(Transactions!$C$2:$C54=$A11)*Transactions!$T$2:$T54)=0,,SUMPRODUCT(1*(iferror(year(Transactions!$A$2:$A54)=$A$1))*(iferror(month(Transactions!$A$2:$A54)=9))*(Transactions!$B$2:$B54="Div")*(Transactions!$C$2:$C54=$A11)*Transactions!$T$2:$T54))</f>
        <v>#N/A</v>
      </c>
      <c r="M11" s="178" t="str">
        <f>if(SUMPRODUCT(1*(iferror(year(Transactions!$A$2:$A54)=$A$1))*(iferror(month(Transactions!$A$2:$A54)=10))*(Transactions!$B$2:$B54="Div")*(Transactions!$C$2:$C54=$A11)*Transactions!$T$2:$T54)=0,,SUMPRODUCT(1*(iferror(year(Transactions!$A$2:$A54)=$A$1))*(iferror(month(Transactions!$A$2:$A54)=10))*(Transactions!$B$2:$B54="Div")*(Transactions!$C$2:$C54=$A11)*Transactions!$T$2:$T54))</f>
        <v>#N/A</v>
      </c>
      <c r="N11" s="178" t="str">
        <f>if(SUMPRODUCT(1*(iferror(year(Transactions!$A$2:$A54)=$A$1))*(iferror(month(Transactions!$A$2:$A54)=11))*(Transactions!$B$2:$B54="Div")*(Transactions!$C$2:$C54=$A11)*Transactions!$T$2:$T54)=0,,SUMPRODUCT(1*(iferror(year(Transactions!$A$2:$A54)=$A$1))*(iferror(month(Transactions!$A$2:$A54)=11))*(Transactions!$B$2:$B54="Div")*(Transactions!$C$2:$C54=$A11)*Transactions!$T$2:$T54))</f>
        <v>#N/A</v>
      </c>
      <c r="O11" s="178" t="str">
        <f>if(SUMPRODUCT(1*(iferror(year(Transactions!$A$2:$A54)=$A$1))*(iferror(month(Transactions!$A$2:$A54)=12))*(Transactions!$B$2:$B54="Div")*(Transactions!$C$2:$C54=$A11)*Transactions!$T$2:$T54)=0,,SUMPRODUCT(1*(iferror(year(Transactions!$A$2:$A54)=$A$1))*(iferror(month(Transactions!$A$2:$A54)=12))*(Transactions!$B$2:$B54="Div")*(Transactions!$C$2:$C54=$A11)*Transactions!$T$2:$T54))</f>
        <v>#N/A</v>
      </c>
      <c r="P11" s="179"/>
    </row>
    <row r="12">
      <c r="A12" s="45" t="str">
        <f t="shared" si="2"/>
        <v/>
      </c>
      <c r="B12" s="181"/>
      <c r="C12" s="177"/>
      <c r="D12" s="178" t="str">
        <f>if(SUMPRODUCT(1*(iferror(year(Transactions!$A$2:$A54)=$A$1))*(iferror(month(Transactions!$A$2:$A54)=1))*(Transactions!$B$2:$B54="Div")*(Transactions!$C$2:$C54=$A12)*Transactions!$T$2:$T54)=0,,SUMPRODUCT(1*(iferror(year(Transactions!$A$2:$A54)=$A$1))*(iferror(month(Transactions!$A$2:$A54)=1))*(Transactions!$B$2:$B54="Div")*(Transactions!$C$2:$C54=$A12)*Transactions!$T$2:$T54))</f>
        <v>#N/A</v>
      </c>
      <c r="E12" s="178" t="str">
        <f>if(SUMPRODUCT(1*(iferror(year(Transactions!$A$2:$A54)=$A$1))*(iferror(month(Transactions!$A$2:$A54)=2))*(Transactions!$B$2:$B54="Div")*(Transactions!$C$2:$C54=$A12)*Transactions!$T$2:$T54)=0,,SUMPRODUCT(1*(iferror(year(Transactions!$A$2:$A54)=$A$1))*(iferror(month(Transactions!$A$2:$A54)=2))*(Transactions!$B$2:$B54="Div")*(Transactions!$C$2:$C54=$A12)*Transactions!$T$2:$T54))</f>
        <v>#N/A</v>
      </c>
      <c r="F12" s="178" t="str">
        <f>if(SUMPRODUCT(1*(iferror(year(Transactions!$A$2:$A54)=$A$1))*(iferror(month(Transactions!$A$2:$A54)=3))*(Transactions!$B$2:$B54="Div")*(Transactions!$C$2:$C54=$A12)*Transactions!$T$2:$T54)=0,,SUMPRODUCT(1*(iferror(year(Transactions!$A$2:$A54)=$A$1))*(iferror(month(Transactions!$A$2:$A54)=3))*(Transactions!$B$2:$B54="Div")*(Transactions!$C$2:$C54=$A12)*Transactions!$T$2:$T54))</f>
        <v>#N/A</v>
      </c>
      <c r="G12" s="178" t="str">
        <f>if(SUMPRODUCT(1*(iferror(year(Transactions!$A$2:$A54)=$A$1))*(iferror(month(Transactions!$A$2:$A54)=4))*(Transactions!$B$2:$B54="Div")*(Transactions!$C$2:$C54=$A12)*Transactions!$T$2:$T54)=0,,SUMPRODUCT(1*(iferror(year(Transactions!$A$2:$A54)=$A$1))*(iferror(month(Transactions!$A$2:$A54)=4))*(Transactions!$B$2:$B54="Div")*(Transactions!$C$2:$C54=$A12)*Transactions!$T$2:$T54))</f>
        <v>#N/A</v>
      </c>
      <c r="H12" s="178" t="str">
        <f>if(SUMPRODUCT(1*(iferror(year(Transactions!$A$2:$A54)=$A$1))*(iferror(month(Transactions!$A$2:$A54)=5))*(Transactions!$B$2:$B54="Div")*(Transactions!$C$2:$C54=$A12)*Transactions!$T$2:$T54)=0,,SUMPRODUCT(1*(iferror(year(Transactions!$A$2:$A54)=$A$1))*(iferror(month(Transactions!$A$2:$A54)=5))*(Transactions!$B$2:$B54="Div")*(Transactions!$C$2:$C54=$A12)*Transactions!$T$2:$T54))</f>
        <v>#N/A</v>
      </c>
      <c r="I12" s="178" t="str">
        <f>if(SUMPRODUCT(1*(iferror(year(Transactions!$A$2:$A54)=$A$1))*(iferror(month(Transactions!$A$2:$A54)=6))*(Transactions!$B$2:$B54="Div")*(Transactions!$C$2:$C54=$A12)*Transactions!$T$2:$T54)=0,,SUMPRODUCT(1*(iferror(year(Transactions!$A$2:$A54)=$A$1))*(iferror(month(Transactions!$A$2:$A54)=6))*(Transactions!$B$2:$B54="Div")*(Transactions!$C$2:$C54=$A12)*Transactions!$T$2:$T54))</f>
        <v>#N/A</v>
      </c>
      <c r="J12" s="178" t="str">
        <f>if(SUMPRODUCT(1*(iferror(year(Transactions!$A$2:$A54)=$A$1))*(iferror(month(Transactions!$A$2:$A54)=7))*(Transactions!$B$2:$B54="Div")*(Transactions!$C$2:$C54=$A12)*Transactions!$T$2:$T54)=0,,SUMPRODUCT(1*(iferror(year(Transactions!$A$2:$A54)=$A$1))*(iferror(month(Transactions!$A$2:$A54)=7))*(Transactions!$B$2:$B54="Div")*(Transactions!$C$2:$C54=$A12)*Transactions!$T$2:$T54))</f>
        <v>#N/A</v>
      </c>
      <c r="K12" s="178" t="str">
        <f>if(SUMPRODUCT(1*(iferror(year(Transactions!$A$2:$A54)=$A$1))*(iferror(month(Transactions!$A$2:$A54)=8))*(Transactions!$B$2:$B54="Div")*(Transactions!$C$2:$C54=$A12)*Transactions!$T$2:$T54)=0,,SUMPRODUCT(1*(iferror(year(Transactions!$A$2:$A54)=$A$1))*(iferror(month(Transactions!$A$2:$A54)=8))*(Transactions!$B$2:$B54="Div")*(Transactions!$C$2:$C54=$A12)*Transactions!$T$2:$T54))</f>
        <v>#N/A</v>
      </c>
      <c r="L12" s="178" t="str">
        <f>if(SUMPRODUCT(1*(iferror(year(Transactions!$A$2:$A54)=$A$1))*(iferror(month(Transactions!$A$2:$A54)=9))*(Transactions!$B$2:$B54="Div")*(Transactions!$C$2:$C54=$A12)*Transactions!$T$2:$T54)=0,,SUMPRODUCT(1*(iferror(year(Transactions!$A$2:$A54)=$A$1))*(iferror(month(Transactions!$A$2:$A54)=9))*(Transactions!$B$2:$B54="Div")*(Transactions!$C$2:$C54=$A12)*Transactions!$T$2:$T54))</f>
        <v>#N/A</v>
      </c>
      <c r="M12" s="178" t="str">
        <f>if(SUMPRODUCT(1*(iferror(year(Transactions!$A$2:$A54)=$A$1))*(iferror(month(Transactions!$A$2:$A54)=10))*(Transactions!$B$2:$B54="Div")*(Transactions!$C$2:$C54=$A12)*Transactions!$T$2:$T54)=0,,SUMPRODUCT(1*(iferror(year(Transactions!$A$2:$A54)=$A$1))*(iferror(month(Transactions!$A$2:$A54)=10))*(Transactions!$B$2:$B54="Div")*(Transactions!$C$2:$C54=$A12)*Transactions!$T$2:$T54))</f>
        <v>#N/A</v>
      </c>
      <c r="N12" s="178" t="str">
        <f>if(SUMPRODUCT(1*(iferror(year(Transactions!$A$2:$A54)=$A$1))*(iferror(month(Transactions!$A$2:$A54)=11))*(Transactions!$B$2:$B54="Div")*(Transactions!$C$2:$C54=$A12)*Transactions!$T$2:$T54)=0,,SUMPRODUCT(1*(iferror(year(Transactions!$A$2:$A54)=$A$1))*(iferror(month(Transactions!$A$2:$A54)=11))*(Transactions!$B$2:$B54="Div")*(Transactions!$C$2:$C54=$A12)*Transactions!$T$2:$T54))</f>
        <v>#N/A</v>
      </c>
      <c r="O12" s="178" t="str">
        <f>if(SUMPRODUCT(1*(iferror(year(Transactions!$A$2:$A54)=$A$1))*(iferror(month(Transactions!$A$2:$A54)=12))*(Transactions!$B$2:$B54="Div")*(Transactions!$C$2:$C54=$A12)*Transactions!$T$2:$T54)=0,,SUMPRODUCT(1*(iferror(year(Transactions!$A$2:$A54)=$A$1))*(iferror(month(Transactions!$A$2:$A54)=12))*(Transactions!$B$2:$B54="Div")*(Transactions!$C$2:$C54=$A12)*Transactions!$T$2:$T54))</f>
        <v>#N/A</v>
      </c>
      <c r="P12" s="179"/>
    </row>
    <row r="13">
      <c r="A13" s="45" t="str">
        <f t="shared" si="2"/>
        <v/>
      </c>
      <c r="B13" s="181"/>
      <c r="C13" s="177"/>
      <c r="D13" s="178" t="str">
        <f>if(SUMPRODUCT(1*(iferror(year(Transactions!$A$2:$A54)=$A$1))*(iferror(month(Transactions!$A$2:$A54)=1))*(Transactions!$B$2:$B54="Div")*(Transactions!$C$2:$C54=$A13)*Transactions!$T$2:$T54)=0,,SUMPRODUCT(1*(iferror(year(Transactions!$A$2:$A54)=$A$1))*(iferror(month(Transactions!$A$2:$A54)=1))*(Transactions!$B$2:$B54="Div")*(Transactions!$C$2:$C54=$A13)*Transactions!$T$2:$T54))</f>
        <v>#N/A</v>
      </c>
      <c r="E13" s="178" t="str">
        <f>if(SUMPRODUCT(1*(iferror(year(Transactions!$A$2:$A54)=$A$1))*(iferror(month(Transactions!$A$2:$A54)=2))*(Transactions!$B$2:$B54="Div")*(Transactions!$C$2:$C54=$A13)*Transactions!$T$2:$T54)=0,,SUMPRODUCT(1*(iferror(year(Transactions!$A$2:$A54)=$A$1))*(iferror(month(Transactions!$A$2:$A54)=2))*(Transactions!$B$2:$B54="Div")*(Transactions!$C$2:$C54=$A13)*Transactions!$T$2:$T54))</f>
        <v>#N/A</v>
      </c>
      <c r="F13" s="178" t="str">
        <f>if(SUMPRODUCT(1*(iferror(year(Transactions!$A$2:$A54)=$A$1))*(iferror(month(Transactions!$A$2:$A54)=3))*(Transactions!$B$2:$B54="Div")*(Transactions!$C$2:$C54=$A13)*Transactions!$T$2:$T54)=0,,SUMPRODUCT(1*(iferror(year(Transactions!$A$2:$A54)=$A$1))*(iferror(month(Transactions!$A$2:$A54)=3))*(Transactions!$B$2:$B54="Div")*(Transactions!$C$2:$C54=$A13)*Transactions!$T$2:$T54))</f>
        <v>#N/A</v>
      </c>
      <c r="G13" s="178" t="str">
        <f>if(SUMPRODUCT(1*(iferror(year(Transactions!$A$2:$A54)=$A$1))*(iferror(month(Transactions!$A$2:$A54)=4))*(Transactions!$B$2:$B54="Div")*(Transactions!$C$2:$C54=$A13)*Transactions!$T$2:$T54)=0,,SUMPRODUCT(1*(iferror(year(Transactions!$A$2:$A54)=$A$1))*(iferror(month(Transactions!$A$2:$A54)=4))*(Transactions!$B$2:$B54="Div")*(Transactions!$C$2:$C54=$A13)*Transactions!$T$2:$T54))</f>
        <v>#N/A</v>
      </c>
      <c r="H13" s="178" t="str">
        <f>if(SUMPRODUCT(1*(iferror(year(Transactions!$A$2:$A54)=$A$1))*(iferror(month(Transactions!$A$2:$A54)=5))*(Transactions!$B$2:$B54="Div")*(Transactions!$C$2:$C54=$A13)*Transactions!$T$2:$T54)=0,,SUMPRODUCT(1*(iferror(year(Transactions!$A$2:$A54)=$A$1))*(iferror(month(Transactions!$A$2:$A54)=5))*(Transactions!$B$2:$B54="Div")*(Transactions!$C$2:$C54=$A13)*Transactions!$T$2:$T54))</f>
        <v>#N/A</v>
      </c>
      <c r="I13" s="178" t="str">
        <f>if(SUMPRODUCT(1*(iferror(year(Transactions!$A$2:$A54)=$A$1))*(iferror(month(Transactions!$A$2:$A54)=6))*(Transactions!$B$2:$B54="Div")*(Transactions!$C$2:$C54=$A13)*Transactions!$T$2:$T54)=0,,SUMPRODUCT(1*(iferror(year(Transactions!$A$2:$A54)=$A$1))*(iferror(month(Transactions!$A$2:$A54)=6))*(Transactions!$B$2:$B54="Div")*(Transactions!$C$2:$C54=$A13)*Transactions!$T$2:$T54))</f>
        <v>#N/A</v>
      </c>
      <c r="J13" s="178" t="str">
        <f>if(SUMPRODUCT(1*(iferror(year(Transactions!$A$2:$A54)=$A$1))*(iferror(month(Transactions!$A$2:$A54)=7))*(Transactions!$B$2:$B54="Div")*(Transactions!$C$2:$C54=$A13)*Transactions!$T$2:$T54)=0,,SUMPRODUCT(1*(iferror(year(Transactions!$A$2:$A54)=$A$1))*(iferror(month(Transactions!$A$2:$A54)=7))*(Transactions!$B$2:$B54="Div")*(Transactions!$C$2:$C54=$A13)*Transactions!$T$2:$T54))</f>
        <v>#N/A</v>
      </c>
      <c r="K13" s="178" t="str">
        <f>if(SUMPRODUCT(1*(iferror(year(Transactions!$A$2:$A54)=$A$1))*(iferror(month(Transactions!$A$2:$A54)=8))*(Transactions!$B$2:$B54="Div")*(Transactions!$C$2:$C54=$A13)*Transactions!$T$2:$T54)=0,,SUMPRODUCT(1*(iferror(year(Transactions!$A$2:$A54)=$A$1))*(iferror(month(Transactions!$A$2:$A54)=8))*(Transactions!$B$2:$B54="Div")*(Transactions!$C$2:$C54=$A13)*Transactions!$T$2:$T54))</f>
        <v>#N/A</v>
      </c>
      <c r="L13" s="178" t="str">
        <f>if(SUMPRODUCT(1*(iferror(year(Transactions!$A$2:$A54)=$A$1))*(iferror(month(Transactions!$A$2:$A54)=9))*(Transactions!$B$2:$B54="Div")*(Transactions!$C$2:$C54=$A13)*Transactions!$T$2:$T54)=0,,SUMPRODUCT(1*(iferror(year(Transactions!$A$2:$A54)=$A$1))*(iferror(month(Transactions!$A$2:$A54)=9))*(Transactions!$B$2:$B54="Div")*(Transactions!$C$2:$C54=$A13)*Transactions!$T$2:$T54))</f>
        <v>#N/A</v>
      </c>
      <c r="M13" s="178" t="str">
        <f>if(SUMPRODUCT(1*(iferror(year(Transactions!$A$2:$A54)=$A$1))*(iferror(month(Transactions!$A$2:$A54)=10))*(Transactions!$B$2:$B54="Div")*(Transactions!$C$2:$C54=$A13)*Transactions!$T$2:$T54)=0,,SUMPRODUCT(1*(iferror(year(Transactions!$A$2:$A54)=$A$1))*(iferror(month(Transactions!$A$2:$A54)=10))*(Transactions!$B$2:$B54="Div")*(Transactions!$C$2:$C54=$A13)*Transactions!$T$2:$T54))</f>
        <v>#N/A</v>
      </c>
      <c r="N13" s="178" t="str">
        <f>if(SUMPRODUCT(1*(iferror(year(Transactions!$A$2:$A54)=$A$1))*(iferror(month(Transactions!$A$2:$A54)=11))*(Transactions!$B$2:$B54="Div")*(Transactions!$C$2:$C54=$A13)*Transactions!$T$2:$T54)=0,,SUMPRODUCT(1*(iferror(year(Transactions!$A$2:$A54)=$A$1))*(iferror(month(Transactions!$A$2:$A54)=11))*(Transactions!$B$2:$B54="Div")*(Transactions!$C$2:$C54=$A13)*Transactions!$T$2:$T54))</f>
        <v>#N/A</v>
      </c>
      <c r="O13" s="178" t="str">
        <f>if(SUMPRODUCT(1*(iferror(year(Transactions!$A$2:$A54)=$A$1))*(iferror(month(Transactions!$A$2:$A54)=12))*(Transactions!$B$2:$B54="Div")*(Transactions!$C$2:$C54=$A13)*Transactions!$T$2:$T54)=0,,SUMPRODUCT(1*(iferror(year(Transactions!$A$2:$A54)=$A$1))*(iferror(month(Transactions!$A$2:$A54)=12))*(Transactions!$B$2:$B54="Div")*(Transactions!$C$2:$C54=$A13)*Transactions!$T$2:$T54))</f>
        <v>#N/A</v>
      </c>
      <c r="P13" s="179"/>
    </row>
    <row r="14">
      <c r="A14" s="45" t="str">
        <f t="shared" si="2"/>
        <v/>
      </c>
      <c r="B14" s="181"/>
      <c r="C14" s="177"/>
      <c r="D14" s="178" t="str">
        <f>if(SUMPRODUCT(1*(iferror(year(Transactions!$A$2:$A54)=$A$1))*(iferror(month(Transactions!$A$2:$A54)=1))*(Transactions!$B$2:$B54="Div")*(Transactions!$C$2:$C54=$A14)*Transactions!$T$2:$T54)=0,,SUMPRODUCT(1*(iferror(year(Transactions!$A$2:$A54)=$A$1))*(iferror(month(Transactions!$A$2:$A54)=1))*(Transactions!$B$2:$B54="Div")*(Transactions!$C$2:$C54=$A14)*Transactions!$T$2:$T54))</f>
        <v>#N/A</v>
      </c>
      <c r="E14" s="178" t="str">
        <f>if(SUMPRODUCT(1*(iferror(year(Transactions!$A$2:$A54)=$A$1))*(iferror(month(Transactions!$A$2:$A54)=2))*(Transactions!$B$2:$B54="Div")*(Transactions!$C$2:$C54=$A14)*Transactions!$T$2:$T54)=0,,SUMPRODUCT(1*(iferror(year(Transactions!$A$2:$A54)=$A$1))*(iferror(month(Transactions!$A$2:$A54)=2))*(Transactions!$B$2:$B54="Div")*(Transactions!$C$2:$C54=$A14)*Transactions!$T$2:$T54))</f>
        <v>#N/A</v>
      </c>
      <c r="F14" s="178" t="str">
        <f>if(SUMPRODUCT(1*(iferror(year(Transactions!$A$2:$A54)=$A$1))*(iferror(month(Transactions!$A$2:$A54)=3))*(Transactions!$B$2:$B54="Div")*(Transactions!$C$2:$C54=$A14)*Transactions!$T$2:$T54)=0,,SUMPRODUCT(1*(iferror(year(Transactions!$A$2:$A54)=$A$1))*(iferror(month(Transactions!$A$2:$A54)=3))*(Transactions!$B$2:$B54="Div")*(Transactions!$C$2:$C54=$A14)*Transactions!$T$2:$T54))</f>
        <v>#N/A</v>
      </c>
      <c r="G14" s="178" t="str">
        <f>if(SUMPRODUCT(1*(iferror(year(Transactions!$A$2:$A54)=$A$1))*(iferror(month(Transactions!$A$2:$A54)=4))*(Transactions!$B$2:$B54="Div")*(Transactions!$C$2:$C54=$A14)*Transactions!$T$2:$T54)=0,,SUMPRODUCT(1*(iferror(year(Transactions!$A$2:$A54)=$A$1))*(iferror(month(Transactions!$A$2:$A54)=4))*(Transactions!$B$2:$B54="Div")*(Transactions!$C$2:$C54=$A14)*Transactions!$T$2:$T54))</f>
        <v>#N/A</v>
      </c>
      <c r="H14" s="178" t="str">
        <f>if(SUMPRODUCT(1*(iferror(year(Transactions!$A$2:$A54)=$A$1))*(iferror(month(Transactions!$A$2:$A54)=5))*(Transactions!$B$2:$B54="Div")*(Transactions!$C$2:$C54=$A14)*Transactions!$T$2:$T54)=0,,SUMPRODUCT(1*(iferror(year(Transactions!$A$2:$A54)=$A$1))*(iferror(month(Transactions!$A$2:$A54)=5))*(Transactions!$B$2:$B54="Div")*(Transactions!$C$2:$C54=$A14)*Transactions!$T$2:$T54))</f>
        <v>#N/A</v>
      </c>
      <c r="I14" s="178" t="str">
        <f>if(SUMPRODUCT(1*(iferror(year(Transactions!$A$2:$A54)=$A$1))*(iferror(month(Transactions!$A$2:$A54)=6))*(Transactions!$B$2:$B54="Div")*(Transactions!$C$2:$C54=$A14)*Transactions!$T$2:$T54)=0,,SUMPRODUCT(1*(iferror(year(Transactions!$A$2:$A54)=$A$1))*(iferror(month(Transactions!$A$2:$A54)=6))*(Transactions!$B$2:$B54="Div")*(Transactions!$C$2:$C54=$A14)*Transactions!$T$2:$T54))</f>
        <v>#N/A</v>
      </c>
      <c r="J14" s="178" t="str">
        <f>if(SUMPRODUCT(1*(iferror(year(Transactions!$A$2:$A54)=$A$1))*(iferror(month(Transactions!$A$2:$A54)=7))*(Transactions!$B$2:$B54="Div")*(Transactions!$C$2:$C54=$A14)*Transactions!$T$2:$T54)=0,,SUMPRODUCT(1*(iferror(year(Transactions!$A$2:$A54)=$A$1))*(iferror(month(Transactions!$A$2:$A54)=7))*(Transactions!$B$2:$B54="Div")*(Transactions!$C$2:$C54=$A14)*Transactions!$T$2:$T54))</f>
        <v>#N/A</v>
      </c>
      <c r="K14" s="178" t="str">
        <f>if(SUMPRODUCT(1*(iferror(year(Transactions!$A$2:$A54)=$A$1))*(iferror(month(Transactions!$A$2:$A54)=8))*(Transactions!$B$2:$B54="Div")*(Transactions!$C$2:$C54=$A14)*Transactions!$T$2:$T54)=0,,SUMPRODUCT(1*(iferror(year(Transactions!$A$2:$A54)=$A$1))*(iferror(month(Transactions!$A$2:$A54)=8))*(Transactions!$B$2:$B54="Div")*(Transactions!$C$2:$C54=$A14)*Transactions!$T$2:$T54))</f>
        <v>#N/A</v>
      </c>
      <c r="L14" s="178" t="str">
        <f>if(SUMPRODUCT(1*(iferror(year(Transactions!$A$2:$A54)=$A$1))*(iferror(month(Transactions!$A$2:$A54)=9))*(Transactions!$B$2:$B54="Div")*(Transactions!$C$2:$C54=$A14)*Transactions!$T$2:$T54)=0,,SUMPRODUCT(1*(iferror(year(Transactions!$A$2:$A54)=$A$1))*(iferror(month(Transactions!$A$2:$A54)=9))*(Transactions!$B$2:$B54="Div")*(Transactions!$C$2:$C54=$A14)*Transactions!$T$2:$T54))</f>
        <v>#N/A</v>
      </c>
      <c r="M14" s="178" t="str">
        <f>if(SUMPRODUCT(1*(iferror(year(Transactions!$A$2:$A54)=$A$1))*(iferror(month(Transactions!$A$2:$A54)=10))*(Transactions!$B$2:$B54="Div")*(Transactions!$C$2:$C54=$A14)*Transactions!$T$2:$T54)=0,,SUMPRODUCT(1*(iferror(year(Transactions!$A$2:$A54)=$A$1))*(iferror(month(Transactions!$A$2:$A54)=10))*(Transactions!$B$2:$B54="Div")*(Transactions!$C$2:$C54=$A14)*Transactions!$T$2:$T54))</f>
        <v>#N/A</v>
      </c>
      <c r="N14" s="178" t="str">
        <f>if(SUMPRODUCT(1*(iferror(year(Transactions!$A$2:$A54)=$A$1))*(iferror(month(Transactions!$A$2:$A54)=11))*(Transactions!$B$2:$B54="Div")*(Transactions!$C$2:$C54=$A14)*Transactions!$T$2:$T54)=0,,SUMPRODUCT(1*(iferror(year(Transactions!$A$2:$A54)=$A$1))*(iferror(month(Transactions!$A$2:$A54)=11))*(Transactions!$B$2:$B54="Div")*(Transactions!$C$2:$C54=$A14)*Transactions!$T$2:$T54))</f>
        <v>#N/A</v>
      </c>
      <c r="O14" s="178" t="str">
        <f>if(SUMPRODUCT(1*(iferror(year(Transactions!$A$2:$A54)=$A$1))*(iferror(month(Transactions!$A$2:$A54)=12))*(Transactions!$B$2:$B54="Div")*(Transactions!$C$2:$C54=$A14)*Transactions!$T$2:$T54)=0,,SUMPRODUCT(1*(iferror(year(Transactions!$A$2:$A54)=$A$1))*(iferror(month(Transactions!$A$2:$A54)=12))*(Transactions!$B$2:$B54="Div")*(Transactions!$C$2:$C54=$A14)*Transactions!$T$2:$T54))</f>
        <v>#N/A</v>
      </c>
      <c r="P14" s="179"/>
    </row>
    <row r="15">
      <c r="A15" s="45" t="str">
        <f t="shared" si="2"/>
        <v/>
      </c>
      <c r="B15" s="181"/>
      <c r="C15" s="177"/>
      <c r="D15" s="178" t="str">
        <f>if(SUMPRODUCT(1*(iferror(year(Transactions!$A$2:$A54)=$A$1))*(iferror(month(Transactions!$A$2:$A54)=1))*(Transactions!$B$2:$B54="Div")*(Transactions!$C$2:$C54=$A15)*Transactions!$T$2:$T54)=0,,SUMPRODUCT(1*(iferror(year(Transactions!$A$2:$A54)=$A$1))*(iferror(month(Transactions!$A$2:$A54)=1))*(Transactions!$B$2:$B54="Div")*(Transactions!$C$2:$C54=$A15)*Transactions!$T$2:$T54))</f>
        <v>#N/A</v>
      </c>
      <c r="E15" s="178" t="str">
        <f>if(SUMPRODUCT(1*(iferror(year(Transactions!$A$2:$A54)=$A$1))*(iferror(month(Transactions!$A$2:$A54)=2))*(Transactions!$B$2:$B54="Div")*(Transactions!$C$2:$C54=$A15)*Transactions!$T$2:$T54)=0,,SUMPRODUCT(1*(iferror(year(Transactions!$A$2:$A54)=$A$1))*(iferror(month(Transactions!$A$2:$A54)=2))*(Transactions!$B$2:$B54="Div")*(Transactions!$C$2:$C54=$A15)*Transactions!$T$2:$T54))</f>
        <v>#N/A</v>
      </c>
      <c r="F15" s="178" t="str">
        <f>if(SUMPRODUCT(1*(iferror(year(Transactions!$A$2:$A54)=$A$1))*(iferror(month(Transactions!$A$2:$A54)=3))*(Transactions!$B$2:$B54="Div")*(Transactions!$C$2:$C54=$A15)*Transactions!$T$2:$T54)=0,,SUMPRODUCT(1*(iferror(year(Transactions!$A$2:$A54)=$A$1))*(iferror(month(Transactions!$A$2:$A54)=3))*(Transactions!$B$2:$B54="Div")*(Transactions!$C$2:$C54=$A15)*Transactions!$T$2:$T54))</f>
        <v>#N/A</v>
      </c>
      <c r="G15" s="178" t="str">
        <f>if(SUMPRODUCT(1*(iferror(year(Transactions!$A$2:$A54)=$A$1))*(iferror(month(Transactions!$A$2:$A54)=4))*(Transactions!$B$2:$B54="Div")*(Transactions!$C$2:$C54=$A15)*Transactions!$T$2:$T54)=0,,SUMPRODUCT(1*(iferror(year(Transactions!$A$2:$A54)=$A$1))*(iferror(month(Transactions!$A$2:$A54)=4))*(Transactions!$B$2:$B54="Div")*(Transactions!$C$2:$C54=$A15)*Transactions!$T$2:$T54))</f>
        <v>#N/A</v>
      </c>
      <c r="H15" s="178" t="str">
        <f>if(SUMPRODUCT(1*(iferror(year(Transactions!$A$2:$A54)=$A$1))*(iferror(month(Transactions!$A$2:$A54)=5))*(Transactions!$B$2:$B54="Div")*(Transactions!$C$2:$C54=$A15)*Transactions!$T$2:$T54)=0,,SUMPRODUCT(1*(iferror(year(Transactions!$A$2:$A54)=$A$1))*(iferror(month(Transactions!$A$2:$A54)=5))*(Transactions!$B$2:$B54="Div")*(Transactions!$C$2:$C54=$A15)*Transactions!$T$2:$T54))</f>
        <v>#N/A</v>
      </c>
      <c r="I15" s="178" t="str">
        <f>if(SUMPRODUCT(1*(iferror(year(Transactions!$A$2:$A54)=$A$1))*(iferror(month(Transactions!$A$2:$A54)=6))*(Transactions!$B$2:$B54="Div")*(Transactions!$C$2:$C54=$A15)*Transactions!$T$2:$T54)=0,,SUMPRODUCT(1*(iferror(year(Transactions!$A$2:$A54)=$A$1))*(iferror(month(Transactions!$A$2:$A54)=6))*(Transactions!$B$2:$B54="Div")*(Transactions!$C$2:$C54=$A15)*Transactions!$T$2:$T54))</f>
        <v>#N/A</v>
      </c>
      <c r="J15" s="178" t="str">
        <f>if(SUMPRODUCT(1*(iferror(year(Transactions!$A$2:$A54)=$A$1))*(iferror(month(Transactions!$A$2:$A54)=7))*(Transactions!$B$2:$B54="Div")*(Transactions!$C$2:$C54=$A15)*Transactions!$T$2:$T54)=0,,SUMPRODUCT(1*(iferror(year(Transactions!$A$2:$A54)=$A$1))*(iferror(month(Transactions!$A$2:$A54)=7))*(Transactions!$B$2:$B54="Div")*(Transactions!$C$2:$C54=$A15)*Transactions!$T$2:$T54))</f>
        <v>#N/A</v>
      </c>
      <c r="K15" s="178" t="str">
        <f>if(SUMPRODUCT(1*(iferror(year(Transactions!$A$2:$A54)=$A$1))*(iferror(month(Transactions!$A$2:$A54)=8))*(Transactions!$B$2:$B54="Div")*(Transactions!$C$2:$C54=$A15)*Transactions!$T$2:$T54)=0,,SUMPRODUCT(1*(iferror(year(Transactions!$A$2:$A54)=$A$1))*(iferror(month(Transactions!$A$2:$A54)=8))*(Transactions!$B$2:$B54="Div")*(Transactions!$C$2:$C54=$A15)*Transactions!$T$2:$T54))</f>
        <v>#N/A</v>
      </c>
      <c r="L15" s="178" t="str">
        <f>if(SUMPRODUCT(1*(iferror(year(Transactions!$A$2:$A54)=$A$1))*(iferror(month(Transactions!$A$2:$A54)=9))*(Transactions!$B$2:$B54="Div")*(Transactions!$C$2:$C54=$A15)*Transactions!$T$2:$T54)=0,,SUMPRODUCT(1*(iferror(year(Transactions!$A$2:$A54)=$A$1))*(iferror(month(Transactions!$A$2:$A54)=9))*(Transactions!$B$2:$B54="Div")*(Transactions!$C$2:$C54=$A15)*Transactions!$T$2:$T54))</f>
        <v>#N/A</v>
      </c>
      <c r="M15" s="178" t="str">
        <f>if(SUMPRODUCT(1*(iferror(year(Transactions!$A$2:$A54)=$A$1))*(iferror(month(Transactions!$A$2:$A54)=10))*(Transactions!$B$2:$B54="Div")*(Transactions!$C$2:$C54=$A15)*Transactions!$T$2:$T54)=0,,SUMPRODUCT(1*(iferror(year(Transactions!$A$2:$A54)=$A$1))*(iferror(month(Transactions!$A$2:$A54)=10))*(Transactions!$B$2:$B54="Div")*(Transactions!$C$2:$C54=$A15)*Transactions!$T$2:$T54))</f>
        <v>#N/A</v>
      </c>
      <c r="N15" s="178" t="str">
        <f>if(SUMPRODUCT(1*(iferror(year(Transactions!$A$2:$A54)=$A$1))*(iferror(month(Transactions!$A$2:$A54)=11))*(Transactions!$B$2:$B54="Div")*(Transactions!$C$2:$C54=$A15)*Transactions!$T$2:$T54)=0,,SUMPRODUCT(1*(iferror(year(Transactions!$A$2:$A54)=$A$1))*(iferror(month(Transactions!$A$2:$A54)=11))*(Transactions!$B$2:$B54="Div")*(Transactions!$C$2:$C54=$A15)*Transactions!$T$2:$T54))</f>
        <v>#N/A</v>
      </c>
      <c r="O15" s="178" t="str">
        <f>if(SUMPRODUCT(1*(iferror(year(Transactions!$A$2:$A54)=$A$1))*(iferror(month(Transactions!$A$2:$A54)=12))*(Transactions!$B$2:$B54="Div")*(Transactions!$C$2:$C54=$A15)*Transactions!$T$2:$T54)=0,,SUMPRODUCT(1*(iferror(year(Transactions!$A$2:$A54)=$A$1))*(iferror(month(Transactions!$A$2:$A54)=12))*(Transactions!$B$2:$B54="Div")*(Transactions!$C$2:$C54=$A15)*Transactions!$T$2:$T54))</f>
        <v>#N/A</v>
      </c>
      <c r="P15" s="179"/>
    </row>
    <row r="16">
      <c r="A16" s="45" t="str">
        <f t="shared" si="2"/>
        <v/>
      </c>
      <c r="B16" s="181"/>
      <c r="C16" s="177"/>
      <c r="D16" s="178" t="str">
        <f>if(SUMPRODUCT(1*(iferror(year(Transactions!$A$2:$A54)=$A$1))*(iferror(month(Transactions!$A$2:$A54)=1))*(Transactions!$B$2:$B54="Div")*(Transactions!$C$2:$C54=$A16)*Transactions!$T$2:$T54)=0,,SUMPRODUCT(1*(iferror(year(Transactions!$A$2:$A54)=$A$1))*(iferror(month(Transactions!$A$2:$A54)=1))*(Transactions!$B$2:$B54="Div")*(Transactions!$C$2:$C54=$A16)*Transactions!$T$2:$T54))</f>
        <v>#N/A</v>
      </c>
      <c r="E16" s="178" t="str">
        <f>if(SUMPRODUCT(1*(iferror(year(Transactions!$A$2:$A54)=$A$1))*(iferror(month(Transactions!$A$2:$A54)=2))*(Transactions!$B$2:$B54="Div")*(Transactions!$C$2:$C54=$A16)*Transactions!$T$2:$T54)=0,,SUMPRODUCT(1*(iferror(year(Transactions!$A$2:$A54)=$A$1))*(iferror(month(Transactions!$A$2:$A54)=2))*(Transactions!$B$2:$B54="Div")*(Transactions!$C$2:$C54=$A16)*Transactions!$T$2:$T54))</f>
        <v>#N/A</v>
      </c>
      <c r="F16" s="178" t="str">
        <f>if(SUMPRODUCT(1*(iferror(year(Transactions!$A$2:$A54)=$A$1))*(iferror(month(Transactions!$A$2:$A54)=3))*(Transactions!$B$2:$B54="Div")*(Transactions!$C$2:$C54=$A16)*Transactions!$T$2:$T54)=0,,SUMPRODUCT(1*(iferror(year(Transactions!$A$2:$A54)=$A$1))*(iferror(month(Transactions!$A$2:$A54)=3))*(Transactions!$B$2:$B54="Div")*(Transactions!$C$2:$C54=$A16)*Transactions!$T$2:$T54))</f>
        <v>#N/A</v>
      </c>
      <c r="G16" s="178" t="str">
        <f>if(SUMPRODUCT(1*(iferror(year(Transactions!$A$2:$A54)=$A$1))*(iferror(month(Transactions!$A$2:$A54)=4))*(Transactions!$B$2:$B54="Div")*(Transactions!$C$2:$C54=$A16)*Transactions!$T$2:$T54)=0,,SUMPRODUCT(1*(iferror(year(Transactions!$A$2:$A54)=$A$1))*(iferror(month(Transactions!$A$2:$A54)=4))*(Transactions!$B$2:$B54="Div")*(Transactions!$C$2:$C54=$A16)*Transactions!$T$2:$T54))</f>
        <v>#N/A</v>
      </c>
      <c r="H16" s="178" t="str">
        <f>if(SUMPRODUCT(1*(iferror(year(Transactions!$A$2:$A54)=$A$1))*(iferror(month(Transactions!$A$2:$A54)=5))*(Transactions!$B$2:$B54="Div")*(Transactions!$C$2:$C54=$A16)*Transactions!$T$2:$T54)=0,,SUMPRODUCT(1*(iferror(year(Transactions!$A$2:$A54)=$A$1))*(iferror(month(Transactions!$A$2:$A54)=5))*(Transactions!$B$2:$B54="Div")*(Transactions!$C$2:$C54=$A16)*Transactions!$T$2:$T54))</f>
        <v>#N/A</v>
      </c>
      <c r="I16" s="178" t="str">
        <f>if(SUMPRODUCT(1*(iferror(year(Transactions!$A$2:$A54)=$A$1))*(iferror(month(Transactions!$A$2:$A54)=6))*(Transactions!$B$2:$B54="Div")*(Transactions!$C$2:$C54=$A16)*Transactions!$T$2:$T54)=0,,SUMPRODUCT(1*(iferror(year(Transactions!$A$2:$A54)=$A$1))*(iferror(month(Transactions!$A$2:$A54)=6))*(Transactions!$B$2:$B54="Div")*(Transactions!$C$2:$C54=$A16)*Transactions!$T$2:$T54))</f>
        <v>#N/A</v>
      </c>
      <c r="J16" s="178" t="str">
        <f>if(SUMPRODUCT(1*(iferror(year(Transactions!$A$2:$A54)=$A$1))*(iferror(month(Transactions!$A$2:$A54)=7))*(Transactions!$B$2:$B54="Div")*(Transactions!$C$2:$C54=$A16)*Transactions!$T$2:$T54)=0,,SUMPRODUCT(1*(iferror(year(Transactions!$A$2:$A54)=$A$1))*(iferror(month(Transactions!$A$2:$A54)=7))*(Transactions!$B$2:$B54="Div")*(Transactions!$C$2:$C54=$A16)*Transactions!$T$2:$T54))</f>
        <v>#N/A</v>
      </c>
      <c r="K16" s="178" t="str">
        <f>if(SUMPRODUCT(1*(iferror(year(Transactions!$A$2:$A54)=$A$1))*(iferror(month(Transactions!$A$2:$A54)=8))*(Transactions!$B$2:$B54="Div")*(Transactions!$C$2:$C54=$A16)*Transactions!$T$2:$T54)=0,,SUMPRODUCT(1*(iferror(year(Transactions!$A$2:$A54)=$A$1))*(iferror(month(Transactions!$A$2:$A54)=8))*(Transactions!$B$2:$B54="Div")*(Transactions!$C$2:$C54=$A16)*Transactions!$T$2:$T54))</f>
        <v>#N/A</v>
      </c>
      <c r="L16" s="178" t="str">
        <f>if(SUMPRODUCT(1*(iferror(year(Transactions!$A$2:$A54)=$A$1))*(iferror(month(Transactions!$A$2:$A54)=9))*(Transactions!$B$2:$B54="Div")*(Transactions!$C$2:$C54=$A16)*Transactions!$T$2:$T54)=0,,SUMPRODUCT(1*(iferror(year(Transactions!$A$2:$A54)=$A$1))*(iferror(month(Transactions!$A$2:$A54)=9))*(Transactions!$B$2:$B54="Div")*(Transactions!$C$2:$C54=$A16)*Transactions!$T$2:$T54))</f>
        <v>#N/A</v>
      </c>
      <c r="M16" s="178" t="str">
        <f>if(SUMPRODUCT(1*(iferror(year(Transactions!$A$2:$A54)=$A$1))*(iferror(month(Transactions!$A$2:$A54)=10))*(Transactions!$B$2:$B54="Div")*(Transactions!$C$2:$C54=$A16)*Transactions!$T$2:$T54)=0,,SUMPRODUCT(1*(iferror(year(Transactions!$A$2:$A54)=$A$1))*(iferror(month(Transactions!$A$2:$A54)=10))*(Transactions!$B$2:$B54="Div")*(Transactions!$C$2:$C54=$A16)*Transactions!$T$2:$T54))</f>
        <v>#N/A</v>
      </c>
      <c r="N16" s="178" t="str">
        <f>if(SUMPRODUCT(1*(iferror(year(Transactions!$A$2:$A54)=$A$1))*(iferror(month(Transactions!$A$2:$A54)=11))*(Transactions!$B$2:$B54="Div")*(Transactions!$C$2:$C54=$A16)*Transactions!$T$2:$T54)=0,,SUMPRODUCT(1*(iferror(year(Transactions!$A$2:$A54)=$A$1))*(iferror(month(Transactions!$A$2:$A54)=11))*(Transactions!$B$2:$B54="Div")*(Transactions!$C$2:$C54=$A16)*Transactions!$T$2:$T54))</f>
        <v>#N/A</v>
      </c>
      <c r="O16" s="178" t="str">
        <f>if(SUMPRODUCT(1*(iferror(year(Transactions!$A$2:$A54)=$A$1))*(iferror(month(Transactions!$A$2:$A54)=12))*(Transactions!$B$2:$B54="Div")*(Transactions!$C$2:$C54=$A16)*Transactions!$T$2:$T54)=0,,SUMPRODUCT(1*(iferror(year(Transactions!$A$2:$A54)=$A$1))*(iferror(month(Transactions!$A$2:$A54)=12))*(Transactions!$B$2:$B54="Div")*(Transactions!$C$2:$C54=$A16)*Transactions!$T$2:$T54))</f>
        <v>#N/A</v>
      </c>
      <c r="P16" s="179"/>
    </row>
    <row r="17">
      <c r="A17" s="45" t="str">
        <f t="shared" si="2"/>
        <v/>
      </c>
      <c r="B17" s="181"/>
      <c r="C17" s="177"/>
      <c r="D17" s="178" t="str">
        <f>if(SUMPRODUCT(1*(iferror(year(Transactions!$A$2:$A54)=$A$1))*(iferror(month(Transactions!$A$2:$A54)=1))*(Transactions!$B$2:$B54="Div")*(Transactions!$C$2:$C54=$A17)*Transactions!$T$2:$T54)=0,,SUMPRODUCT(1*(iferror(year(Transactions!$A$2:$A54)=$A$1))*(iferror(month(Transactions!$A$2:$A54)=1))*(Transactions!$B$2:$B54="Div")*(Transactions!$C$2:$C54=$A17)*Transactions!$T$2:$T54))</f>
        <v>#N/A</v>
      </c>
      <c r="E17" s="178" t="str">
        <f>if(SUMPRODUCT(1*(iferror(year(Transactions!$A$2:$A54)=$A$1))*(iferror(month(Transactions!$A$2:$A54)=2))*(Transactions!$B$2:$B54="Div")*(Transactions!$C$2:$C54=$A17)*Transactions!$T$2:$T54)=0,,SUMPRODUCT(1*(iferror(year(Transactions!$A$2:$A54)=$A$1))*(iferror(month(Transactions!$A$2:$A54)=2))*(Transactions!$B$2:$B54="Div")*(Transactions!$C$2:$C54=$A17)*Transactions!$T$2:$T54))</f>
        <v>#N/A</v>
      </c>
      <c r="F17" s="178" t="str">
        <f>if(SUMPRODUCT(1*(iferror(year(Transactions!$A$2:$A54)=$A$1))*(iferror(month(Transactions!$A$2:$A54)=3))*(Transactions!$B$2:$B54="Div")*(Transactions!$C$2:$C54=$A17)*Transactions!$T$2:$T54)=0,,SUMPRODUCT(1*(iferror(year(Transactions!$A$2:$A54)=$A$1))*(iferror(month(Transactions!$A$2:$A54)=3))*(Transactions!$B$2:$B54="Div")*(Transactions!$C$2:$C54=$A17)*Transactions!$T$2:$T54))</f>
        <v>#N/A</v>
      </c>
      <c r="G17" s="178" t="str">
        <f>if(SUMPRODUCT(1*(iferror(year(Transactions!$A$2:$A54)=$A$1))*(iferror(month(Transactions!$A$2:$A54)=4))*(Transactions!$B$2:$B54="Div")*(Transactions!$C$2:$C54=$A17)*Transactions!$T$2:$T54)=0,,SUMPRODUCT(1*(iferror(year(Transactions!$A$2:$A54)=$A$1))*(iferror(month(Transactions!$A$2:$A54)=4))*(Transactions!$B$2:$B54="Div")*(Transactions!$C$2:$C54=$A17)*Transactions!$T$2:$T54))</f>
        <v>#N/A</v>
      </c>
      <c r="H17" s="178" t="str">
        <f>if(SUMPRODUCT(1*(iferror(year(Transactions!$A$2:$A54)=$A$1))*(iferror(month(Transactions!$A$2:$A54)=5))*(Transactions!$B$2:$B54="Div")*(Transactions!$C$2:$C54=$A17)*Transactions!$T$2:$T54)=0,,SUMPRODUCT(1*(iferror(year(Transactions!$A$2:$A54)=$A$1))*(iferror(month(Transactions!$A$2:$A54)=5))*(Transactions!$B$2:$B54="Div")*(Transactions!$C$2:$C54=$A17)*Transactions!$T$2:$T54))</f>
        <v>#N/A</v>
      </c>
      <c r="I17" s="178" t="str">
        <f>if(SUMPRODUCT(1*(iferror(year(Transactions!$A$2:$A54)=$A$1))*(iferror(month(Transactions!$A$2:$A54)=6))*(Transactions!$B$2:$B54="Div")*(Transactions!$C$2:$C54=$A17)*Transactions!$T$2:$T54)=0,,SUMPRODUCT(1*(iferror(year(Transactions!$A$2:$A54)=$A$1))*(iferror(month(Transactions!$A$2:$A54)=6))*(Transactions!$B$2:$B54="Div")*(Transactions!$C$2:$C54=$A17)*Transactions!$T$2:$T54))</f>
        <v>#N/A</v>
      </c>
      <c r="J17" s="178" t="str">
        <f>if(SUMPRODUCT(1*(iferror(year(Transactions!$A$2:$A54)=$A$1))*(iferror(month(Transactions!$A$2:$A54)=7))*(Transactions!$B$2:$B54="Div")*(Transactions!$C$2:$C54=$A17)*Transactions!$T$2:$T54)=0,,SUMPRODUCT(1*(iferror(year(Transactions!$A$2:$A54)=$A$1))*(iferror(month(Transactions!$A$2:$A54)=7))*(Transactions!$B$2:$B54="Div")*(Transactions!$C$2:$C54=$A17)*Transactions!$T$2:$T54))</f>
        <v>#N/A</v>
      </c>
      <c r="K17" s="178" t="str">
        <f>if(SUMPRODUCT(1*(iferror(year(Transactions!$A$2:$A54)=$A$1))*(iferror(month(Transactions!$A$2:$A54)=8))*(Transactions!$B$2:$B54="Div")*(Transactions!$C$2:$C54=$A17)*Transactions!$T$2:$T54)=0,,SUMPRODUCT(1*(iferror(year(Transactions!$A$2:$A54)=$A$1))*(iferror(month(Transactions!$A$2:$A54)=8))*(Transactions!$B$2:$B54="Div")*(Transactions!$C$2:$C54=$A17)*Transactions!$T$2:$T54))</f>
        <v>#N/A</v>
      </c>
      <c r="L17" s="178" t="str">
        <f>if(SUMPRODUCT(1*(iferror(year(Transactions!$A$2:$A54)=$A$1))*(iferror(month(Transactions!$A$2:$A54)=9))*(Transactions!$B$2:$B54="Div")*(Transactions!$C$2:$C54=$A17)*Transactions!$T$2:$T54)=0,,SUMPRODUCT(1*(iferror(year(Transactions!$A$2:$A54)=$A$1))*(iferror(month(Transactions!$A$2:$A54)=9))*(Transactions!$B$2:$B54="Div")*(Transactions!$C$2:$C54=$A17)*Transactions!$T$2:$T54))</f>
        <v>#N/A</v>
      </c>
      <c r="M17" s="178" t="str">
        <f>if(SUMPRODUCT(1*(iferror(year(Transactions!$A$2:$A54)=$A$1))*(iferror(month(Transactions!$A$2:$A54)=10))*(Transactions!$B$2:$B54="Div")*(Transactions!$C$2:$C54=$A17)*Transactions!$T$2:$T54)=0,,SUMPRODUCT(1*(iferror(year(Transactions!$A$2:$A54)=$A$1))*(iferror(month(Transactions!$A$2:$A54)=10))*(Transactions!$B$2:$B54="Div")*(Transactions!$C$2:$C54=$A17)*Transactions!$T$2:$T54))</f>
        <v>#N/A</v>
      </c>
      <c r="N17" s="178" t="str">
        <f>if(SUMPRODUCT(1*(iferror(year(Transactions!$A$2:$A54)=$A$1))*(iferror(month(Transactions!$A$2:$A54)=11))*(Transactions!$B$2:$B54="Div")*(Transactions!$C$2:$C54=$A17)*Transactions!$T$2:$T54)=0,,SUMPRODUCT(1*(iferror(year(Transactions!$A$2:$A54)=$A$1))*(iferror(month(Transactions!$A$2:$A54)=11))*(Transactions!$B$2:$B54="Div")*(Transactions!$C$2:$C54=$A17)*Transactions!$T$2:$T54))</f>
        <v>#N/A</v>
      </c>
      <c r="O17" s="178" t="str">
        <f>if(SUMPRODUCT(1*(iferror(year(Transactions!$A$2:$A54)=$A$1))*(iferror(month(Transactions!$A$2:$A54)=12))*(Transactions!$B$2:$B54="Div")*(Transactions!$C$2:$C54=$A17)*Transactions!$T$2:$T54)=0,,SUMPRODUCT(1*(iferror(year(Transactions!$A$2:$A54)=$A$1))*(iferror(month(Transactions!$A$2:$A54)=12))*(Transactions!$B$2:$B54="Div")*(Transactions!$C$2:$C54=$A17)*Transactions!$T$2:$T54))</f>
        <v>#N/A</v>
      </c>
      <c r="P17" s="179"/>
    </row>
    <row r="18">
      <c r="A18" s="45" t="str">
        <f t="shared" si="2"/>
        <v/>
      </c>
      <c r="B18" s="181"/>
      <c r="C18" s="177"/>
      <c r="D18" s="178" t="str">
        <f>if(SUMPRODUCT(1*(iferror(year(Transactions!$A$2:$A54)=$A$1))*(iferror(month(Transactions!$A$2:$A54)=1))*(Transactions!$B$2:$B54="Div")*(Transactions!$C$2:$C54=$A18)*Transactions!$T$2:$T54)=0,,SUMPRODUCT(1*(iferror(year(Transactions!$A$2:$A54)=$A$1))*(iferror(month(Transactions!$A$2:$A54)=1))*(Transactions!$B$2:$B54="Div")*(Transactions!$C$2:$C54=$A18)*Transactions!$T$2:$T54))</f>
        <v>#N/A</v>
      </c>
      <c r="E18" s="178" t="str">
        <f>if(SUMPRODUCT(1*(iferror(year(Transactions!$A$2:$A54)=$A$1))*(iferror(month(Transactions!$A$2:$A54)=2))*(Transactions!$B$2:$B54="Div")*(Transactions!$C$2:$C54=$A18)*Transactions!$T$2:$T54)=0,,SUMPRODUCT(1*(iferror(year(Transactions!$A$2:$A54)=$A$1))*(iferror(month(Transactions!$A$2:$A54)=2))*(Transactions!$B$2:$B54="Div")*(Transactions!$C$2:$C54=$A18)*Transactions!$T$2:$T54))</f>
        <v>#N/A</v>
      </c>
      <c r="F18" s="178" t="str">
        <f>if(SUMPRODUCT(1*(iferror(year(Transactions!$A$2:$A54)=$A$1))*(iferror(month(Transactions!$A$2:$A54)=3))*(Transactions!$B$2:$B54="Div")*(Transactions!$C$2:$C54=$A18)*Transactions!$T$2:$T54)=0,,SUMPRODUCT(1*(iferror(year(Transactions!$A$2:$A54)=$A$1))*(iferror(month(Transactions!$A$2:$A54)=3))*(Transactions!$B$2:$B54="Div")*(Transactions!$C$2:$C54=$A18)*Transactions!$T$2:$T54))</f>
        <v>#N/A</v>
      </c>
      <c r="G18" s="178" t="str">
        <f>if(SUMPRODUCT(1*(iferror(year(Transactions!$A$2:$A54)=$A$1))*(iferror(month(Transactions!$A$2:$A54)=4))*(Transactions!$B$2:$B54="Div")*(Transactions!$C$2:$C54=$A18)*Transactions!$T$2:$T54)=0,,SUMPRODUCT(1*(iferror(year(Transactions!$A$2:$A54)=$A$1))*(iferror(month(Transactions!$A$2:$A54)=4))*(Transactions!$B$2:$B54="Div")*(Transactions!$C$2:$C54=$A18)*Transactions!$T$2:$T54))</f>
        <v>#N/A</v>
      </c>
      <c r="H18" s="178" t="str">
        <f>if(SUMPRODUCT(1*(iferror(year(Transactions!$A$2:$A54)=$A$1))*(iferror(month(Transactions!$A$2:$A54)=5))*(Transactions!$B$2:$B54="Div")*(Transactions!$C$2:$C54=$A18)*Transactions!$T$2:$T54)=0,,SUMPRODUCT(1*(iferror(year(Transactions!$A$2:$A54)=$A$1))*(iferror(month(Transactions!$A$2:$A54)=5))*(Transactions!$B$2:$B54="Div")*(Transactions!$C$2:$C54=$A18)*Transactions!$T$2:$T54))</f>
        <v>#N/A</v>
      </c>
      <c r="I18" s="178" t="str">
        <f>if(SUMPRODUCT(1*(iferror(year(Transactions!$A$2:$A54)=$A$1))*(iferror(month(Transactions!$A$2:$A54)=6))*(Transactions!$B$2:$B54="Div")*(Transactions!$C$2:$C54=$A18)*Transactions!$T$2:$T54)=0,,SUMPRODUCT(1*(iferror(year(Transactions!$A$2:$A54)=$A$1))*(iferror(month(Transactions!$A$2:$A54)=6))*(Transactions!$B$2:$B54="Div")*(Transactions!$C$2:$C54=$A18)*Transactions!$T$2:$T54))</f>
        <v>#N/A</v>
      </c>
      <c r="J18" s="178" t="str">
        <f>if(SUMPRODUCT(1*(iferror(year(Transactions!$A$2:$A54)=$A$1))*(iferror(month(Transactions!$A$2:$A54)=7))*(Transactions!$B$2:$B54="Div")*(Transactions!$C$2:$C54=$A18)*Transactions!$T$2:$T54)=0,,SUMPRODUCT(1*(iferror(year(Transactions!$A$2:$A54)=$A$1))*(iferror(month(Transactions!$A$2:$A54)=7))*(Transactions!$B$2:$B54="Div")*(Transactions!$C$2:$C54=$A18)*Transactions!$T$2:$T54))</f>
        <v>#N/A</v>
      </c>
      <c r="K18" s="178" t="str">
        <f>if(SUMPRODUCT(1*(iferror(year(Transactions!$A$2:$A54)=$A$1))*(iferror(month(Transactions!$A$2:$A54)=8))*(Transactions!$B$2:$B54="Div")*(Transactions!$C$2:$C54=$A18)*Transactions!$T$2:$T54)=0,,SUMPRODUCT(1*(iferror(year(Transactions!$A$2:$A54)=$A$1))*(iferror(month(Transactions!$A$2:$A54)=8))*(Transactions!$B$2:$B54="Div")*(Transactions!$C$2:$C54=$A18)*Transactions!$T$2:$T54))</f>
        <v>#N/A</v>
      </c>
      <c r="L18" s="178" t="str">
        <f>if(SUMPRODUCT(1*(iferror(year(Transactions!$A$2:$A54)=$A$1))*(iferror(month(Transactions!$A$2:$A54)=9))*(Transactions!$B$2:$B54="Div")*(Transactions!$C$2:$C54=$A18)*Transactions!$T$2:$T54)=0,,SUMPRODUCT(1*(iferror(year(Transactions!$A$2:$A54)=$A$1))*(iferror(month(Transactions!$A$2:$A54)=9))*(Transactions!$B$2:$B54="Div")*(Transactions!$C$2:$C54=$A18)*Transactions!$T$2:$T54))</f>
        <v>#N/A</v>
      </c>
      <c r="M18" s="178" t="str">
        <f>if(SUMPRODUCT(1*(iferror(year(Transactions!$A$2:$A54)=$A$1))*(iferror(month(Transactions!$A$2:$A54)=10))*(Transactions!$B$2:$B54="Div")*(Transactions!$C$2:$C54=$A18)*Transactions!$T$2:$T54)=0,,SUMPRODUCT(1*(iferror(year(Transactions!$A$2:$A54)=$A$1))*(iferror(month(Transactions!$A$2:$A54)=10))*(Transactions!$B$2:$B54="Div")*(Transactions!$C$2:$C54=$A18)*Transactions!$T$2:$T54))</f>
        <v>#N/A</v>
      </c>
      <c r="N18" s="178" t="str">
        <f>if(SUMPRODUCT(1*(iferror(year(Transactions!$A$2:$A54)=$A$1))*(iferror(month(Transactions!$A$2:$A54)=11))*(Transactions!$B$2:$B54="Div")*(Transactions!$C$2:$C54=$A18)*Transactions!$T$2:$T54)=0,,SUMPRODUCT(1*(iferror(year(Transactions!$A$2:$A54)=$A$1))*(iferror(month(Transactions!$A$2:$A54)=11))*(Transactions!$B$2:$B54="Div")*(Transactions!$C$2:$C54=$A18)*Transactions!$T$2:$T54))</f>
        <v>#N/A</v>
      </c>
      <c r="O18" s="178" t="str">
        <f>if(SUMPRODUCT(1*(iferror(year(Transactions!$A$2:$A54)=$A$1))*(iferror(month(Transactions!$A$2:$A54)=12))*(Transactions!$B$2:$B54="Div")*(Transactions!$C$2:$C54=$A18)*Transactions!$T$2:$T54)=0,,SUMPRODUCT(1*(iferror(year(Transactions!$A$2:$A54)=$A$1))*(iferror(month(Transactions!$A$2:$A54)=12))*(Transactions!$B$2:$B54="Div")*(Transactions!$C$2:$C54=$A18)*Transactions!$T$2:$T54))</f>
        <v>#N/A</v>
      </c>
      <c r="P18" s="179"/>
    </row>
    <row r="19">
      <c r="A19" s="45" t="str">
        <f t="shared" si="2"/>
        <v/>
      </c>
      <c r="B19" s="181"/>
      <c r="C19" s="177"/>
      <c r="D19" s="178" t="str">
        <f>if(SUMPRODUCT(1*(iferror(year(Transactions!$A$2:$A54)=$A$1))*(iferror(month(Transactions!$A$2:$A54)=1))*(Transactions!$B$2:$B54="Div")*(Transactions!$C$2:$C54=$A19)*Transactions!$T$2:$T54)=0,,SUMPRODUCT(1*(iferror(year(Transactions!$A$2:$A54)=$A$1))*(iferror(month(Transactions!$A$2:$A54)=1))*(Transactions!$B$2:$B54="Div")*(Transactions!$C$2:$C54=$A19)*Transactions!$T$2:$T54))</f>
        <v>#N/A</v>
      </c>
      <c r="E19" s="178" t="str">
        <f>if(SUMPRODUCT(1*(iferror(year(Transactions!$A$2:$A54)=$A$1))*(iferror(month(Transactions!$A$2:$A54)=2))*(Transactions!$B$2:$B54="Div")*(Transactions!$C$2:$C54=$A19)*Transactions!$T$2:$T54)=0,,SUMPRODUCT(1*(iferror(year(Transactions!$A$2:$A54)=$A$1))*(iferror(month(Transactions!$A$2:$A54)=2))*(Transactions!$B$2:$B54="Div")*(Transactions!$C$2:$C54=$A19)*Transactions!$T$2:$T54))</f>
        <v>#N/A</v>
      </c>
      <c r="F19" s="178" t="str">
        <f>if(SUMPRODUCT(1*(iferror(year(Transactions!$A$2:$A54)=$A$1))*(iferror(month(Transactions!$A$2:$A54)=3))*(Transactions!$B$2:$B54="Div")*(Transactions!$C$2:$C54=$A19)*Transactions!$T$2:$T54)=0,,SUMPRODUCT(1*(iferror(year(Transactions!$A$2:$A54)=$A$1))*(iferror(month(Transactions!$A$2:$A54)=3))*(Transactions!$B$2:$B54="Div")*(Transactions!$C$2:$C54=$A19)*Transactions!$T$2:$T54))</f>
        <v>#N/A</v>
      </c>
      <c r="G19" s="178" t="str">
        <f>if(SUMPRODUCT(1*(iferror(year(Transactions!$A$2:$A54)=$A$1))*(iferror(month(Transactions!$A$2:$A54)=4))*(Transactions!$B$2:$B54="Div")*(Transactions!$C$2:$C54=$A19)*Transactions!$T$2:$T54)=0,,SUMPRODUCT(1*(iferror(year(Transactions!$A$2:$A54)=$A$1))*(iferror(month(Transactions!$A$2:$A54)=4))*(Transactions!$B$2:$B54="Div")*(Transactions!$C$2:$C54=$A19)*Transactions!$T$2:$T54))</f>
        <v>#N/A</v>
      </c>
      <c r="H19" s="178" t="str">
        <f>if(SUMPRODUCT(1*(iferror(year(Transactions!$A$2:$A54)=$A$1))*(iferror(month(Transactions!$A$2:$A54)=5))*(Transactions!$B$2:$B54="Div")*(Transactions!$C$2:$C54=$A19)*Transactions!$T$2:$T54)=0,,SUMPRODUCT(1*(iferror(year(Transactions!$A$2:$A54)=$A$1))*(iferror(month(Transactions!$A$2:$A54)=5))*(Transactions!$B$2:$B54="Div")*(Transactions!$C$2:$C54=$A19)*Transactions!$T$2:$T54))</f>
        <v>#N/A</v>
      </c>
      <c r="I19" s="178" t="str">
        <f>if(SUMPRODUCT(1*(iferror(year(Transactions!$A$2:$A54)=$A$1))*(iferror(month(Transactions!$A$2:$A54)=6))*(Transactions!$B$2:$B54="Div")*(Transactions!$C$2:$C54=$A19)*Transactions!$T$2:$T54)=0,,SUMPRODUCT(1*(iferror(year(Transactions!$A$2:$A54)=$A$1))*(iferror(month(Transactions!$A$2:$A54)=6))*(Transactions!$B$2:$B54="Div")*(Transactions!$C$2:$C54=$A19)*Transactions!$T$2:$T54))</f>
        <v>#N/A</v>
      </c>
      <c r="J19" s="178" t="str">
        <f>if(SUMPRODUCT(1*(iferror(year(Transactions!$A$2:$A54)=$A$1))*(iferror(month(Transactions!$A$2:$A54)=7))*(Transactions!$B$2:$B54="Div")*(Transactions!$C$2:$C54=$A19)*Transactions!$T$2:$T54)=0,,SUMPRODUCT(1*(iferror(year(Transactions!$A$2:$A54)=$A$1))*(iferror(month(Transactions!$A$2:$A54)=7))*(Transactions!$B$2:$B54="Div")*(Transactions!$C$2:$C54=$A19)*Transactions!$T$2:$T54))</f>
        <v>#N/A</v>
      </c>
      <c r="K19" s="178" t="str">
        <f>if(SUMPRODUCT(1*(iferror(year(Transactions!$A$2:$A54)=$A$1))*(iferror(month(Transactions!$A$2:$A54)=8))*(Transactions!$B$2:$B54="Div")*(Transactions!$C$2:$C54=$A19)*Transactions!$T$2:$T54)=0,,SUMPRODUCT(1*(iferror(year(Transactions!$A$2:$A54)=$A$1))*(iferror(month(Transactions!$A$2:$A54)=8))*(Transactions!$B$2:$B54="Div")*(Transactions!$C$2:$C54=$A19)*Transactions!$T$2:$T54))</f>
        <v>#N/A</v>
      </c>
      <c r="L19" s="178" t="str">
        <f>if(SUMPRODUCT(1*(iferror(year(Transactions!$A$2:$A54)=$A$1))*(iferror(month(Transactions!$A$2:$A54)=9))*(Transactions!$B$2:$B54="Div")*(Transactions!$C$2:$C54=$A19)*Transactions!$T$2:$T54)=0,,SUMPRODUCT(1*(iferror(year(Transactions!$A$2:$A54)=$A$1))*(iferror(month(Transactions!$A$2:$A54)=9))*(Transactions!$B$2:$B54="Div")*(Transactions!$C$2:$C54=$A19)*Transactions!$T$2:$T54))</f>
        <v>#N/A</v>
      </c>
      <c r="M19" s="178" t="str">
        <f>if(SUMPRODUCT(1*(iferror(year(Transactions!$A$2:$A54)=$A$1))*(iferror(month(Transactions!$A$2:$A54)=10))*(Transactions!$B$2:$B54="Div")*(Transactions!$C$2:$C54=$A19)*Transactions!$T$2:$T54)=0,,SUMPRODUCT(1*(iferror(year(Transactions!$A$2:$A54)=$A$1))*(iferror(month(Transactions!$A$2:$A54)=10))*(Transactions!$B$2:$B54="Div")*(Transactions!$C$2:$C54=$A19)*Transactions!$T$2:$T54))</f>
        <v>#N/A</v>
      </c>
      <c r="N19" s="178" t="str">
        <f>if(SUMPRODUCT(1*(iferror(year(Transactions!$A$2:$A54)=$A$1))*(iferror(month(Transactions!$A$2:$A54)=11))*(Transactions!$B$2:$B54="Div")*(Transactions!$C$2:$C54=$A19)*Transactions!$T$2:$T54)=0,,SUMPRODUCT(1*(iferror(year(Transactions!$A$2:$A54)=$A$1))*(iferror(month(Transactions!$A$2:$A54)=11))*(Transactions!$B$2:$B54="Div")*(Transactions!$C$2:$C54=$A19)*Transactions!$T$2:$T54))</f>
        <v>#N/A</v>
      </c>
      <c r="O19" s="178" t="str">
        <f>if(SUMPRODUCT(1*(iferror(year(Transactions!$A$2:$A54)=$A$1))*(iferror(month(Transactions!$A$2:$A54)=12))*(Transactions!$B$2:$B54="Div")*(Transactions!$C$2:$C54=$A19)*Transactions!$T$2:$T54)=0,,SUMPRODUCT(1*(iferror(year(Transactions!$A$2:$A54)=$A$1))*(iferror(month(Transactions!$A$2:$A54)=12))*(Transactions!$B$2:$B54="Div")*(Transactions!$C$2:$C54=$A19)*Transactions!$T$2:$T54))</f>
        <v>#N/A</v>
      </c>
      <c r="P19" s="179"/>
    </row>
    <row r="20">
      <c r="A20" s="45" t="str">
        <f t="shared" si="2"/>
        <v/>
      </c>
      <c r="B20" s="181"/>
      <c r="C20" s="177"/>
      <c r="D20" s="178" t="str">
        <f>if(SUMPRODUCT(1*(iferror(year(Transactions!$A$2:$A54)=$A$1))*(iferror(month(Transactions!$A$2:$A54)=1))*(Transactions!$B$2:$B54="Div")*(Transactions!$C$2:$C54=$A20)*Transactions!$T$2:$T54)=0,,SUMPRODUCT(1*(iferror(year(Transactions!$A$2:$A54)=$A$1))*(iferror(month(Transactions!$A$2:$A54)=1))*(Transactions!$B$2:$B54="Div")*(Transactions!$C$2:$C54=$A20)*Transactions!$T$2:$T54))</f>
        <v>#N/A</v>
      </c>
      <c r="E20" s="178" t="str">
        <f>if(SUMPRODUCT(1*(iferror(year(Transactions!$A$2:$A54)=$A$1))*(iferror(month(Transactions!$A$2:$A54)=2))*(Transactions!$B$2:$B54="Div")*(Transactions!$C$2:$C54=$A20)*Transactions!$T$2:$T54)=0,,SUMPRODUCT(1*(iferror(year(Transactions!$A$2:$A54)=$A$1))*(iferror(month(Transactions!$A$2:$A54)=2))*(Transactions!$B$2:$B54="Div")*(Transactions!$C$2:$C54=$A20)*Transactions!$T$2:$T54))</f>
        <v>#N/A</v>
      </c>
      <c r="F20" s="178" t="str">
        <f>if(SUMPRODUCT(1*(iferror(year(Transactions!$A$2:$A54)=$A$1))*(iferror(month(Transactions!$A$2:$A54)=3))*(Transactions!$B$2:$B54="Div")*(Transactions!$C$2:$C54=$A20)*Transactions!$T$2:$T54)=0,,SUMPRODUCT(1*(iferror(year(Transactions!$A$2:$A54)=$A$1))*(iferror(month(Transactions!$A$2:$A54)=3))*(Transactions!$B$2:$B54="Div")*(Transactions!$C$2:$C54=$A20)*Transactions!$T$2:$T54))</f>
        <v>#N/A</v>
      </c>
      <c r="G20" s="178" t="str">
        <f>if(SUMPRODUCT(1*(iferror(year(Transactions!$A$2:$A54)=$A$1))*(iferror(month(Transactions!$A$2:$A54)=4))*(Transactions!$B$2:$B54="Div")*(Transactions!$C$2:$C54=$A20)*Transactions!$T$2:$T54)=0,,SUMPRODUCT(1*(iferror(year(Transactions!$A$2:$A54)=$A$1))*(iferror(month(Transactions!$A$2:$A54)=4))*(Transactions!$B$2:$B54="Div")*(Transactions!$C$2:$C54=$A20)*Transactions!$T$2:$T54))</f>
        <v>#N/A</v>
      </c>
      <c r="H20" s="178" t="str">
        <f>if(SUMPRODUCT(1*(iferror(year(Transactions!$A$2:$A54)=$A$1))*(iferror(month(Transactions!$A$2:$A54)=5))*(Transactions!$B$2:$B54="Div")*(Transactions!$C$2:$C54=$A20)*Transactions!$T$2:$T54)=0,,SUMPRODUCT(1*(iferror(year(Transactions!$A$2:$A54)=$A$1))*(iferror(month(Transactions!$A$2:$A54)=5))*(Transactions!$B$2:$B54="Div")*(Transactions!$C$2:$C54=$A20)*Transactions!$T$2:$T54))</f>
        <v>#N/A</v>
      </c>
      <c r="I20" s="178" t="str">
        <f>if(SUMPRODUCT(1*(iferror(year(Transactions!$A$2:$A54)=$A$1))*(iferror(month(Transactions!$A$2:$A54)=6))*(Transactions!$B$2:$B54="Div")*(Transactions!$C$2:$C54=$A20)*Transactions!$T$2:$T54)=0,,SUMPRODUCT(1*(iferror(year(Transactions!$A$2:$A54)=$A$1))*(iferror(month(Transactions!$A$2:$A54)=6))*(Transactions!$B$2:$B54="Div")*(Transactions!$C$2:$C54=$A20)*Transactions!$T$2:$T54))</f>
        <v>#N/A</v>
      </c>
      <c r="J20" s="178" t="str">
        <f>if(SUMPRODUCT(1*(iferror(year(Transactions!$A$2:$A54)=$A$1))*(iferror(month(Transactions!$A$2:$A54)=7))*(Transactions!$B$2:$B54="Div")*(Transactions!$C$2:$C54=$A20)*Transactions!$T$2:$T54)=0,,SUMPRODUCT(1*(iferror(year(Transactions!$A$2:$A54)=$A$1))*(iferror(month(Transactions!$A$2:$A54)=7))*(Transactions!$B$2:$B54="Div")*(Transactions!$C$2:$C54=$A20)*Transactions!$T$2:$T54))</f>
        <v>#N/A</v>
      </c>
      <c r="K20" s="178" t="str">
        <f>if(SUMPRODUCT(1*(iferror(year(Transactions!$A$2:$A54)=$A$1))*(iferror(month(Transactions!$A$2:$A54)=8))*(Transactions!$B$2:$B54="Div")*(Transactions!$C$2:$C54=$A20)*Transactions!$T$2:$T54)=0,,SUMPRODUCT(1*(iferror(year(Transactions!$A$2:$A54)=$A$1))*(iferror(month(Transactions!$A$2:$A54)=8))*(Transactions!$B$2:$B54="Div")*(Transactions!$C$2:$C54=$A20)*Transactions!$T$2:$T54))</f>
        <v>#N/A</v>
      </c>
      <c r="L20" s="178" t="str">
        <f>if(SUMPRODUCT(1*(iferror(year(Transactions!$A$2:$A54)=$A$1))*(iferror(month(Transactions!$A$2:$A54)=9))*(Transactions!$B$2:$B54="Div")*(Transactions!$C$2:$C54=$A20)*Transactions!$T$2:$T54)=0,,SUMPRODUCT(1*(iferror(year(Transactions!$A$2:$A54)=$A$1))*(iferror(month(Transactions!$A$2:$A54)=9))*(Transactions!$B$2:$B54="Div")*(Transactions!$C$2:$C54=$A20)*Transactions!$T$2:$T54))</f>
        <v>#N/A</v>
      </c>
      <c r="M20" s="178" t="str">
        <f>if(SUMPRODUCT(1*(iferror(year(Transactions!$A$2:$A54)=$A$1))*(iferror(month(Transactions!$A$2:$A54)=10))*(Transactions!$B$2:$B54="Div")*(Transactions!$C$2:$C54=$A20)*Transactions!$T$2:$T54)=0,,SUMPRODUCT(1*(iferror(year(Transactions!$A$2:$A54)=$A$1))*(iferror(month(Transactions!$A$2:$A54)=10))*(Transactions!$B$2:$B54="Div")*(Transactions!$C$2:$C54=$A20)*Transactions!$T$2:$T54))</f>
        <v>#N/A</v>
      </c>
      <c r="N20" s="178" t="str">
        <f>if(SUMPRODUCT(1*(iferror(year(Transactions!$A$2:$A54)=$A$1))*(iferror(month(Transactions!$A$2:$A54)=11))*(Transactions!$B$2:$B54="Div")*(Transactions!$C$2:$C54=$A20)*Transactions!$T$2:$T54)=0,,SUMPRODUCT(1*(iferror(year(Transactions!$A$2:$A54)=$A$1))*(iferror(month(Transactions!$A$2:$A54)=11))*(Transactions!$B$2:$B54="Div")*(Transactions!$C$2:$C54=$A20)*Transactions!$T$2:$T54))</f>
        <v>#N/A</v>
      </c>
      <c r="O20" s="178" t="str">
        <f>if(SUMPRODUCT(1*(iferror(year(Transactions!$A$2:$A54)=$A$1))*(iferror(month(Transactions!$A$2:$A54)=12))*(Transactions!$B$2:$B54="Div")*(Transactions!$C$2:$C54=$A20)*Transactions!$T$2:$T54)=0,,SUMPRODUCT(1*(iferror(year(Transactions!$A$2:$A54)=$A$1))*(iferror(month(Transactions!$A$2:$A54)=12))*(Transactions!$B$2:$B54="Div")*(Transactions!$C$2:$C54=$A20)*Transactions!$T$2:$T54))</f>
        <v>#N/A</v>
      </c>
      <c r="P20" s="179"/>
    </row>
    <row r="21">
      <c r="A21" s="45" t="str">
        <f t="shared" si="2"/>
        <v/>
      </c>
      <c r="B21" s="181"/>
      <c r="C21" s="177"/>
      <c r="D21" s="178" t="str">
        <f>if(SUMPRODUCT(1*(iferror(year(Transactions!$A$2:$A54)=$A$1))*(iferror(month(Transactions!$A$2:$A54)=1))*(Transactions!$B$2:$B54="Div")*(Transactions!$C$2:$C54=$A21)*Transactions!$T$2:$T54)=0,,SUMPRODUCT(1*(iferror(year(Transactions!$A$2:$A54)=$A$1))*(iferror(month(Transactions!$A$2:$A54)=1))*(Transactions!$B$2:$B54="Div")*(Transactions!$C$2:$C54=$A21)*Transactions!$T$2:$T54))</f>
        <v>#N/A</v>
      </c>
      <c r="E21" s="178" t="str">
        <f>if(SUMPRODUCT(1*(iferror(year(Transactions!$A$2:$A54)=$A$1))*(iferror(month(Transactions!$A$2:$A54)=2))*(Transactions!$B$2:$B54="Div")*(Transactions!$C$2:$C54=$A21)*Transactions!$T$2:$T54)=0,,SUMPRODUCT(1*(iferror(year(Transactions!$A$2:$A54)=$A$1))*(iferror(month(Transactions!$A$2:$A54)=2))*(Transactions!$B$2:$B54="Div")*(Transactions!$C$2:$C54=$A21)*Transactions!$T$2:$T54))</f>
        <v>#N/A</v>
      </c>
      <c r="F21" s="178" t="str">
        <f>if(SUMPRODUCT(1*(iferror(year(Transactions!$A$2:$A54)=$A$1))*(iferror(month(Transactions!$A$2:$A54)=3))*(Transactions!$B$2:$B54="Div")*(Transactions!$C$2:$C54=$A21)*Transactions!$T$2:$T54)=0,,SUMPRODUCT(1*(iferror(year(Transactions!$A$2:$A54)=$A$1))*(iferror(month(Transactions!$A$2:$A54)=3))*(Transactions!$B$2:$B54="Div")*(Transactions!$C$2:$C54=$A21)*Transactions!$T$2:$T54))</f>
        <v>#N/A</v>
      </c>
      <c r="G21" s="178" t="str">
        <f>if(SUMPRODUCT(1*(iferror(year(Transactions!$A$2:$A54)=$A$1))*(iferror(month(Transactions!$A$2:$A54)=4))*(Transactions!$B$2:$B54="Div")*(Transactions!$C$2:$C54=$A21)*Transactions!$T$2:$T54)=0,,SUMPRODUCT(1*(iferror(year(Transactions!$A$2:$A54)=$A$1))*(iferror(month(Transactions!$A$2:$A54)=4))*(Transactions!$B$2:$B54="Div")*(Transactions!$C$2:$C54=$A21)*Transactions!$T$2:$T54))</f>
        <v>#N/A</v>
      </c>
      <c r="H21" s="178" t="str">
        <f>if(SUMPRODUCT(1*(iferror(year(Transactions!$A$2:$A54)=$A$1))*(iferror(month(Transactions!$A$2:$A54)=5))*(Transactions!$B$2:$B54="Div")*(Transactions!$C$2:$C54=$A21)*Transactions!$T$2:$T54)=0,,SUMPRODUCT(1*(iferror(year(Transactions!$A$2:$A54)=$A$1))*(iferror(month(Transactions!$A$2:$A54)=5))*(Transactions!$B$2:$B54="Div")*(Transactions!$C$2:$C54=$A21)*Transactions!$T$2:$T54))</f>
        <v>#N/A</v>
      </c>
      <c r="I21" s="178" t="str">
        <f>if(SUMPRODUCT(1*(iferror(year(Transactions!$A$2:$A54)=$A$1))*(iferror(month(Transactions!$A$2:$A54)=6))*(Transactions!$B$2:$B54="Div")*(Transactions!$C$2:$C54=$A21)*Transactions!$T$2:$T54)=0,,SUMPRODUCT(1*(iferror(year(Transactions!$A$2:$A54)=$A$1))*(iferror(month(Transactions!$A$2:$A54)=6))*(Transactions!$B$2:$B54="Div")*(Transactions!$C$2:$C54=$A21)*Transactions!$T$2:$T54))</f>
        <v>#N/A</v>
      </c>
      <c r="J21" s="178" t="str">
        <f>if(SUMPRODUCT(1*(iferror(year(Transactions!$A$2:$A54)=$A$1))*(iferror(month(Transactions!$A$2:$A54)=7))*(Transactions!$B$2:$B54="Div")*(Transactions!$C$2:$C54=$A21)*Transactions!$T$2:$T54)=0,,SUMPRODUCT(1*(iferror(year(Transactions!$A$2:$A54)=$A$1))*(iferror(month(Transactions!$A$2:$A54)=7))*(Transactions!$B$2:$B54="Div")*(Transactions!$C$2:$C54=$A21)*Transactions!$T$2:$T54))</f>
        <v>#N/A</v>
      </c>
      <c r="K21" s="178" t="str">
        <f>if(SUMPRODUCT(1*(iferror(year(Transactions!$A$2:$A54)=$A$1))*(iferror(month(Transactions!$A$2:$A54)=8))*(Transactions!$B$2:$B54="Div")*(Transactions!$C$2:$C54=$A21)*Transactions!$T$2:$T54)=0,,SUMPRODUCT(1*(iferror(year(Transactions!$A$2:$A54)=$A$1))*(iferror(month(Transactions!$A$2:$A54)=8))*(Transactions!$B$2:$B54="Div")*(Transactions!$C$2:$C54=$A21)*Transactions!$T$2:$T54))</f>
        <v>#N/A</v>
      </c>
      <c r="L21" s="178" t="str">
        <f>if(SUMPRODUCT(1*(iferror(year(Transactions!$A$2:$A54)=$A$1))*(iferror(month(Transactions!$A$2:$A54)=9))*(Transactions!$B$2:$B54="Div")*(Transactions!$C$2:$C54=$A21)*Transactions!$T$2:$T54)=0,,SUMPRODUCT(1*(iferror(year(Transactions!$A$2:$A54)=$A$1))*(iferror(month(Transactions!$A$2:$A54)=9))*(Transactions!$B$2:$B54="Div")*(Transactions!$C$2:$C54=$A21)*Transactions!$T$2:$T54))</f>
        <v>#N/A</v>
      </c>
      <c r="M21" s="178" t="str">
        <f>if(SUMPRODUCT(1*(iferror(year(Transactions!$A$2:$A54)=$A$1))*(iferror(month(Transactions!$A$2:$A54)=10))*(Transactions!$B$2:$B54="Div")*(Transactions!$C$2:$C54=$A21)*Transactions!$T$2:$T54)=0,,SUMPRODUCT(1*(iferror(year(Transactions!$A$2:$A54)=$A$1))*(iferror(month(Transactions!$A$2:$A54)=10))*(Transactions!$B$2:$B54="Div")*(Transactions!$C$2:$C54=$A21)*Transactions!$T$2:$T54))</f>
        <v>#N/A</v>
      </c>
      <c r="N21" s="178" t="str">
        <f>if(SUMPRODUCT(1*(iferror(year(Transactions!$A$2:$A54)=$A$1))*(iferror(month(Transactions!$A$2:$A54)=11))*(Transactions!$B$2:$B54="Div")*(Transactions!$C$2:$C54=$A21)*Transactions!$T$2:$T54)=0,,SUMPRODUCT(1*(iferror(year(Transactions!$A$2:$A54)=$A$1))*(iferror(month(Transactions!$A$2:$A54)=11))*(Transactions!$B$2:$B54="Div")*(Transactions!$C$2:$C54=$A21)*Transactions!$T$2:$T54))</f>
        <v>#N/A</v>
      </c>
      <c r="O21" s="178" t="str">
        <f>if(SUMPRODUCT(1*(iferror(year(Transactions!$A$2:$A54)=$A$1))*(iferror(month(Transactions!$A$2:$A54)=12))*(Transactions!$B$2:$B54="Div")*(Transactions!$C$2:$C54=$A21)*Transactions!$T$2:$T54)=0,,SUMPRODUCT(1*(iferror(year(Transactions!$A$2:$A54)=$A$1))*(iferror(month(Transactions!$A$2:$A54)=12))*(Transactions!$B$2:$B54="Div")*(Transactions!$C$2:$C54=$A21)*Transactions!$T$2:$T54))</f>
        <v>#N/A</v>
      </c>
      <c r="P21" s="179"/>
    </row>
    <row r="22">
      <c r="A22" s="45" t="str">
        <f t="shared" si="2"/>
        <v/>
      </c>
      <c r="B22" s="181"/>
      <c r="C22" s="177"/>
      <c r="D22" s="178" t="str">
        <f>if(SUMPRODUCT(1*(iferror(year(Transactions!$A$2:$A54)=$A$1))*(iferror(month(Transactions!$A$2:$A54)=1))*(Transactions!$B$2:$B54="Div")*(Transactions!$C$2:$C54=$A22)*Transactions!$T$2:$T54)=0,,SUMPRODUCT(1*(iferror(year(Transactions!$A$2:$A54)=$A$1))*(iferror(month(Transactions!$A$2:$A54)=1))*(Transactions!$B$2:$B54="Div")*(Transactions!$C$2:$C54=$A22)*Transactions!$T$2:$T54))</f>
        <v>#N/A</v>
      </c>
      <c r="E22" s="178" t="str">
        <f>if(SUMPRODUCT(1*(iferror(year(Transactions!$A$2:$A54)=$A$1))*(iferror(month(Transactions!$A$2:$A54)=2))*(Transactions!$B$2:$B54="Div")*(Transactions!$C$2:$C54=$A22)*Transactions!$T$2:$T54)=0,,SUMPRODUCT(1*(iferror(year(Transactions!$A$2:$A54)=$A$1))*(iferror(month(Transactions!$A$2:$A54)=2))*(Transactions!$B$2:$B54="Div")*(Transactions!$C$2:$C54=$A22)*Transactions!$T$2:$T54))</f>
        <v>#N/A</v>
      </c>
      <c r="F22" s="178" t="str">
        <f>if(SUMPRODUCT(1*(iferror(year(Transactions!$A$2:$A54)=$A$1))*(iferror(month(Transactions!$A$2:$A54)=3))*(Transactions!$B$2:$B54="Div")*(Transactions!$C$2:$C54=$A22)*Transactions!$T$2:$T54)=0,,SUMPRODUCT(1*(iferror(year(Transactions!$A$2:$A54)=$A$1))*(iferror(month(Transactions!$A$2:$A54)=3))*(Transactions!$B$2:$B54="Div")*(Transactions!$C$2:$C54=$A22)*Transactions!$T$2:$T54))</f>
        <v>#N/A</v>
      </c>
      <c r="G22" s="178" t="str">
        <f>if(SUMPRODUCT(1*(iferror(year(Transactions!$A$2:$A54)=$A$1))*(iferror(month(Transactions!$A$2:$A54)=4))*(Transactions!$B$2:$B54="Div")*(Transactions!$C$2:$C54=$A22)*Transactions!$T$2:$T54)=0,,SUMPRODUCT(1*(iferror(year(Transactions!$A$2:$A54)=$A$1))*(iferror(month(Transactions!$A$2:$A54)=4))*(Transactions!$B$2:$B54="Div")*(Transactions!$C$2:$C54=$A22)*Transactions!$T$2:$T54))</f>
        <v>#N/A</v>
      </c>
      <c r="H22" s="178" t="str">
        <f>if(SUMPRODUCT(1*(iferror(year(Transactions!$A$2:$A54)=$A$1))*(iferror(month(Transactions!$A$2:$A54)=5))*(Transactions!$B$2:$B54="Div")*(Transactions!$C$2:$C54=$A22)*Transactions!$T$2:$T54)=0,,SUMPRODUCT(1*(iferror(year(Transactions!$A$2:$A54)=$A$1))*(iferror(month(Transactions!$A$2:$A54)=5))*(Transactions!$B$2:$B54="Div")*(Transactions!$C$2:$C54=$A22)*Transactions!$T$2:$T54))</f>
        <v>#N/A</v>
      </c>
      <c r="I22" s="178" t="str">
        <f>if(SUMPRODUCT(1*(iferror(year(Transactions!$A$2:$A54)=$A$1))*(iferror(month(Transactions!$A$2:$A54)=6))*(Transactions!$B$2:$B54="Div")*(Transactions!$C$2:$C54=$A22)*Transactions!$T$2:$T54)=0,,SUMPRODUCT(1*(iferror(year(Transactions!$A$2:$A54)=$A$1))*(iferror(month(Transactions!$A$2:$A54)=6))*(Transactions!$B$2:$B54="Div")*(Transactions!$C$2:$C54=$A22)*Transactions!$T$2:$T54))</f>
        <v>#N/A</v>
      </c>
      <c r="J22" s="178" t="str">
        <f>if(SUMPRODUCT(1*(iferror(year(Transactions!$A$2:$A54)=$A$1))*(iferror(month(Transactions!$A$2:$A54)=7))*(Transactions!$B$2:$B54="Div")*(Transactions!$C$2:$C54=$A22)*Transactions!$T$2:$T54)=0,,SUMPRODUCT(1*(iferror(year(Transactions!$A$2:$A54)=$A$1))*(iferror(month(Transactions!$A$2:$A54)=7))*(Transactions!$B$2:$B54="Div")*(Transactions!$C$2:$C54=$A22)*Transactions!$T$2:$T54))</f>
        <v>#N/A</v>
      </c>
      <c r="K22" s="178" t="str">
        <f>if(SUMPRODUCT(1*(iferror(year(Transactions!$A$2:$A54)=$A$1))*(iferror(month(Transactions!$A$2:$A54)=8))*(Transactions!$B$2:$B54="Div")*(Transactions!$C$2:$C54=$A22)*Transactions!$T$2:$T54)=0,,SUMPRODUCT(1*(iferror(year(Transactions!$A$2:$A54)=$A$1))*(iferror(month(Transactions!$A$2:$A54)=8))*(Transactions!$B$2:$B54="Div")*(Transactions!$C$2:$C54=$A22)*Transactions!$T$2:$T54))</f>
        <v>#N/A</v>
      </c>
      <c r="L22" s="178" t="str">
        <f>if(SUMPRODUCT(1*(iferror(year(Transactions!$A$2:$A54)=$A$1))*(iferror(month(Transactions!$A$2:$A54)=9))*(Transactions!$B$2:$B54="Div")*(Transactions!$C$2:$C54=$A22)*Transactions!$T$2:$T54)=0,,SUMPRODUCT(1*(iferror(year(Transactions!$A$2:$A54)=$A$1))*(iferror(month(Transactions!$A$2:$A54)=9))*(Transactions!$B$2:$B54="Div")*(Transactions!$C$2:$C54=$A22)*Transactions!$T$2:$T54))</f>
        <v>#N/A</v>
      </c>
      <c r="M22" s="178" t="str">
        <f>if(SUMPRODUCT(1*(iferror(year(Transactions!$A$2:$A54)=$A$1))*(iferror(month(Transactions!$A$2:$A54)=10))*(Transactions!$B$2:$B54="Div")*(Transactions!$C$2:$C54=$A22)*Transactions!$T$2:$T54)=0,,SUMPRODUCT(1*(iferror(year(Transactions!$A$2:$A54)=$A$1))*(iferror(month(Transactions!$A$2:$A54)=10))*(Transactions!$B$2:$B54="Div")*(Transactions!$C$2:$C54=$A22)*Transactions!$T$2:$T54))</f>
        <v>#N/A</v>
      </c>
      <c r="N22" s="178" t="str">
        <f>if(SUMPRODUCT(1*(iferror(year(Transactions!$A$2:$A54)=$A$1))*(iferror(month(Transactions!$A$2:$A54)=11))*(Transactions!$B$2:$B54="Div")*(Transactions!$C$2:$C54=$A22)*Transactions!$T$2:$T54)=0,,SUMPRODUCT(1*(iferror(year(Transactions!$A$2:$A54)=$A$1))*(iferror(month(Transactions!$A$2:$A54)=11))*(Transactions!$B$2:$B54="Div")*(Transactions!$C$2:$C54=$A22)*Transactions!$T$2:$T54))</f>
        <v>#N/A</v>
      </c>
      <c r="O22" s="178" t="str">
        <f>if(SUMPRODUCT(1*(iferror(year(Transactions!$A$2:$A54)=$A$1))*(iferror(month(Transactions!$A$2:$A54)=12))*(Transactions!$B$2:$B54="Div")*(Transactions!$C$2:$C54=$A22)*Transactions!$T$2:$T54)=0,,SUMPRODUCT(1*(iferror(year(Transactions!$A$2:$A54)=$A$1))*(iferror(month(Transactions!$A$2:$A54)=12))*(Transactions!$B$2:$B54="Div")*(Transactions!$C$2:$C54=$A22)*Transactions!$T$2:$T54))</f>
        <v>#N/A</v>
      </c>
      <c r="P22" s="179"/>
    </row>
    <row r="23">
      <c r="A23" s="45" t="str">
        <f t="shared" si="2"/>
        <v/>
      </c>
      <c r="B23" s="181"/>
      <c r="C23" s="177"/>
      <c r="D23" s="178" t="str">
        <f>if(SUMPRODUCT(1*(iferror(year(Transactions!$A$2:$A54)=$A$1))*(iferror(month(Transactions!$A$2:$A54)=1))*(Transactions!$B$2:$B54="Div")*(Transactions!$C$2:$C54=$A23)*Transactions!$T$2:$T54)=0,,SUMPRODUCT(1*(iferror(year(Transactions!$A$2:$A54)=$A$1))*(iferror(month(Transactions!$A$2:$A54)=1))*(Transactions!$B$2:$B54="Div")*(Transactions!$C$2:$C54=$A23)*Transactions!$T$2:$T54))</f>
        <v>#N/A</v>
      </c>
      <c r="E23" s="178" t="str">
        <f>if(SUMPRODUCT(1*(iferror(year(Transactions!$A$2:$A54)=$A$1))*(iferror(month(Transactions!$A$2:$A54)=2))*(Transactions!$B$2:$B54="Div")*(Transactions!$C$2:$C54=$A23)*Transactions!$T$2:$T54)=0,,SUMPRODUCT(1*(iferror(year(Transactions!$A$2:$A54)=$A$1))*(iferror(month(Transactions!$A$2:$A54)=2))*(Transactions!$B$2:$B54="Div")*(Transactions!$C$2:$C54=$A23)*Transactions!$T$2:$T54))</f>
        <v>#N/A</v>
      </c>
      <c r="F23" s="178" t="str">
        <f>if(SUMPRODUCT(1*(iferror(year(Transactions!$A$2:$A54)=$A$1))*(iferror(month(Transactions!$A$2:$A54)=3))*(Transactions!$B$2:$B54="Div")*(Transactions!$C$2:$C54=$A23)*Transactions!$T$2:$T54)=0,,SUMPRODUCT(1*(iferror(year(Transactions!$A$2:$A54)=$A$1))*(iferror(month(Transactions!$A$2:$A54)=3))*(Transactions!$B$2:$B54="Div")*(Transactions!$C$2:$C54=$A23)*Transactions!$T$2:$T54))</f>
        <v>#N/A</v>
      </c>
      <c r="G23" s="178" t="str">
        <f>if(SUMPRODUCT(1*(iferror(year(Transactions!$A$2:$A54)=$A$1))*(iferror(month(Transactions!$A$2:$A54)=4))*(Transactions!$B$2:$B54="Div")*(Transactions!$C$2:$C54=$A23)*Transactions!$T$2:$T54)=0,,SUMPRODUCT(1*(iferror(year(Transactions!$A$2:$A54)=$A$1))*(iferror(month(Transactions!$A$2:$A54)=4))*(Transactions!$B$2:$B54="Div")*(Transactions!$C$2:$C54=$A23)*Transactions!$T$2:$T54))</f>
        <v>#N/A</v>
      </c>
      <c r="H23" s="178" t="str">
        <f>if(SUMPRODUCT(1*(iferror(year(Transactions!$A$2:$A54)=$A$1))*(iferror(month(Transactions!$A$2:$A54)=5))*(Transactions!$B$2:$B54="Div")*(Transactions!$C$2:$C54=$A23)*Transactions!$T$2:$T54)=0,,SUMPRODUCT(1*(iferror(year(Transactions!$A$2:$A54)=$A$1))*(iferror(month(Transactions!$A$2:$A54)=5))*(Transactions!$B$2:$B54="Div")*(Transactions!$C$2:$C54=$A23)*Transactions!$T$2:$T54))</f>
        <v>#N/A</v>
      </c>
      <c r="I23" s="178" t="str">
        <f>if(SUMPRODUCT(1*(iferror(year(Transactions!$A$2:$A54)=$A$1))*(iferror(month(Transactions!$A$2:$A54)=6))*(Transactions!$B$2:$B54="Div")*(Transactions!$C$2:$C54=$A23)*Transactions!$T$2:$T54)=0,,SUMPRODUCT(1*(iferror(year(Transactions!$A$2:$A54)=$A$1))*(iferror(month(Transactions!$A$2:$A54)=6))*(Transactions!$B$2:$B54="Div")*(Transactions!$C$2:$C54=$A23)*Transactions!$T$2:$T54))</f>
        <v>#N/A</v>
      </c>
      <c r="J23" s="178" t="str">
        <f>if(SUMPRODUCT(1*(iferror(year(Transactions!$A$2:$A54)=$A$1))*(iferror(month(Transactions!$A$2:$A54)=7))*(Transactions!$B$2:$B54="Div")*(Transactions!$C$2:$C54=$A23)*Transactions!$T$2:$T54)=0,,SUMPRODUCT(1*(iferror(year(Transactions!$A$2:$A54)=$A$1))*(iferror(month(Transactions!$A$2:$A54)=7))*(Transactions!$B$2:$B54="Div")*(Transactions!$C$2:$C54=$A23)*Transactions!$T$2:$T54))</f>
        <v>#N/A</v>
      </c>
      <c r="K23" s="178" t="str">
        <f>if(SUMPRODUCT(1*(iferror(year(Transactions!$A$2:$A54)=$A$1))*(iferror(month(Transactions!$A$2:$A54)=8))*(Transactions!$B$2:$B54="Div")*(Transactions!$C$2:$C54=$A23)*Transactions!$T$2:$T54)=0,,SUMPRODUCT(1*(iferror(year(Transactions!$A$2:$A54)=$A$1))*(iferror(month(Transactions!$A$2:$A54)=8))*(Transactions!$B$2:$B54="Div")*(Transactions!$C$2:$C54=$A23)*Transactions!$T$2:$T54))</f>
        <v>#N/A</v>
      </c>
      <c r="L23" s="178" t="str">
        <f>if(SUMPRODUCT(1*(iferror(year(Transactions!$A$2:$A54)=$A$1))*(iferror(month(Transactions!$A$2:$A54)=9))*(Transactions!$B$2:$B54="Div")*(Transactions!$C$2:$C54=$A23)*Transactions!$T$2:$T54)=0,,SUMPRODUCT(1*(iferror(year(Transactions!$A$2:$A54)=$A$1))*(iferror(month(Transactions!$A$2:$A54)=9))*(Transactions!$B$2:$B54="Div")*(Transactions!$C$2:$C54=$A23)*Transactions!$T$2:$T54))</f>
        <v>#N/A</v>
      </c>
      <c r="M23" s="178" t="str">
        <f>if(SUMPRODUCT(1*(iferror(year(Transactions!$A$2:$A54)=$A$1))*(iferror(month(Transactions!$A$2:$A54)=10))*(Transactions!$B$2:$B54="Div")*(Transactions!$C$2:$C54=$A23)*Transactions!$T$2:$T54)=0,,SUMPRODUCT(1*(iferror(year(Transactions!$A$2:$A54)=$A$1))*(iferror(month(Transactions!$A$2:$A54)=10))*(Transactions!$B$2:$B54="Div")*(Transactions!$C$2:$C54=$A23)*Transactions!$T$2:$T54))</f>
        <v>#N/A</v>
      </c>
      <c r="N23" s="178" t="str">
        <f>if(SUMPRODUCT(1*(iferror(year(Transactions!$A$2:$A54)=$A$1))*(iferror(month(Transactions!$A$2:$A54)=11))*(Transactions!$B$2:$B54="Div")*(Transactions!$C$2:$C54=$A23)*Transactions!$T$2:$T54)=0,,SUMPRODUCT(1*(iferror(year(Transactions!$A$2:$A54)=$A$1))*(iferror(month(Transactions!$A$2:$A54)=11))*(Transactions!$B$2:$B54="Div")*(Transactions!$C$2:$C54=$A23)*Transactions!$T$2:$T54))</f>
        <v>#N/A</v>
      </c>
      <c r="O23" s="178" t="str">
        <f>if(SUMPRODUCT(1*(iferror(year(Transactions!$A$2:$A54)=$A$1))*(iferror(month(Transactions!$A$2:$A54)=12))*(Transactions!$B$2:$B54="Div")*(Transactions!$C$2:$C54=$A23)*Transactions!$T$2:$T54)=0,,SUMPRODUCT(1*(iferror(year(Transactions!$A$2:$A54)=$A$1))*(iferror(month(Transactions!$A$2:$A54)=12))*(Transactions!$B$2:$B54="Div")*(Transactions!$C$2:$C54=$A23)*Transactions!$T$2:$T54))</f>
        <v>#N/A</v>
      </c>
      <c r="P23" s="179"/>
    </row>
    <row r="24">
      <c r="A24" s="45" t="str">
        <f t="shared" si="2"/>
        <v/>
      </c>
      <c r="B24" s="181"/>
      <c r="C24" s="177"/>
      <c r="D24" s="178" t="str">
        <f>if(SUMPRODUCT(1*(iferror(year(Transactions!$A$2:$A54)=$A$1))*(iferror(month(Transactions!$A$2:$A54)=1))*(Transactions!$B$2:$B54="Div")*(Transactions!$C$2:$C54=$A24)*Transactions!$T$2:$T54)=0,,SUMPRODUCT(1*(iferror(year(Transactions!$A$2:$A54)=$A$1))*(iferror(month(Transactions!$A$2:$A54)=1))*(Transactions!$B$2:$B54="Div")*(Transactions!$C$2:$C54=$A24)*Transactions!$T$2:$T54))</f>
        <v>#N/A</v>
      </c>
      <c r="E24" s="178" t="str">
        <f>if(SUMPRODUCT(1*(iferror(year(Transactions!$A$2:$A54)=$A$1))*(iferror(month(Transactions!$A$2:$A54)=2))*(Transactions!$B$2:$B54="Div")*(Transactions!$C$2:$C54=$A24)*Transactions!$T$2:$T54)=0,,SUMPRODUCT(1*(iferror(year(Transactions!$A$2:$A54)=$A$1))*(iferror(month(Transactions!$A$2:$A54)=2))*(Transactions!$B$2:$B54="Div")*(Transactions!$C$2:$C54=$A24)*Transactions!$T$2:$T54))</f>
        <v>#N/A</v>
      </c>
      <c r="F24" s="178" t="str">
        <f>if(SUMPRODUCT(1*(iferror(year(Transactions!$A$2:$A54)=$A$1))*(iferror(month(Transactions!$A$2:$A54)=3))*(Transactions!$B$2:$B54="Div")*(Transactions!$C$2:$C54=$A24)*Transactions!$T$2:$T54)=0,,SUMPRODUCT(1*(iferror(year(Transactions!$A$2:$A54)=$A$1))*(iferror(month(Transactions!$A$2:$A54)=3))*(Transactions!$B$2:$B54="Div")*(Transactions!$C$2:$C54=$A24)*Transactions!$T$2:$T54))</f>
        <v>#N/A</v>
      </c>
      <c r="G24" s="178" t="str">
        <f>if(SUMPRODUCT(1*(iferror(year(Transactions!$A$2:$A54)=$A$1))*(iferror(month(Transactions!$A$2:$A54)=4))*(Transactions!$B$2:$B54="Div")*(Transactions!$C$2:$C54=$A24)*Transactions!$T$2:$T54)=0,,SUMPRODUCT(1*(iferror(year(Transactions!$A$2:$A54)=$A$1))*(iferror(month(Transactions!$A$2:$A54)=4))*(Transactions!$B$2:$B54="Div")*(Transactions!$C$2:$C54=$A24)*Transactions!$T$2:$T54))</f>
        <v>#N/A</v>
      </c>
      <c r="H24" s="178" t="str">
        <f>if(SUMPRODUCT(1*(iferror(year(Transactions!$A$2:$A54)=$A$1))*(iferror(month(Transactions!$A$2:$A54)=5))*(Transactions!$B$2:$B54="Div")*(Transactions!$C$2:$C54=$A24)*Transactions!$T$2:$T54)=0,,SUMPRODUCT(1*(iferror(year(Transactions!$A$2:$A54)=$A$1))*(iferror(month(Transactions!$A$2:$A54)=5))*(Transactions!$B$2:$B54="Div")*(Transactions!$C$2:$C54=$A24)*Transactions!$T$2:$T54))</f>
        <v>#N/A</v>
      </c>
      <c r="I24" s="178" t="str">
        <f>if(SUMPRODUCT(1*(iferror(year(Transactions!$A$2:$A54)=$A$1))*(iferror(month(Transactions!$A$2:$A54)=6))*(Transactions!$B$2:$B54="Div")*(Transactions!$C$2:$C54=$A24)*Transactions!$T$2:$T54)=0,,SUMPRODUCT(1*(iferror(year(Transactions!$A$2:$A54)=$A$1))*(iferror(month(Transactions!$A$2:$A54)=6))*(Transactions!$B$2:$B54="Div")*(Transactions!$C$2:$C54=$A24)*Transactions!$T$2:$T54))</f>
        <v>#N/A</v>
      </c>
      <c r="J24" s="178" t="str">
        <f>if(SUMPRODUCT(1*(iferror(year(Transactions!$A$2:$A54)=$A$1))*(iferror(month(Transactions!$A$2:$A54)=7))*(Transactions!$B$2:$B54="Div")*(Transactions!$C$2:$C54=$A24)*Transactions!$T$2:$T54)=0,,SUMPRODUCT(1*(iferror(year(Transactions!$A$2:$A54)=$A$1))*(iferror(month(Transactions!$A$2:$A54)=7))*(Transactions!$B$2:$B54="Div")*(Transactions!$C$2:$C54=$A24)*Transactions!$T$2:$T54))</f>
        <v>#N/A</v>
      </c>
      <c r="K24" s="178" t="str">
        <f>if(SUMPRODUCT(1*(iferror(year(Transactions!$A$2:$A54)=$A$1))*(iferror(month(Transactions!$A$2:$A54)=8))*(Transactions!$B$2:$B54="Div")*(Transactions!$C$2:$C54=$A24)*Transactions!$T$2:$T54)=0,,SUMPRODUCT(1*(iferror(year(Transactions!$A$2:$A54)=$A$1))*(iferror(month(Transactions!$A$2:$A54)=8))*(Transactions!$B$2:$B54="Div")*(Transactions!$C$2:$C54=$A24)*Transactions!$T$2:$T54))</f>
        <v>#N/A</v>
      </c>
      <c r="L24" s="178" t="str">
        <f>if(SUMPRODUCT(1*(iferror(year(Transactions!$A$2:$A54)=$A$1))*(iferror(month(Transactions!$A$2:$A54)=9))*(Transactions!$B$2:$B54="Div")*(Transactions!$C$2:$C54=$A24)*Transactions!$T$2:$T54)=0,,SUMPRODUCT(1*(iferror(year(Transactions!$A$2:$A54)=$A$1))*(iferror(month(Transactions!$A$2:$A54)=9))*(Transactions!$B$2:$B54="Div")*(Transactions!$C$2:$C54=$A24)*Transactions!$T$2:$T54))</f>
        <v>#N/A</v>
      </c>
      <c r="M24" s="178" t="str">
        <f>if(SUMPRODUCT(1*(iferror(year(Transactions!$A$2:$A54)=$A$1))*(iferror(month(Transactions!$A$2:$A54)=10))*(Transactions!$B$2:$B54="Div")*(Transactions!$C$2:$C54=$A24)*Transactions!$T$2:$T54)=0,,SUMPRODUCT(1*(iferror(year(Transactions!$A$2:$A54)=$A$1))*(iferror(month(Transactions!$A$2:$A54)=10))*(Transactions!$B$2:$B54="Div")*(Transactions!$C$2:$C54=$A24)*Transactions!$T$2:$T54))</f>
        <v>#N/A</v>
      </c>
      <c r="N24" s="178" t="str">
        <f>if(SUMPRODUCT(1*(iferror(year(Transactions!$A$2:$A54)=$A$1))*(iferror(month(Transactions!$A$2:$A54)=11))*(Transactions!$B$2:$B54="Div")*(Transactions!$C$2:$C54=$A24)*Transactions!$T$2:$T54)=0,,SUMPRODUCT(1*(iferror(year(Transactions!$A$2:$A54)=$A$1))*(iferror(month(Transactions!$A$2:$A54)=11))*(Transactions!$B$2:$B54="Div")*(Transactions!$C$2:$C54=$A24)*Transactions!$T$2:$T54))</f>
        <v>#N/A</v>
      </c>
      <c r="O24" s="178" t="str">
        <f>if(SUMPRODUCT(1*(iferror(year(Transactions!$A$2:$A54)=$A$1))*(iferror(month(Transactions!$A$2:$A54)=12))*(Transactions!$B$2:$B54="Div")*(Transactions!$C$2:$C54=$A24)*Transactions!$T$2:$T54)=0,,SUMPRODUCT(1*(iferror(year(Transactions!$A$2:$A54)=$A$1))*(iferror(month(Transactions!$A$2:$A54)=12))*(Transactions!$B$2:$B54="Div")*(Transactions!$C$2:$C54=$A24)*Transactions!$T$2:$T54))</f>
        <v>#N/A</v>
      </c>
      <c r="P24" s="179"/>
    </row>
    <row r="25">
      <c r="A25" s="45" t="str">
        <f t="shared" si="2"/>
        <v/>
      </c>
      <c r="B25" s="181"/>
      <c r="C25" s="177"/>
      <c r="D25" s="178" t="str">
        <f>if(SUMPRODUCT(1*(iferror(year(Transactions!$A$2:$A54)=$A$1))*(iferror(month(Transactions!$A$2:$A54)=1))*(Transactions!$B$2:$B54="Div")*(Transactions!$C$2:$C54=$A25)*Transactions!$T$2:$T54)=0,,SUMPRODUCT(1*(iferror(year(Transactions!$A$2:$A54)=$A$1))*(iferror(month(Transactions!$A$2:$A54)=1))*(Transactions!$B$2:$B54="Div")*(Transactions!$C$2:$C54=$A25)*Transactions!$T$2:$T54))</f>
        <v>#N/A</v>
      </c>
      <c r="E25" s="178" t="str">
        <f>if(SUMPRODUCT(1*(iferror(year(Transactions!$A$2:$A54)=$A$1))*(iferror(month(Transactions!$A$2:$A54)=2))*(Transactions!$B$2:$B54="Div")*(Transactions!$C$2:$C54=$A25)*Transactions!$T$2:$T54)=0,,SUMPRODUCT(1*(iferror(year(Transactions!$A$2:$A54)=$A$1))*(iferror(month(Transactions!$A$2:$A54)=2))*(Transactions!$B$2:$B54="Div")*(Transactions!$C$2:$C54=$A25)*Transactions!$T$2:$T54))</f>
        <v>#N/A</v>
      </c>
      <c r="F25" s="178" t="str">
        <f>if(SUMPRODUCT(1*(iferror(year(Transactions!$A$2:$A54)=$A$1))*(iferror(month(Transactions!$A$2:$A54)=3))*(Transactions!$B$2:$B54="Div")*(Transactions!$C$2:$C54=$A25)*Transactions!$T$2:$T54)=0,,SUMPRODUCT(1*(iferror(year(Transactions!$A$2:$A54)=$A$1))*(iferror(month(Transactions!$A$2:$A54)=3))*(Transactions!$B$2:$B54="Div")*(Transactions!$C$2:$C54=$A25)*Transactions!$T$2:$T54))</f>
        <v>#N/A</v>
      </c>
      <c r="G25" s="178" t="str">
        <f>if(SUMPRODUCT(1*(iferror(year(Transactions!$A$2:$A54)=$A$1))*(iferror(month(Transactions!$A$2:$A54)=4))*(Transactions!$B$2:$B54="Div")*(Transactions!$C$2:$C54=$A25)*Transactions!$T$2:$T54)=0,,SUMPRODUCT(1*(iferror(year(Transactions!$A$2:$A54)=$A$1))*(iferror(month(Transactions!$A$2:$A54)=4))*(Transactions!$B$2:$B54="Div")*(Transactions!$C$2:$C54=$A25)*Transactions!$T$2:$T54))</f>
        <v>#N/A</v>
      </c>
      <c r="H25" s="178" t="str">
        <f>if(SUMPRODUCT(1*(iferror(year(Transactions!$A$2:$A54)=$A$1))*(iferror(month(Transactions!$A$2:$A54)=5))*(Transactions!$B$2:$B54="Div")*(Transactions!$C$2:$C54=$A25)*Transactions!$T$2:$T54)=0,,SUMPRODUCT(1*(iferror(year(Transactions!$A$2:$A54)=$A$1))*(iferror(month(Transactions!$A$2:$A54)=5))*(Transactions!$B$2:$B54="Div")*(Transactions!$C$2:$C54=$A25)*Transactions!$T$2:$T54))</f>
        <v>#N/A</v>
      </c>
      <c r="I25" s="178" t="str">
        <f>if(SUMPRODUCT(1*(iferror(year(Transactions!$A$2:$A54)=$A$1))*(iferror(month(Transactions!$A$2:$A54)=6))*(Transactions!$B$2:$B54="Div")*(Transactions!$C$2:$C54=$A25)*Transactions!$T$2:$T54)=0,,SUMPRODUCT(1*(iferror(year(Transactions!$A$2:$A54)=$A$1))*(iferror(month(Transactions!$A$2:$A54)=6))*(Transactions!$B$2:$B54="Div")*(Transactions!$C$2:$C54=$A25)*Transactions!$T$2:$T54))</f>
        <v>#N/A</v>
      </c>
      <c r="J25" s="178" t="str">
        <f>if(SUMPRODUCT(1*(iferror(year(Transactions!$A$2:$A54)=$A$1))*(iferror(month(Transactions!$A$2:$A54)=7))*(Transactions!$B$2:$B54="Div")*(Transactions!$C$2:$C54=$A25)*Transactions!$T$2:$T54)=0,,SUMPRODUCT(1*(iferror(year(Transactions!$A$2:$A54)=$A$1))*(iferror(month(Transactions!$A$2:$A54)=7))*(Transactions!$B$2:$B54="Div")*(Transactions!$C$2:$C54=$A25)*Transactions!$T$2:$T54))</f>
        <v>#N/A</v>
      </c>
      <c r="K25" s="178" t="str">
        <f>if(SUMPRODUCT(1*(iferror(year(Transactions!$A$2:$A54)=$A$1))*(iferror(month(Transactions!$A$2:$A54)=8))*(Transactions!$B$2:$B54="Div")*(Transactions!$C$2:$C54=$A25)*Transactions!$T$2:$T54)=0,,SUMPRODUCT(1*(iferror(year(Transactions!$A$2:$A54)=$A$1))*(iferror(month(Transactions!$A$2:$A54)=8))*(Transactions!$B$2:$B54="Div")*(Transactions!$C$2:$C54=$A25)*Transactions!$T$2:$T54))</f>
        <v>#N/A</v>
      </c>
      <c r="L25" s="178" t="str">
        <f>if(SUMPRODUCT(1*(iferror(year(Transactions!$A$2:$A54)=$A$1))*(iferror(month(Transactions!$A$2:$A54)=9))*(Transactions!$B$2:$B54="Div")*(Transactions!$C$2:$C54=$A25)*Transactions!$T$2:$T54)=0,,SUMPRODUCT(1*(iferror(year(Transactions!$A$2:$A54)=$A$1))*(iferror(month(Transactions!$A$2:$A54)=9))*(Transactions!$B$2:$B54="Div")*(Transactions!$C$2:$C54=$A25)*Transactions!$T$2:$T54))</f>
        <v>#N/A</v>
      </c>
      <c r="M25" s="178" t="str">
        <f>if(SUMPRODUCT(1*(iferror(year(Transactions!$A$2:$A54)=$A$1))*(iferror(month(Transactions!$A$2:$A54)=10))*(Transactions!$B$2:$B54="Div")*(Transactions!$C$2:$C54=$A25)*Transactions!$T$2:$T54)=0,,SUMPRODUCT(1*(iferror(year(Transactions!$A$2:$A54)=$A$1))*(iferror(month(Transactions!$A$2:$A54)=10))*(Transactions!$B$2:$B54="Div")*(Transactions!$C$2:$C54=$A25)*Transactions!$T$2:$T54))</f>
        <v>#N/A</v>
      </c>
      <c r="N25" s="178" t="str">
        <f>if(SUMPRODUCT(1*(iferror(year(Transactions!$A$2:$A54)=$A$1))*(iferror(month(Transactions!$A$2:$A54)=11))*(Transactions!$B$2:$B54="Div")*(Transactions!$C$2:$C54=$A25)*Transactions!$T$2:$T54)=0,,SUMPRODUCT(1*(iferror(year(Transactions!$A$2:$A54)=$A$1))*(iferror(month(Transactions!$A$2:$A54)=11))*(Transactions!$B$2:$B54="Div")*(Transactions!$C$2:$C54=$A25)*Transactions!$T$2:$T54))</f>
        <v>#N/A</v>
      </c>
      <c r="O25" s="178" t="str">
        <f>if(SUMPRODUCT(1*(iferror(year(Transactions!$A$2:$A54)=$A$1))*(iferror(month(Transactions!$A$2:$A54)=12))*(Transactions!$B$2:$B54="Div")*(Transactions!$C$2:$C54=$A25)*Transactions!$T$2:$T54)=0,,SUMPRODUCT(1*(iferror(year(Transactions!$A$2:$A54)=$A$1))*(iferror(month(Transactions!$A$2:$A54)=12))*(Transactions!$B$2:$B54="Div")*(Transactions!$C$2:$C54=$A25)*Transactions!$T$2:$T54))</f>
        <v>#N/A</v>
      </c>
      <c r="P25" s="179"/>
    </row>
    <row r="26">
      <c r="A26" s="45" t="str">
        <f t="shared" si="2"/>
        <v/>
      </c>
      <c r="B26" s="181"/>
      <c r="C26" s="177"/>
      <c r="D26" s="178" t="str">
        <f>if(SUMPRODUCT(1*(iferror(year(Transactions!$A$2:$A54)=$A$1))*(iferror(month(Transactions!$A$2:$A54)=1))*(Transactions!$B$2:$B54="Div")*(Transactions!$C$2:$C54=$A26)*Transactions!$T$2:$T54)=0,,SUMPRODUCT(1*(iferror(year(Transactions!$A$2:$A54)=$A$1))*(iferror(month(Transactions!$A$2:$A54)=1))*(Transactions!$B$2:$B54="Div")*(Transactions!$C$2:$C54=$A26)*Transactions!$T$2:$T54))</f>
        <v>#N/A</v>
      </c>
      <c r="E26" s="178" t="str">
        <f>if(SUMPRODUCT(1*(iferror(year(Transactions!$A$2:$A54)=$A$1))*(iferror(month(Transactions!$A$2:$A54)=2))*(Transactions!$B$2:$B54="Div")*(Transactions!$C$2:$C54=$A26)*Transactions!$T$2:$T54)=0,,SUMPRODUCT(1*(iferror(year(Transactions!$A$2:$A54)=$A$1))*(iferror(month(Transactions!$A$2:$A54)=2))*(Transactions!$B$2:$B54="Div")*(Transactions!$C$2:$C54=$A26)*Transactions!$T$2:$T54))</f>
        <v>#N/A</v>
      </c>
      <c r="F26" s="178" t="str">
        <f>if(SUMPRODUCT(1*(iferror(year(Transactions!$A$2:$A54)=$A$1))*(iferror(month(Transactions!$A$2:$A54)=3))*(Transactions!$B$2:$B54="Div")*(Transactions!$C$2:$C54=$A26)*Transactions!$T$2:$T54)=0,,SUMPRODUCT(1*(iferror(year(Transactions!$A$2:$A54)=$A$1))*(iferror(month(Transactions!$A$2:$A54)=3))*(Transactions!$B$2:$B54="Div")*(Transactions!$C$2:$C54=$A26)*Transactions!$T$2:$T54))</f>
        <v>#N/A</v>
      </c>
      <c r="G26" s="178" t="str">
        <f>if(SUMPRODUCT(1*(iferror(year(Transactions!$A$2:$A54)=$A$1))*(iferror(month(Transactions!$A$2:$A54)=4))*(Transactions!$B$2:$B54="Div")*(Transactions!$C$2:$C54=$A26)*Transactions!$T$2:$T54)=0,,SUMPRODUCT(1*(iferror(year(Transactions!$A$2:$A54)=$A$1))*(iferror(month(Transactions!$A$2:$A54)=4))*(Transactions!$B$2:$B54="Div")*(Transactions!$C$2:$C54=$A26)*Transactions!$T$2:$T54))</f>
        <v>#N/A</v>
      </c>
      <c r="H26" s="178" t="str">
        <f>if(SUMPRODUCT(1*(iferror(year(Transactions!$A$2:$A54)=$A$1))*(iferror(month(Transactions!$A$2:$A54)=5))*(Transactions!$B$2:$B54="Div")*(Transactions!$C$2:$C54=$A26)*Transactions!$T$2:$T54)=0,,SUMPRODUCT(1*(iferror(year(Transactions!$A$2:$A54)=$A$1))*(iferror(month(Transactions!$A$2:$A54)=5))*(Transactions!$B$2:$B54="Div")*(Transactions!$C$2:$C54=$A26)*Transactions!$T$2:$T54))</f>
        <v>#N/A</v>
      </c>
      <c r="I26" s="178" t="str">
        <f>if(SUMPRODUCT(1*(iferror(year(Transactions!$A$2:$A54)=$A$1))*(iferror(month(Transactions!$A$2:$A54)=6))*(Transactions!$B$2:$B54="Div")*(Transactions!$C$2:$C54=$A26)*Transactions!$T$2:$T54)=0,,SUMPRODUCT(1*(iferror(year(Transactions!$A$2:$A54)=$A$1))*(iferror(month(Transactions!$A$2:$A54)=6))*(Transactions!$B$2:$B54="Div")*(Transactions!$C$2:$C54=$A26)*Transactions!$T$2:$T54))</f>
        <v>#N/A</v>
      </c>
      <c r="J26" s="178" t="str">
        <f>if(SUMPRODUCT(1*(iferror(year(Transactions!$A$2:$A54)=$A$1))*(iferror(month(Transactions!$A$2:$A54)=7))*(Transactions!$B$2:$B54="Div")*(Transactions!$C$2:$C54=$A26)*Transactions!$T$2:$T54)=0,,SUMPRODUCT(1*(iferror(year(Transactions!$A$2:$A54)=$A$1))*(iferror(month(Transactions!$A$2:$A54)=7))*(Transactions!$B$2:$B54="Div")*(Transactions!$C$2:$C54=$A26)*Transactions!$T$2:$T54))</f>
        <v>#N/A</v>
      </c>
      <c r="K26" s="178" t="str">
        <f>if(SUMPRODUCT(1*(iferror(year(Transactions!$A$2:$A54)=$A$1))*(iferror(month(Transactions!$A$2:$A54)=8))*(Transactions!$B$2:$B54="Div")*(Transactions!$C$2:$C54=$A26)*Transactions!$T$2:$T54)=0,,SUMPRODUCT(1*(iferror(year(Transactions!$A$2:$A54)=$A$1))*(iferror(month(Transactions!$A$2:$A54)=8))*(Transactions!$B$2:$B54="Div")*(Transactions!$C$2:$C54=$A26)*Transactions!$T$2:$T54))</f>
        <v>#N/A</v>
      </c>
      <c r="L26" s="178" t="str">
        <f>if(SUMPRODUCT(1*(iferror(year(Transactions!$A$2:$A54)=$A$1))*(iferror(month(Transactions!$A$2:$A54)=9))*(Transactions!$B$2:$B54="Div")*(Transactions!$C$2:$C54=$A26)*Transactions!$T$2:$T54)=0,,SUMPRODUCT(1*(iferror(year(Transactions!$A$2:$A54)=$A$1))*(iferror(month(Transactions!$A$2:$A54)=9))*(Transactions!$B$2:$B54="Div")*(Transactions!$C$2:$C54=$A26)*Transactions!$T$2:$T54))</f>
        <v>#N/A</v>
      </c>
      <c r="M26" s="178" t="str">
        <f>if(SUMPRODUCT(1*(iferror(year(Transactions!$A$2:$A54)=$A$1))*(iferror(month(Transactions!$A$2:$A54)=10))*(Transactions!$B$2:$B54="Div")*(Transactions!$C$2:$C54=$A26)*Transactions!$T$2:$T54)=0,,SUMPRODUCT(1*(iferror(year(Transactions!$A$2:$A54)=$A$1))*(iferror(month(Transactions!$A$2:$A54)=10))*(Transactions!$B$2:$B54="Div")*(Transactions!$C$2:$C54=$A26)*Transactions!$T$2:$T54))</f>
        <v>#N/A</v>
      </c>
      <c r="N26" s="178" t="str">
        <f>if(SUMPRODUCT(1*(iferror(year(Transactions!$A$2:$A54)=$A$1))*(iferror(month(Transactions!$A$2:$A54)=11))*(Transactions!$B$2:$B54="Div")*(Transactions!$C$2:$C54=$A26)*Transactions!$T$2:$T54)=0,,SUMPRODUCT(1*(iferror(year(Transactions!$A$2:$A54)=$A$1))*(iferror(month(Transactions!$A$2:$A54)=11))*(Transactions!$B$2:$B54="Div")*(Transactions!$C$2:$C54=$A26)*Transactions!$T$2:$T54))</f>
        <v>#N/A</v>
      </c>
      <c r="O26" s="178" t="str">
        <f>if(SUMPRODUCT(1*(iferror(year(Transactions!$A$2:$A54)=$A$1))*(iferror(month(Transactions!$A$2:$A54)=12))*(Transactions!$B$2:$B54="Div")*(Transactions!$C$2:$C54=$A26)*Transactions!$T$2:$T54)=0,,SUMPRODUCT(1*(iferror(year(Transactions!$A$2:$A54)=$A$1))*(iferror(month(Transactions!$A$2:$A54)=12))*(Transactions!$B$2:$B54="Div")*(Transactions!$C$2:$C54=$A26)*Transactions!$T$2:$T54))</f>
        <v>#N/A</v>
      </c>
      <c r="P26" s="179"/>
    </row>
    <row r="27">
      <c r="A27" s="45" t="str">
        <f t="shared" si="2"/>
        <v/>
      </c>
      <c r="B27" s="181"/>
      <c r="C27" s="177"/>
      <c r="D27" s="178" t="str">
        <f>if(SUMPRODUCT(1*(iferror(year(Transactions!$A$2:$A54)=$A$1))*(iferror(month(Transactions!$A$2:$A54)=1))*(Transactions!$B$2:$B54="Div")*(Transactions!$C$2:$C54=$A27)*Transactions!$T$2:$T54)=0,,SUMPRODUCT(1*(iferror(year(Transactions!$A$2:$A54)=$A$1))*(iferror(month(Transactions!$A$2:$A54)=1))*(Transactions!$B$2:$B54="Div")*(Transactions!$C$2:$C54=$A27)*Transactions!$T$2:$T54))</f>
        <v>#N/A</v>
      </c>
      <c r="E27" s="178" t="str">
        <f>if(SUMPRODUCT(1*(iferror(year(Transactions!$A$2:$A54)=$A$1))*(iferror(month(Transactions!$A$2:$A54)=2))*(Transactions!$B$2:$B54="Div")*(Transactions!$C$2:$C54=$A27)*Transactions!$T$2:$T54)=0,,SUMPRODUCT(1*(iferror(year(Transactions!$A$2:$A54)=$A$1))*(iferror(month(Transactions!$A$2:$A54)=2))*(Transactions!$B$2:$B54="Div")*(Transactions!$C$2:$C54=$A27)*Transactions!$T$2:$T54))</f>
        <v>#N/A</v>
      </c>
      <c r="F27" s="178" t="str">
        <f>if(SUMPRODUCT(1*(iferror(year(Transactions!$A$2:$A54)=$A$1))*(iferror(month(Transactions!$A$2:$A54)=3))*(Transactions!$B$2:$B54="Div")*(Transactions!$C$2:$C54=$A27)*Transactions!$T$2:$T54)=0,,SUMPRODUCT(1*(iferror(year(Transactions!$A$2:$A54)=$A$1))*(iferror(month(Transactions!$A$2:$A54)=3))*(Transactions!$B$2:$B54="Div")*(Transactions!$C$2:$C54=$A27)*Transactions!$T$2:$T54))</f>
        <v>#N/A</v>
      </c>
      <c r="G27" s="178" t="str">
        <f>if(SUMPRODUCT(1*(iferror(year(Transactions!$A$2:$A54)=$A$1))*(iferror(month(Transactions!$A$2:$A54)=4))*(Transactions!$B$2:$B54="Div")*(Transactions!$C$2:$C54=$A27)*Transactions!$T$2:$T54)=0,,SUMPRODUCT(1*(iferror(year(Transactions!$A$2:$A54)=$A$1))*(iferror(month(Transactions!$A$2:$A54)=4))*(Transactions!$B$2:$B54="Div")*(Transactions!$C$2:$C54=$A27)*Transactions!$T$2:$T54))</f>
        <v>#N/A</v>
      </c>
      <c r="H27" s="178" t="str">
        <f>if(SUMPRODUCT(1*(iferror(year(Transactions!$A$2:$A54)=$A$1))*(iferror(month(Transactions!$A$2:$A54)=5))*(Transactions!$B$2:$B54="Div")*(Transactions!$C$2:$C54=$A27)*Transactions!$T$2:$T54)=0,,SUMPRODUCT(1*(iferror(year(Transactions!$A$2:$A54)=$A$1))*(iferror(month(Transactions!$A$2:$A54)=5))*(Transactions!$B$2:$B54="Div")*(Transactions!$C$2:$C54=$A27)*Transactions!$T$2:$T54))</f>
        <v>#N/A</v>
      </c>
      <c r="I27" s="178" t="str">
        <f>if(SUMPRODUCT(1*(iferror(year(Transactions!$A$2:$A54)=$A$1))*(iferror(month(Transactions!$A$2:$A54)=6))*(Transactions!$B$2:$B54="Div")*(Transactions!$C$2:$C54=$A27)*Transactions!$T$2:$T54)=0,,SUMPRODUCT(1*(iferror(year(Transactions!$A$2:$A54)=$A$1))*(iferror(month(Transactions!$A$2:$A54)=6))*(Transactions!$B$2:$B54="Div")*(Transactions!$C$2:$C54=$A27)*Transactions!$T$2:$T54))</f>
        <v>#N/A</v>
      </c>
      <c r="J27" s="178" t="str">
        <f>if(SUMPRODUCT(1*(iferror(year(Transactions!$A$2:$A54)=$A$1))*(iferror(month(Transactions!$A$2:$A54)=7))*(Transactions!$B$2:$B54="Div")*(Transactions!$C$2:$C54=$A27)*Transactions!$T$2:$T54)=0,,SUMPRODUCT(1*(iferror(year(Transactions!$A$2:$A54)=$A$1))*(iferror(month(Transactions!$A$2:$A54)=7))*(Transactions!$B$2:$B54="Div")*(Transactions!$C$2:$C54=$A27)*Transactions!$T$2:$T54))</f>
        <v>#N/A</v>
      </c>
      <c r="K27" s="178" t="str">
        <f>if(SUMPRODUCT(1*(iferror(year(Transactions!$A$2:$A54)=$A$1))*(iferror(month(Transactions!$A$2:$A54)=8))*(Transactions!$B$2:$B54="Div")*(Transactions!$C$2:$C54=$A27)*Transactions!$T$2:$T54)=0,,SUMPRODUCT(1*(iferror(year(Transactions!$A$2:$A54)=$A$1))*(iferror(month(Transactions!$A$2:$A54)=8))*(Transactions!$B$2:$B54="Div")*(Transactions!$C$2:$C54=$A27)*Transactions!$T$2:$T54))</f>
        <v>#N/A</v>
      </c>
      <c r="L27" s="178" t="str">
        <f>if(SUMPRODUCT(1*(iferror(year(Transactions!$A$2:$A54)=$A$1))*(iferror(month(Transactions!$A$2:$A54)=9))*(Transactions!$B$2:$B54="Div")*(Transactions!$C$2:$C54=$A27)*Transactions!$T$2:$T54)=0,,SUMPRODUCT(1*(iferror(year(Transactions!$A$2:$A54)=$A$1))*(iferror(month(Transactions!$A$2:$A54)=9))*(Transactions!$B$2:$B54="Div")*(Transactions!$C$2:$C54=$A27)*Transactions!$T$2:$T54))</f>
        <v>#N/A</v>
      </c>
      <c r="M27" s="178" t="str">
        <f>if(SUMPRODUCT(1*(iferror(year(Transactions!$A$2:$A54)=$A$1))*(iferror(month(Transactions!$A$2:$A54)=10))*(Transactions!$B$2:$B54="Div")*(Transactions!$C$2:$C54=$A27)*Transactions!$T$2:$T54)=0,,SUMPRODUCT(1*(iferror(year(Transactions!$A$2:$A54)=$A$1))*(iferror(month(Transactions!$A$2:$A54)=10))*(Transactions!$B$2:$B54="Div")*(Transactions!$C$2:$C54=$A27)*Transactions!$T$2:$T54))</f>
        <v>#N/A</v>
      </c>
      <c r="N27" s="178" t="str">
        <f>if(SUMPRODUCT(1*(iferror(year(Transactions!$A$2:$A54)=$A$1))*(iferror(month(Transactions!$A$2:$A54)=11))*(Transactions!$B$2:$B54="Div")*(Transactions!$C$2:$C54=$A27)*Transactions!$T$2:$T54)=0,,SUMPRODUCT(1*(iferror(year(Transactions!$A$2:$A54)=$A$1))*(iferror(month(Transactions!$A$2:$A54)=11))*(Transactions!$B$2:$B54="Div")*(Transactions!$C$2:$C54=$A27)*Transactions!$T$2:$T54))</f>
        <v>#N/A</v>
      </c>
      <c r="O27" s="178" t="str">
        <f>if(SUMPRODUCT(1*(iferror(year(Transactions!$A$2:$A54)=$A$1))*(iferror(month(Transactions!$A$2:$A54)=12))*(Transactions!$B$2:$B54="Div")*(Transactions!$C$2:$C54=$A27)*Transactions!$T$2:$T54)=0,,SUMPRODUCT(1*(iferror(year(Transactions!$A$2:$A54)=$A$1))*(iferror(month(Transactions!$A$2:$A54)=12))*(Transactions!$B$2:$B54="Div")*(Transactions!$C$2:$C54=$A27)*Transactions!$T$2:$T54))</f>
        <v>#N/A</v>
      </c>
      <c r="P27" s="179"/>
    </row>
    <row r="28">
      <c r="A28" s="45" t="str">
        <f t="shared" si="2"/>
        <v/>
      </c>
      <c r="B28" s="181"/>
      <c r="C28" s="177"/>
      <c r="D28" s="178" t="str">
        <f>if(SUMPRODUCT(1*(iferror(year(Transactions!$A$2:$A54)=$A$1))*(iferror(month(Transactions!$A$2:$A54)=1))*(Transactions!$B$2:$B54="Div")*(Transactions!$C$2:$C54=$A28)*Transactions!$T$2:$T54)=0,,SUMPRODUCT(1*(iferror(year(Transactions!$A$2:$A54)=$A$1))*(iferror(month(Transactions!$A$2:$A54)=1))*(Transactions!$B$2:$B54="Div")*(Transactions!$C$2:$C54=$A28)*Transactions!$T$2:$T54))</f>
        <v>#N/A</v>
      </c>
      <c r="E28" s="178" t="str">
        <f>if(SUMPRODUCT(1*(iferror(year(Transactions!$A$2:$A54)=$A$1))*(iferror(month(Transactions!$A$2:$A54)=2))*(Transactions!$B$2:$B54="Div")*(Transactions!$C$2:$C54=$A28)*Transactions!$T$2:$T54)=0,,SUMPRODUCT(1*(iferror(year(Transactions!$A$2:$A54)=$A$1))*(iferror(month(Transactions!$A$2:$A54)=2))*(Transactions!$B$2:$B54="Div")*(Transactions!$C$2:$C54=$A28)*Transactions!$T$2:$T54))</f>
        <v>#N/A</v>
      </c>
      <c r="F28" s="178" t="str">
        <f>if(SUMPRODUCT(1*(iferror(year(Transactions!$A$2:$A54)=$A$1))*(iferror(month(Transactions!$A$2:$A54)=3))*(Transactions!$B$2:$B54="Div")*(Transactions!$C$2:$C54=$A28)*Transactions!$T$2:$T54)=0,,SUMPRODUCT(1*(iferror(year(Transactions!$A$2:$A54)=$A$1))*(iferror(month(Transactions!$A$2:$A54)=3))*(Transactions!$B$2:$B54="Div")*(Transactions!$C$2:$C54=$A28)*Transactions!$T$2:$T54))</f>
        <v>#N/A</v>
      </c>
      <c r="G28" s="178" t="str">
        <f>if(SUMPRODUCT(1*(iferror(year(Transactions!$A$2:$A54)=$A$1))*(iferror(month(Transactions!$A$2:$A54)=4))*(Transactions!$B$2:$B54="Div")*(Transactions!$C$2:$C54=$A28)*Transactions!$T$2:$T54)=0,,SUMPRODUCT(1*(iferror(year(Transactions!$A$2:$A54)=$A$1))*(iferror(month(Transactions!$A$2:$A54)=4))*(Transactions!$B$2:$B54="Div")*(Transactions!$C$2:$C54=$A28)*Transactions!$T$2:$T54))</f>
        <v>#N/A</v>
      </c>
      <c r="H28" s="178" t="str">
        <f>if(SUMPRODUCT(1*(iferror(year(Transactions!$A$2:$A54)=$A$1))*(iferror(month(Transactions!$A$2:$A54)=5))*(Transactions!$B$2:$B54="Div")*(Transactions!$C$2:$C54=$A28)*Transactions!$T$2:$T54)=0,,SUMPRODUCT(1*(iferror(year(Transactions!$A$2:$A54)=$A$1))*(iferror(month(Transactions!$A$2:$A54)=5))*(Transactions!$B$2:$B54="Div")*(Transactions!$C$2:$C54=$A28)*Transactions!$T$2:$T54))</f>
        <v>#N/A</v>
      </c>
      <c r="I28" s="178" t="str">
        <f>if(SUMPRODUCT(1*(iferror(year(Transactions!$A$2:$A54)=$A$1))*(iferror(month(Transactions!$A$2:$A54)=6))*(Transactions!$B$2:$B54="Div")*(Transactions!$C$2:$C54=$A28)*Transactions!$T$2:$T54)=0,,SUMPRODUCT(1*(iferror(year(Transactions!$A$2:$A54)=$A$1))*(iferror(month(Transactions!$A$2:$A54)=6))*(Transactions!$B$2:$B54="Div")*(Transactions!$C$2:$C54=$A28)*Transactions!$T$2:$T54))</f>
        <v>#N/A</v>
      </c>
      <c r="J28" s="178" t="str">
        <f>if(SUMPRODUCT(1*(iferror(year(Transactions!$A$2:$A54)=$A$1))*(iferror(month(Transactions!$A$2:$A54)=7))*(Transactions!$B$2:$B54="Div")*(Transactions!$C$2:$C54=$A28)*Transactions!$T$2:$T54)=0,,SUMPRODUCT(1*(iferror(year(Transactions!$A$2:$A54)=$A$1))*(iferror(month(Transactions!$A$2:$A54)=7))*(Transactions!$B$2:$B54="Div")*(Transactions!$C$2:$C54=$A28)*Transactions!$T$2:$T54))</f>
        <v>#N/A</v>
      </c>
      <c r="K28" s="178" t="str">
        <f>if(SUMPRODUCT(1*(iferror(year(Transactions!$A$2:$A54)=$A$1))*(iferror(month(Transactions!$A$2:$A54)=8))*(Transactions!$B$2:$B54="Div")*(Transactions!$C$2:$C54=$A28)*Transactions!$T$2:$T54)=0,,SUMPRODUCT(1*(iferror(year(Transactions!$A$2:$A54)=$A$1))*(iferror(month(Transactions!$A$2:$A54)=8))*(Transactions!$B$2:$B54="Div")*(Transactions!$C$2:$C54=$A28)*Transactions!$T$2:$T54))</f>
        <v>#N/A</v>
      </c>
      <c r="L28" s="178" t="str">
        <f>if(SUMPRODUCT(1*(iferror(year(Transactions!$A$2:$A54)=$A$1))*(iferror(month(Transactions!$A$2:$A54)=9))*(Transactions!$B$2:$B54="Div")*(Transactions!$C$2:$C54=$A28)*Transactions!$T$2:$T54)=0,,SUMPRODUCT(1*(iferror(year(Transactions!$A$2:$A54)=$A$1))*(iferror(month(Transactions!$A$2:$A54)=9))*(Transactions!$B$2:$B54="Div")*(Transactions!$C$2:$C54=$A28)*Transactions!$T$2:$T54))</f>
        <v>#N/A</v>
      </c>
      <c r="M28" s="178" t="str">
        <f>if(SUMPRODUCT(1*(iferror(year(Transactions!$A$2:$A54)=$A$1))*(iferror(month(Transactions!$A$2:$A54)=10))*(Transactions!$B$2:$B54="Div")*(Transactions!$C$2:$C54=$A28)*Transactions!$T$2:$T54)=0,,SUMPRODUCT(1*(iferror(year(Transactions!$A$2:$A54)=$A$1))*(iferror(month(Transactions!$A$2:$A54)=10))*(Transactions!$B$2:$B54="Div")*(Transactions!$C$2:$C54=$A28)*Transactions!$T$2:$T54))</f>
        <v>#N/A</v>
      </c>
      <c r="N28" s="178" t="str">
        <f>if(SUMPRODUCT(1*(iferror(year(Transactions!$A$2:$A54)=$A$1))*(iferror(month(Transactions!$A$2:$A54)=11))*(Transactions!$B$2:$B54="Div")*(Transactions!$C$2:$C54=$A28)*Transactions!$T$2:$T54)=0,,SUMPRODUCT(1*(iferror(year(Transactions!$A$2:$A54)=$A$1))*(iferror(month(Transactions!$A$2:$A54)=11))*(Transactions!$B$2:$B54="Div")*(Transactions!$C$2:$C54=$A28)*Transactions!$T$2:$T54))</f>
        <v>#N/A</v>
      </c>
      <c r="O28" s="178" t="str">
        <f>if(SUMPRODUCT(1*(iferror(year(Transactions!$A$2:$A54)=$A$1))*(iferror(month(Transactions!$A$2:$A54)=12))*(Transactions!$B$2:$B54="Div")*(Transactions!$C$2:$C54=$A28)*Transactions!$T$2:$T54)=0,,SUMPRODUCT(1*(iferror(year(Transactions!$A$2:$A54)=$A$1))*(iferror(month(Transactions!$A$2:$A54)=12))*(Transactions!$B$2:$B54="Div")*(Transactions!$C$2:$C54=$A28)*Transactions!$T$2:$T54))</f>
        <v>#N/A</v>
      </c>
      <c r="P28" s="179"/>
    </row>
    <row r="29">
      <c r="A29" s="45" t="str">
        <f t="shared" si="2"/>
        <v/>
      </c>
      <c r="B29" s="181"/>
      <c r="C29" s="177"/>
      <c r="D29" s="178" t="str">
        <f>if(SUMPRODUCT(1*(iferror(year(Transactions!$A$2:$A54)=$A$1))*(iferror(month(Transactions!$A$2:$A54)=1))*(Transactions!$B$2:$B54="Div")*(Transactions!$C$2:$C54=$A29)*Transactions!$T$2:$T54)=0,,SUMPRODUCT(1*(iferror(year(Transactions!$A$2:$A54)=$A$1))*(iferror(month(Transactions!$A$2:$A54)=1))*(Transactions!$B$2:$B54="Div")*(Transactions!$C$2:$C54=$A29)*Transactions!$T$2:$T54))</f>
        <v>#N/A</v>
      </c>
      <c r="E29" s="178" t="str">
        <f>if(SUMPRODUCT(1*(iferror(year(Transactions!$A$2:$A54)=$A$1))*(iferror(month(Transactions!$A$2:$A54)=2))*(Transactions!$B$2:$B54="Div")*(Transactions!$C$2:$C54=$A29)*Transactions!$T$2:$T54)=0,,SUMPRODUCT(1*(iferror(year(Transactions!$A$2:$A54)=$A$1))*(iferror(month(Transactions!$A$2:$A54)=2))*(Transactions!$B$2:$B54="Div")*(Transactions!$C$2:$C54=$A29)*Transactions!$T$2:$T54))</f>
        <v>#N/A</v>
      </c>
      <c r="F29" s="178" t="str">
        <f>if(SUMPRODUCT(1*(iferror(year(Transactions!$A$2:$A54)=$A$1))*(iferror(month(Transactions!$A$2:$A54)=3))*(Transactions!$B$2:$B54="Div")*(Transactions!$C$2:$C54=$A29)*Transactions!$T$2:$T54)=0,,SUMPRODUCT(1*(iferror(year(Transactions!$A$2:$A54)=$A$1))*(iferror(month(Transactions!$A$2:$A54)=3))*(Transactions!$B$2:$B54="Div")*(Transactions!$C$2:$C54=$A29)*Transactions!$T$2:$T54))</f>
        <v>#N/A</v>
      </c>
      <c r="G29" s="178" t="str">
        <f>if(SUMPRODUCT(1*(iferror(year(Transactions!$A$2:$A54)=$A$1))*(iferror(month(Transactions!$A$2:$A54)=4))*(Transactions!$B$2:$B54="Div")*(Transactions!$C$2:$C54=$A29)*Transactions!$T$2:$T54)=0,,SUMPRODUCT(1*(iferror(year(Transactions!$A$2:$A54)=$A$1))*(iferror(month(Transactions!$A$2:$A54)=4))*(Transactions!$B$2:$B54="Div")*(Transactions!$C$2:$C54=$A29)*Transactions!$T$2:$T54))</f>
        <v>#N/A</v>
      </c>
      <c r="H29" s="178" t="str">
        <f>if(SUMPRODUCT(1*(iferror(year(Transactions!$A$2:$A54)=$A$1))*(iferror(month(Transactions!$A$2:$A54)=5))*(Transactions!$B$2:$B54="Div")*(Transactions!$C$2:$C54=$A29)*Transactions!$T$2:$T54)=0,,SUMPRODUCT(1*(iferror(year(Transactions!$A$2:$A54)=$A$1))*(iferror(month(Transactions!$A$2:$A54)=5))*(Transactions!$B$2:$B54="Div")*(Transactions!$C$2:$C54=$A29)*Transactions!$T$2:$T54))</f>
        <v>#N/A</v>
      </c>
      <c r="I29" s="178" t="str">
        <f>if(SUMPRODUCT(1*(iferror(year(Transactions!$A$2:$A54)=$A$1))*(iferror(month(Transactions!$A$2:$A54)=6))*(Transactions!$B$2:$B54="Div")*(Transactions!$C$2:$C54=$A29)*Transactions!$T$2:$T54)=0,,SUMPRODUCT(1*(iferror(year(Transactions!$A$2:$A54)=$A$1))*(iferror(month(Transactions!$A$2:$A54)=6))*(Transactions!$B$2:$B54="Div")*(Transactions!$C$2:$C54=$A29)*Transactions!$T$2:$T54))</f>
        <v>#N/A</v>
      </c>
      <c r="J29" s="178" t="str">
        <f>if(SUMPRODUCT(1*(iferror(year(Transactions!$A$2:$A54)=$A$1))*(iferror(month(Transactions!$A$2:$A54)=7))*(Transactions!$B$2:$B54="Div")*(Transactions!$C$2:$C54=$A29)*Transactions!$T$2:$T54)=0,,SUMPRODUCT(1*(iferror(year(Transactions!$A$2:$A54)=$A$1))*(iferror(month(Transactions!$A$2:$A54)=7))*(Transactions!$B$2:$B54="Div")*(Transactions!$C$2:$C54=$A29)*Transactions!$T$2:$T54))</f>
        <v>#N/A</v>
      </c>
      <c r="K29" s="178" t="str">
        <f>if(SUMPRODUCT(1*(iferror(year(Transactions!$A$2:$A54)=$A$1))*(iferror(month(Transactions!$A$2:$A54)=8))*(Transactions!$B$2:$B54="Div")*(Transactions!$C$2:$C54=$A29)*Transactions!$T$2:$T54)=0,,SUMPRODUCT(1*(iferror(year(Transactions!$A$2:$A54)=$A$1))*(iferror(month(Transactions!$A$2:$A54)=8))*(Transactions!$B$2:$B54="Div")*(Transactions!$C$2:$C54=$A29)*Transactions!$T$2:$T54))</f>
        <v>#N/A</v>
      </c>
      <c r="L29" s="178" t="str">
        <f>if(SUMPRODUCT(1*(iferror(year(Transactions!$A$2:$A54)=$A$1))*(iferror(month(Transactions!$A$2:$A54)=9))*(Transactions!$B$2:$B54="Div")*(Transactions!$C$2:$C54=$A29)*Transactions!$T$2:$T54)=0,,SUMPRODUCT(1*(iferror(year(Transactions!$A$2:$A54)=$A$1))*(iferror(month(Transactions!$A$2:$A54)=9))*(Transactions!$B$2:$B54="Div")*(Transactions!$C$2:$C54=$A29)*Transactions!$T$2:$T54))</f>
        <v>#N/A</v>
      </c>
      <c r="M29" s="178" t="str">
        <f>if(SUMPRODUCT(1*(iferror(year(Transactions!$A$2:$A54)=$A$1))*(iferror(month(Transactions!$A$2:$A54)=10))*(Transactions!$B$2:$B54="Div")*(Transactions!$C$2:$C54=$A29)*Transactions!$T$2:$T54)=0,,SUMPRODUCT(1*(iferror(year(Transactions!$A$2:$A54)=$A$1))*(iferror(month(Transactions!$A$2:$A54)=10))*(Transactions!$B$2:$B54="Div")*(Transactions!$C$2:$C54=$A29)*Transactions!$T$2:$T54))</f>
        <v>#N/A</v>
      </c>
      <c r="N29" s="178" t="str">
        <f>if(SUMPRODUCT(1*(iferror(year(Transactions!$A$2:$A54)=$A$1))*(iferror(month(Transactions!$A$2:$A54)=11))*(Transactions!$B$2:$B54="Div")*(Transactions!$C$2:$C54=$A29)*Transactions!$T$2:$T54)=0,,SUMPRODUCT(1*(iferror(year(Transactions!$A$2:$A54)=$A$1))*(iferror(month(Transactions!$A$2:$A54)=11))*(Transactions!$B$2:$B54="Div")*(Transactions!$C$2:$C54=$A29)*Transactions!$T$2:$T54))</f>
        <v>#N/A</v>
      </c>
      <c r="O29" s="178" t="str">
        <f>if(SUMPRODUCT(1*(iferror(year(Transactions!$A$2:$A54)=$A$1))*(iferror(month(Transactions!$A$2:$A54)=12))*(Transactions!$B$2:$B54="Div")*(Transactions!$C$2:$C54=$A29)*Transactions!$T$2:$T54)=0,,SUMPRODUCT(1*(iferror(year(Transactions!$A$2:$A54)=$A$1))*(iferror(month(Transactions!$A$2:$A54)=12))*(Transactions!$B$2:$B54="Div")*(Transactions!$C$2:$C54=$A29)*Transactions!$T$2:$T54))</f>
        <v>#N/A</v>
      </c>
      <c r="P29" s="179"/>
    </row>
    <row r="30">
      <c r="A30" s="45" t="str">
        <f t="shared" si="2"/>
        <v/>
      </c>
      <c r="B30" s="181"/>
      <c r="C30" s="177"/>
      <c r="D30" s="178" t="str">
        <f>if(SUMPRODUCT(1*(iferror(year(Transactions!$A$2:$A54)=$A$1))*(iferror(month(Transactions!$A$2:$A54)=1))*(Transactions!$B$2:$B54="Div")*(Transactions!$C$2:$C54=$A30)*Transactions!$T$2:$T54)=0,,SUMPRODUCT(1*(iferror(year(Transactions!$A$2:$A54)=$A$1))*(iferror(month(Transactions!$A$2:$A54)=1))*(Transactions!$B$2:$B54="Div")*(Transactions!$C$2:$C54=$A30)*Transactions!$T$2:$T54))</f>
        <v>#N/A</v>
      </c>
      <c r="E30" s="178" t="str">
        <f>if(SUMPRODUCT(1*(iferror(year(Transactions!$A$2:$A54)=$A$1))*(iferror(month(Transactions!$A$2:$A54)=2))*(Transactions!$B$2:$B54="Div")*(Transactions!$C$2:$C54=$A30)*Transactions!$T$2:$T54)=0,,SUMPRODUCT(1*(iferror(year(Transactions!$A$2:$A54)=$A$1))*(iferror(month(Transactions!$A$2:$A54)=2))*(Transactions!$B$2:$B54="Div")*(Transactions!$C$2:$C54=$A30)*Transactions!$T$2:$T54))</f>
        <v>#N/A</v>
      </c>
      <c r="F30" s="178" t="str">
        <f>if(SUMPRODUCT(1*(iferror(year(Transactions!$A$2:$A54)=$A$1))*(iferror(month(Transactions!$A$2:$A54)=3))*(Transactions!$B$2:$B54="Div")*(Transactions!$C$2:$C54=$A30)*Transactions!$T$2:$T54)=0,,SUMPRODUCT(1*(iferror(year(Transactions!$A$2:$A54)=$A$1))*(iferror(month(Transactions!$A$2:$A54)=3))*(Transactions!$B$2:$B54="Div")*(Transactions!$C$2:$C54=$A30)*Transactions!$T$2:$T54))</f>
        <v>#N/A</v>
      </c>
      <c r="G30" s="178" t="str">
        <f>if(SUMPRODUCT(1*(iferror(year(Transactions!$A$2:$A54)=$A$1))*(iferror(month(Transactions!$A$2:$A54)=4))*(Transactions!$B$2:$B54="Div")*(Transactions!$C$2:$C54=$A30)*Transactions!$T$2:$T54)=0,,SUMPRODUCT(1*(iferror(year(Transactions!$A$2:$A54)=$A$1))*(iferror(month(Transactions!$A$2:$A54)=4))*(Transactions!$B$2:$B54="Div")*(Transactions!$C$2:$C54=$A30)*Transactions!$T$2:$T54))</f>
        <v>#N/A</v>
      </c>
      <c r="H30" s="178" t="str">
        <f>if(SUMPRODUCT(1*(iferror(year(Transactions!$A$2:$A54)=$A$1))*(iferror(month(Transactions!$A$2:$A54)=5))*(Transactions!$B$2:$B54="Div")*(Transactions!$C$2:$C54=$A30)*Transactions!$T$2:$T54)=0,,SUMPRODUCT(1*(iferror(year(Transactions!$A$2:$A54)=$A$1))*(iferror(month(Transactions!$A$2:$A54)=5))*(Transactions!$B$2:$B54="Div")*(Transactions!$C$2:$C54=$A30)*Transactions!$T$2:$T54))</f>
        <v>#N/A</v>
      </c>
      <c r="I30" s="178" t="str">
        <f>if(SUMPRODUCT(1*(iferror(year(Transactions!$A$2:$A54)=$A$1))*(iferror(month(Transactions!$A$2:$A54)=6))*(Transactions!$B$2:$B54="Div")*(Transactions!$C$2:$C54=$A30)*Transactions!$T$2:$T54)=0,,SUMPRODUCT(1*(iferror(year(Transactions!$A$2:$A54)=$A$1))*(iferror(month(Transactions!$A$2:$A54)=6))*(Transactions!$B$2:$B54="Div")*(Transactions!$C$2:$C54=$A30)*Transactions!$T$2:$T54))</f>
        <v>#N/A</v>
      </c>
      <c r="J30" s="178" t="str">
        <f>if(SUMPRODUCT(1*(iferror(year(Transactions!$A$2:$A54)=$A$1))*(iferror(month(Transactions!$A$2:$A54)=7))*(Transactions!$B$2:$B54="Div")*(Transactions!$C$2:$C54=$A30)*Transactions!$T$2:$T54)=0,,SUMPRODUCT(1*(iferror(year(Transactions!$A$2:$A54)=$A$1))*(iferror(month(Transactions!$A$2:$A54)=7))*(Transactions!$B$2:$B54="Div")*(Transactions!$C$2:$C54=$A30)*Transactions!$T$2:$T54))</f>
        <v>#N/A</v>
      </c>
      <c r="K30" s="178" t="str">
        <f>if(SUMPRODUCT(1*(iferror(year(Transactions!$A$2:$A54)=$A$1))*(iferror(month(Transactions!$A$2:$A54)=8))*(Transactions!$B$2:$B54="Div")*(Transactions!$C$2:$C54=$A30)*Transactions!$T$2:$T54)=0,,SUMPRODUCT(1*(iferror(year(Transactions!$A$2:$A54)=$A$1))*(iferror(month(Transactions!$A$2:$A54)=8))*(Transactions!$B$2:$B54="Div")*(Transactions!$C$2:$C54=$A30)*Transactions!$T$2:$T54))</f>
        <v>#N/A</v>
      </c>
      <c r="L30" s="178" t="str">
        <f>if(SUMPRODUCT(1*(iferror(year(Transactions!$A$2:$A54)=$A$1))*(iferror(month(Transactions!$A$2:$A54)=9))*(Transactions!$B$2:$B54="Div")*(Transactions!$C$2:$C54=$A30)*Transactions!$T$2:$T54)=0,,SUMPRODUCT(1*(iferror(year(Transactions!$A$2:$A54)=$A$1))*(iferror(month(Transactions!$A$2:$A54)=9))*(Transactions!$B$2:$B54="Div")*(Transactions!$C$2:$C54=$A30)*Transactions!$T$2:$T54))</f>
        <v>#N/A</v>
      </c>
      <c r="M30" s="178" t="str">
        <f>if(SUMPRODUCT(1*(iferror(year(Transactions!$A$2:$A54)=$A$1))*(iferror(month(Transactions!$A$2:$A54)=10))*(Transactions!$B$2:$B54="Div")*(Transactions!$C$2:$C54=$A30)*Transactions!$T$2:$T54)=0,,SUMPRODUCT(1*(iferror(year(Transactions!$A$2:$A54)=$A$1))*(iferror(month(Transactions!$A$2:$A54)=10))*(Transactions!$B$2:$B54="Div")*(Transactions!$C$2:$C54=$A30)*Transactions!$T$2:$T54))</f>
        <v>#N/A</v>
      </c>
      <c r="N30" s="178" t="str">
        <f>if(SUMPRODUCT(1*(iferror(year(Transactions!$A$2:$A54)=$A$1))*(iferror(month(Transactions!$A$2:$A54)=11))*(Transactions!$B$2:$B54="Div")*(Transactions!$C$2:$C54=$A30)*Transactions!$T$2:$T54)=0,,SUMPRODUCT(1*(iferror(year(Transactions!$A$2:$A54)=$A$1))*(iferror(month(Transactions!$A$2:$A54)=11))*(Transactions!$B$2:$B54="Div")*(Transactions!$C$2:$C54=$A30)*Transactions!$T$2:$T54))</f>
        <v>#N/A</v>
      </c>
      <c r="O30" s="178" t="str">
        <f>if(SUMPRODUCT(1*(iferror(year(Transactions!$A$2:$A54)=$A$1))*(iferror(month(Transactions!$A$2:$A54)=12))*(Transactions!$B$2:$B54="Div")*(Transactions!$C$2:$C54=$A30)*Transactions!$T$2:$T54)=0,,SUMPRODUCT(1*(iferror(year(Transactions!$A$2:$A54)=$A$1))*(iferror(month(Transactions!$A$2:$A54)=12))*(Transactions!$B$2:$B54="Div")*(Transactions!$C$2:$C54=$A30)*Transactions!$T$2:$T54))</f>
        <v>#N/A</v>
      </c>
      <c r="P30" s="179"/>
    </row>
    <row r="31">
      <c r="A31" s="45" t="str">
        <f t="shared" si="2"/>
        <v/>
      </c>
      <c r="B31" s="181"/>
      <c r="C31" s="177"/>
      <c r="D31" s="178" t="str">
        <f>if(SUMPRODUCT(1*(iferror(year(Transactions!$A$2:$A54)=$A$1))*(iferror(month(Transactions!$A$2:$A54)=1))*(Transactions!$B$2:$B54="Div")*(Transactions!$C$2:$C54=$A31)*Transactions!$T$2:$T54)=0,,SUMPRODUCT(1*(iferror(year(Transactions!$A$2:$A54)=$A$1))*(iferror(month(Transactions!$A$2:$A54)=1))*(Transactions!$B$2:$B54="Div")*(Transactions!$C$2:$C54=$A31)*Transactions!$T$2:$T54))</f>
        <v>#N/A</v>
      </c>
      <c r="E31" s="178" t="str">
        <f>if(SUMPRODUCT(1*(iferror(year(Transactions!$A$2:$A54)=$A$1))*(iferror(month(Transactions!$A$2:$A54)=2))*(Transactions!$B$2:$B54="Div")*(Transactions!$C$2:$C54=$A31)*Transactions!$T$2:$T54)=0,,SUMPRODUCT(1*(iferror(year(Transactions!$A$2:$A54)=$A$1))*(iferror(month(Transactions!$A$2:$A54)=2))*(Transactions!$B$2:$B54="Div")*(Transactions!$C$2:$C54=$A31)*Transactions!$T$2:$T54))</f>
        <v>#N/A</v>
      </c>
      <c r="F31" s="178" t="str">
        <f>if(SUMPRODUCT(1*(iferror(year(Transactions!$A$2:$A54)=$A$1))*(iferror(month(Transactions!$A$2:$A54)=3))*(Transactions!$B$2:$B54="Div")*(Transactions!$C$2:$C54=$A31)*Transactions!$T$2:$T54)=0,,SUMPRODUCT(1*(iferror(year(Transactions!$A$2:$A54)=$A$1))*(iferror(month(Transactions!$A$2:$A54)=3))*(Transactions!$B$2:$B54="Div")*(Transactions!$C$2:$C54=$A31)*Transactions!$T$2:$T54))</f>
        <v>#N/A</v>
      </c>
      <c r="G31" s="178" t="str">
        <f>if(SUMPRODUCT(1*(iferror(year(Transactions!$A$2:$A54)=$A$1))*(iferror(month(Transactions!$A$2:$A54)=4))*(Transactions!$B$2:$B54="Div")*(Transactions!$C$2:$C54=$A31)*Transactions!$T$2:$T54)=0,,SUMPRODUCT(1*(iferror(year(Transactions!$A$2:$A54)=$A$1))*(iferror(month(Transactions!$A$2:$A54)=4))*(Transactions!$B$2:$B54="Div")*(Transactions!$C$2:$C54=$A31)*Transactions!$T$2:$T54))</f>
        <v>#N/A</v>
      </c>
      <c r="H31" s="178" t="str">
        <f>if(SUMPRODUCT(1*(iferror(year(Transactions!$A$2:$A54)=$A$1))*(iferror(month(Transactions!$A$2:$A54)=5))*(Transactions!$B$2:$B54="Div")*(Transactions!$C$2:$C54=$A31)*Transactions!$T$2:$T54)=0,,SUMPRODUCT(1*(iferror(year(Transactions!$A$2:$A54)=$A$1))*(iferror(month(Transactions!$A$2:$A54)=5))*(Transactions!$B$2:$B54="Div")*(Transactions!$C$2:$C54=$A31)*Transactions!$T$2:$T54))</f>
        <v>#N/A</v>
      </c>
      <c r="I31" s="178" t="str">
        <f>if(SUMPRODUCT(1*(iferror(year(Transactions!$A$2:$A54)=$A$1))*(iferror(month(Transactions!$A$2:$A54)=6))*(Transactions!$B$2:$B54="Div")*(Transactions!$C$2:$C54=$A31)*Transactions!$T$2:$T54)=0,,SUMPRODUCT(1*(iferror(year(Transactions!$A$2:$A54)=$A$1))*(iferror(month(Transactions!$A$2:$A54)=6))*(Transactions!$B$2:$B54="Div")*(Transactions!$C$2:$C54=$A31)*Transactions!$T$2:$T54))</f>
        <v>#N/A</v>
      </c>
      <c r="J31" s="178" t="str">
        <f>if(SUMPRODUCT(1*(iferror(year(Transactions!$A$2:$A54)=$A$1))*(iferror(month(Transactions!$A$2:$A54)=7))*(Transactions!$B$2:$B54="Div")*(Transactions!$C$2:$C54=$A31)*Transactions!$T$2:$T54)=0,,SUMPRODUCT(1*(iferror(year(Transactions!$A$2:$A54)=$A$1))*(iferror(month(Transactions!$A$2:$A54)=7))*(Transactions!$B$2:$B54="Div")*(Transactions!$C$2:$C54=$A31)*Transactions!$T$2:$T54))</f>
        <v>#N/A</v>
      </c>
      <c r="K31" s="178" t="str">
        <f>if(SUMPRODUCT(1*(iferror(year(Transactions!$A$2:$A54)=$A$1))*(iferror(month(Transactions!$A$2:$A54)=8))*(Transactions!$B$2:$B54="Div")*(Transactions!$C$2:$C54=$A31)*Transactions!$T$2:$T54)=0,,SUMPRODUCT(1*(iferror(year(Transactions!$A$2:$A54)=$A$1))*(iferror(month(Transactions!$A$2:$A54)=8))*(Transactions!$B$2:$B54="Div")*(Transactions!$C$2:$C54=$A31)*Transactions!$T$2:$T54))</f>
        <v>#N/A</v>
      </c>
      <c r="L31" s="178" t="str">
        <f>if(SUMPRODUCT(1*(iferror(year(Transactions!$A$2:$A54)=$A$1))*(iferror(month(Transactions!$A$2:$A54)=9))*(Transactions!$B$2:$B54="Div")*(Transactions!$C$2:$C54=$A31)*Transactions!$T$2:$T54)=0,,SUMPRODUCT(1*(iferror(year(Transactions!$A$2:$A54)=$A$1))*(iferror(month(Transactions!$A$2:$A54)=9))*(Transactions!$B$2:$B54="Div")*(Transactions!$C$2:$C54=$A31)*Transactions!$T$2:$T54))</f>
        <v>#N/A</v>
      </c>
      <c r="M31" s="178" t="str">
        <f>if(SUMPRODUCT(1*(iferror(year(Transactions!$A$2:$A54)=$A$1))*(iferror(month(Transactions!$A$2:$A54)=10))*(Transactions!$B$2:$B54="Div")*(Transactions!$C$2:$C54=$A31)*Transactions!$T$2:$T54)=0,,SUMPRODUCT(1*(iferror(year(Transactions!$A$2:$A54)=$A$1))*(iferror(month(Transactions!$A$2:$A54)=10))*(Transactions!$B$2:$B54="Div")*(Transactions!$C$2:$C54=$A31)*Transactions!$T$2:$T54))</f>
        <v>#N/A</v>
      </c>
      <c r="N31" s="178" t="str">
        <f>if(SUMPRODUCT(1*(iferror(year(Transactions!$A$2:$A54)=$A$1))*(iferror(month(Transactions!$A$2:$A54)=11))*(Transactions!$B$2:$B54="Div")*(Transactions!$C$2:$C54=$A31)*Transactions!$T$2:$T54)=0,,SUMPRODUCT(1*(iferror(year(Transactions!$A$2:$A54)=$A$1))*(iferror(month(Transactions!$A$2:$A54)=11))*(Transactions!$B$2:$B54="Div")*(Transactions!$C$2:$C54=$A31)*Transactions!$T$2:$T54))</f>
        <v>#N/A</v>
      </c>
      <c r="O31" s="178" t="str">
        <f>if(SUMPRODUCT(1*(iferror(year(Transactions!$A$2:$A54)=$A$1))*(iferror(month(Transactions!$A$2:$A54)=12))*(Transactions!$B$2:$B54="Div")*(Transactions!$C$2:$C54=$A31)*Transactions!$T$2:$T54)=0,,SUMPRODUCT(1*(iferror(year(Transactions!$A$2:$A54)=$A$1))*(iferror(month(Transactions!$A$2:$A54)=12))*(Transactions!$B$2:$B54="Div")*(Transactions!$C$2:$C54=$A31)*Transactions!$T$2:$T54))</f>
        <v>#N/A</v>
      </c>
      <c r="P31" s="179"/>
    </row>
    <row r="32">
      <c r="A32" s="45" t="str">
        <f t="shared" si="2"/>
        <v/>
      </c>
      <c r="B32" s="181"/>
      <c r="C32" s="177"/>
      <c r="D32" s="178" t="str">
        <f>if(SUMPRODUCT(1*(iferror(year(Transactions!$A$2:$A54)=$A$1))*(iferror(month(Transactions!$A$2:$A54)=1))*(Transactions!$B$2:$B54="Div")*(Transactions!$C$2:$C54=$A32)*Transactions!$T$2:$T54)=0,,SUMPRODUCT(1*(iferror(year(Transactions!$A$2:$A54)=$A$1))*(iferror(month(Transactions!$A$2:$A54)=1))*(Transactions!$B$2:$B54="Div")*(Transactions!$C$2:$C54=$A32)*Transactions!$T$2:$T54))</f>
        <v>#N/A</v>
      </c>
      <c r="E32" s="178" t="str">
        <f>if(SUMPRODUCT(1*(iferror(year(Transactions!$A$2:$A54)=$A$1))*(iferror(month(Transactions!$A$2:$A54)=2))*(Transactions!$B$2:$B54="Div")*(Transactions!$C$2:$C54=$A32)*Transactions!$T$2:$T54)=0,,SUMPRODUCT(1*(iferror(year(Transactions!$A$2:$A54)=$A$1))*(iferror(month(Transactions!$A$2:$A54)=2))*(Transactions!$B$2:$B54="Div")*(Transactions!$C$2:$C54=$A32)*Transactions!$T$2:$T54))</f>
        <v>#N/A</v>
      </c>
      <c r="F32" s="178" t="str">
        <f>if(SUMPRODUCT(1*(iferror(year(Transactions!$A$2:$A54)=$A$1))*(iferror(month(Transactions!$A$2:$A54)=3))*(Transactions!$B$2:$B54="Div")*(Transactions!$C$2:$C54=$A32)*Transactions!$T$2:$T54)=0,,SUMPRODUCT(1*(iferror(year(Transactions!$A$2:$A54)=$A$1))*(iferror(month(Transactions!$A$2:$A54)=3))*(Transactions!$B$2:$B54="Div")*(Transactions!$C$2:$C54=$A32)*Transactions!$T$2:$T54))</f>
        <v>#N/A</v>
      </c>
      <c r="G32" s="178" t="str">
        <f>if(SUMPRODUCT(1*(iferror(year(Transactions!$A$2:$A54)=$A$1))*(iferror(month(Transactions!$A$2:$A54)=4))*(Transactions!$B$2:$B54="Div")*(Transactions!$C$2:$C54=$A32)*Transactions!$T$2:$T54)=0,,SUMPRODUCT(1*(iferror(year(Transactions!$A$2:$A54)=$A$1))*(iferror(month(Transactions!$A$2:$A54)=4))*(Transactions!$B$2:$B54="Div")*(Transactions!$C$2:$C54=$A32)*Transactions!$T$2:$T54))</f>
        <v>#N/A</v>
      </c>
      <c r="H32" s="178" t="str">
        <f>if(SUMPRODUCT(1*(iferror(year(Transactions!$A$2:$A54)=$A$1))*(iferror(month(Transactions!$A$2:$A54)=5))*(Transactions!$B$2:$B54="Div")*(Transactions!$C$2:$C54=$A32)*Transactions!$T$2:$T54)=0,,SUMPRODUCT(1*(iferror(year(Transactions!$A$2:$A54)=$A$1))*(iferror(month(Transactions!$A$2:$A54)=5))*(Transactions!$B$2:$B54="Div")*(Transactions!$C$2:$C54=$A32)*Transactions!$T$2:$T54))</f>
        <v>#N/A</v>
      </c>
      <c r="I32" s="178" t="str">
        <f>if(SUMPRODUCT(1*(iferror(year(Transactions!$A$2:$A54)=$A$1))*(iferror(month(Transactions!$A$2:$A54)=6))*(Transactions!$B$2:$B54="Div")*(Transactions!$C$2:$C54=$A32)*Transactions!$T$2:$T54)=0,,SUMPRODUCT(1*(iferror(year(Transactions!$A$2:$A54)=$A$1))*(iferror(month(Transactions!$A$2:$A54)=6))*(Transactions!$B$2:$B54="Div")*(Transactions!$C$2:$C54=$A32)*Transactions!$T$2:$T54))</f>
        <v>#N/A</v>
      </c>
      <c r="J32" s="178" t="str">
        <f>if(SUMPRODUCT(1*(iferror(year(Transactions!$A$2:$A54)=$A$1))*(iferror(month(Transactions!$A$2:$A54)=7))*(Transactions!$B$2:$B54="Div")*(Transactions!$C$2:$C54=$A32)*Transactions!$T$2:$T54)=0,,SUMPRODUCT(1*(iferror(year(Transactions!$A$2:$A54)=$A$1))*(iferror(month(Transactions!$A$2:$A54)=7))*(Transactions!$B$2:$B54="Div")*(Transactions!$C$2:$C54=$A32)*Transactions!$T$2:$T54))</f>
        <v>#N/A</v>
      </c>
      <c r="K32" s="178" t="str">
        <f>if(SUMPRODUCT(1*(iferror(year(Transactions!$A$2:$A54)=$A$1))*(iferror(month(Transactions!$A$2:$A54)=8))*(Transactions!$B$2:$B54="Div")*(Transactions!$C$2:$C54=$A32)*Transactions!$T$2:$T54)=0,,SUMPRODUCT(1*(iferror(year(Transactions!$A$2:$A54)=$A$1))*(iferror(month(Transactions!$A$2:$A54)=8))*(Transactions!$B$2:$B54="Div")*(Transactions!$C$2:$C54=$A32)*Transactions!$T$2:$T54))</f>
        <v>#N/A</v>
      </c>
      <c r="L32" s="178" t="str">
        <f>if(SUMPRODUCT(1*(iferror(year(Transactions!$A$2:$A54)=$A$1))*(iferror(month(Transactions!$A$2:$A54)=9))*(Transactions!$B$2:$B54="Div")*(Transactions!$C$2:$C54=$A32)*Transactions!$T$2:$T54)=0,,SUMPRODUCT(1*(iferror(year(Transactions!$A$2:$A54)=$A$1))*(iferror(month(Transactions!$A$2:$A54)=9))*(Transactions!$B$2:$B54="Div")*(Transactions!$C$2:$C54=$A32)*Transactions!$T$2:$T54))</f>
        <v>#N/A</v>
      </c>
      <c r="M32" s="178" t="str">
        <f>if(SUMPRODUCT(1*(iferror(year(Transactions!$A$2:$A54)=$A$1))*(iferror(month(Transactions!$A$2:$A54)=10))*(Transactions!$B$2:$B54="Div")*(Transactions!$C$2:$C54=$A32)*Transactions!$T$2:$T54)=0,,SUMPRODUCT(1*(iferror(year(Transactions!$A$2:$A54)=$A$1))*(iferror(month(Transactions!$A$2:$A54)=10))*(Transactions!$B$2:$B54="Div")*(Transactions!$C$2:$C54=$A32)*Transactions!$T$2:$T54))</f>
        <v>#N/A</v>
      </c>
      <c r="N32" s="178" t="str">
        <f>if(SUMPRODUCT(1*(iferror(year(Transactions!$A$2:$A54)=$A$1))*(iferror(month(Transactions!$A$2:$A54)=11))*(Transactions!$B$2:$B54="Div")*(Transactions!$C$2:$C54=$A32)*Transactions!$T$2:$T54)=0,,SUMPRODUCT(1*(iferror(year(Transactions!$A$2:$A54)=$A$1))*(iferror(month(Transactions!$A$2:$A54)=11))*(Transactions!$B$2:$B54="Div")*(Transactions!$C$2:$C54=$A32)*Transactions!$T$2:$T54))</f>
        <v>#N/A</v>
      </c>
      <c r="O32" s="178" t="str">
        <f>if(SUMPRODUCT(1*(iferror(year(Transactions!$A$2:$A54)=$A$1))*(iferror(month(Transactions!$A$2:$A54)=12))*(Transactions!$B$2:$B54="Div")*(Transactions!$C$2:$C54=$A32)*Transactions!$T$2:$T54)=0,,SUMPRODUCT(1*(iferror(year(Transactions!$A$2:$A54)=$A$1))*(iferror(month(Transactions!$A$2:$A54)=12))*(Transactions!$B$2:$B54="Div")*(Transactions!$C$2:$C54=$A32)*Transactions!$T$2:$T54))</f>
        <v>#N/A</v>
      </c>
      <c r="P32" s="179"/>
    </row>
    <row r="33">
      <c r="A33" s="45" t="str">
        <f t="shared" si="2"/>
        <v/>
      </c>
      <c r="B33" s="181"/>
      <c r="C33" s="177"/>
      <c r="D33" s="178" t="str">
        <f>if(SUMPRODUCT(1*(iferror(year(Transactions!$A$2:$A54)=$A$1))*(iferror(month(Transactions!$A$2:$A54)=1))*(Transactions!$B$2:$B54="Div")*(Transactions!$C$2:$C54=$A33)*Transactions!$T$2:$T54)=0,,SUMPRODUCT(1*(iferror(year(Transactions!$A$2:$A54)=$A$1))*(iferror(month(Transactions!$A$2:$A54)=1))*(Transactions!$B$2:$B54="Div")*(Transactions!$C$2:$C54=$A33)*Transactions!$T$2:$T54))</f>
        <v>#N/A</v>
      </c>
      <c r="E33" s="178" t="str">
        <f>if(SUMPRODUCT(1*(iferror(year(Transactions!$A$2:$A54)=$A$1))*(iferror(month(Transactions!$A$2:$A54)=2))*(Transactions!$B$2:$B54="Div")*(Transactions!$C$2:$C54=$A33)*Transactions!$T$2:$T54)=0,,SUMPRODUCT(1*(iferror(year(Transactions!$A$2:$A54)=$A$1))*(iferror(month(Transactions!$A$2:$A54)=2))*(Transactions!$B$2:$B54="Div")*(Transactions!$C$2:$C54=$A33)*Transactions!$T$2:$T54))</f>
        <v>#N/A</v>
      </c>
      <c r="F33" s="178" t="str">
        <f>if(SUMPRODUCT(1*(iferror(year(Transactions!$A$2:$A54)=$A$1))*(iferror(month(Transactions!$A$2:$A54)=3))*(Transactions!$B$2:$B54="Div")*(Transactions!$C$2:$C54=$A33)*Transactions!$T$2:$T54)=0,,SUMPRODUCT(1*(iferror(year(Transactions!$A$2:$A54)=$A$1))*(iferror(month(Transactions!$A$2:$A54)=3))*(Transactions!$B$2:$B54="Div")*(Transactions!$C$2:$C54=$A33)*Transactions!$T$2:$T54))</f>
        <v>#N/A</v>
      </c>
      <c r="G33" s="178" t="str">
        <f>if(SUMPRODUCT(1*(iferror(year(Transactions!$A$2:$A54)=$A$1))*(iferror(month(Transactions!$A$2:$A54)=4))*(Transactions!$B$2:$B54="Div")*(Transactions!$C$2:$C54=$A33)*Transactions!$T$2:$T54)=0,,SUMPRODUCT(1*(iferror(year(Transactions!$A$2:$A54)=$A$1))*(iferror(month(Transactions!$A$2:$A54)=4))*(Transactions!$B$2:$B54="Div")*(Transactions!$C$2:$C54=$A33)*Transactions!$T$2:$T54))</f>
        <v>#N/A</v>
      </c>
      <c r="H33" s="178" t="str">
        <f>if(SUMPRODUCT(1*(iferror(year(Transactions!$A$2:$A54)=$A$1))*(iferror(month(Transactions!$A$2:$A54)=5))*(Transactions!$B$2:$B54="Div")*(Transactions!$C$2:$C54=$A33)*Transactions!$T$2:$T54)=0,,SUMPRODUCT(1*(iferror(year(Transactions!$A$2:$A54)=$A$1))*(iferror(month(Transactions!$A$2:$A54)=5))*(Transactions!$B$2:$B54="Div")*(Transactions!$C$2:$C54=$A33)*Transactions!$T$2:$T54))</f>
        <v>#N/A</v>
      </c>
      <c r="I33" s="178" t="str">
        <f>if(SUMPRODUCT(1*(iferror(year(Transactions!$A$2:$A54)=$A$1))*(iferror(month(Transactions!$A$2:$A54)=6))*(Transactions!$B$2:$B54="Div")*(Transactions!$C$2:$C54=$A33)*Transactions!$T$2:$T54)=0,,SUMPRODUCT(1*(iferror(year(Transactions!$A$2:$A54)=$A$1))*(iferror(month(Transactions!$A$2:$A54)=6))*(Transactions!$B$2:$B54="Div")*(Transactions!$C$2:$C54=$A33)*Transactions!$T$2:$T54))</f>
        <v>#N/A</v>
      </c>
      <c r="J33" s="178" t="str">
        <f>if(SUMPRODUCT(1*(iferror(year(Transactions!$A$2:$A54)=$A$1))*(iferror(month(Transactions!$A$2:$A54)=7))*(Transactions!$B$2:$B54="Div")*(Transactions!$C$2:$C54=$A33)*Transactions!$T$2:$T54)=0,,SUMPRODUCT(1*(iferror(year(Transactions!$A$2:$A54)=$A$1))*(iferror(month(Transactions!$A$2:$A54)=7))*(Transactions!$B$2:$B54="Div")*(Transactions!$C$2:$C54=$A33)*Transactions!$T$2:$T54))</f>
        <v>#N/A</v>
      </c>
      <c r="K33" s="178" t="str">
        <f>if(SUMPRODUCT(1*(iferror(year(Transactions!$A$2:$A54)=$A$1))*(iferror(month(Transactions!$A$2:$A54)=8))*(Transactions!$B$2:$B54="Div")*(Transactions!$C$2:$C54=$A33)*Transactions!$T$2:$T54)=0,,SUMPRODUCT(1*(iferror(year(Transactions!$A$2:$A54)=$A$1))*(iferror(month(Transactions!$A$2:$A54)=8))*(Transactions!$B$2:$B54="Div")*(Transactions!$C$2:$C54=$A33)*Transactions!$T$2:$T54))</f>
        <v>#N/A</v>
      </c>
      <c r="L33" s="178" t="str">
        <f>if(SUMPRODUCT(1*(iferror(year(Transactions!$A$2:$A54)=$A$1))*(iferror(month(Transactions!$A$2:$A54)=9))*(Transactions!$B$2:$B54="Div")*(Transactions!$C$2:$C54=$A33)*Transactions!$T$2:$T54)=0,,SUMPRODUCT(1*(iferror(year(Transactions!$A$2:$A54)=$A$1))*(iferror(month(Transactions!$A$2:$A54)=9))*(Transactions!$B$2:$B54="Div")*(Transactions!$C$2:$C54=$A33)*Transactions!$T$2:$T54))</f>
        <v>#N/A</v>
      </c>
      <c r="M33" s="178" t="str">
        <f>if(SUMPRODUCT(1*(iferror(year(Transactions!$A$2:$A54)=$A$1))*(iferror(month(Transactions!$A$2:$A54)=10))*(Transactions!$B$2:$B54="Div")*(Transactions!$C$2:$C54=$A33)*Transactions!$T$2:$T54)=0,,SUMPRODUCT(1*(iferror(year(Transactions!$A$2:$A54)=$A$1))*(iferror(month(Transactions!$A$2:$A54)=10))*(Transactions!$B$2:$B54="Div")*(Transactions!$C$2:$C54=$A33)*Transactions!$T$2:$T54))</f>
        <v>#N/A</v>
      </c>
      <c r="N33" s="178" t="str">
        <f>if(SUMPRODUCT(1*(iferror(year(Transactions!$A$2:$A54)=$A$1))*(iferror(month(Transactions!$A$2:$A54)=11))*(Transactions!$B$2:$B54="Div")*(Transactions!$C$2:$C54=$A33)*Transactions!$T$2:$T54)=0,,SUMPRODUCT(1*(iferror(year(Transactions!$A$2:$A54)=$A$1))*(iferror(month(Transactions!$A$2:$A54)=11))*(Transactions!$B$2:$B54="Div")*(Transactions!$C$2:$C54=$A33)*Transactions!$T$2:$T54))</f>
        <v>#N/A</v>
      </c>
      <c r="O33" s="178" t="str">
        <f>if(SUMPRODUCT(1*(iferror(year(Transactions!$A$2:$A54)=$A$1))*(iferror(month(Transactions!$A$2:$A54)=12))*(Transactions!$B$2:$B54="Div")*(Transactions!$C$2:$C54=$A33)*Transactions!$T$2:$T54)=0,,SUMPRODUCT(1*(iferror(year(Transactions!$A$2:$A54)=$A$1))*(iferror(month(Transactions!$A$2:$A54)=12))*(Transactions!$B$2:$B54="Div")*(Transactions!$C$2:$C54=$A33)*Transactions!$T$2:$T54))</f>
        <v>#N/A</v>
      </c>
      <c r="P33" s="179"/>
    </row>
    <row r="34">
      <c r="A34" s="45" t="str">
        <f t="shared" si="2"/>
        <v/>
      </c>
      <c r="B34" s="181"/>
      <c r="C34" s="177"/>
      <c r="D34" s="178" t="str">
        <f>if(SUMPRODUCT(1*(iferror(year(Transactions!$A$2:$A54)=$A$1))*(iferror(month(Transactions!$A$2:$A54)=1))*(Transactions!$B$2:$B54="Div")*(Transactions!$C$2:$C54=$A34)*Transactions!$T$2:$T54)=0,,SUMPRODUCT(1*(iferror(year(Transactions!$A$2:$A54)=$A$1))*(iferror(month(Transactions!$A$2:$A54)=1))*(Transactions!$B$2:$B54="Div")*(Transactions!$C$2:$C54=$A34)*Transactions!$T$2:$T54))</f>
        <v>#N/A</v>
      </c>
      <c r="E34" s="178" t="str">
        <f>if(SUMPRODUCT(1*(iferror(year(Transactions!$A$2:$A54)=$A$1))*(iferror(month(Transactions!$A$2:$A54)=2))*(Transactions!$B$2:$B54="Div")*(Transactions!$C$2:$C54=$A34)*Transactions!$T$2:$T54)=0,,SUMPRODUCT(1*(iferror(year(Transactions!$A$2:$A54)=$A$1))*(iferror(month(Transactions!$A$2:$A54)=2))*(Transactions!$B$2:$B54="Div")*(Transactions!$C$2:$C54=$A34)*Transactions!$T$2:$T54))</f>
        <v>#N/A</v>
      </c>
      <c r="F34" s="178" t="str">
        <f>if(SUMPRODUCT(1*(iferror(year(Transactions!$A$2:$A54)=$A$1))*(iferror(month(Transactions!$A$2:$A54)=3))*(Transactions!$B$2:$B54="Div")*(Transactions!$C$2:$C54=$A34)*Transactions!$T$2:$T54)=0,,SUMPRODUCT(1*(iferror(year(Transactions!$A$2:$A54)=$A$1))*(iferror(month(Transactions!$A$2:$A54)=3))*(Transactions!$B$2:$B54="Div")*(Transactions!$C$2:$C54=$A34)*Transactions!$T$2:$T54))</f>
        <v>#N/A</v>
      </c>
      <c r="G34" s="178" t="str">
        <f>if(SUMPRODUCT(1*(iferror(year(Transactions!$A$2:$A54)=$A$1))*(iferror(month(Transactions!$A$2:$A54)=4))*(Transactions!$B$2:$B54="Div")*(Transactions!$C$2:$C54=$A34)*Transactions!$T$2:$T54)=0,,SUMPRODUCT(1*(iferror(year(Transactions!$A$2:$A54)=$A$1))*(iferror(month(Transactions!$A$2:$A54)=4))*(Transactions!$B$2:$B54="Div")*(Transactions!$C$2:$C54=$A34)*Transactions!$T$2:$T54))</f>
        <v>#N/A</v>
      </c>
      <c r="H34" s="178" t="str">
        <f>if(SUMPRODUCT(1*(iferror(year(Transactions!$A$2:$A54)=$A$1))*(iferror(month(Transactions!$A$2:$A54)=5))*(Transactions!$B$2:$B54="Div")*(Transactions!$C$2:$C54=$A34)*Transactions!$T$2:$T54)=0,,SUMPRODUCT(1*(iferror(year(Transactions!$A$2:$A54)=$A$1))*(iferror(month(Transactions!$A$2:$A54)=5))*(Transactions!$B$2:$B54="Div")*(Transactions!$C$2:$C54=$A34)*Transactions!$T$2:$T54))</f>
        <v>#N/A</v>
      </c>
      <c r="I34" s="178" t="str">
        <f>if(SUMPRODUCT(1*(iferror(year(Transactions!$A$2:$A54)=$A$1))*(iferror(month(Transactions!$A$2:$A54)=6))*(Transactions!$B$2:$B54="Div")*(Transactions!$C$2:$C54=$A34)*Transactions!$T$2:$T54)=0,,SUMPRODUCT(1*(iferror(year(Transactions!$A$2:$A54)=$A$1))*(iferror(month(Transactions!$A$2:$A54)=6))*(Transactions!$B$2:$B54="Div")*(Transactions!$C$2:$C54=$A34)*Transactions!$T$2:$T54))</f>
        <v>#N/A</v>
      </c>
      <c r="J34" s="178" t="str">
        <f>if(SUMPRODUCT(1*(iferror(year(Transactions!$A$2:$A54)=$A$1))*(iferror(month(Transactions!$A$2:$A54)=7))*(Transactions!$B$2:$B54="Div")*(Transactions!$C$2:$C54=$A34)*Transactions!$T$2:$T54)=0,,SUMPRODUCT(1*(iferror(year(Transactions!$A$2:$A54)=$A$1))*(iferror(month(Transactions!$A$2:$A54)=7))*(Transactions!$B$2:$B54="Div")*(Transactions!$C$2:$C54=$A34)*Transactions!$T$2:$T54))</f>
        <v>#N/A</v>
      </c>
      <c r="K34" s="178" t="str">
        <f>if(SUMPRODUCT(1*(iferror(year(Transactions!$A$2:$A54)=$A$1))*(iferror(month(Transactions!$A$2:$A54)=8))*(Transactions!$B$2:$B54="Div")*(Transactions!$C$2:$C54=$A34)*Transactions!$T$2:$T54)=0,,SUMPRODUCT(1*(iferror(year(Transactions!$A$2:$A54)=$A$1))*(iferror(month(Transactions!$A$2:$A54)=8))*(Transactions!$B$2:$B54="Div")*(Transactions!$C$2:$C54=$A34)*Transactions!$T$2:$T54))</f>
        <v>#N/A</v>
      </c>
      <c r="L34" s="178" t="str">
        <f>if(SUMPRODUCT(1*(iferror(year(Transactions!$A$2:$A54)=$A$1))*(iferror(month(Transactions!$A$2:$A54)=9))*(Transactions!$B$2:$B54="Div")*(Transactions!$C$2:$C54=$A34)*Transactions!$T$2:$T54)=0,,SUMPRODUCT(1*(iferror(year(Transactions!$A$2:$A54)=$A$1))*(iferror(month(Transactions!$A$2:$A54)=9))*(Transactions!$B$2:$B54="Div")*(Transactions!$C$2:$C54=$A34)*Transactions!$T$2:$T54))</f>
        <v>#N/A</v>
      </c>
      <c r="M34" s="178" t="str">
        <f>if(SUMPRODUCT(1*(iferror(year(Transactions!$A$2:$A54)=$A$1))*(iferror(month(Transactions!$A$2:$A54)=10))*(Transactions!$B$2:$B54="Div")*(Transactions!$C$2:$C54=$A34)*Transactions!$T$2:$T54)=0,,SUMPRODUCT(1*(iferror(year(Transactions!$A$2:$A54)=$A$1))*(iferror(month(Transactions!$A$2:$A54)=10))*(Transactions!$B$2:$B54="Div")*(Transactions!$C$2:$C54=$A34)*Transactions!$T$2:$T54))</f>
        <v>#N/A</v>
      </c>
      <c r="N34" s="178" t="str">
        <f>if(SUMPRODUCT(1*(iferror(year(Transactions!$A$2:$A54)=$A$1))*(iferror(month(Transactions!$A$2:$A54)=11))*(Transactions!$B$2:$B54="Div")*(Transactions!$C$2:$C54=$A34)*Transactions!$T$2:$T54)=0,,SUMPRODUCT(1*(iferror(year(Transactions!$A$2:$A54)=$A$1))*(iferror(month(Transactions!$A$2:$A54)=11))*(Transactions!$B$2:$B54="Div")*(Transactions!$C$2:$C54=$A34)*Transactions!$T$2:$T54))</f>
        <v>#N/A</v>
      </c>
      <c r="O34" s="178" t="str">
        <f>if(SUMPRODUCT(1*(iferror(year(Transactions!$A$2:$A54)=$A$1))*(iferror(month(Transactions!$A$2:$A54)=12))*(Transactions!$B$2:$B54="Div")*(Transactions!$C$2:$C54=$A34)*Transactions!$T$2:$T54)=0,,SUMPRODUCT(1*(iferror(year(Transactions!$A$2:$A54)=$A$1))*(iferror(month(Transactions!$A$2:$A54)=12))*(Transactions!$B$2:$B54="Div")*(Transactions!$C$2:$C54=$A34)*Transactions!$T$2:$T54))</f>
        <v>#N/A</v>
      </c>
      <c r="P34" s="179"/>
    </row>
    <row r="35">
      <c r="A35" s="45" t="str">
        <f t="shared" si="2"/>
        <v/>
      </c>
      <c r="B35" s="181"/>
      <c r="C35" s="177"/>
      <c r="D35" s="178" t="str">
        <f>if(SUMPRODUCT(1*(iferror(year(Transactions!$A$2:$A54)=$A$1))*(iferror(month(Transactions!$A$2:$A54)=1))*(Transactions!$B$2:$B54="Div")*(Transactions!$C$2:$C54=$A35)*Transactions!$T$2:$T54)=0,,SUMPRODUCT(1*(iferror(year(Transactions!$A$2:$A54)=$A$1))*(iferror(month(Transactions!$A$2:$A54)=1))*(Transactions!$B$2:$B54="Div")*(Transactions!$C$2:$C54=$A35)*Transactions!$T$2:$T54))</f>
        <v>#N/A</v>
      </c>
      <c r="E35" s="178" t="str">
        <f>if(SUMPRODUCT(1*(iferror(year(Transactions!$A$2:$A54)=$A$1))*(iferror(month(Transactions!$A$2:$A54)=2))*(Transactions!$B$2:$B54="Div")*(Transactions!$C$2:$C54=$A35)*Transactions!$T$2:$T54)=0,,SUMPRODUCT(1*(iferror(year(Transactions!$A$2:$A54)=$A$1))*(iferror(month(Transactions!$A$2:$A54)=2))*(Transactions!$B$2:$B54="Div")*(Transactions!$C$2:$C54=$A35)*Transactions!$T$2:$T54))</f>
        <v>#N/A</v>
      </c>
      <c r="F35" s="178" t="str">
        <f>if(SUMPRODUCT(1*(iferror(year(Transactions!$A$2:$A54)=$A$1))*(iferror(month(Transactions!$A$2:$A54)=3))*(Transactions!$B$2:$B54="Div")*(Transactions!$C$2:$C54=$A35)*Transactions!$T$2:$T54)=0,,SUMPRODUCT(1*(iferror(year(Transactions!$A$2:$A54)=$A$1))*(iferror(month(Transactions!$A$2:$A54)=3))*(Transactions!$B$2:$B54="Div")*(Transactions!$C$2:$C54=$A35)*Transactions!$T$2:$T54))</f>
        <v>#N/A</v>
      </c>
      <c r="G35" s="178" t="str">
        <f>if(SUMPRODUCT(1*(iferror(year(Transactions!$A$2:$A54)=$A$1))*(iferror(month(Transactions!$A$2:$A54)=4))*(Transactions!$B$2:$B54="Div")*(Transactions!$C$2:$C54=$A35)*Transactions!$T$2:$T54)=0,,SUMPRODUCT(1*(iferror(year(Transactions!$A$2:$A54)=$A$1))*(iferror(month(Transactions!$A$2:$A54)=4))*(Transactions!$B$2:$B54="Div")*(Transactions!$C$2:$C54=$A35)*Transactions!$T$2:$T54))</f>
        <v>#N/A</v>
      </c>
      <c r="H35" s="178" t="str">
        <f>if(SUMPRODUCT(1*(iferror(year(Transactions!$A$2:$A54)=$A$1))*(iferror(month(Transactions!$A$2:$A54)=5))*(Transactions!$B$2:$B54="Div")*(Transactions!$C$2:$C54=$A35)*Transactions!$T$2:$T54)=0,,SUMPRODUCT(1*(iferror(year(Transactions!$A$2:$A54)=$A$1))*(iferror(month(Transactions!$A$2:$A54)=5))*(Transactions!$B$2:$B54="Div")*(Transactions!$C$2:$C54=$A35)*Transactions!$T$2:$T54))</f>
        <v>#N/A</v>
      </c>
      <c r="I35" s="178" t="str">
        <f>if(SUMPRODUCT(1*(iferror(year(Transactions!$A$2:$A54)=$A$1))*(iferror(month(Transactions!$A$2:$A54)=6))*(Transactions!$B$2:$B54="Div")*(Transactions!$C$2:$C54=$A35)*Transactions!$T$2:$T54)=0,,SUMPRODUCT(1*(iferror(year(Transactions!$A$2:$A54)=$A$1))*(iferror(month(Transactions!$A$2:$A54)=6))*(Transactions!$B$2:$B54="Div")*(Transactions!$C$2:$C54=$A35)*Transactions!$T$2:$T54))</f>
        <v>#N/A</v>
      </c>
      <c r="J35" s="178" t="str">
        <f>if(SUMPRODUCT(1*(iferror(year(Transactions!$A$2:$A54)=$A$1))*(iferror(month(Transactions!$A$2:$A54)=7))*(Transactions!$B$2:$B54="Div")*(Transactions!$C$2:$C54=$A35)*Transactions!$T$2:$T54)=0,,SUMPRODUCT(1*(iferror(year(Transactions!$A$2:$A54)=$A$1))*(iferror(month(Transactions!$A$2:$A54)=7))*(Transactions!$B$2:$B54="Div")*(Transactions!$C$2:$C54=$A35)*Transactions!$T$2:$T54))</f>
        <v>#N/A</v>
      </c>
      <c r="K35" s="178" t="str">
        <f>if(SUMPRODUCT(1*(iferror(year(Transactions!$A$2:$A54)=$A$1))*(iferror(month(Transactions!$A$2:$A54)=8))*(Transactions!$B$2:$B54="Div")*(Transactions!$C$2:$C54=$A35)*Transactions!$T$2:$T54)=0,,SUMPRODUCT(1*(iferror(year(Transactions!$A$2:$A54)=$A$1))*(iferror(month(Transactions!$A$2:$A54)=8))*(Transactions!$B$2:$B54="Div")*(Transactions!$C$2:$C54=$A35)*Transactions!$T$2:$T54))</f>
        <v>#N/A</v>
      </c>
      <c r="L35" s="178" t="str">
        <f>if(SUMPRODUCT(1*(iferror(year(Transactions!$A$2:$A54)=$A$1))*(iferror(month(Transactions!$A$2:$A54)=9))*(Transactions!$B$2:$B54="Div")*(Transactions!$C$2:$C54=$A35)*Transactions!$T$2:$T54)=0,,SUMPRODUCT(1*(iferror(year(Transactions!$A$2:$A54)=$A$1))*(iferror(month(Transactions!$A$2:$A54)=9))*(Transactions!$B$2:$B54="Div")*(Transactions!$C$2:$C54=$A35)*Transactions!$T$2:$T54))</f>
        <v>#N/A</v>
      </c>
      <c r="M35" s="178" t="str">
        <f>if(SUMPRODUCT(1*(iferror(year(Transactions!$A$2:$A54)=$A$1))*(iferror(month(Transactions!$A$2:$A54)=10))*(Transactions!$B$2:$B54="Div")*(Transactions!$C$2:$C54=$A35)*Transactions!$T$2:$T54)=0,,SUMPRODUCT(1*(iferror(year(Transactions!$A$2:$A54)=$A$1))*(iferror(month(Transactions!$A$2:$A54)=10))*(Transactions!$B$2:$B54="Div")*(Transactions!$C$2:$C54=$A35)*Transactions!$T$2:$T54))</f>
        <v>#N/A</v>
      </c>
      <c r="N35" s="178" t="str">
        <f>if(SUMPRODUCT(1*(iferror(year(Transactions!$A$2:$A54)=$A$1))*(iferror(month(Transactions!$A$2:$A54)=11))*(Transactions!$B$2:$B54="Div")*(Transactions!$C$2:$C54=$A35)*Transactions!$T$2:$T54)=0,,SUMPRODUCT(1*(iferror(year(Transactions!$A$2:$A54)=$A$1))*(iferror(month(Transactions!$A$2:$A54)=11))*(Transactions!$B$2:$B54="Div")*(Transactions!$C$2:$C54=$A35)*Transactions!$T$2:$T54))</f>
        <v>#N/A</v>
      </c>
      <c r="O35" s="178" t="str">
        <f>if(SUMPRODUCT(1*(iferror(year(Transactions!$A$2:$A54)=$A$1))*(iferror(month(Transactions!$A$2:$A54)=12))*(Transactions!$B$2:$B54="Div")*(Transactions!$C$2:$C54=$A35)*Transactions!$T$2:$T54)=0,,SUMPRODUCT(1*(iferror(year(Transactions!$A$2:$A54)=$A$1))*(iferror(month(Transactions!$A$2:$A54)=12))*(Transactions!$B$2:$B54="Div")*(Transactions!$C$2:$C54=$A35)*Transactions!$T$2:$T54))</f>
        <v>#N/A</v>
      </c>
      <c r="P35" s="179"/>
    </row>
    <row r="36">
      <c r="A36" s="45" t="str">
        <f t="shared" si="2"/>
        <v/>
      </c>
      <c r="B36" s="181"/>
      <c r="C36" s="177"/>
      <c r="D36" s="178" t="str">
        <f>if(SUMPRODUCT(1*(iferror(year(Transactions!$A$2:$A54)=$A$1))*(iferror(month(Transactions!$A$2:$A54)=1))*(Transactions!$B$2:$B54="Div")*(Transactions!$C$2:$C54=$A36)*Transactions!$T$2:$T54)=0,,SUMPRODUCT(1*(iferror(year(Transactions!$A$2:$A54)=$A$1))*(iferror(month(Transactions!$A$2:$A54)=1))*(Transactions!$B$2:$B54="Div")*(Transactions!$C$2:$C54=$A36)*Transactions!$T$2:$T54))</f>
        <v>#N/A</v>
      </c>
      <c r="E36" s="178" t="str">
        <f>if(SUMPRODUCT(1*(iferror(year(Transactions!$A$2:$A54)=$A$1))*(iferror(month(Transactions!$A$2:$A54)=2))*(Transactions!$B$2:$B54="Div")*(Transactions!$C$2:$C54=$A36)*Transactions!$T$2:$T54)=0,,SUMPRODUCT(1*(iferror(year(Transactions!$A$2:$A54)=$A$1))*(iferror(month(Transactions!$A$2:$A54)=2))*(Transactions!$B$2:$B54="Div")*(Transactions!$C$2:$C54=$A36)*Transactions!$T$2:$T54))</f>
        <v>#N/A</v>
      </c>
      <c r="F36" s="178" t="str">
        <f>if(SUMPRODUCT(1*(iferror(year(Transactions!$A$2:$A54)=$A$1))*(iferror(month(Transactions!$A$2:$A54)=3))*(Transactions!$B$2:$B54="Div")*(Transactions!$C$2:$C54=$A36)*Transactions!$T$2:$T54)=0,,SUMPRODUCT(1*(iferror(year(Transactions!$A$2:$A54)=$A$1))*(iferror(month(Transactions!$A$2:$A54)=3))*(Transactions!$B$2:$B54="Div")*(Transactions!$C$2:$C54=$A36)*Transactions!$T$2:$T54))</f>
        <v>#N/A</v>
      </c>
      <c r="G36" s="178" t="str">
        <f>if(SUMPRODUCT(1*(iferror(year(Transactions!$A$2:$A54)=$A$1))*(iferror(month(Transactions!$A$2:$A54)=4))*(Transactions!$B$2:$B54="Div")*(Transactions!$C$2:$C54=$A36)*Transactions!$T$2:$T54)=0,,SUMPRODUCT(1*(iferror(year(Transactions!$A$2:$A54)=$A$1))*(iferror(month(Transactions!$A$2:$A54)=4))*(Transactions!$B$2:$B54="Div")*(Transactions!$C$2:$C54=$A36)*Transactions!$T$2:$T54))</f>
        <v>#N/A</v>
      </c>
      <c r="H36" s="178" t="str">
        <f>if(SUMPRODUCT(1*(iferror(year(Transactions!$A$2:$A54)=$A$1))*(iferror(month(Transactions!$A$2:$A54)=5))*(Transactions!$B$2:$B54="Div")*(Transactions!$C$2:$C54=$A36)*Transactions!$T$2:$T54)=0,,SUMPRODUCT(1*(iferror(year(Transactions!$A$2:$A54)=$A$1))*(iferror(month(Transactions!$A$2:$A54)=5))*(Transactions!$B$2:$B54="Div")*(Transactions!$C$2:$C54=$A36)*Transactions!$T$2:$T54))</f>
        <v>#N/A</v>
      </c>
      <c r="I36" s="178" t="str">
        <f>if(SUMPRODUCT(1*(iferror(year(Transactions!$A$2:$A54)=$A$1))*(iferror(month(Transactions!$A$2:$A54)=6))*(Transactions!$B$2:$B54="Div")*(Transactions!$C$2:$C54=$A36)*Transactions!$T$2:$T54)=0,,SUMPRODUCT(1*(iferror(year(Transactions!$A$2:$A54)=$A$1))*(iferror(month(Transactions!$A$2:$A54)=6))*(Transactions!$B$2:$B54="Div")*(Transactions!$C$2:$C54=$A36)*Transactions!$T$2:$T54))</f>
        <v>#N/A</v>
      </c>
      <c r="J36" s="178" t="str">
        <f>if(SUMPRODUCT(1*(iferror(year(Transactions!$A$2:$A54)=$A$1))*(iferror(month(Transactions!$A$2:$A54)=7))*(Transactions!$B$2:$B54="Div")*(Transactions!$C$2:$C54=$A36)*Transactions!$T$2:$T54)=0,,SUMPRODUCT(1*(iferror(year(Transactions!$A$2:$A54)=$A$1))*(iferror(month(Transactions!$A$2:$A54)=7))*(Transactions!$B$2:$B54="Div")*(Transactions!$C$2:$C54=$A36)*Transactions!$T$2:$T54))</f>
        <v>#N/A</v>
      </c>
      <c r="K36" s="178" t="str">
        <f>if(SUMPRODUCT(1*(iferror(year(Transactions!$A$2:$A54)=$A$1))*(iferror(month(Transactions!$A$2:$A54)=8))*(Transactions!$B$2:$B54="Div")*(Transactions!$C$2:$C54=$A36)*Transactions!$T$2:$T54)=0,,SUMPRODUCT(1*(iferror(year(Transactions!$A$2:$A54)=$A$1))*(iferror(month(Transactions!$A$2:$A54)=8))*(Transactions!$B$2:$B54="Div")*(Transactions!$C$2:$C54=$A36)*Transactions!$T$2:$T54))</f>
        <v>#N/A</v>
      </c>
      <c r="L36" s="178" t="str">
        <f>if(SUMPRODUCT(1*(iferror(year(Transactions!$A$2:$A54)=$A$1))*(iferror(month(Transactions!$A$2:$A54)=9))*(Transactions!$B$2:$B54="Div")*(Transactions!$C$2:$C54=$A36)*Transactions!$T$2:$T54)=0,,SUMPRODUCT(1*(iferror(year(Transactions!$A$2:$A54)=$A$1))*(iferror(month(Transactions!$A$2:$A54)=9))*(Transactions!$B$2:$B54="Div")*(Transactions!$C$2:$C54=$A36)*Transactions!$T$2:$T54))</f>
        <v>#N/A</v>
      </c>
      <c r="M36" s="178" t="str">
        <f>if(SUMPRODUCT(1*(iferror(year(Transactions!$A$2:$A54)=$A$1))*(iferror(month(Transactions!$A$2:$A54)=10))*(Transactions!$B$2:$B54="Div")*(Transactions!$C$2:$C54=$A36)*Transactions!$T$2:$T54)=0,,SUMPRODUCT(1*(iferror(year(Transactions!$A$2:$A54)=$A$1))*(iferror(month(Transactions!$A$2:$A54)=10))*(Transactions!$B$2:$B54="Div")*(Transactions!$C$2:$C54=$A36)*Transactions!$T$2:$T54))</f>
        <v>#N/A</v>
      </c>
      <c r="N36" s="178" t="str">
        <f>if(SUMPRODUCT(1*(iferror(year(Transactions!$A$2:$A54)=$A$1))*(iferror(month(Transactions!$A$2:$A54)=11))*(Transactions!$B$2:$B54="Div")*(Transactions!$C$2:$C54=$A36)*Transactions!$T$2:$T54)=0,,SUMPRODUCT(1*(iferror(year(Transactions!$A$2:$A54)=$A$1))*(iferror(month(Transactions!$A$2:$A54)=11))*(Transactions!$B$2:$B54="Div")*(Transactions!$C$2:$C54=$A36)*Transactions!$T$2:$T54))</f>
        <v>#N/A</v>
      </c>
      <c r="O36" s="178" t="str">
        <f>if(SUMPRODUCT(1*(iferror(year(Transactions!$A$2:$A54)=$A$1))*(iferror(month(Transactions!$A$2:$A54)=12))*(Transactions!$B$2:$B54="Div")*(Transactions!$C$2:$C54=$A36)*Transactions!$T$2:$T54)=0,,SUMPRODUCT(1*(iferror(year(Transactions!$A$2:$A54)=$A$1))*(iferror(month(Transactions!$A$2:$A54)=12))*(Transactions!$B$2:$B54="Div")*(Transactions!$C$2:$C54=$A36)*Transactions!$T$2:$T54))</f>
        <v>#N/A</v>
      </c>
      <c r="P36" s="179"/>
    </row>
    <row r="37">
      <c r="A37" s="45" t="str">
        <f t="shared" si="2"/>
        <v/>
      </c>
      <c r="B37" s="181"/>
      <c r="C37" s="177"/>
      <c r="D37" s="178" t="str">
        <f>if(SUMPRODUCT(1*(iferror(year(Transactions!$A$2:$A54)=$A$1))*(iferror(month(Transactions!$A$2:$A54)=1))*(Transactions!$B$2:$B54="Div")*(Transactions!$C$2:$C54=$A37)*Transactions!$T$2:$T54)=0,,SUMPRODUCT(1*(iferror(year(Transactions!$A$2:$A54)=$A$1))*(iferror(month(Transactions!$A$2:$A54)=1))*(Transactions!$B$2:$B54="Div")*(Transactions!$C$2:$C54=$A37)*Transactions!$T$2:$T54))</f>
        <v>#N/A</v>
      </c>
      <c r="E37" s="178" t="str">
        <f>if(SUMPRODUCT(1*(iferror(year(Transactions!$A$2:$A54)=$A$1))*(iferror(month(Transactions!$A$2:$A54)=2))*(Transactions!$B$2:$B54="Div")*(Transactions!$C$2:$C54=$A37)*Transactions!$T$2:$T54)=0,,SUMPRODUCT(1*(iferror(year(Transactions!$A$2:$A54)=$A$1))*(iferror(month(Transactions!$A$2:$A54)=2))*(Transactions!$B$2:$B54="Div")*(Transactions!$C$2:$C54=$A37)*Transactions!$T$2:$T54))</f>
        <v>#N/A</v>
      </c>
      <c r="F37" s="178" t="str">
        <f>if(SUMPRODUCT(1*(iferror(year(Transactions!$A$2:$A54)=$A$1))*(iferror(month(Transactions!$A$2:$A54)=3))*(Transactions!$B$2:$B54="Div")*(Transactions!$C$2:$C54=$A37)*Transactions!$T$2:$T54)=0,,SUMPRODUCT(1*(iferror(year(Transactions!$A$2:$A54)=$A$1))*(iferror(month(Transactions!$A$2:$A54)=3))*(Transactions!$B$2:$B54="Div")*(Transactions!$C$2:$C54=$A37)*Transactions!$T$2:$T54))</f>
        <v>#N/A</v>
      </c>
      <c r="G37" s="178" t="str">
        <f>if(SUMPRODUCT(1*(iferror(year(Transactions!$A$2:$A54)=$A$1))*(iferror(month(Transactions!$A$2:$A54)=4))*(Transactions!$B$2:$B54="Div")*(Transactions!$C$2:$C54=$A37)*Transactions!$T$2:$T54)=0,,SUMPRODUCT(1*(iferror(year(Transactions!$A$2:$A54)=$A$1))*(iferror(month(Transactions!$A$2:$A54)=4))*(Transactions!$B$2:$B54="Div")*(Transactions!$C$2:$C54=$A37)*Transactions!$T$2:$T54))</f>
        <v>#N/A</v>
      </c>
      <c r="H37" s="178" t="str">
        <f>if(SUMPRODUCT(1*(iferror(year(Transactions!$A$2:$A54)=$A$1))*(iferror(month(Transactions!$A$2:$A54)=5))*(Transactions!$B$2:$B54="Div")*(Transactions!$C$2:$C54=$A37)*Transactions!$T$2:$T54)=0,,SUMPRODUCT(1*(iferror(year(Transactions!$A$2:$A54)=$A$1))*(iferror(month(Transactions!$A$2:$A54)=5))*(Transactions!$B$2:$B54="Div")*(Transactions!$C$2:$C54=$A37)*Transactions!$T$2:$T54))</f>
        <v>#N/A</v>
      </c>
      <c r="I37" s="178" t="str">
        <f>if(SUMPRODUCT(1*(iferror(year(Transactions!$A$2:$A54)=$A$1))*(iferror(month(Transactions!$A$2:$A54)=6))*(Transactions!$B$2:$B54="Div")*(Transactions!$C$2:$C54=$A37)*Transactions!$T$2:$T54)=0,,SUMPRODUCT(1*(iferror(year(Transactions!$A$2:$A54)=$A$1))*(iferror(month(Transactions!$A$2:$A54)=6))*(Transactions!$B$2:$B54="Div")*(Transactions!$C$2:$C54=$A37)*Transactions!$T$2:$T54))</f>
        <v>#N/A</v>
      </c>
      <c r="J37" s="178" t="str">
        <f>if(SUMPRODUCT(1*(iferror(year(Transactions!$A$2:$A54)=$A$1))*(iferror(month(Transactions!$A$2:$A54)=7))*(Transactions!$B$2:$B54="Div")*(Transactions!$C$2:$C54=$A37)*Transactions!$T$2:$T54)=0,,SUMPRODUCT(1*(iferror(year(Transactions!$A$2:$A54)=$A$1))*(iferror(month(Transactions!$A$2:$A54)=7))*(Transactions!$B$2:$B54="Div")*(Transactions!$C$2:$C54=$A37)*Transactions!$T$2:$T54))</f>
        <v>#N/A</v>
      </c>
      <c r="K37" s="178" t="str">
        <f>if(SUMPRODUCT(1*(iferror(year(Transactions!$A$2:$A54)=$A$1))*(iferror(month(Transactions!$A$2:$A54)=8))*(Transactions!$B$2:$B54="Div")*(Transactions!$C$2:$C54=$A37)*Transactions!$T$2:$T54)=0,,SUMPRODUCT(1*(iferror(year(Transactions!$A$2:$A54)=$A$1))*(iferror(month(Transactions!$A$2:$A54)=8))*(Transactions!$B$2:$B54="Div")*(Transactions!$C$2:$C54=$A37)*Transactions!$T$2:$T54))</f>
        <v>#N/A</v>
      </c>
      <c r="L37" s="178" t="str">
        <f>if(SUMPRODUCT(1*(iferror(year(Transactions!$A$2:$A54)=$A$1))*(iferror(month(Transactions!$A$2:$A54)=9))*(Transactions!$B$2:$B54="Div")*(Transactions!$C$2:$C54=$A37)*Transactions!$T$2:$T54)=0,,SUMPRODUCT(1*(iferror(year(Transactions!$A$2:$A54)=$A$1))*(iferror(month(Transactions!$A$2:$A54)=9))*(Transactions!$B$2:$B54="Div")*(Transactions!$C$2:$C54=$A37)*Transactions!$T$2:$T54))</f>
        <v>#N/A</v>
      </c>
      <c r="M37" s="178" t="str">
        <f>if(SUMPRODUCT(1*(iferror(year(Transactions!$A$2:$A54)=$A$1))*(iferror(month(Transactions!$A$2:$A54)=10))*(Transactions!$B$2:$B54="Div")*(Transactions!$C$2:$C54=$A37)*Transactions!$T$2:$T54)=0,,SUMPRODUCT(1*(iferror(year(Transactions!$A$2:$A54)=$A$1))*(iferror(month(Transactions!$A$2:$A54)=10))*(Transactions!$B$2:$B54="Div")*(Transactions!$C$2:$C54=$A37)*Transactions!$T$2:$T54))</f>
        <v>#N/A</v>
      </c>
      <c r="N37" s="178" t="str">
        <f>if(SUMPRODUCT(1*(iferror(year(Transactions!$A$2:$A54)=$A$1))*(iferror(month(Transactions!$A$2:$A54)=11))*(Transactions!$B$2:$B54="Div")*(Transactions!$C$2:$C54=$A37)*Transactions!$T$2:$T54)=0,,SUMPRODUCT(1*(iferror(year(Transactions!$A$2:$A54)=$A$1))*(iferror(month(Transactions!$A$2:$A54)=11))*(Transactions!$B$2:$B54="Div")*(Transactions!$C$2:$C54=$A37)*Transactions!$T$2:$T54))</f>
        <v>#N/A</v>
      </c>
      <c r="O37" s="178" t="str">
        <f>if(SUMPRODUCT(1*(iferror(year(Transactions!$A$2:$A54)=$A$1))*(iferror(month(Transactions!$A$2:$A54)=12))*(Transactions!$B$2:$B54="Div")*(Transactions!$C$2:$C54=$A37)*Transactions!$T$2:$T54)=0,,SUMPRODUCT(1*(iferror(year(Transactions!$A$2:$A54)=$A$1))*(iferror(month(Transactions!$A$2:$A54)=12))*(Transactions!$B$2:$B54="Div")*(Transactions!$C$2:$C54=$A37)*Transactions!$T$2:$T54))</f>
        <v>#N/A</v>
      </c>
      <c r="P37" s="179"/>
    </row>
    <row r="38">
      <c r="A38" s="45" t="str">
        <f t="shared" si="2"/>
        <v/>
      </c>
      <c r="B38" s="181"/>
      <c r="C38" s="177"/>
      <c r="D38" s="178" t="str">
        <f>if(SUMPRODUCT(1*(iferror(year(Transactions!$A$2:$A54)=$A$1))*(iferror(month(Transactions!$A$2:$A54)=1))*(Transactions!$B$2:$B54="Div")*(Transactions!$C$2:$C54=$A38)*Transactions!$T$2:$T54)=0,,SUMPRODUCT(1*(iferror(year(Transactions!$A$2:$A54)=$A$1))*(iferror(month(Transactions!$A$2:$A54)=1))*(Transactions!$B$2:$B54="Div")*(Transactions!$C$2:$C54=$A38)*Transactions!$T$2:$T54))</f>
        <v>#N/A</v>
      </c>
      <c r="E38" s="178" t="str">
        <f>if(SUMPRODUCT(1*(iferror(year(Transactions!$A$2:$A54)=$A$1))*(iferror(month(Transactions!$A$2:$A54)=2))*(Transactions!$B$2:$B54="Div")*(Transactions!$C$2:$C54=$A38)*Transactions!$T$2:$T54)=0,,SUMPRODUCT(1*(iferror(year(Transactions!$A$2:$A54)=$A$1))*(iferror(month(Transactions!$A$2:$A54)=2))*(Transactions!$B$2:$B54="Div")*(Transactions!$C$2:$C54=$A38)*Transactions!$T$2:$T54))</f>
        <v>#N/A</v>
      </c>
      <c r="F38" s="178" t="str">
        <f>if(SUMPRODUCT(1*(iferror(year(Transactions!$A$2:$A54)=$A$1))*(iferror(month(Transactions!$A$2:$A54)=3))*(Transactions!$B$2:$B54="Div")*(Transactions!$C$2:$C54=$A38)*Transactions!$T$2:$T54)=0,,SUMPRODUCT(1*(iferror(year(Transactions!$A$2:$A54)=$A$1))*(iferror(month(Transactions!$A$2:$A54)=3))*(Transactions!$B$2:$B54="Div")*(Transactions!$C$2:$C54=$A38)*Transactions!$T$2:$T54))</f>
        <v>#N/A</v>
      </c>
      <c r="G38" s="178" t="str">
        <f>if(SUMPRODUCT(1*(iferror(year(Transactions!$A$2:$A54)=$A$1))*(iferror(month(Transactions!$A$2:$A54)=4))*(Transactions!$B$2:$B54="Div")*(Transactions!$C$2:$C54=$A38)*Transactions!$T$2:$T54)=0,,SUMPRODUCT(1*(iferror(year(Transactions!$A$2:$A54)=$A$1))*(iferror(month(Transactions!$A$2:$A54)=4))*(Transactions!$B$2:$B54="Div")*(Transactions!$C$2:$C54=$A38)*Transactions!$T$2:$T54))</f>
        <v>#N/A</v>
      </c>
      <c r="H38" s="178" t="str">
        <f>if(SUMPRODUCT(1*(iferror(year(Transactions!$A$2:$A54)=$A$1))*(iferror(month(Transactions!$A$2:$A54)=5))*(Transactions!$B$2:$B54="Div")*(Transactions!$C$2:$C54=$A38)*Transactions!$T$2:$T54)=0,,SUMPRODUCT(1*(iferror(year(Transactions!$A$2:$A54)=$A$1))*(iferror(month(Transactions!$A$2:$A54)=5))*(Transactions!$B$2:$B54="Div")*(Transactions!$C$2:$C54=$A38)*Transactions!$T$2:$T54))</f>
        <v>#N/A</v>
      </c>
      <c r="I38" s="178" t="str">
        <f>if(SUMPRODUCT(1*(iferror(year(Transactions!$A$2:$A54)=$A$1))*(iferror(month(Transactions!$A$2:$A54)=6))*(Transactions!$B$2:$B54="Div")*(Transactions!$C$2:$C54=$A38)*Transactions!$T$2:$T54)=0,,SUMPRODUCT(1*(iferror(year(Transactions!$A$2:$A54)=$A$1))*(iferror(month(Transactions!$A$2:$A54)=6))*(Transactions!$B$2:$B54="Div")*(Transactions!$C$2:$C54=$A38)*Transactions!$T$2:$T54))</f>
        <v>#N/A</v>
      </c>
      <c r="J38" s="178" t="str">
        <f>if(SUMPRODUCT(1*(iferror(year(Transactions!$A$2:$A54)=$A$1))*(iferror(month(Transactions!$A$2:$A54)=7))*(Transactions!$B$2:$B54="Div")*(Transactions!$C$2:$C54=$A38)*Transactions!$T$2:$T54)=0,,SUMPRODUCT(1*(iferror(year(Transactions!$A$2:$A54)=$A$1))*(iferror(month(Transactions!$A$2:$A54)=7))*(Transactions!$B$2:$B54="Div")*(Transactions!$C$2:$C54=$A38)*Transactions!$T$2:$T54))</f>
        <v>#N/A</v>
      </c>
      <c r="K38" s="178" t="str">
        <f>if(SUMPRODUCT(1*(iferror(year(Transactions!$A$2:$A54)=$A$1))*(iferror(month(Transactions!$A$2:$A54)=8))*(Transactions!$B$2:$B54="Div")*(Transactions!$C$2:$C54=$A38)*Transactions!$T$2:$T54)=0,,SUMPRODUCT(1*(iferror(year(Transactions!$A$2:$A54)=$A$1))*(iferror(month(Transactions!$A$2:$A54)=8))*(Transactions!$B$2:$B54="Div")*(Transactions!$C$2:$C54=$A38)*Transactions!$T$2:$T54))</f>
        <v>#N/A</v>
      </c>
      <c r="L38" s="178" t="str">
        <f>if(SUMPRODUCT(1*(iferror(year(Transactions!$A$2:$A54)=$A$1))*(iferror(month(Transactions!$A$2:$A54)=9))*(Transactions!$B$2:$B54="Div")*(Transactions!$C$2:$C54=$A38)*Transactions!$T$2:$T54)=0,,SUMPRODUCT(1*(iferror(year(Transactions!$A$2:$A54)=$A$1))*(iferror(month(Transactions!$A$2:$A54)=9))*(Transactions!$B$2:$B54="Div")*(Transactions!$C$2:$C54=$A38)*Transactions!$T$2:$T54))</f>
        <v>#N/A</v>
      </c>
      <c r="M38" s="178" t="str">
        <f>if(SUMPRODUCT(1*(iferror(year(Transactions!$A$2:$A54)=$A$1))*(iferror(month(Transactions!$A$2:$A54)=10))*(Transactions!$B$2:$B54="Div")*(Transactions!$C$2:$C54=$A38)*Transactions!$T$2:$T54)=0,,SUMPRODUCT(1*(iferror(year(Transactions!$A$2:$A54)=$A$1))*(iferror(month(Transactions!$A$2:$A54)=10))*(Transactions!$B$2:$B54="Div")*(Transactions!$C$2:$C54=$A38)*Transactions!$T$2:$T54))</f>
        <v>#N/A</v>
      </c>
      <c r="N38" s="178" t="str">
        <f>if(SUMPRODUCT(1*(iferror(year(Transactions!$A$2:$A54)=$A$1))*(iferror(month(Transactions!$A$2:$A54)=11))*(Transactions!$B$2:$B54="Div")*(Transactions!$C$2:$C54=$A38)*Transactions!$T$2:$T54)=0,,SUMPRODUCT(1*(iferror(year(Transactions!$A$2:$A54)=$A$1))*(iferror(month(Transactions!$A$2:$A54)=11))*(Transactions!$B$2:$B54="Div")*(Transactions!$C$2:$C54=$A38)*Transactions!$T$2:$T54))</f>
        <v>#N/A</v>
      </c>
      <c r="O38" s="178" t="str">
        <f>if(SUMPRODUCT(1*(iferror(year(Transactions!$A$2:$A54)=$A$1))*(iferror(month(Transactions!$A$2:$A54)=12))*(Transactions!$B$2:$B54="Div")*(Transactions!$C$2:$C54=$A38)*Transactions!$T$2:$T54)=0,,SUMPRODUCT(1*(iferror(year(Transactions!$A$2:$A54)=$A$1))*(iferror(month(Transactions!$A$2:$A54)=12))*(Transactions!$B$2:$B54="Div")*(Transactions!$C$2:$C54=$A38)*Transactions!$T$2:$T54))</f>
        <v>#N/A</v>
      </c>
      <c r="P38" s="179"/>
    </row>
    <row r="39">
      <c r="A39" s="45" t="str">
        <f t="shared" si="2"/>
        <v/>
      </c>
      <c r="B39" s="181"/>
      <c r="C39" s="177"/>
      <c r="D39" s="178" t="str">
        <f>if(SUMPRODUCT(1*(iferror(year(Transactions!$A$2:$A54)=$A$1))*(iferror(month(Transactions!$A$2:$A54)=1))*(Transactions!$B$2:$B54="Div")*(Transactions!$C$2:$C54=$A39)*Transactions!$T$2:$T54)=0,,SUMPRODUCT(1*(iferror(year(Transactions!$A$2:$A54)=$A$1))*(iferror(month(Transactions!$A$2:$A54)=1))*(Transactions!$B$2:$B54="Div")*(Transactions!$C$2:$C54=$A39)*Transactions!$T$2:$T54))</f>
        <v>#N/A</v>
      </c>
      <c r="E39" s="178" t="str">
        <f>if(SUMPRODUCT(1*(iferror(year(Transactions!$A$2:$A54)=$A$1))*(iferror(month(Transactions!$A$2:$A54)=2))*(Transactions!$B$2:$B54="Div")*(Transactions!$C$2:$C54=$A39)*Transactions!$T$2:$T54)=0,,SUMPRODUCT(1*(iferror(year(Transactions!$A$2:$A54)=$A$1))*(iferror(month(Transactions!$A$2:$A54)=2))*(Transactions!$B$2:$B54="Div")*(Transactions!$C$2:$C54=$A39)*Transactions!$T$2:$T54))</f>
        <v>#N/A</v>
      </c>
      <c r="F39" s="178" t="str">
        <f>if(SUMPRODUCT(1*(iferror(year(Transactions!$A$2:$A54)=$A$1))*(iferror(month(Transactions!$A$2:$A54)=3))*(Transactions!$B$2:$B54="Div")*(Transactions!$C$2:$C54=$A39)*Transactions!$T$2:$T54)=0,,SUMPRODUCT(1*(iferror(year(Transactions!$A$2:$A54)=$A$1))*(iferror(month(Transactions!$A$2:$A54)=3))*(Transactions!$B$2:$B54="Div")*(Transactions!$C$2:$C54=$A39)*Transactions!$T$2:$T54))</f>
        <v>#N/A</v>
      </c>
      <c r="G39" s="178" t="str">
        <f>if(SUMPRODUCT(1*(iferror(year(Transactions!$A$2:$A54)=$A$1))*(iferror(month(Transactions!$A$2:$A54)=4))*(Transactions!$B$2:$B54="Div")*(Transactions!$C$2:$C54=$A39)*Transactions!$T$2:$T54)=0,,SUMPRODUCT(1*(iferror(year(Transactions!$A$2:$A54)=$A$1))*(iferror(month(Transactions!$A$2:$A54)=4))*(Transactions!$B$2:$B54="Div")*(Transactions!$C$2:$C54=$A39)*Transactions!$T$2:$T54))</f>
        <v>#N/A</v>
      </c>
      <c r="H39" s="178" t="str">
        <f>if(SUMPRODUCT(1*(iferror(year(Transactions!$A$2:$A54)=$A$1))*(iferror(month(Transactions!$A$2:$A54)=5))*(Transactions!$B$2:$B54="Div")*(Transactions!$C$2:$C54=$A39)*Transactions!$T$2:$T54)=0,,SUMPRODUCT(1*(iferror(year(Transactions!$A$2:$A54)=$A$1))*(iferror(month(Transactions!$A$2:$A54)=5))*(Transactions!$B$2:$B54="Div")*(Transactions!$C$2:$C54=$A39)*Transactions!$T$2:$T54))</f>
        <v>#N/A</v>
      </c>
      <c r="I39" s="178" t="str">
        <f>if(SUMPRODUCT(1*(iferror(year(Transactions!$A$2:$A54)=$A$1))*(iferror(month(Transactions!$A$2:$A54)=6))*(Transactions!$B$2:$B54="Div")*(Transactions!$C$2:$C54=$A39)*Transactions!$T$2:$T54)=0,,SUMPRODUCT(1*(iferror(year(Transactions!$A$2:$A54)=$A$1))*(iferror(month(Transactions!$A$2:$A54)=6))*(Transactions!$B$2:$B54="Div")*(Transactions!$C$2:$C54=$A39)*Transactions!$T$2:$T54))</f>
        <v>#N/A</v>
      </c>
      <c r="J39" s="178" t="str">
        <f>if(SUMPRODUCT(1*(iferror(year(Transactions!$A$2:$A54)=$A$1))*(iferror(month(Transactions!$A$2:$A54)=7))*(Transactions!$B$2:$B54="Div")*(Transactions!$C$2:$C54=$A39)*Transactions!$T$2:$T54)=0,,SUMPRODUCT(1*(iferror(year(Transactions!$A$2:$A54)=$A$1))*(iferror(month(Transactions!$A$2:$A54)=7))*(Transactions!$B$2:$B54="Div")*(Transactions!$C$2:$C54=$A39)*Transactions!$T$2:$T54))</f>
        <v>#N/A</v>
      </c>
      <c r="K39" s="178" t="str">
        <f>if(SUMPRODUCT(1*(iferror(year(Transactions!$A$2:$A54)=$A$1))*(iferror(month(Transactions!$A$2:$A54)=8))*(Transactions!$B$2:$B54="Div")*(Transactions!$C$2:$C54=$A39)*Transactions!$T$2:$T54)=0,,SUMPRODUCT(1*(iferror(year(Transactions!$A$2:$A54)=$A$1))*(iferror(month(Transactions!$A$2:$A54)=8))*(Transactions!$B$2:$B54="Div")*(Transactions!$C$2:$C54=$A39)*Transactions!$T$2:$T54))</f>
        <v>#N/A</v>
      </c>
      <c r="L39" s="178" t="str">
        <f>if(SUMPRODUCT(1*(iferror(year(Transactions!$A$2:$A54)=$A$1))*(iferror(month(Transactions!$A$2:$A54)=9))*(Transactions!$B$2:$B54="Div")*(Transactions!$C$2:$C54=$A39)*Transactions!$T$2:$T54)=0,,SUMPRODUCT(1*(iferror(year(Transactions!$A$2:$A54)=$A$1))*(iferror(month(Transactions!$A$2:$A54)=9))*(Transactions!$B$2:$B54="Div")*(Transactions!$C$2:$C54=$A39)*Transactions!$T$2:$T54))</f>
        <v>#N/A</v>
      </c>
      <c r="M39" s="178" t="str">
        <f>if(SUMPRODUCT(1*(iferror(year(Transactions!$A$2:$A54)=$A$1))*(iferror(month(Transactions!$A$2:$A54)=10))*(Transactions!$B$2:$B54="Div")*(Transactions!$C$2:$C54=$A39)*Transactions!$T$2:$T54)=0,,SUMPRODUCT(1*(iferror(year(Transactions!$A$2:$A54)=$A$1))*(iferror(month(Transactions!$A$2:$A54)=10))*(Transactions!$B$2:$B54="Div")*(Transactions!$C$2:$C54=$A39)*Transactions!$T$2:$T54))</f>
        <v>#N/A</v>
      </c>
      <c r="N39" s="178" t="str">
        <f>if(SUMPRODUCT(1*(iferror(year(Transactions!$A$2:$A54)=$A$1))*(iferror(month(Transactions!$A$2:$A54)=11))*(Transactions!$B$2:$B54="Div")*(Transactions!$C$2:$C54=$A39)*Transactions!$T$2:$T54)=0,,SUMPRODUCT(1*(iferror(year(Transactions!$A$2:$A54)=$A$1))*(iferror(month(Transactions!$A$2:$A54)=11))*(Transactions!$B$2:$B54="Div")*(Transactions!$C$2:$C54=$A39)*Transactions!$T$2:$T54))</f>
        <v>#N/A</v>
      </c>
      <c r="O39" s="178" t="str">
        <f>if(SUMPRODUCT(1*(iferror(year(Transactions!$A$2:$A54)=$A$1))*(iferror(month(Transactions!$A$2:$A54)=12))*(Transactions!$B$2:$B54="Div")*(Transactions!$C$2:$C54=$A39)*Transactions!$T$2:$T54)=0,,SUMPRODUCT(1*(iferror(year(Transactions!$A$2:$A54)=$A$1))*(iferror(month(Transactions!$A$2:$A54)=12))*(Transactions!$B$2:$B54="Div")*(Transactions!$C$2:$C54=$A39)*Transactions!$T$2:$T54))</f>
        <v>#N/A</v>
      </c>
      <c r="P39" s="179"/>
    </row>
    <row r="40">
      <c r="A40" s="45" t="str">
        <f t="shared" si="2"/>
        <v/>
      </c>
      <c r="B40" s="181"/>
      <c r="C40" s="177"/>
      <c r="D40" s="178" t="str">
        <f>if(SUMPRODUCT(1*(iferror(year(Transactions!$A$2:$A54)=$A$1))*(iferror(month(Transactions!$A$2:$A54)=1))*(Transactions!$B$2:$B54="Div")*(Transactions!$C$2:$C54=$A40)*Transactions!$T$2:$T54)=0,,SUMPRODUCT(1*(iferror(year(Transactions!$A$2:$A54)=$A$1))*(iferror(month(Transactions!$A$2:$A54)=1))*(Transactions!$B$2:$B54="Div")*(Transactions!$C$2:$C54=$A40)*Transactions!$T$2:$T54))</f>
        <v>#N/A</v>
      </c>
      <c r="E40" s="178" t="str">
        <f>if(SUMPRODUCT(1*(iferror(year(Transactions!$A$2:$A54)=$A$1))*(iferror(month(Transactions!$A$2:$A54)=2))*(Transactions!$B$2:$B54="Div")*(Transactions!$C$2:$C54=$A40)*Transactions!$T$2:$T54)=0,,SUMPRODUCT(1*(iferror(year(Transactions!$A$2:$A54)=$A$1))*(iferror(month(Transactions!$A$2:$A54)=2))*(Transactions!$B$2:$B54="Div")*(Transactions!$C$2:$C54=$A40)*Transactions!$T$2:$T54))</f>
        <v>#N/A</v>
      </c>
      <c r="F40" s="178" t="str">
        <f>if(SUMPRODUCT(1*(iferror(year(Transactions!$A$2:$A54)=$A$1))*(iferror(month(Transactions!$A$2:$A54)=3))*(Transactions!$B$2:$B54="Div")*(Transactions!$C$2:$C54=$A40)*Transactions!$T$2:$T54)=0,,SUMPRODUCT(1*(iferror(year(Transactions!$A$2:$A54)=$A$1))*(iferror(month(Transactions!$A$2:$A54)=3))*(Transactions!$B$2:$B54="Div")*(Transactions!$C$2:$C54=$A40)*Transactions!$T$2:$T54))</f>
        <v>#N/A</v>
      </c>
      <c r="G40" s="178" t="str">
        <f>if(SUMPRODUCT(1*(iferror(year(Transactions!$A$2:$A54)=$A$1))*(iferror(month(Transactions!$A$2:$A54)=4))*(Transactions!$B$2:$B54="Div")*(Transactions!$C$2:$C54=$A40)*Transactions!$T$2:$T54)=0,,SUMPRODUCT(1*(iferror(year(Transactions!$A$2:$A54)=$A$1))*(iferror(month(Transactions!$A$2:$A54)=4))*(Transactions!$B$2:$B54="Div")*(Transactions!$C$2:$C54=$A40)*Transactions!$T$2:$T54))</f>
        <v>#N/A</v>
      </c>
      <c r="H40" s="178" t="str">
        <f>if(SUMPRODUCT(1*(iferror(year(Transactions!$A$2:$A54)=$A$1))*(iferror(month(Transactions!$A$2:$A54)=5))*(Transactions!$B$2:$B54="Div")*(Transactions!$C$2:$C54=$A40)*Transactions!$T$2:$T54)=0,,SUMPRODUCT(1*(iferror(year(Transactions!$A$2:$A54)=$A$1))*(iferror(month(Transactions!$A$2:$A54)=5))*(Transactions!$B$2:$B54="Div")*(Transactions!$C$2:$C54=$A40)*Transactions!$T$2:$T54))</f>
        <v>#N/A</v>
      </c>
      <c r="I40" s="178" t="str">
        <f>if(SUMPRODUCT(1*(iferror(year(Transactions!$A$2:$A54)=$A$1))*(iferror(month(Transactions!$A$2:$A54)=6))*(Transactions!$B$2:$B54="Div")*(Transactions!$C$2:$C54=$A40)*Transactions!$T$2:$T54)=0,,SUMPRODUCT(1*(iferror(year(Transactions!$A$2:$A54)=$A$1))*(iferror(month(Transactions!$A$2:$A54)=6))*(Transactions!$B$2:$B54="Div")*(Transactions!$C$2:$C54=$A40)*Transactions!$T$2:$T54))</f>
        <v>#N/A</v>
      </c>
      <c r="J40" s="178" t="str">
        <f>if(SUMPRODUCT(1*(iferror(year(Transactions!$A$2:$A54)=$A$1))*(iferror(month(Transactions!$A$2:$A54)=7))*(Transactions!$B$2:$B54="Div")*(Transactions!$C$2:$C54=$A40)*Transactions!$T$2:$T54)=0,,SUMPRODUCT(1*(iferror(year(Transactions!$A$2:$A54)=$A$1))*(iferror(month(Transactions!$A$2:$A54)=7))*(Transactions!$B$2:$B54="Div")*(Transactions!$C$2:$C54=$A40)*Transactions!$T$2:$T54))</f>
        <v>#N/A</v>
      </c>
      <c r="K40" s="178" t="str">
        <f>if(SUMPRODUCT(1*(iferror(year(Transactions!$A$2:$A54)=$A$1))*(iferror(month(Transactions!$A$2:$A54)=8))*(Transactions!$B$2:$B54="Div")*(Transactions!$C$2:$C54=$A40)*Transactions!$T$2:$T54)=0,,SUMPRODUCT(1*(iferror(year(Transactions!$A$2:$A54)=$A$1))*(iferror(month(Transactions!$A$2:$A54)=8))*(Transactions!$B$2:$B54="Div")*(Transactions!$C$2:$C54=$A40)*Transactions!$T$2:$T54))</f>
        <v>#N/A</v>
      </c>
      <c r="L40" s="178" t="str">
        <f>if(SUMPRODUCT(1*(iferror(year(Transactions!$A$2:$A54)=$A$1))*(iferror(month(Transactions!$A$2:$A54)=9))*(Transactions!$B$2:$B54="Div")*(Transactions!$C$2:$C54=$A40)*Transactions!$T$2:$T54)=0,,SUMPRODUCT(1*(iferror(year(Transactions!$A$2:$A54)=$A$1))*(iferror(month(Transactions!$A$2:$A54)=9))*(Transactions!$B$2:$B54="Div")*(Transactions!$C$2:$C54=$A40)*Transactions!$T$2:$T54))</f>
        <v>#N/A</v>
      </c>
      <c r="M40" s="178" t="str">
        <f>if(SUMPRODUCT(1*(iferror(year(Transactions!$A$2:$A54)=$A$1))*(iferror(month(Transactions!$A$2:$A54)=10))*(Transactions!$B$2:$B54="Div")*(Transactions!$C$2:$C54=$A40)*Transactions!$T$2:$T54)=0,,SUMPRODUCT(1*(iferror(year(Transactions!$A$2:$A54)=$A$1))*(iferror(month(Transactions!$A$2:$A54)=10))*(Transactions!$B$2:$B54="Div")*(Transactions!$C$2:$C54=$A40)*Transactions!$T$2:$T54))</f>
        <v>#N/A</v>
      </c>
      <c r="N40" s="178" t="str">
        <f>if(SUMPRODUCT(1*(iferror(year(Transactions!$A$2:$A54)=$A$1))*(iferror(month(Transactions!$A$2:$A54)=11))*(Transactions!$B$2:$B54="Div")*(Transactions!$C$2:$C54=$A40)*Transactions!$T$2:$T54)=0,,SUMPRODUCT(1*(iferror(year(Transactions!$A$2:$A54)=$A$1))*(iferror(month(Transactions!$A$2:$A54)=11))*(Transactions!$B$2:$B54="Div")*(Transactions!$C$2:$C54=$A40)*Transactions!$T$2:$T54))</f>
        <v>#N/A</v>
      </c>
      <c r="O40" s="178" t="str">
        <f>if(SUMPRODUCT(1*(iferror(year(Transactions!$A$2:$A54)=$A$1))*(iferror(month(Transactions!$A$2:$A54)=12))*(Transactions!$B$2:$B54="Div")*(Transactions!$C$2:$C54=$A40)*Transactions!$T$2:$T54)=0,,SUMPRODUCT(1*(iferror(year(Transactions!$A$2:$A54)=$A$1))*(iferror(month(Transactions!$A$2:$A54)=12))*(Transactions!$B$2:$B54="Div")*(Transactions!$C$2:$C54=$A40)*Transactions!$T$2:$T54))</f>
        <v>#N/A</v>
      </c>
      <c r="P40" s="179"/>
    </row>
    <row r="41">
      <c r="A41" s="45" t="str">
        <f t="shared" si="2"/>
        <v/>
      </c>
      <c r="B41" s="181"/>
      <c r="C41" s="177"/>
      <c r="D41" s="178" t="str">
        <f>if(SUMPRODUCT(1*(iferror(year(Transactions!$A$2:$A54)=$A$1))*(iferror(month(Transactions!$A$2:$A54)=1))*(Transactions!$B$2:$B54="Div")*(Transactions!$C$2:$C54=$A41)*Transactions!$T$2:$T54)=0,,SUMPRODUCT(1*(iferror(year(Transactions!$A$2:$A54)=$A$1))*(iferror(month(Transactions!$A$2:$A54)=1))*(Transactions!$B$2:$B54="Div")*(Transactions!$C$2:$C54=$A41)*Transactions!$T$2:$T54))</f>
        <v>#N/A</v>
      </c>
      <c r="E41" s="178" t="str">
        <f>if(SUMPRODUCT(1*(iferror(year(Transactions!$A$2:$A54)=$A$1))*(iferror(month(Transactions!$A$2:$A54)=2))*(Transactions!$B$2:$B54="Div")*(Transactions!$C$2:$C54=$A41)*Transactions!$T$2:$T54)=0,,SUMPRODUCT(1*(iferror(year(Transactions!$A$2:$A54)=$A$1))*(iferror(month(Transactions!$A$2:$A54)=2))*(Transactions!$B$2:$B54="Div")*(Transactions!$C$2:$C54=$A41)*Transactions!$T$2:$T54))</f>
        <v>#N/A</v>
      </c>
      <c r="F41" s="178" t="str">
        <f>if(SUMPRODUCT(1*(iferror(year(Transactions!$A$2:$A54)=$A$1))*(iferror(month(Transactions!$A$2:$A54)=3))*(Transactions!$B$2:$B54="Div")*(Transactions!$C$2:$C54=$A41)*Transactions!$T$2:$T54)=0,,SUMPRODUCT(1*(iferror(year(Transactions!$A$2:$A54)=$A$1))*(iferror(month(Transactions!$A$2:$A54)=3))*(Transactions!$B$2:$B54="Div")*(Transactions!$C$2:$C54=$A41)*Transactions!$T$2:$T54))</f>
        <v>#N/A</v>
      </c>
      <c r="G41" s="178" t="str">
        <f>if(SUMPRODUCT(1*(iferror(year(Transactions!$A$2:$A54)=$A$1))*(iferror(month(Transactions!$A$2:$A54)=4))*(Transactions!$B$2:$B54="Div")*(Transactions!$C$2:$C54=$A41)*Transactions!$T$2:$T54)=0,,SUMPRODUCT(1*(iferror(year(Transactions!$A$2:$A54)=$A$1))*(iferror(month(Transactions!$A$2:$A54)=4))*(Transactions!$B$2:$B54="Div")*(Transactions!$C$2:$C54=$A41)*Transactions!$T$2:$T54))</f>
        <v>#N/A</v>
      </c>
      <c r="H41" s="178" t="str">
        <f>if(SUMPRODUCT(1*(iferror(year(Transactions!$A$2:$A54)=$A$1))*(iferror(month(Transactions!$A$2:$A54)=5))*(Transactions!$B$2:$B54="Div")*(Transactions!$C$2:$C54=$A41)*Transactions!$T$2:$T54)=0,,SUMPRODUCT(1*(iferror(year(Transactions!$A$2:$A54)=$A$1))*(iferror(month(Transactions!$A$2:$A54)=5))*(Transactions!$B$2:$B54="Div")*(Transactions!$C$2:$C54=$A41)*Transactions!$T$2:$T54))</f>
        <v>#N/A</v>
      </c>
      <c r="I41" s="178" t="str">
        <f>if(SUMPRODUCT(1*(iferror(year(Transactions!$A$2:$A54)=$A$1))*(iferror(month(Transactions!$A$2:$A54)=6))*(Transactions!$B$2:$B54="Div")*(Transactions!$C$2:$C54=$A41)*Transactions!$T$2:$T54)=0,,SUMPRODUCT(1*(iferror(year(Transactions!$A$2:$A54)=$A$1))*(iferror(month(Transactions!$A$2:$A54)=6))*(Transactions!$B$2:$B54="Div")*(Transactions!$C$2:$C54=$A41)*Transactions!$T$2:$T54))</f>
        <v>#N/A</v>
      </c>
      <c r="J41" s="178" t="str">
        <f>if(SUMPRODUCT(1*(iferror(year(Transactions!$A$2:$A54)=$A$1))*(iferror(month(Transactions!$A$2:$A54)=7))*(Transactions!$B$2:$B54="Div")*(Transactions!$C$2:$C54=$A41)*Transactions!$T$2:$T54)=0,,SUMPRODUCT(1*(iferror(year(Transactions!$A$2:$A54)=$A$1))*(iferror(month(Transactions!$A$2:$A54)=7))*(Transactions!$B$2:$B54="Div")*(Transactions!$C$2:$C54=$A41)*Transactions!$T$2:$T54))</f>
        <v>#N/A</v>
      </c>
      <c r="K41" s="178" t="str">
        <f>if(SUMPRODUCT(1*(iferror(year(Transactions!$A$2:$A54)=$A$1))*(iferror(month(Transactions!$A$2:$A54)=8))*(Transactions!$B$2:$B54="Div")*(Transactions!$C$2:$C54=$A41)*Transactions!$T$2:$T54)=0,,SUMPRODUCT(1*(iferror(year(Transactions!$A$2:$A54)=$A$1))*(iferror(month(Transactions!$A$2:$A54)=8))*(Transactions!$B$2:$B54="Div")*(Transactions!$C$2:$C54=$A41)*Transactions!$T$2:$T54))</f>
        <v>#N/A</v>
      </c>
      <c r="L41" s="178" t="str">
        <f>if(SUMPRODUCT(1*(iferror(year(Transactions!$A$2:$A54)=$A$1))*(iferror(month(Transactions!$A$2:$A54)=9))*(Transactions!$B$2:$B54="Div")*(Transactions!$C$2:$C54=$A41)*Transactions!$T$2:$T54)=0,,SUMPRODUCT(1*(iferror(year(Transactions!$A$2:$A54)=$A$1))*(iferror(month(Transactions!$A$2:$A54)=9))*(Transactions!$B$2:$B54="Div")*(Transactions!$C$2:$C54=$A41)*Transactions!$T$2:$T54))</f>
        <v>#N/A</v>
      </c>
      <c r="M41" s="178" t="str">
        <f>if(SUMPRODUCT(1*(iferror(year(Transactions!$A$2:$A54)=$A$1))*(iferror(month(Transactions!$A$2:$A54)=10))*(Transactions!$B$2:$B54="Div")*(Transactions!$C$2:$C54=$A41)*Transactions!$T$2:$T54)=0,,SUMPRODUCT(1*(iferror(year(Transactions!$A$2:$A54)=$A$1))*(iferror(month(Transactions!$A$2:$A54)=10))*(Transactions!$B$2:$B54="Div")*(Transactions!$C$2:$C54=$A41)*Transactions!$T$2:$T54))</f>
        <v>#N/A</v>
      </c>
      <c r="N41" s="178" t="str">
        <f>if(SUMPRODUCT(1*(iferror(year(Transactions!$A$2:$A54)=$A$1))*(iferror(month(Transactions!$A$2:$A54)=11))*(Transactions!$B$2:$B54="Div")*(Transactions!$C$2:$C54=$A41)*Transactions!$T$2:$T54)=0,,SUMPRODUCT(1*(iferror(year(Transactions!$A$2:$A54)=$A$1))*(iferror(month(Transactions!$A$2:$A54)=11))*(Transactions!$B$2:$B54="Div")*(Transactions!$C$2:$C54=$A41)*Transactions!$T$2:$T54))</f>
        <v>#N/A</v>
      </c>
      <c r="O41" s="178" t="str">
        <f>if(SUMPRODUCT(1*(iferror(year(Transactions!$A$2:$A54)=$A$1))*(iferror(month(Transactions!$A$2:$A54)=12))*(Transactions!$B$2:$B54="Div")*(Transactions!$C$2:$C54=$A41)*Transactions!$T$2:$T54)=0,,SUMPRODUCT(1*(iferror(year(Transactions!$A$2:$A54)=$A$1))*(iferror(month(Transactions!$A$2:$A54)=12))*(Transactions!$B$2:$B54="Div")*(Transactions!$C$2:$C54=$A41)*Transactions!$T$2:$T54))</f>
        <v>#N/A</v>
      </c>
      <c r="P41" s="179"/>
    </row>
    <row r="42">
      <c r="A42" s="45" t="str">
        <f t="shared" si="2"/>
        <v/>
      </c>
      <c r="B42" s="181"/>
      <c r="C42" s="177"/>
      <c r="D42" s="178" t="str">
        <f>if(SUMPRODUCT(1*(iferror(year(Transactions!$A$2:$A54)=$A$1))*(iferror(month(Transactions!$A$2:$A54)=1))*(Transactions!$B$2:$B54="Div")*(Transactions!$C$2:$C54=$A42)*Transactions!$T$2:$T54)=0,,SUMPRODUCT(1*(iferror(year(Transactions!$A$2:$A54)=$A$1))*(iferror(month(Transactions!$A$2:$A54)=1))*(Transactions!$B$2:$B54="Div")*(Transactions!$C$2:$C54=$A42)*Transactions!$T$2:$T54))</f>
        <v>#N/A</v>
      </c>
      <c r="E42" s="178" t="str">
        <f>if(SUMPRODUCT(1*(iferror(year(Transactions!$A$2:$A54)=$A$1))*(iferror(month(Transactions!$A$2:$A54)=2))*(Transactions!$B$2:$B54="Div")*(Transactions!$C$2:$C54=$A42)*Transactions!$T$2:$T54)=0,,SUMPRODUCT(1*(iferror(year(Transactions!$A$2:$A54)=$A$1))*(iferror(month(Transactions!$A$2:$A54)=2))*(Transactions!$B$2:$B54="Div")*(Transactions!$C$2:$C54=$A42)*Transactions!$T$2:$T54))</f>
        <v>#N/A</v>
      </c>
      <c r="F42" s="178" t="str">
        <f>if(SUMPRODUCT(1*(iferror(year(Transactions!$A$2:$A54)=$A$1))*(iferror(month(Transactions!$A$2:$A54)=3))*(Transactions!$B$2:$B54="Div")*(Transactions!$C$2:$C54=$A42)*Transactions!$T$2:$T54)=0,,SUMPRODUCT(1*(iferror(year(Transactions!$A$2:$A54)=$A$1))*(iferror(month(Transactions!$A$2:$A54)=3))*(Transactions!$B$2:$B54="Div")*(Transactions!$C$2:$C54=$A42)*Transactions!$T$2:$T54))</f>
        <v>#N/A</v>
      </c>
      <c r="G42" s="178" t="str">
        <f>if(SUMPRODUCT(1*(iferror(year(Transactions!$A$2:$A54)=$A$1))*(iferror(month(Transactions!$A$2:$A54)=4))*(Transactions!$B$2:$B54="Div")*(Transactions!$C$2:$C54=$A42)*Transactions!$T$2:$T54)=0,,SUMPRODUCT(1*(iferror(year(Transactions!$A$2:$A54)=$A$1))*(iferror(month(Transactions!$A$2:$A54)=4))*(Transactions!$B$2:$B54="Div")*(Transactions!$C$2:$C54=$A42)*Transactions!$T$2:$T54))</f>
        <v>#N/A</v>
      </c>
      <c r="H42" s="178" t="str">
        <f>if(SUMPRODUCT(1*(iferror(year(Transactions!$A$2:$A54)=$A$1))*(iferror(month(Transactions!$A$2:$A54)=5))*(Transactions!$B$2:$B54="Div")*(Transactions!$C$2:$C54=$A42)*Transactions!$T$2:$T54)=0,,SUMPRODUCT(1*(iferror(year(Transactions!$A$2:$A54)=$A$1))*(iferror(month(Transactions!$A$2:$A54)=5))*(Transactions!$B$2:$B54="Div")*(Transactions!$C$2:$C54=$A42)*Transactions!$T$2:$T54))</f>
        <v>#N/A</v>
      </c>
      <c r="I42" s="178" t="str">
        <f>if(SUMPRODUCT(1*(iferror(year(Transactions!$A$2:$A54)=$A$1))*(iferror(month(Transactions!$A$2:$A54)=6))*(Transactions!$B$2:$B54="Div")*(Transactions!$C$2:$C54=$A42)*Transactions!$T$2:$T54)=0,,SUMPRODUCT(1*(iferror(year(Transactions!$A$2:$A54)=$A$1))*(iferror(month(Transactions!$A$2:$A54)=6))*(Transactions!$B$2:$B54="Div")*(Transactions!$C$2:$C54=$A42)*Transactions!$T$2:$T54))</f>
        <v>#N/A</v>
      </c>
      <c r="J42" s="178" t="str">
        <f>if(SUMPRODUCT(1*(iferror(year(Transactions!$A$2:$A54)=$A$1))*(iferror(month(Transactions!$A$2:$A54)=7))*(Transactions!$B$2:$B54="Div")*(Transactions!$C$2:$C54=$A42)*Transactions!$T$2:$T54)=0,,SUMPRODUCT(1*(iferror(year(Transactions!$A$2:$A54)=$A$1))*(iferror(month(Transactions!$A$2:$A54)=7))*(Transactions!$B$2:$B54="Div")*(Transactions!$C$2:$C54=$A42)*Transactions!$T$2:$T54))</f>
        <v>#N/A</v>
      </c>
      <c r="K42" s="178" t="str">
        <f>if(SUMPRODUCT(1*(iferror(year(Transactions!$A$2:$A54)=$A$1))*(iferror(month(Transactions!$A$2:$A54)=8))*(Transactions!$B$2:$B54="Div")*(Transactions!$C$2:$C54=$A42)*Transactions!$T$2:$T54)=0,,SUMPRODUCT(1*(iferror(year(Transactions!$A$2:$A54)=$A$1))*(iferror(month(Transactions!$A$2:$A54)=8))*(Transactions!$B$2:$B54="Div")*(Transactions!$C$2:$C54=$A42)*Transactions!$T$2:$T54))</f>
        <v>#N/A</v>
      </c>
      <c r="L42" s="178" t="str">
        <f>if(SUMPRODUCT(1*(iferror(year(Transactions!$A$2:$A54)=$A$1))*(iferror(month(Transactions!$A$2:$A54)=9))*(Transactions!$B$2:$B54="Div")*(Transactions!$C$2:$C54=$A42)*Transactions!$T$2:$T54)=0,,SUMPRODUCT(1*(iferror(year(Transactions!$A$2:$A54)=$A$1))*(iferror(month(Transactions!$A$2:$A54)=9))*(Transactions!$B$2:$B54="Div")*(Transactions!$C$2:$C54=$A42)*Transactions!$T$2:$T54))</f>
        <v>#N/A</v>
      </c>
      <c r="M42" s="178" t="str">
        <f>if(SUMPRODUCT(1*(iferror(year(Transactions!$A$2:$A54)=$A$1))*(iferror(month(Transactions!$A$2:$A54)=10))*(Transactions!$B$2:$B54="Div")*(Transactions!$C$2:$C54=$A42)*Transactions!$T$2:$T54)=0,,SUMPRODUCT(1*(iferror(year(Transactions!$A$2:$A54)=$A$1))*(iferror(month(Transactions!$A$2:$A54)=10))*(Transactions!$B$2:$B54="Div")*(Transactions!$C$2:$C54=$A42)*Transactions!$T$2:$T54))</f>
        <v>#N/A</v>
      </c>
      <c r="N42" s="178" t="str">
        <f>if(SUMPRODUCT(1*(iferror(year(Transactions!$A$2:$A54)=$A$1))*(iferror(month(Transactions!$A$2:$A54)=11))*(Transactions!$B$2:$B54="Div")*(Transactions!$C$2:$C54=$A42)*Transactions!$T$2:$T54)=0,,SUMPRODUCT(1*(iferror(year(Transactions!$A$2:$A54)=$A$1))*(iferror(month(Transactions!$A$2:$A54)=11))*(Transactions!$B$2:$B54="Div")*(Transactions!$C$2:$C54=$A42)*Transactions!$T$2:$T54))</f>
        <v>#N/A</v>
      </c>
      <c r="O42" s="178" t="str">
        <f>if(SUMPRODUCT(1*(iferror(year(Transactions!$A$2:$A54)=$A$1))*(iferror(month(Transactions!$A$2:$A54)=12))*(Transactions!$B$2:$B54="Div")*(Transactions!$C$2:$C54=$A42)*Transactions!$T$2:$T54)=0,,SUMPRODUCT(1*(iferror(year(Transactions!$A$2:$A54)=$A$1))*(iferror(month(Transactions!$A$2:$A54)=12))*(Transactions!$B$2:$B54="Div")*(Transactions!$C$2:$C54=$A42)*Transactions!$T$2:$T54))</f>
        <v>#N/A</v>
      </c>
      <c r="P42" s="179"/>
    </row>
    <row r="43">
      <c r="A43" s="45" t="str">
        <f t="shared" si="2"/>
        <v/>
      </c>
      <c r="B43" s="181"/>
      <c r="C43" s="177"/>
      <c r="D43" s="178" t="str">
        <f>if(SUMPRODUCT(1*(iferror(year(Transactions!$A$2:$A54)=$A$1))*(iferror(month(Transactions!$A$2:$A54)=1))*(Transactions!$B$2:$B54="Div")*(Transactions!$C$2:$C54=$A43)*Transactions!$T$2:$T54)=0,,SUMPRODUCT(1*(iferror(year(Transactions!$A$2:$A54)=$A$1))*(iferror(month(Transactions!$A$2:$A54)=1))*(Transactions!$B$2:$B54="Div")*(Transactions!$C$2:$C54=$A43)*Transactions!$T$2:$T54))</f>
        <v>#N/A</v>
      </c>
      <c r="E43" s="178" t="str">
        <f>if(SUMPRODUCT(1*(iferror(year(Transactions!$A$2:$A54)=$A$1))*(iferror(month(Transactions!$A$2:$A54)=2))*(Transactions!$B$2:$B54="Div")*(Transactions!$C$2:$C54=$A43)*Transactions!$T$2:$T54)=0,,SUMPRODUCT(1*(iferror(year(Transactions!$A$2:$A54)=$A$1))*(iferror(month(Transactions!$A$2:$A54)=2))*(Transactions!$B$2:$B54="Div")*(Transactions!$C$2:$C54=$A43)*Transactions!$T$2:$T54))</f>
        <v>#N/A</v>
      </c>
      <c r="F43" s="178" t="str">
        <f>if(SUMPRODUCT(1*(iferror(year(Transactions!$A$2:$A54)=$A$1))*(iferror(month(Transactions!$A$2:$A54)=3))*(Transactions!$B$2:$B54="Div")*(Transactions!$C$2:$C54=$A43)*Transactions!$T$2:$T54)=0,,SUMPRODUCT(1*(iferror(year(Transactions!$A$2:$A54)=$A$1))*(iferror(month(Transactions!$A$2:$A54)=3))*(Transactions!$B$2:$B54="Div")*(Transactions!$C$2:$C54=$A43)*Transactions!$T$2:$T54))</f>
        <v>#N/A</v>
      </c>
      <c r="G43" s="178" t="str">
        <f>if(SUMPRODUCT(1*(iferror(year(Transactions!$A$2:$A54)=$A$1))*(iferror(month(Transactions!$A$2:$A54)=4))*(Transactions!$B$2:$B54="Div")*(Transactions!$C$2:$C54=$A43)*Transactions!$T$2:$T54)=0,,SUMPRODUCT(1*(iferror(year(Transactions!$A$2:$A54)=$A$1))*(iferror(month(Transactions!$A$2:$A54)=4))*(Transactions!$B$2:$B54="Div")*(Transactions!$C$2:$C54=$A43)*Transactions!$T$2:$T54))</f>
        <v>#N/A</v>
      </c>
      <c r="H43" s="178" t="str">
        <f>if(SUMPRODUCT(1*(iferror(year(Transactions!$A$2:$A54)=$A$1))*(iferror(month(Transactions!$A$2:$A54)=5))*(Transactions!$B$2:$B54="Div")*(Transactions!$C$2:$C54=$A43)*Transactions!$T$2:$T54)=0,,SUMPRODUCT(1*(iferror(year(Transactions!$A$2:$A54)=$A$1))*(iferror(month(Transactions!$A$2:$A54)=5))*(Transactions!$B$2:$B54="Div")*(Transactions!$C$2:$C54=$A43)*Transactions!$T$2:$T54))</f>
        <v>#N/A</v>
      </c>
      <c r="I43" s="178" t="str">
        <f>if(SUMPRODUCT(1*(iferror(year(Transactions!$A$2:$A54)=$A$1))*(iferror(month(Transactions!$A$2:$A54)=6))*(Transactions!$B$2:$B54="Div")*(Transactions!$C$2:$C54=$A43)*Transactions!$T$2:$T54)=0,,SUMPRODUCT(1*(iferror(year(Transactions!$A$2:$A54)=$A$1))*(iferror(month(Transactions!$A$2:$A54)=6))*(Transactions!$B$2:$B54="Div")*(Transactions!$C$2:$C54=$A43)*Transactions!$T$2:$T54))</f>
        <v>#N/A</v>
      </c>
      <c r="J43" s="178" t="str">
        <f>if(SUMPRODUCT(1*(iferror(year(Transactions!$A$2:$A54)=$A$1))*(iferror(month(Transactions!$A$2:$A54)=7))*(Transactions!$B$2:$B54="Div")*(Transactions!$C$2:$C54=$A43)*Transactions!$T$2:$T54)=0,,SUMPRODUCT(1*(iferror(year(Transactions!$A$2:$A54)=$A$1))*(iferror(month(Transactions!$A$2:$A54)=7))*(Transactions!$B$2:$B54="Div")*(Transactions!$C$2:$C54=$A43)*Transactions!$T$2:$T54))</f>
        <v>#N/A</v>
      </c>
      <c r="K43" s="178" t="str">
        <f>if(SUMPRODUCT(1*(iferror(year(Transactions!$A$2:$A54)=$A$1))*(iferror(month(Transactions!$A$2:$A54)=8))*(Transactions!$B$2:$B54="Div")*(Transactions!$C$2:$C54=$A43)*Transactions!$T$2:$T54)=0,,SUMPRODUCT(1*(iferror(year(Transactions!$A$2:$A54)=$A$1))*(iferror(month(Transactions!$A$2:$A54)=8))*(Transactions!$B$2:$B54="Div")*(Transactions!$C$2:$C54=$A43)*Transactions!$T$2:$T54))</f>
        <v>#N/A</v>
      </c>
      <c r="L43" s="178" t="str">
        <f>if(SUMPRODUCT(1*(iferror(year(Transactions!$A$2:$A54)=$A$1))*(iferror(month(Transactions!$A$2:$A54)=9))*(Transactions!$B$2:$B54="Div")*(Transactions!$C$2:$C54=$A43)*Transactions!$T$2:$T54)=0,,SUMPRODUCT(1*(iferror(year(Transactions!$A$2:$A54)=$A$1))*(iferror(month(Transactions!$A$2:$A54)=9))*(Transactions!$B$2:$B54="Div")*(Transactions!$C$2:$C54=$A43)*Transactions!$T$2:$T54))</f>
        <v>#N/A</v>
      </c>
      <c r="M43" s="178" t="str">
        <f>if(SUMPRODUCT(1*(iferror(year(Transactions!$A$2:$A54)=$A$1))*(iferror(month(Transactions!$A$2:$A54)=10))*(Transactions!$B$2:$B54="Div")*(Transactions!$C$2:$C54=$A43)*Transactions!$T$2:$T54)=0,,SUMPRODUCT(1*(iferror(year(Transactions!$A$2:$A54)=$A$1))*(iferror(month(Transactions!$A$2:$A54)=10))*(Transactions!$B$2:$B54="Div")*(Transactions!$C$2:$C54=$A43)*Transactions!$T$2:$T54))</f>
        <v>#N/A</v>
      </c>
      <c r="N43" s="178" t="str">
        <f>if(SUMPRODUCT(1*(iferror(year(Transactions!$A$2:$A54)=$A$1))*(iferror(month(Transactions!$A$2:$A54)=11))*(Transactions!$B$2:$B54="Div")*(Transactions!$C$2:$C54=$A43)*Transactions!$T$2:$T54)=0,,SUMPRODUCT(1*(iferror(year(Transactions!$A$2:$A54)=$A$1))*(iferror(month(Transactions!$A$2:$A54)=11))*(Transactions!$B$2:$B54="Div")*(Transactions!$C$2:$C54=$A43)*Transactions!$T$2:$T54))</f>
        <v>#N/A</v>
      </c>
      <c r="O43" s="178" t="str">
        <f>if(SUMPRODUCT(1*(iferror(year(Transactions!$A$2:$A54)=$A$1))*(iferror(month(Transactions!$A$2:$A54)=12))*(Transactions!$B$2:$B54="Div")*(Transactions!$C$2:$C54=$A43)*Transactions!$T$2:$T54)=0,,SUMPRODUCT(1*(iferror(year(Transactions!$A$2:$A54)=$A$1))*(iferror(month(Transactions!$A$2:$A54)=12))*(Transactions!$B$2:$B54="Div")*(Transactions!$C$2:$C54=$A43)*Transactions!$T$2:$T54))</f>
        <v>#N/A</v>
      </c>
      <c r="P43" s="179"/>
    </row>
    <row r="44">
      <c r="A44" s="45" t="str">
        <f t="shared" si="2"/>
        <v/>
      </c>
      <c r="B44" s="181"/>
      <c r="C44" s="177"/>
      <c r="D44" s="178" t="str">
        <f>if(SUMPRODUCT(1*(iferror(year(Transactions!$A$2:$A54)=$A$1))*(iferror(month(Transactions!$A$2:$A54)=1))*(Transactions!$B$2:$B54="Div")*(Transactions!$C$2:$C54=$A44)*Transactions!$T$2:$T54)=0,,SUMPRODUCT(1*(iferror(year(Transactions!$A$2:$A54)=$A$1))*(iferror(month(Transactions!$A$2:$A54)=1))*(Transactions!$B$2:$B54="Div")*(Transactions!$C$2:$C54=$A44)*Transactions!$T$2:$T54))</f>
        <v>#N/A</v>
      </c>
      <c r="E44" s="178" t="str">
        <f>if(SUMPRODUCT(1*(iferror(year(Transactions!$A$2:$A54)=$A$1))*(iferror(month(Transactions!$A$2:$A54)=2))*(Transactions!$B$2:$B54="Div")*(Transactions!$C$2:$C54=$A44)*Transactions!$T$2:$T54)=0,,SUMPRODUCT(1*(iferror(year(Transactions!$A$2:$A54)=$A$1))*(iferror(month(Transactions!$A$2:$A54)=2))*(Transactions!$B$2:$B54="Div")*(Transactions!$C$2:$C54=$A44)*Transactions!$T$2:$T54))</f>
        <v>#N/A</v>
      </c>
      <c r="F44" s="178" t="str">
        <f>if(SUMPRODUCT(1*(iferror(year(Transactions!$A$2:$A54)=$A$1))*(iferror(month(Transactions!$A$2:$A54)=3))*(Transactions!$B$2:$B54="Div")*(Transactions!$C$2:$C54=$A44)*Transactions!$T$2:$T54)=0,,SUMPRODUCT(1*(iferror(year(Transactions!$A$2:$A54)=$A$1))*(iferror(month(Transactions!$A$2:$A54)=3))*(Transactions!$B$2:$B54="Div")*(Transactions!$C$2:$C54=$A44)*Transactions!$T$2:$T54))</f>
        <v>#N/A</v>
      </c>
      <c r="G44" s="178" t="str">
        <f>if(SUMPRODUCT(1*(iferror(year(Transactions!$A$2:$A54)=$A$1))*(iferror(month(Transactions!$A$2:$A54)=4))*(Transactions!$B$2:$B54="Div")*(Transactions!$C$2:$C54=$A44)*Transactions!$T$2:$T54)=0,,SUMPRODUCT(1*(iferror(year(Transactions!$A$2:$A54)=$A$1))*(iferror(month(Transactions!$A$2:$A54)=4))*(Transactions!$B$2:$B54="Div")*(Transactions!$C$2:$C54=$A44)*Transactions!$T$2:$T54))</f>
        <v>#N/A</v>
      </c>
      <c r="H44" s="178" t="str">
        <f>if(SUMPRODUCT(1*(iferror(year(Transactions!$A$2:$A54)=$A$1))*(iferror(month(Transactions!$A$2:$A54)=5))*(Transactions!$B$2:$B54="Div")*(Transactions!$C$2:$C54=$A44)*Transactions!$T$2:$T54)=0,,SUMPRODUCT(1*(iferror(year(Transactions!$A$2:$A54)=$A$1))*(iferror(month(Transactions!$A$2:$A54)=5))*(Transactions!$B$2:$B54="Div")*(Transactions!$C$2:$C54=$A44)*Transactions!$T$2:$T54))</f>
        <v>#N/A</v>
      </c>
      <c r="I44" s="178" t="str">
        <f>if(SUMPRODUCT(1*(iferror(year(Transactions!$A$2:$A54)=$A$1))*(iferror(month(Transactions!$A$2:$A54)=6))*(Transactions!$B$2:$B54="Div")*(Transactions!$C$2:$C54=$A44)*Transactions!$T$2:$T54)=0,,SUMPRODUCT(1*(iferror(year(Transactions!$A$2:$A54)=$A$1))*(iferror(month(Transactions!$A$2:$A54)=6))*(Transactions!$B$2:$B54="Div")*(Transactions!$C$2:$C54=$A44)*Transactions!$T$2:$T54))</f>
        <v>#N/A</v>
      </c>
      <c r="J44" s="178" t="str">
        <f>if(SUMPRODUCT(1*(iferror(year(Transactions!$A$2:$A54)=$A$1))*(iferror(month(Transactions!$A$2:$A54)=7))*(Transactions!$B$2:$B54="Div")*(Transactions!$C$2:$C54=$A44)*Transactions!$T$2:$T54)=0,,SUMPRODUCT(1*(iferror(year(Transactions!$A$2:$A54)=$A$1))*(iferror(month(Transactions!$A$2:$A54)=7))*(Transactions!$B$2:$B54="Div")*(Transactions!$C$2:$C54=$A44)*Transactions!$T$2:$T54))</f>
        <v>#N/A</v>
      </c>
      <c r="K44" s="178" t="str">
        <f>if(SUMPRODUCT(1*(iferror(year(Transactions!$A$2:$A54)=$A$1))*(iferror(month(Transactions!$A$2:$A54)=8))*(Transactions!$B$2:$B54="Div")*(Transactions!$C$2:$C54=$A44)*Transactions!$T$2:$T54)=0,,SUMPRODUCT(1*(iferror(year(Transactions!$A$2:$A54)=$A$1))*(iferror(month(Transactions!$A$2:$A54)=8))*(Transactions!$B$2:$B54="Div")*(Transactions!$C$2:$C54=$A44)*Transactions!$T$2:$T54))</f>
        <v>#N/A</v>
      </c>
      <c r="L44" s="178" t="str">
        <f>if(SUMPRODUCT(1*(iferror(year(Transactions!$A$2:$A54)=$A$1))*(iferror(month(Transactions!$A$2:$A54)=9))*(Transactions!$B$2:$B54="Div")*(Transactions!$C$2:$C54=$A44)*Transactions!$T$2:$T54)=0,,SUMPRODUCT(1*(iferror(year(Transactions!$A$2:$A54)=$A$1))*(iferror(month(Transactions!$A$2:$A54)=9))*(Transactions!$B$2:$B54="Div")*(Transactions!$C$2:$C54=$A44)*Transactions!$T$2:$T54))</f>
        <v>#N/A</v>
      </c>
      <c r="M44" s="178" t="str">
        <f>if(SUMPRODUCT(1*(iferror(year(Transactions!$A$2:$A54)=$A$1))*(iferror(month(Transactions!$A$2:$A54)=10))*(Transactions!$B$2:$B54="Div")*(Transactions!$C$2:$C54=$A44)*Transactions!$T$2:$T54)=0,,SUMPRODUCT(1*(iferror(year(Transactions!$A$2:$A54)=$A$1))*(iferror(month(Transactions!$A$2:$A54)=10))*(Transactions!$B$2:$B54="Div")*(Transactions!$C$2:$C54=$A44)*Transactions!$T$2:$T54))</f>
        <v>#N/A</v>
      </c>
      <c r="N44" s="178" t="str">
        <f>if(SUMPRODUCT(1*(iferror(year(Transactions!$A$2:$A54)=$A$1))*(iferror(month(Transactions!$A$2:$A54)=11))*(Transactions!$B$2:$B54="Div")*(Transactions!$C$2:$C54=$A44)*Transactions!$T$2:$T54)=0,,SUMPRODUCT(1*(iferror(year(Transactions!$A$2:$A54)=$A$1))*(iferror(month(Transactions!$A$2:$A54)=11))*(Transactions!$B$2:$B54="Div")*(Transactions!$C$2:$C54=$A44)*Transactions!$T$2:$T54))</f>
        <v>#N/A</v>
      </c>
      <c r="O44" s="178" t="str">
        <f>if(SUMPRODUCT(1*(iferror(year(Transactions!$A$2:$A54)=$A$1))*(iferror(month(Transactions!$A$2:$A54)=12))*(Transactions!$B$2:$B54="Div")*(Transactions!$C$2:$C54=$A44)*Transactions!$T$2:$T54)=0,,SUMPRODUCT(1*(iferror(year(Transactions!$A$2:$A54)=$A$1))*(iferror(month(Transactions!$A$2:$A54)=12))*(Transactions!$B$2:$B54="Div")*(Transactions!$C$2:$C54=$A44)*Transactions!$T$2:$T54))</f>
        <v>#N/A</v>
      </c>
      <c r="P44" s="179"/>
    </row>
    <row r="45">
      <c r="A45" s="45" t="str">
        <f t="shared" si="2"/>
        <v/>
      </c>
      <c r="B45" s="181"/>
      <c r="C45" s="177"/>
      <c r="D45" s="178" t="str">
        <f>if(SUMPRODUCT(1*(iferror(year(Transactions!$A$2:$A54)=$A$1))*(iferror(month(Transactions!$A$2:$A54)=1))*(Transactions!$B$2:$B54="Div")*(Transactions!$C$2:$C54=$A45)*Transactions!$T$2:$T54)=0,,SUMPRODUCT(1*(iferror(year(Transactions!$A$2:$A54)=$A$1))*(iferror(month(Transactions!$A$2:$A54)=1))*(Transactions!$B$2:$B54="Div")*(Transactions!$C$2:$C54=$A45)*Transactions!$T$2:$T54))</f>
        <v>#N/A</v>
      </c>
      <c r="E45" s="178" t="str">
        <f>if(SUMPRODUCT(1*(iferror(year(Transactions!$A$2:$A54)=$A$1))*(iferror(month(Transactions!$A$2:$A54)=2))*(Transactions!$B$2:$B54="Div")*(Transactions!$C$2:$C54=$A45)*Transactions!$T$2:$T54)=0,,SUMPRODUCT(1*(iferror(year(Transactions!$A$2:$A54)=$A$1))*(iferror(month(Transactions!$A$2:$A54)=2))*(Transactions!$B$2:$B54="Div")*(Transactions!$C$2:$C54=$A45)*Transactions!$T$2:$T54))</f>
        <v>#N/A</v>
      </c>
      <c r="F45" s="178" t="str">
        <f>if(SUMPRODUCT(1*(iferror(year(Transactions!$A$2:$A54)=$A$1))*(iferror(month(Transactions!$A$2:$A54)=3))*(Transactions!$B$2:$B54="Div")*(Transactions!$C$2:$C54=$A45)*Transactions!$T$2:$T54)=0,,SUMPRODUCT(1*(iferror(year(Transactions!$A$2:$A54)=$A$1))*(iferror(month(Transactions!$A$2:$A54)=3))*(Transactions!$B$2:$B54="Div")*(Transactions!$C$2:$C54=$A45)*Transactions!$T$2:$T54))</f>
        <v>#N/A</v>
      </c>
      <c r="G45" s="178" t="str">
        <f>if(SUMPRODUCT(1*(iferror(year(Transactions!$A$2:$A54)=$A$1))*(iferror(month(Transactions!$A$2:$A54)=4))*(Transactions!$B$2:$B54="Div")*(Transactions!$C$2:$C54=$A45)*Transactions!$T$2:$T54)=0,,SUMPRODUCT(1*(iferror(year(Transactions!$A$2:$A54)=$A$1))*(iferror(month(Transactions!$A$2:$A54)=4))*(Transactions!$B$2:$B54="Div")*(Transactions!$C$2:$C54=$A45)*Transactions!$T$2:$T54))</f>
        <v>#N/A</v>
      </c>
      <c r="H45" s="178" t="str">
        <f>if(SUMPRODUCT(1*(iferror(year(Transactions!$A$2:$A54)=$A$1))*(iferror(month(Transactions!$A$2:$A54)=5))*(Transactions!$B$2:$B54="Div")*(Transactions!$C$2:$C54=$A45)*Transactions!$T$2:$T54)=0,,SUMPRODUCT(1*(iferror(year(Transactions!$A$2:$A54)=$A$1))*(iferror(month(Transactions!$A$2:$A54)=5))*(Transactions!$B$2:$B54="Div")*(Transactions!$C$2:$C54=$A45)*Transactions!$T$2:$T54))</f>
        <v>#N/A</v>
      </c>
      <c r="I45" s="178" t="str">
        <f>if(SUMPRODUCT(1*(iferror(year(Transactions!$A$2:$A54)=$A$1))*(iferror(month(Transactions!$A$2:$A54)=6))*(Transactions!$B$2:$B54="Div")*(Transactions!$C$2:$C54=$A45)*Transactions!$T$2:$T54)=0,,SUMPRODUCT(1*(iferror(year(Transactions!$A$2:$A54)=$A$1))*(iferror(month(Transactions!$A$2:$A54)=6))*(Transactions!$B$2:$B54="Div")*(Transactions!$C$2:$C54=$A45)*Transactions!$T$2:$T54))</f>
        <v>#N/A</v>
      </c>
      <c r="J45" s="178" t="str">
        <f>if(SUMPRODUCT(1*(iferror(year(Transactions!$A$2:$A54)=$A$1))*(iferror(month(Transactions!$A$2:$A54)=7))*(Transactions!$B$2:$B54="Div")*(Transactions!$C$2:$C54=$A45)*Transactions!$T$2:$T54)=0,,SUMPRODUCT(1*(iferror(year(Transactions!$A$2:$A54)=$A$1))*(iferror(month(Transactions!$A$2:$A54)=7))*(Transactions!$B$2:$B54="Div")*(Transactions!$C$2:$C54=$A45)*Transactions!$T$2:$T54))</f>
        <v>#N/A</v>
      </c>
      <c r="K45" s="178" t="str">
        <f>if(SUMPRODUCT(1*(iferror(year(Transactions!$A$2:$A54)=$A$1))*(iferror(month(Transactions!$A$2:$A54)=8))*(Transactions!$B$2:$B54="Div")*(Transactions!$C$2:$C54=$A45)*Transactions!$T$2:$T54)=0,,SUMPRODUCT(1*(iferror(year(Transactions!$A$2:$A54)=$A$1))*(iferror(month(Transactions!$A$2:$A54)=8))*(Transactions!$B$2:$B54="Div")*(Transactions!$C$2:$C54=$A45)*Transactions!$T$2:$T54))</f>
        <v>#N/A</v>
      </c>
      <c r="L45" s="178" t="str">
        <f>if(SUMPRODUCT(1*(iferror(year(Transactions!$A$2:$A54)=$A$1))*(iferror(month(Transactions!$A$2:$A54)=9))*(Transactions!$B$2:$B54="Div")*(Transactions!$C$2:$C54=$A45)*Transactions!$T$2:$T54)=0,,SUMPRODUCT(1*(iferror(year(Transactions!$A$2:$A54)=$A$1))*(iferror(month(Transactions!$A$2:$A54)=9))*(Transactions!$B$2:$B54="Div")*(Transactions!$C$2:$C54=$A45)*Transactions!$T$2:$T54))</f>
        <v>#N/A</v>
      </c>
      <c r="M45" s="178" t="str">
        <f>if(SUMPRODUCT(1*(iferror(year(Transactions!$A$2:$A54)=$A$1))*(iferror(month(Transactions!$A$2:$A54)=10))*(Transactions!$B$2:$B54="Div")*(Transactions!$C$2:$C54=$A45)*Transactions!$T$2:$T54)=0,,SUMPRODUCT(1*(iferror(year(Transactions!$A$2:$A54)=$A$1))*(iferror(month(Transactions!$A$2:$A54)=10))*(Transactions!$B$2:$B54="Div")*(Transactions!$C$2:$C54=$A45)*Transactions!$T$2:$T54))</f>
        <v>#N/A</v>
      </c>
      <c r="N45" s="178" t="str">
        <f>if(SUMPRODUCT(1*(iferror(year(Transactions!$A$2:$A54)=$A$1))*(iferror(month(Transactions!$A$2:$A54)=11))*(Transactions!$B$2:$B54="Div")*(Transactions!$C$2:$C54=$A45)*Transactions!$T$2:$T54)=0,,SUMPRODUCT(1*(iferror(year(Transactions!$A$2:$A54)=$A$1))*(iferror(month(Transactions!$A$2:$A54)=11))*(Transactions!$B$2:$B54="Div")*(Transactions!$C$2:$C54=$A45)*Transactions!$T$2:$T54))</f>
        <v>#N/A</v>
      </c>
      <c r="O45" s="178" t="str">
        <f>if(SUMPRODUCT(1*(iferror(year(Transactions!$A$2:$A54)=$A$1))*(iferror(month(Transactions!$A$2:$A54)=12))*(Transactions!$B$2:$B54="Div")*(Transactions!$C$2:$C54=$A45)*Transactions!$T$2:$T54)=0,,SUMPRODUCT(1*(iferror(year(Transactions!$A$2:$A54)=$A$1))*(iferror(month(Transactions!$A$2:$A54)=12))*(Transactions!$B$2:$B54="Div")*(Transactions!$C$2:$C54=$A45)*Transactions!$T$2:$T54))</f>
        <v>#N/A</v>
      </c>
      <c r="P45" s="179"/>
    </row>
    <row r="46">
      <c r="A46" s="45" t="str">
        <f t="shared" si="2"/>
        <v/>
      </c>
      <c r="B46" s="181"/>
      <c r="C46" s="177"/>
      <c r="D46" s="178" t="str">
        <f>if(SUMPRODUCT(1*(iferror(year(Transactions!$A$2:$A54)=$A$1))*(iferror(month(Transactions!$A$2:$A54)=1))*(Transactions!$B$2:$B54="Div")*(Transactions!$C$2:$C54=$A46)*Transactions!$T$2:$T54)=0,,SUMPRODUCT(1*(iferror(year(Transactions!$A$2:$A54)=$A$1))*(iferror(month(Transactions!$A$2:$A54)=1))*(Transactions!$B$2:$B54="Div")*(Transactions!$C$2:$C54=$A46)*Transactions!$T$2:$T54))</f>
        <v>#N/A</v>
      </c>
      <c r="E46" s="178" t="str">
        <f>if(SUMPRODUCT(1*(iferror(year(Transactions!$A$2:$A54)=$A$1))*(iferror(month(Transactions!$A$2:$A54)=2))*(Transactions!$B$2:$B54="Div")*(Transactions!$C$2:$C54=$A46)*Transactions!$T$2:$T54)=0,,SUMPRODUCT(1*(iferror(year(Transactions!$A$2:$A54)=$A$1))*(iferror(month(Transactions!$A$2:$A54)=2))*(Transactions!$B$2:$B54="Div")*(Transactions!$C$2:$C54=$A46)*Transactions!$T$2:$T54))</f>
        <v>#N/A</v>
      </c>
      <c r="F46" s="178" t="str">
        <f>if(SUMPRODUCT(1*(iferror(year(Transactions!$A$2:$A54)=$A$1))*(iferror(month(Transactions!$A$2:$A54)=3))*(Transactions!$B$2:$B54="Div")*(Transactions!$C$2:$C54=$A46)*Transactions!$T$2:$T54)=0,,SUMPRODUCT(1*(iferror(year(Transactions!$A$2:$A54)=$A$1))*(iferror(month(Transactions!$A$2:$A54)=3))*(Transactions!$B$2:$B54="Div")*(Transactions!$C$2:$C54=$A46)*Transactions!$T$2:$T54))</f>
        <v>#N/A</v>
      </c>
      <c r="G46" s="178" t="str">
        <f>if(SUMPRODUCT(1*(iferror(year(Transactions!$A$2:$A54)=$A$1))*(iferror(month(Transactions!$A$2:$A54)=4))*(Transactions!$B$2:$B54="Div")*(Transactions!$C$2:$C54=$A46)*Transactions!$T$2:$T54)=0,,SUMPRODUCT(1*(iferror(year(Transactions!$A$2:$A54)=$A$1))*(iferror(month(Transactions!$A$2:$A54)=4))*(Transactions!$B$2:$B54="Div")*(Transactions!$C$2:$C54=$A46)*Transactions!$T$2:$T54))</f>
        <v>#N/A</v>
      </c>
      <c r="H46" s="178" t="str">
        <f>if(SUMPRODUCT(1*(iferror(year(Transactions!$A$2:$A54)=$A$1))*(iferror(month(Transactions!$A$2:$A54)=5))*(Transactions!$B$2:$B54="Div")*(Transactions!$C$2:$C54=$A46)*Transactions!$T$2:$T54)=0,,SUMPRODUCT(1*(iferror(year(Transactions!$A$2:$A54)=$A$1))*(iferror(month(Transactions!$A$2:$A54)=5))*(Transactions!$B$2:$B54="Div")*(Transactions!$C$2:$C54=$A46)*Transactions!$T$2:$T54))</f>
        <v>#N/A</v>
      </c>
      <c r="I46" s="178" t="str">
        <f>if(SUMPRODUCT(1*(iferror(year(Transactions!$A$2:$A54)=$A$1))*(iferror(month(Transactions!$A$2:$A54)=6))*(Transactions!$B$2:$B54="Div")*(Transactions!$C$2:$C54=$A46)*Transactions!$T$2:$T54)=0,,SUMPRODUCT(1*(iferror(year(Transactions!$A$2:$A54)=$A$1))*(iferror(month(Transactions!$A$2:$A54)=6))*(Transactions!$B$2:$B54="Div")*(Transactions!$C$2:$C54=$A46)*Transactions!$T$2:$T54))</f>
        <v>#N/A</v>
      </c>
      <c r="J46" s="178" t="str">
        <f>if(SUMPRODUCT(1*(iferror(year(Transactions!$A$2:$A54)=$A$1))*(iferror(month(Transactions!$A$2:$A54)=7))*(Transactions!$B$2:$B54="Div")*(Transactions!$C$2:$C54=$A46)*Transactions!$T$2:$T54)=0,,SUMPRODUCT(1*(iferror(year(Transactions!$A$2:$A54)=$A$1))*(iferror(month(Transactions!$A$2:$A54)=7))*(Transactions!$B$2:$B54="Div")*(Transactions!$C$2:$C54=$A46)*Transactions!$T$2:$T54))</f>
        <v>#N/A</v>
      </c>
      <c r="K46" s="178" t="str">
        <f>if(SUMPRODUCT(1*(iferror(year(Transactions!$A$2:$A54)=$A$1))*(iferror(month(Transactions!$A$2:$A54)=8))*(Transactions!$B$2:$B54="Div")*(Transactions!$C$2:$C54=$A46)*Transactions!$T$2:$T54)=0,,SUMPRODUCT(1*(iferror(year(Transactions!$A$2:$A54)=$A$1))*(iferror(month(Transactions!$A$2:$A54)=8))*(Transactions!$B$2:$B54="Div")*(Transactions!$C$2:$C54=$A46)*Transactions!$T$2:$T54))</f>
        <v>#N/A</v>
      </c>
      <c r="L46" s="178" t="str">
        <f>if(SUMPRODUCT(1*(iferror(year(Transactions!$A$2:$A54)=$A$1))*(iferror(month(Transactions!$A$2:$A54)=9))*(Transactions!$B$2:$B54="Div")*(Transactions!$C$2:$C54=$A46)*Transactions!$T$2:$T54)=0,,SUMPRODUCT(1*(iferror(year(Transactions!$A$2:$A54)=$A$1))*(iferror(month(Transactions!$A$2:$A54)=9))*(Transactions!$B$2:$B54="Div")*(Transactions!$C$2:$C54=$A46)*Transactions!$T$2:$T54))</f>
        <v>#N/A</v>
      </c>
      <c r="M46" s="178" t="str">
        <f>if(SUMPRODUCT(1*(iferror(year(Transactions!$A$2:$A54)=$A$1))*(iferror(month(Transactions!$A$2:$A54)=10))*(Transactions!$B$2:$B54="Div")*(Transactions!$C$2:$C54=$A46)*Transactions!$T$2:$T54)=0,,SUMPRODUCT(1*(iferror(year(Transactions!$A$2:$A54)=$A$1))*(iferror(month(Transactions!$A$2:$A54)=10))*(Transactions!$B$2:$B54="Div")*(Transactions!$C$2:$C54=$A46)*Transactions!$T$2:$T54))</f>
        <v>#N/A</v>
      </c>
      <c r="N46" s="178" t="str">
        <f>if(SUMPRODUCT(1*(iferror(year(Transactions!$A$2:$A54)=$A$1))*(iferror(month(Transactions!$A$2:$A54)=11))*(Transactions!$B$2:$B54="Div")*(Transactions!$C$2:$C54=$A46)*Transactions!$T$2:$T54)=0,,SUMPRODUCT(1*(iferror(year(Transactions!$A$2:$A54)=$A$1))*(iferror(month(Transactions!$A$2:$A54)=11))*(Transactions!$B$2:$B54="Div")*(Transactions!$C$2:$C54=$A46)*Transactions!$T$2:$T54))</f>
        <v>#N/A</v>
      </c>
      <c r="O46" s="178" t="str">
        <f>if(SUMPRODUCT(1*(iferror(year(Transactions!$A$2:$A54)=$A$1))*(iferror(month(Transactions!$A$2:$A54)=12))*(Transactions!$B$2:$B54="Div")*(Transactions!$C$2:$C54=$A46)*Transactions!$T$2:$T54)=0,,SUMPRODUCT(1*(iferror(year(Transactions!$A$2:$A54)=$A$1))*(iferror(month(Transactions!$A$2:$A54)=12))*(Transactions!$B$2:$B54="Div")*(Transactions!$C$2:$C54=$A46)*Transactions!$T$2:$T54))</f>
        <v>#N/A</v>
      </c>
      <c r="P46" s="179"/>
    </row>
    <row r="47">
      <c r="A47" s="45" t="str">
        <f t="shared" si="2"/>
        <v/>
      </c>
      <c r="B47" s="181"/>
      <c r="C47" s="177"/>
      <c r="D47" s="178" t="str">
        <f>if(SUMPRODUCT(1*(iferror(year(Transactions!$A$2:$A54)=$A$1))*(iferror(month(Transactions!$A$2:$A54)=1))*(Transactions!$B$2:$B54="Div")*(Transactions!$C$2:$C54=$A47)*Transactions!$T$2:$T54)=0,,SUMPRODUCT(1*(iferror(year(Transactions!$A$2:$A54)=$A$1))*(iferror(month(Transactions!$A$2:$A54)=1))*(Transactions!$B$2:$B54="Div")*(Transactions!$C$2:$C54=$A47)*Transactions!$T$2:$T54))</f>
        <v>#N/A</v>
      </c>
      <c r="E47" s="178" t="str">
        <f>if(SUMPRODUCT(1*(iferror(year(Transactions!$A$2:$A54)=$A$1))*(iferror(month(Transactions!$A$2:$A54)=2))*(Transactions!$B$2:$B54="Div")*(Transactions!$C$2:$C54=$A47)*Transactions!$T$2:$T54)=0,,SUMPRODUCT(1*(iferror(year(Transactions!$A$2:$A54)=$A$1))*(iferror(month(Transactions!$A$2:$A54)=2))*(Transactions!$B$2:$B54="Div")*(Transactions!$C$2:$C54=$A47)*Transactions!$T$2:$T54))</f>
        <v>#N/A</v>
      </c>
      <c r="F47" s="178" t="str">
        <f>if(SUMPRODUCT(1*(iferror(year(Transactions!$A$2:$A54)=$A$1))*(iferror(month(Transactions!$A$2:$A54)=3))*(Transactions!$B$2:$B54="Div")*(Transactions!$C$2:$C54=$A47)*Transactions!$T$2:$T54)=0,,SUMPRODUCT(1*(iferror(year(Transactions!$A$2:$A54)=$A$1))*(iferror(month(Transactions!$A$2:$A54)=3))*(Transactions!$B$2:$B54="Div")*(Transactions!$C$2:$C54=$A47)*Transactions!$T$2:$T54))</f>
        <v>#N/A</v>
      </c>
      <c r="G47" s="178" t="str">
        <f>if(SUMPRODUCT(1*(iferror(year(Transactions!$A$2:$A54)=$A$1))*(iferror(month(Transactions!$A$2:$A54)=4))*(Transactions!$B$2:$B54="Div")*(Transactions!$C$2:$C54=$A47)*Transactions!$T$2:$T54)=0,,SUMPRODUCT(1*(iferror(year(Transactions!$A$2:$A54)=$A$1))*(iferror(month(Transactions!$A$2:$A54)=4))*(Transactions!$B$2:$B54="Div")*(Transactions!$C$2:$C54=$A47)*Transactions!$T$2:$T54))</f>
        <v>#N/A</v>
      </c>
      <c r="H47" s="178" t="str">
        <f>if(SUMPRODUCT(1*(iferror(year(Transactions!$A$2:$A54)=$A$1))*(iferror(month(Transactions!$A$2:$A54)=5))*(Transactions!$B$2:$B54="Div")*(Transactions!$C$2:$C54=$A47)*Transactions!$T$2:$T54)=0,,SUMPRODUCT(1*(iferror(year(Transactions!$A$2:$A54)=$A$1))*(iferror(month(Transactions!$A$2:$A54)=5))*(Transactions!$B$2:$B54="Div")*(Transactions!$C$2:$C54=$A47)*Transactions!$T$2:$T54))</f>
        <v>#N/A</v>
      </c>
      <c r="I47" s="178" t="str">
        <f>if(SUMPRODUCT(1*(iferror(year(Transactions!$A$2:$A54)=$A$1))*(iferror(month(Transactions!$A$2:$A54)=6))*(Transactions!$B$2:$B54="Div")*(Transactions!$C$2:$C54=$A47)*Transactions!$T$2:$T54)=0,,SUMPRODUCT(1*(iferror(year(Transactions!$A$2:$A54)=$A$1))*(iferror(month(Transactions!$A$2:$A54)=6))*(Transactions!$B$2:$B54="Div")*(Transactions!$C$2:$C54=$A47)*Transactions!$T$2:$T54))</f>
        <v>#N/A</v>
      </c>
      <c r="J47" s="178" t="str">
        <f>if(SUMPRODUCT(1*(iferror(year(Transactions!$A$2:$A54)=$A$1))*(iferror(month(Transactions!$A$2:$A54)=7))*(Transactions!$B$2:$B54="Div")*(Transactions!$C$2:$C54=$A47)*Transactions!$T$2:$T54)=0,,SUMPRODUCT(1*(iferror(year(Transactions!$A$2:$A54)=$A$1))*(iferror(month(Transactions!$A$2:$A54)=7))*(Transactions!$B$2:$B54="Div")*(Transactions!$C$2:$C54=$A47)*Transactions!$T$2:$T54))</f>
        <v>#N/A</v>
      </c>
      <c r="K47" s="178" t="str">
        <f>if(SUMPRODUCT(1*(iferror(year(Transactions!$A$2:$A54)=$A$1))*(iferror(month(Transactions!$A$2:$A54)=8))*(Transactions!$B$2:$B54="Div")*(Transactions!$C$2:$C54=$A47)*Transactions!$T$2:$T54)=0,,SUMPRODUCT(1*(iferror(year(Transactions!$A$2:$A54)=$A$1))*(iferror(month(Transactions!$A$2:$A54)=8))*(Transactions!$B$2:$B54="Div")*(Transactions!$C$2:$C54=$A47)*Transactions!$T$2:$T54))</f>
        <v>#N/A</v>
      </c>
      <c r="L47" s="178" t="str">
        <f>if(SUMPRODUCT(1*(iferror(year(Transactions!$A$2:$A54)=$A$1))*(iferror(month(Transactions!$A$2:$A54)=9))*(Transactions!$B$2:$B54="Div")*(Transactions!$C$2:$C54=$A47)*Transactions!$T$2:$T54)=0,,SUMPRODUCT(1*(iferror(year(Transactions!$A$2:$A54)=$A$1))*(iferror(month(Transactions!$A$2:$A54)=9))*(Transactions!$B$2:$B54="Div")*(Transactions!$C$2:$C54=$A47)*Transactions!$T$2:$T54))</f>
        <v>#N/A</v>
      </c>
      <c r="M47" s="178" t="str">
        <f>if(SUMPRODUCT(1*(iferror(year(Transactions!$A$2:$A54)=$A$1))*(iferror(month(Transactions!$A$2:$A54)=10))*(Transactions!$B$2:$B54="Div")*(Transactions!$C$2:$C54=$A47)*Transactions!$T$2:$T54)=0,,SUMPRODUCT(1*(iferror(year(Transactions!$A$2:$A54)=$A$1))*(iferror(month(Transactions!$A$2:$A54)=10))*(Transactions!$B$2:$B54="Div")*(Transactions!$C$2:$C54=$A47)*Transactions!$T$2:$T54))</f>
        <v>#N/A</v>
      </c>
      <c r="N47" s="178" t="str">
        <f>if(SUMPRODUCT(1*(iferror(year(Transactions!$A$2:$A54)=$A$1))*(iferror(month(Transactions!$A$2:$A54)=11))*(Transactions!$B$2:$B54="Div")*(Transactions!$C$2:$C54=$A47)*Transactions!$T$2:$T54)=0,,SUMPRODUCT(1*(iferror(year(Transactions!$A$2:$A54)=$A$1))*(iferror(month(Transactions!$A$2:$A54)=11))*(Transactions!$B$2:$B54="Div")*(Transactions!$C$2:$C54=$A47)*Transactions!$T$2:$T54))</f>
        <v>#N/A</v>
      </c>
      <c r="O47" s="178" t="str">
        <f>if(SUMPRODUCT(1*(iferror(year(Transactions!$A$2:$A54)=$A$1))*(iferror(month(Transactions!$A$2:$A54)=12))*(Transactions!$B$2:$B54="Div")*(Transactions!$C$2:$C54=$A47)*Transactions!$T$2:$T54)=0,,SUMPRODUCT(1*(iferror(year(Transactions!$A$2:$A54)=$A$1))*(iferror(month(Transactions!$A$2:$A54)=12))*(Transactions!$B$2:$B54="Div")*(Transactions!$C$2:$C54=$A47)*Transactions!$T$2:$T54))</f>
        <v>#N/A</v>
      </c>
      <c r="P47" s="179"/>
    </row>
    <row r="48">
      <c r="A48" s="45" t="str">
        <f t="shared" si="2"/>
        <v/>
      </c>
      <c r="B48" s="181"/>
      <c r="C48" s="177"/>
      <c r="D48" s="178" t="str">
        <f>if(SUMPRODUCT(1*(iferror(year(Transactions!$A$2:$A54)=$A$1))*(iferror(month(Transactions!$A$2:$A54)=1))*(Transactions!$B$2:$B54="Div")*(Transactions!$C$2:$C54=$A48)*Transactions!$T$2:$T54)=0,,SUMPRODUCT(1*(iferror(year(Transactions!$A$2:$A54)=$A$1))*(iferror(month(Transactions!$A$2:$A54)=1))*(Transactions!$B$2:$B54="Div")*(Transactions!$C$2:$C54=$A48)*Transactions!$T$2:$T54))</f>
        <v>#N/A</v>
      </c>
      <c r="E48" s="178" t="str">
        <f>if(SUMPRODUCT(1*(iferror(year(Transactions!$A$2:$A54)=$A$1))*(iferror(month(Transactions!$A$2:$A54)=2))*(Transactions!$B$2:$B54="Div")*(Transactions!$C$2:$C54=$A48)*Transactions!$T$2:$T54)=0,,SUMPRODUCT(1*(iferror(year(Transactions!$A$2:$A54)=$A$1))*(iferror(month(Transactions!$A$2:$A54)=2))*(Transactions!$B$2:$B54="Div")*(Transactions!$C$2:$C54=$A48)*Transactions!$T$2:$T54))</f>
        <v>#N/A</v>
      </c>
      <c r="F48" s="178" t="str">
        <f>if(SUMPRODUCT(1*(iferror(year(Transactions!$A$2:$A54)=$A$1))*(iferror(month(Transactions!$A$2:$A54)=3))*(Transactions!$B$2:$B54="Div")*(Transactions!$C$2:$C54=$A48)*Transactions!$T$2:$T54)=0,,SUMPRODUCT(1*(iferror(year(Transactions!$A$2:$A54)=$A$1))*(iferror(month(Transactions!$A$2:$A54)=3))*(Transactions!$B$2:$B54="Div")*(Transactions!$C$2:$C54=$A48)*Transactions!$T$2:$T54))</f>
        <v>#N/A</v>
      </c>
      <c r="G48" s="178" t="str">
        <f>if(SUMPRODUCT(1*(iferror(year(Transactions!$A$2:$A54)=$A$1))*(iferror(month(Transactions!$A$2:$A54)=4))*(Transactions!$B$2:$B54="Div")*(Transactions!$C$2:$C54=$A48)*Transactions!$T$2:$T54)=0,,SUMPRODUCT(1*(iferror(year(Transactions!$A$2:$A54)=$A$1))*(iferror(month(Transactions!$A$2:$A54)=4))*(Transactions!$B$2:$B54="Div")*(Transactions!$C$2:$C54=$A48)*Transactions!$T$2:$T54))</f>
        <v>#N/A</v>
      </c>
      <c r="H48" s="178" t="str">
        <f>if(SUMPRODUCT(1*(iferror(year(Transactions!$A$2:$A54)=$A$1))*(iferror(month(Transactions!$A$2:$A54)=5))*(Transactions!$B$2:$B54="Div")*(Transactions!$C$2:$C54=$A48)*Transactions!$T$2:$T54)=0,,SUMPRODUCT(1*(iferror(year(Transactions!$A$2:$A54)=$A$1))*(iferror(month(Transactions!$A$2:$A54)=5))*(Transactions!$B$2:$B54="Div")*(Transactions!$C$2:$C54=$A48)*Transactions!$T$2:$T54))</f>
        <v>#N/A</v>
      </c>
      <c r="I48" s="178" t="str">
        <f>if(SUMPRODUCT(1*(iferror(year(Transactions!$A$2:$A54)=$A$1))*(iferror(month(Transactions!$A$2:$A54)=6))*(Transactions!$B$2:$B54="Div")*(Transactions!$C$2:$C54=$A48)*Transactions!$T$2:$T54)=0,,SUMPRODUCT(1*(iferror(year(Transactions!$A$2:$A54)=$A$1))*(iferror(month(Transactions!$A$2:$A54)=6))*(Transactions!$B$2:$B54="Div")*(Transactions!$C$2:$C54=$A48)*Transactions!$T$2:$T54))</f>
        <v>#N/A</v>
      </c>
      <c r="J48" s="178" t="str">
        <f>if(SUMPRODUCT(1*(iferror(year(Transactions!$A$2:$A54)=$A$1))*(iferror(month(Transactions!$A$2:$A54)=7))*(Transactions!$B$2:$B54="Div")*(Transactions!$C$2:$C54=$A48)*Transactions!$T$2:$T54)=0,,SUMPRODUCT(1*(iferror(year(Transactions!$A$2:$A54)=$A$1))*(iferror(month(Transactions!$A$2:$A54)=7))*(Transactions!$B$2:$B54="Div")*(Transactions!$C$2:$C54=$A48)*Transactions!$T$2:$T54))</f>
        <v>#N/A</v>
      </c>
      <c r="K48" s="178" t="str">
        <f>if(SUMPRODUCT(1*(iferror(year(Transactions!$A$2:$A54)=$A$1))*(iferror(month(Transactions!$A$2:$A54)=8))*(Transactions!$B$2:$B54="Div")*(Transactions!$C$2:$C54=$A48)*Transactions!$T$2:$T54)=0,,SUMPRODUCT(1*(iferror(year(Transactions!$A$2:$A54)=$A$1))*(iferror(month(Transactions!$A$2:$A54)=8))*(Transactions!$B$2:$B54="Div")*(Transactions!$C$2:$C54=$A48)*Transactions!$T$2:$T54))</f>
        <v>#N/A</v>
      </c>
      <c r="L48" s="178" t="str">
        <f>if(SUMPRODUCT(1*(iferror(year(Transactions!$A$2:$A54)=$A$1))*(iferror(month(Transactions!$A$2:$A54)=9))*(Transactions!$B$2:$B54="Div")*(Transactions!$C$2:$C54=$A48)*Transactions!$T$2:$T54)=0,,SUMPRODUCT(1*(iferror(year(Transactions!$A$2:$A54)=$A$1))*(iferror(month(Transactions!$A$2:$A54)=9))*(Transactions!$B$2:$B54="Div")*(Transactions!$C$2:$C54=$A48)*Transactions!$T$2:$T54))</f>
        <v>#N/A</v>
      </c>
      <c r="M48" s="178" t="str">
        <f>if(SUMPRODUCT(1*(iferror(year(Transactions!$A$2:$A54)=$A$1))*(iferror(month(Transactions!$A$2:$A54)=10))*(Transactions!$B$2:$B54="Div")*(Transactions!$C$2:$C54=$A48)*Transactions!$T$2:$T54)=0,,SUMPRODUCT(1*(iferror(year(Transactions!$A$2:$A54)=$A$1))*(iferror(month(Transactions!$A$2:$A54)=10))*(Transactions!$B$2:$B54="Div")*(Transactions!$C$2:$C54=$A48)*Transactions!$T$2:$T54))</f>
        <v>#N/A</v>
      </c>
      <c r="N48" s="178" t="str">
        <f>if(SUMPRODUCT(1*(iferror(year(Transactions!$A$2:$A54)=$A$1))*(iferror(month(Transactions!$A$2:$A54)=11))*(Transactions!$B$2:$B54="Div")*(Transactions!$C$2:$C54=$A48)*Transactions!$T$2:$T54)=0,,SUMPRODUCT(1*(iferror(year(Transactions!$A$2:$A54)=$A$1))*(iferror(month(Transactions!$A$2:$A54)=11))*(Transactions!$B$2:$B54="Div")*(Transactions!$C$2:$C54=$A48)*Transactions!$T$2:$T54))</f>
        <v>#N/A</v>
      </c>
      <c r="O48" s="178" t="str">
        <f>if(SUMPRODUCT(1*(iferror(year(Transactions!$A$2:$A54)=$A$1))*(iferror(month(Transactions!$A$2:$A54)=12))*(Transactions!$B$2:$B54="Div")*(Transactions!$C$2:$C54=$A48)*Transactions!$T$2:$T54)=0,,SUMPRODUCT(1*(iferror(year(Transactions!$A$2:$A54)=$A$1))*(iferror(month(Transactions!$A$2:$A54)=12))*(Transactions!$B$2:$B54="Div")*(Transactions!$C$2:$C54=$A48)*Transactions!$T$2:$T54))</f>
        <v>#N/A</v>
      </c>
      <c r="P48" s="179"/>
    </row>
    <row r="49">
      <c r="A49" s="45" t="str">
        <f t="shared" si="2"/>
        <v/>
      </c>
      <c r="B49" s="181"/>
      <c r="C49" s="177"/>
      <c r="D49" s="178" t="str">
        <f>if(SUMPRODUCT(1*(iferror(year(Transactions!$A$2:$A54)=$A$1))*(iferror(month(Transactions!$A$2:$A54)=1))*(Transactions!$B$2:$B54="Div")*(Transactions!$C$2:$C54=$A49)*Transactions!$T$2:$T54)=0,,SUMPRODUCT(1*(iferror(year(Transactions!$A$2:$A54)=$A$1))*(iferror(month(Transactions!$A$2:$A54)=1))*(Transactions!$B$2:$B54="Div")*(Transactions!$C$2:$C54=$A49)*Transactions!$T$2:$T54))</f>
        <v>#N/A</v>
      </c>
      <c r="E49" s="178" t="str">
        <f>if(SUMPRODUCT(1*(iferror(year(Transactions!$A$2:$A54)=$A$1))*(iferror(month(Transactions!$A$2:$A54)=2))*(Transactions!$B$2:$B54="Div")*(Transactions!$C$2:$C54=$A49)*Transactions!$T$2:$T54)=0,,SUMPRODUCT(1*(iferror(year(Transactions!$A$2:$A54)=$A$1))*(iferror(month(Transactions!$A$2:$A54)=2))*(Transactions!$B$2:$B54="Div")*(Transactions!$C$2:$C54=$A49)*Transactions!$T$2:$T54))</f>
        <v>#N/A</v>
      </c>
      <c r="F49" s="178" t="str">
        <f>if(SUMPRODUCT(1*(iferror(year(Transactions!$A$2:$A54)=$A$1))*(iferror(month(Transactions!$A$2:$A54)=3))*(Transactions!$B$2:$B54="Div")*(Transactions!$C$2:$C54=$A49)*Transactions!$T$2:$T54)=0,,SUMPRODUCT(1*(iferror(year(Transactions!$A$2:$A54)=$A$1))*(iferror(month(Transactions!$A$2:$A54)=3))*(Transactions!$B$2:$B54="Div")*(Transactions!$C$2:$C54=$A49)*Transactions!$T$2:$T54))</f>
        <v>#N/A</v>
      </c>
      <c r="G49" s="178" t="str">
        <f>if(SUMPRODUCT(1*(iferror(year(Transactions!$A$2:$A54)=$A$1))*(iferror(month(Transactions!$A$2:$A54)=4))*(Transactions!$B$2:$B54="Div")*(Transactions!$C$2:$C54=$A49)*Transactions!$T$2:$T54)=0,,SUMPRODUCT(1*(iferror(year(Transactions!$A$2:$A54)=$A$1))*(iferror(month(Transactions!$A$2:$A54)=4))*(Transactions!$B$2:$B54="Div")*(Transactions!$C$2:$C54=$A49)*Transactions!$T$2:$T54))</f>
        <v>#N/A</v>
      </c>
      <c r="H49" s="178" t="str">
        <f>if(SUMPRODUCT(1*(iferror(year(Transactions!$A$2:$A54)=$A$1))*(iferror(month(Transactions!$A$2:$A54)=5))*(Transactions!$B$2:$B54="Div")*(Transactions!$C$2:$C54=$A49)*Transactions!$T$2:$T54)=0,,SUMPRODUCT(1*(iferror(year(Transactions!$A$2:$A54)=$A$1))*(iferror(month(Transactions!$A$2:$A54)=5))*(Transactions!$B$2:$B54="Div")*(Transactions!$C$2:$C54=$A49)*Transactions!$T$2:$T54))</f>
        <v>#N/A</v>
      </c>
      <c r="I49" s="178" t="str">
        <f>if(SUMPRODUCT(1*(iferror(year(Transactions!$A$2:$A54)=$A$1))*(iferror(month(Transactions!$A$2:$A54)=6))*(Transactions!$B$2:$B54="Div")*(Transactions!$C$2:$C54=$A49)*Transactions!$T$2:$T54)=0,,SUMPRODUCT(1*(iferror(year(Transactions!$A$2:$A54)=$A$1))*(iferror(month(Transactions!$A$2:$A54)=6))*(Transactions!$B$2:$B54="Div")*(Transactions!$C$2:$C54=$A49)*Transactions!$T$2:$T54))</f>
        <v>#N/A</v>
      </c>
      <c r="J49" s="178" t="str">
        <f>if(SUMPRODUCT(1*(iferror(year(Transactions!$A$2:$A54)=$A$1))*(iferror(month(Transactions!$A$2:$A54)=7))*(Transactions!$B$2:$B54="Div")*(Transactions!$C$2:$C54=$A49)*Transactions!$T$2:$T54)=0,,SUMPRODUCT(1*(iferror(year(Transactions!$A$2:$A54)=$A$1))*(iferror(month(Transactions!$A$2:$A54)=7))*(Transactions!$B$2:$B54="Div")*(Transactions!$C$2:$C54=$A49)*Transactions!$T$2:$T54))</f>
        <v>#N/A</v>
      </c>
      <c r="K49" s="178" t="str">
        <f>if(SUMPRODUCT(1*(iferror(year(Transactions!$A$2:$A54)=$A$1))*(iferror(month(Transactions!$A$2:$A54)=8))*(Transactions!$B$2:$B54="Div")*(Transactions!$C$2:$C54=$A49)*Transactions!$T$2:$T54)=0,,SUMPRODUCT(1*(iferror(year(Transactions!$A$2:$A54)=$A$1))*(iferror(month(Transactions!$A$2:$A54)=8))*(Transactions!$B$2:$B54="Div")*(Transactions!$C$2:$C54=$A49)*Transactions!$T$2:$T54))</f>
        <v>#N/A</v>
      </c>
      <c r="L49" s="178" t="str">
        <f>if(SUMPRODUCT(1*(iferror(year(Transactions!$A$2:$A54)=$A$1))*(iferror(month(Transactions!$A$2:$A54)=9))*(Transactions!$B$2:$B54="Div")*(Transactions!$C$2:$C54=$A49)*Transactions!$T$2:$T54)=0,,SUMPRODUCT(1*(iferror(year(Transactions!$A$2:$A54)=$A$1))*(iferror(month(Transactions!$A$2:$A54)=9))*(Transactions!$B$2:$B54="Div")*(Transactions!$C$2:$C54=$A49)*Transactions!$T$2:$T54))</f>
        <v>#N/A</v>
      </c>
      <c r="M49" s="178" t="str">
        <f>if(SUMPRODUCT(1*(iferror(year(Transactions!$A$2:$A54)=$A$1))*(iferror(month(Transactions!$A$2:$A54)=10))*(Transactions!$B$2:$B54="Div")*(Transactions!$C$2:$C54=$A49)*Transactions!$T$2:$T54)=0,,SUMPRODUCT(1*(iferror(year(Transactions!$A$2:$A54)=$A$1))*(iferror(month(Transactions!$A$2:$A54)=10))*(Transactions!$B$2:$B54="Div")*(Transactions!$C$2:$C54=$A49)*Transactions!$T$2:$T54))</f>
        <v>#N/A</v>
      </c>
      <c r="N49" s="178" t="str">
        <f>if(SUMPRODUCT(1*(iferror(year(Transactions!$A$2:$A54)=$A$1))*(iferror(month(Transactions!$A$2:$A54)=11))*(Transactions!$B$2:$B54="Div")*(Transactions!$C$2:$C54=$A49)*Transactions!$T$2:$T54)=0,,SUMPRODUCT(1*(iferror(year(Transactions!$A$2:$A54)=$A$1))*(iferror(month(Transactions!$A$2:$A54)=11))*(Transactions!$B$2:$B54="Div")*(Transactions!$C$2:$C54=$A49)*Transactions!$T$2:$T54))</f>
        <v>#N/A</v>
      </c>
      <c r="O49" s="178" t="str">
        <f>if(SUMPRODUCT(1*(iferror(year(Transactions!$A$2:$A54)=$A$1))*(iferror(month(Transactions!$A$2:$A54)=12))*(Transactions!$B$2:$B54="Div")*(Transactions!$C$2:$C54=$A49)*Transactions!$T$2:$T54)=0,,SUMPRODUCT(1*(iferror(year(Transactions!$A$2:$A54)=$A$1))*(iferror(month(Transactions!$A$2:$A54)=12))*(Transactions!$B$2:$B54="Div")*(Transactions!$C$2:$C54=$A49)*Transactions!$T$2:$T54))</f>
        <v>#N/A</v>
      </c>
      <c r="P49" s="179"/>
    </row>
    <row r="50">
      <c r="A50" s="45" t="str">
        <f t="shared" si="2"/>
        <v/>
      </c>
      <c r="B50" s="181"/>
      <c r="C50" s="177"/>
      <c r="D50" s="178" t="str">
        <f>if(SUMPRODUCT(1*(iferror(year(Transactions!$A$2:$A54)=$A$1))*(iferror(month(Transactions!$A$2:$A54)=1))*(Transactions!$B$2:$B54="Div")*(Transactions!$C$2:$C54=$A50)*Transactions!$T$2:$T54)=0,,SUMPRODUCT(1*(iferror(year(Transactions!$A$2:$A54)=$A$1))*(iferror(month(Transactions!$A$2:$A54)=1))*(Transactions!$B$2:$B54="Div")*(Transactions!$C$2:$C54=$A50)*Transactions!$T$2:$T54))</f>
        <v>#N/A</v>
      </c>
      <c r="E50" s="178" t="str">
        <f>if(SUMPRODUCT(1*(iferror(year(Transactions!$A$2:$A54)=$A$1))*(iferror(month(Transactions!$A$2:$A54)=2))*(Transactions!$B$2:$B54="Div")*(Transactions!$C$2:$C54=$A50)*Transactions!$T$2:$T54)=0,,SUMPRODUCT(1*(iferror(year(Transactions!$A$2:$A54)=$A$1))*(iferror(month(Transactions!$A$2:$A54)=2))*(Transactions!$B$2:$B54="Div")*(Transactions!$C$2:$C54=$A50)*Transactions!$T$2:$T54))</f>
        <v>#N/A</v>
      </c>
      <c r="F50" s="178" t="str">
        <f>if(SUMPRODUCT(1*(iferror(year(Transactions!$A$2:$A54)=$A$1))*(iferror(month(Transactions!$A$2:$A54)=3))*(Transactions!$B$2:$B54="Div")*(Transactions!$C$2:$C54=$A50)*Transactions!$T$2:$T54)=0,,SUMPRODUCT(1*(iferror(year(Transactions!$A$2:$A54)=$A$1))*(iferror(month(Transactions!$A$2:$A54)=3))*(Transactions!$B$2:$B54="Div")*(Transactions!$C$2:$C54=$A50)*Transactions!$T$2:$T54))</f>
        <v>#N/A</v>
      </c>
      <c r="G50" s="178" t="str">
        <f>if(SUMPRODUCT(1*(iferror(year(Transactions!$A$2:$A54)=$A$1))*(iferror(month(Transactions!$A$2:$A54)=4))*(Transactions!$B$2:$B54="Div")*(Transactions!$C$2:$C54=$A50)*Transactions!$T$2:$T54)=0,,SUMPRODUCT(1*(iferror(year(Transactions!$A$2:$A54)=$A$1))*(iferror(month(Transactions!$A$2:$A54)=4))*(Transactions!$B$2:$B54="Div")*(Transactions!$C$2:$C54=$A50)*Transactions!$T$2:$T54))</f>
        <v>#N/A</v>
      </c>
      <c r="H50" s="178" t="str">
        <f>if(SUMPRODUCT(1*(iferror(year(Transactions!$A$2:$A54)=$A$1))*(iferror(month(Transactions!$A$2:$A54)=5))*(Transactions!$B$2:$B54="Div")*(Transactions!$C$2:$C54=$A50)*Transactions!$T$2:$T54)=0,,SUMPRODUCT(1*(iferror(year(Transactions!$A$2:$A54)=$A$1))*(iferror(month(Transactions!$A$2:$A54)=5))*(Transactions!$B$2:$B54="Div")*(Transactions!$C$2:$C54=$A50)*Transactions!$T$2:$T54))</f>
        <v>#N/A</v>
      </c>
      <c r="I50" s="178" t="str">
        <f>if(SUMPRODUCT(1*(iferror(year(Transactions!$A$2:$A54)=$A$1))*(iferror(month(Transactions!$A$2:$A54)=6))*(Transactions!$B$2:$B54="Div")*(Transactions!$C$2:$C54=$A50)*Transactions!$T$2:$T54)=0,,SUMPRODUCT(1*(iferror(year(Transactions!$A$2:$A54)=$A$1))*(iferror(month(Transactions!$A$2:$A54)=6))*(Transactions!$B$2:$B54="Div")*(Transactions!$C$2:$C54=$A50)*Transactions!$T$2:$T54))</f>
        <v>#N/A</v>
      </c>
      <c r="J50" s="178" t="str">
        <f>if(SUMPRODUCT(1*(iferror(year(Transactions!$A$2:$A54)=$A$1))*(iferror(month(Transactions!$A$2:$A54)=7))*(Transactions!$B$2:$B54="Div")*(Transactions!$C$2:$C54=$A50)*Transactions!$T$2:$T54)=0,,SUMPRODUCT(1*(iferror(year(Transactions!$A$2:$A54)=$A$1))*(iferror(month(Transactions!$A$2:$A54)=7))*(Transactions!$B$2:$B54="Div")*(Transactions!$C$2:$C54=$A50)*Transactions!$T$2:$T54))</f>
        <v>#N/A</v>
      </c>
      <c r="K50" s="178" t="str">
        <f>if(SUMPRODUCT(1*(iferror(year(Transactions!$A$2:$A54)=$A$1))*(iferror(month(Transactions!$A$2:$A54)=8))*(Transactions!$B$2:$B54="Div")*(Transactions!$C$2:$C54=$A50)*Transactions!$T$2:$T54)=0,,SUMPRODUCT(1*(iferror(year(Transactions!$A$2:$A54)=$A$1))*(iferror(month(Transactions!$A$2:$A54)=8))*(Transactions!$B$2:$B54="Div")*(Transactions!$C$2:$C54=$A50)*Transactions!$T$2:$T54))</f>
        <v>#N/A</v>
      </c>
      <c r="L50" s="178" t="str">
        <f>if(SUMPRODUCT(1*(iferror(year(Transactions!$A$2:$A54)=$A$1))*(iferror(month(Transactions!$A$2:$A54)=9))*(Transactions!$B$2:$B54="Div")*(Transactions!$C$2:$C54=$A50)*Transactions!$T$2:$T54)=0,,SUMPRODUCT(1*(iferror(year(Transactions!$A$2:$A54)=$A$1))*(iferror(month(Transactions!$A$2:$A54)=9))*(Transactions!$B$2:$B54="Div")*(Transactions!$C$2:$C54=$A50)*Transactions!$T$2:$T54))</f>
        <v>#N/A</v>
      </c>
      <c r="M50" s="178" t="str">
        <f>if(SUMPRODUCT(1*(iferror(year(Transactions!$A$2:$A54)=$A$1))*(iferror(month(Transactions!$A$2:$A54)=10))*(Transactions!$B$2:$B54="Div")*(Transactions!$C$2:$C54=$A50)*Transactions!$T$2:$T54)=0,,SUMPRODUCT(1*(iferror(year(Transactions!$A$2:$A54)=$A$1))*(iferror(month(Transactions!$A$2:$A54)=10))*(Transactions!$B$2:$B54="Div")*(Transactions!$C$2:$C54=$A50)*Transactions!$T$2:$T54))</f>
        <v>#N/A</v>
      </c>
      <c r="N50" s="178" t="str">
        <f>if(SUMPRODUCT(1*(iferror(year(Transactions!$A$2:$A54)=$A$1))*(iferror(month(Transactions!$A$2:$A54)=11))*(Transactions!$B$2:$B54="Div")*(Transactions!$C$2:$C54=$A50)*Transactions!$T$2:$T54)=0,,SUMPRODUCT(1*(iferror(year(Transactions!$A$2:$A54)=$A$1))*(iferror(month(Transactions!$A$2:$A54)=11))*(Transactions!$B$2:$B54="Div")*(Transactions!$C$2:$C54=$A50)*Transactions!$T$2:$T54))</f>
        <v>#N/A</v>
      </c>
      <c r="O50" s="178" t="str">
        <f>if(SUMPRODUCT(1*(iferror(year(Transactions!$A$2:$A54)=$A$1))*(iferror(month(Transactions!$A$2:$A54)=12))*(Transactions!$B$2:$B54="Div")*(Transactions!$C$2:$C54=$A50)*Transactions!$T$2:$T54)=0,,SUMPRODUCT(1*(iferror(year(Transactions!$A$2:$A54)=$A$1))*(iferror(month(Transactions!$A$2:$A54)=12))*(Transactions!$B$2:$B54="Div")*(Transactions!$C$2:$C54=$A50)*Transactions!$T$2:$T54))</f>
        <v>#N/A</v>
      </c>
      <c r="P50" s="179"/>
    </row>
    <row r="51">
      <c r="A51" s="45" t="str">
        <f t="shared" si="2"/>
        <v/>
      </c>
      <c r="B51" s="181"/>
      <c r="C51" s="177"/>
      <c r="D51" s="178" t="str">
        <f>if(SUMPRODUCT(1*(iferror(year(Transactions!$A$2:$A54)=$A$1))*(iferror(month(Transactions!$A$2:$A54)=1))*(Transactions!$B$2:$B54="Div")*(Transactions!$C$2:$C54=$A51)*Transactions!$T$2:$T54)=0,,SUMPRODUCT(1*(iferror(year(Transactions!$A$2:$A54)=$A$1))*(iferror(month(Transactions!$A$2:$A54)=1))*(Transactions!$B$2:$B54="Div")*(Transactions!$C$2:$C54=$A51)*Transactions!$T$2:$T54))</f>
        <v>#N/A</v>
      </c>
      <c r="E51" s="178" t="str">
        <f>if(SUMPRODUCT(1*(iferror(year(Transactions!$A$2:$A54)=$A$1))*(iferror(month(Transactions!$A$2:$A54)=2))*(Transactions!$B$2:$B54="Div")*(Transactions!$C$2:$C54=$A51)*Transactions!$T$2:$T54)=0,,SUMPRODUCT(1*(iferror(year(Transactions!$A$2:$A54)=$A$1))*(iferror(month(Transactions!$A$2:$A54)=2))*(Transactions!$B$2:$B54="Div")*(Transactions!$C$2:$C54=$A51)*Transactions!$T$2:$T54))</f>
        <v>#N/A</v>
      </c>
      <c r="F51" s="178" t="str">
        <f>if(SUMPRODUCT(1*(iferror(year(Transactions!$A$2:$A54)=$A$1))*(iferror(month(Transactions!$A$2:$A54)=3))*(Transactions!$B$2:$B54="Div")*(Transactions!$C$2:$C54=$A51)*Transactions!$T$2:$T54)=0,,SUMPRODUCT(1*(iferror(year(Transactions!$A$2:$A54)=$A$1))*(iferror(month(Transactions!$A$2:$A54)=3))*(Transactions!$B$2:$B54="Div")*(Transactions!$C$2:$C54=$A51)*Transactions!$T$2:$T54))</f>
        <v>#N/A</v>
      </c>
      <c r="G51" s="178" t="str">
        <f>if(SUMPRODUCT(1*(iferror(year(Transactions!$A$2:$A54)=$A$1))*(iferror(month(Transactions!$A$2:$A54)=4))*(Transactions!$B$2:$B54="Div")*(Transactions!$C$2:$C54=$A51)*Transactions!$T$2:$T54)=0,,SUMPRODUCT(1*(iferror(year(Transactions!$A$2:$A54)=$A$1))*(iferror(month(Transactions!$A$2:$A54)=4))*(Transactions!$B$2:$B54="Div")*(Transactions!$C$2:$C54=$A51)*Transactions!$T$2:$T54))</f>
        <v>#N/A</v>
      </c>
      <c r="H51" s="178" t="str">
        <f>if(SUMPRODUCT(1*(iferror(year(Transactions!$A$2:$A54)=$A$1))*(iferror(month(Transactions!$A$2:$A54)=5))*(Transactions!$B$2:$B54="Div")*(Transactions!$C$2:$C54=$A51)*Transactions!$T$2:$T54)=0,,SUMPRODUCT(1*(iferror(year(Transactions!$A$2:$A54)=$A$1))*(iferror(month(Transactions!$A$2:$A54)=5))*(Transactions!$B$2:$B54="Div")*(Transactions!$C$2:$C54=$A51)*Transactions!$T$2:$T54))</f>
        <v>#N/A</v>
      </c>
      <c r="I51" s="178" t="str">
        <f>if(SUMPRODUCT(1*(iferror(year(Transactions!$A$2:$A54)=$A$1))*(iferror(month(Transactions!$A$2:$A54)=6))*(Transactions!$B$2:$B54="Div")*(Transactions!$C$2:$C54=$A51)*Transactions!$T$2:$T54)=0,,SUMPRODUCT(1*(iferror(year(Transactions!$A$2:$A54)=$A$1))*(iferror(month(Transactions!$A$2:$A54)=6))*(Transactions!$B$2:$B54="Div")*(Transactions!$C$2:$C54=$A51)*Transactions!$T$2:$T54))</f>
        <v>#N/A</v>
      </c>
      <c r="J51" s="178" t="str">
        <f>if(SUMPRODUCT(1*(iferror(year(Transactions!$A$2:$A54)=$A$1))*(iferror(month(Transactions!$A$2:$A54)=7))*(Transactions!$B$2:$B54="Div")*(Transactions!$C$2:$C54=$A51)*Transactions!$T$2:$T54)=0,,SUMPRODUCT(1*(iferror(year(Transactions!$A$2:$A54)=$A$1))*(iferror(month(Transactions!$A$2:$A54)=7))*(Transactions!$B$2:$B54="Div")*(Transactions!$C$2:$C54=$A51)*Transactions!$T$2:$T54))</f>
        <v>#N/A</v>
      </c>
      <c r="K51" s="178" t="str">
        <f>if(SUMPRODUCT(1*(iferror(year(Transactions!$A$2:$A54)=$A$1))*(iferror(month(Transactions!$A$2:$A54)=8))*(Transactions!$B$2:$B54="Div")*(Transactions!$C$2:$C54=$A51)*Transactions!$T$2:$T54)=0,,SUMPRODUCT(1*(iferror(year(Transactions!$A$2:$A54)=$A$1))*(iferror(month(Transactions!$A$2:$A54)=8))*(Transactions!$B$2:$B54="Div")*(Transactions!$C$2:$C54=$A51)*Transactions!$T$2:$T54))</f>
        <v>#N/A</v>
      </c>
      <c r="L51" s="178" t="str">
        <f>if(SUMPRODUCT(1*(iferror(year(Transactions!$A$2:$A54)=$A$1))*(iferror(month(Transactions!$A$2:$A54)=9))*(Transactions!$B$2:$B54="Div")*(Transactions!$C$2:$C54=$A51)*Transactions!$T$2:$T54)=0,,SUMPRODUCT(1*(iferror(year(Transactions!$A$2:$A54)=$A$1))*(iferror(month(Transactions!$A$2:$A54)=9))*(Transactions!$B$2:$B54="Div")*(Transactions!$C$2:$C54=$A51)*Transactions!$T$2:$T54))</f>
        <v>#N/A</v>
      </c>
      <c r="M51" s="178" t="str">
        <f>if(SUMPRODUCT(1*(iferror(year(Transactions!$A$2:$A54)=$A$1))*(iferror(month(Transactions!$A$2:$A54)=10))*(Transactions!$B$2:$B54="Div")*(Transactions!$C$2:$C54=$A51)*Transactions!$T$2:$T54)=0,,SUMPRODUCT(1*(iferror(year(Transactions!$A$2:$A54)=$A$1))*(iferror(month(Transactions!$A$2:$A54)=10))*(Transactions!$B$2:$B54="Div")*(Transactions!$C$2:$C54=$A51)*Transactions!$T$2:$T54))</f>
        <v>#N/A</v>
      </c>
      <c r="N51" s="178" t="str">
        <f>if(SUMPRODUCT(1*(iferror(year(Transactions!$A$2:$A54)=$A$1))*(iferror(month(Transactions!$A$2:$A54)=11))*(Transactions!$B$2:$B54="Div")*(Transactions!$C$2:$C54=$A51)*Transactions!$T$2:$T54)=0,,SUMPRODUCT(1*(iferror(year(Transactions!$A$2:$A54)=$A$1))*(iferror(month(Transactions!$A$2:$A54)=11))*(Transactions!$B$2:$B54="Div")*(Transactions!$C$2:$C54=$A51)*Transactions!$T$2:$T54))</f>
        <v>#N/A</v>
      </c>
      <c r="O51" s="178" t="str">
        <f>if(SUMPRODUCT(1*(iferror(year(Transactions!$A$2:$A54)=$A$1))*(iferror(month(Transactions!$A$2:$A54)=12))*(Transactions!$B$2:$B54="Div")*(Transactions!$C$2:$C54=$A51)*Transactions!$T$2:$T54)=0,,SUMPRODUCT(1*(iferror(year(Transactions!$A$2:$A54)=$A$1))*(iferror(month(Transactions!$A$2:$A54)=12))*(Transactions!$B$2:$B54="Div")*(Transactions!$C$2:$C54=$A51)*Transactions!$T$2:$T54))</f>
        <v>#N/A</v>
      </c>
      <c r="P51" s="179"/>
    </row>
    <row r="52">
      <c r="A52" s="45" t="str">
        <f t="shared" si="2"/>
        <v/>
      </c>
      <c r="B52" s="181"/>
      <c r="C52" s="177"/>
      <c r="D52" s="178" t="str">
        <f>if(SUMPRODUCT(1*(iferror(year(Transactions!$A$2:$A54)=$A$1))*(iferror(month(Transactions!$A$2:$A54)=1))*(Transactions!$B$2:$B54="Div")*(Transactions!$C$2:$C54=$A52)*Transactions!$T$2:$T54)=0,,SUMPRODUCT(1*(iferror(year(Transactions!$A$2:$A54)=$A$1))*(iferror(month(Transactions!$A$2:$A54)=1))*(Transactions!$B$2:$B54="Div")*(Transactions!$C$2:$C54=$A52)*Transactions!$T$2:$T54))</f>
        <v>#N/A</v>
      </c>
      <c r="E52" s="178" t="str">
        <f>if(SUMPRODUCT(1*(iferror(year(Transactions!$A$2:$A54)=$A$1))*(iferror(month(Transactions!$A$2:$A54)=2))*(Transactions!$B$2:$B54="Div")*(Transactions!$C$2:$C54=$A52)*Transactions!$T$2:$T54)=0,,SUMPRODUCT(1*(iferror(year(Transactions!$A$2:$A54)=$A$1))*(iferror(month(Transactions!$A$2:$A54)=2))*(Transactions!$B$2:$B54="Div")*(Transactions!$C$2:$C54=$A52)*Transactions!$T$2:$T54))</f>
        <v>#N/A</v>
      </c>
      <c r="F52" s="178" t="str">
        <f>if(SUMPRODUCT(1*(iferror(year(Transactions!$A$2:$A54)=$A$1))*(iferror(month(Transactions!$A$2:$A54)=3))*(Transactions!$B$2:$B54="Div")*(Transactions!$C$2:$C54=$A52)*Transactions!$T$2:$T54)=0,,SUMPRODUCT(1*(iferror(year(Transactions!$A$2:$A54)=$A$1))*(iferror(month(Transactions!$A$2:$A54)=3))*(Transactions!$B$2:$B54="Div")*(Transactions!$C$2:$C54=$A52)*Transactions!$T$2:$T54))</f>
        <v>#N/A</v>
      </c>
      <c r="G52" s="178" t="str">
        <f>if(SUMPRODUCT(1*(iferror(year(Transactions!$A$2:$A54)=$A$1))*(iferror(month(Transactions!$A$2:$A54)=4))*(Transactions!$B$2:$B54="Div")*(Transactions!$C$2:$C54=$A52)*Transactions!$T$2:$T54)=0,,SUMPRODUCT(1*(iferror(year(Transactions!$A$2:$A54)=$A$1))*(iferror(month(Transactions!$A$2:$A54)=4))*(Transactions!$B$2:$B54="Div")*(Transactions!$C$2:$C54=$A52)*Transactions!$T$2:$T54))</f>
        <v>#N/A</v>
      </c>
      <c r="H52" s="178" t="str">
        <f>if(SUMPRODUCT(1*(iferror(year(Transactions!$A$2:$A54)=$A$1))*(iferror(month(Transactions!$A$2:$A54)=5))*(Transactions!$B$2:$B54="Div")*(Transactions!$C$2:$C54=$A52)*Transactions!$T$2:$T54)=0,,SUMPRODUCT(1*(iferror(year(Transactions!$A$2:$A54)=$A$1))*(iferror(month(Transactions!$A$2:$A54)=5))*(Transactions!$B$2:$B54="Div")*(Transactions!$C$2:$C54=$A52)*Transactions!$T$2:$T54))</f>
        <v>#N/A</v>
      </c>
      <c r="I52" s="178" t="str">
        <f>if(SUMPRODUCT(1*(iferror(year(Transactions!$A$2:$A54)=$A$1))*(iferror(month(Transactions!$A$2:$A54)=6))*(Transactions!$B$2:$B54="Div")*(Transactions!$C$2:$C54=$A52)*Transactions!$T$2:$T54)=0,,SUMPRODUCT(1*(iferror(year(Transactions!$A$2:$A54)=$A$1))*(iferror(month(Transactions!$A$2:$A54)=6))*(Transactions!$B$2:$B54="Div")*(Transactions!$C$2:$C54=$A52)*Transactions!$T$2:$T54))</f>
        <v>#N/A</v>
      </c>
      <c r="J52" s="178" t="str">
        <f>if(SUMPRODUCT(1*(iferror(year(Transactions!$A$2:$A54)=$A$1))*(iferror(month(Transactions!$A$2:$A54)=7))*(Transactions!$B$2:$B54="Div")*(Transactions!$C$2:$C54=$A52)*Transactions!$T$2:$T54)=0,,SUMPRODUCT(1*(iferror(year(Transactions!$A$2:$A54)=$A$1))*(iferror(month(Transactions!$A$2:$A54)=7))*(Transactions!$B$2:$B54="Div")*(Transactions!$C$2:$C54=$A52)*Transactions!$T$2:$T54))</f>
        <v>#N/A</v>
      </c>
      <c r="K52" s="178" t="str">
        <f>if(SUMPRODUCT(1*(iferror(year(Transactions!$A$2:$A54)=$A$1))*(iferror(month(Transactions!$A$2:$A54)=8))*(Transactions!$B$2:$B54="Div")*(Transactions!$C$2:$C54=$A52)*Transactions!$T$2:$T54)=0,,SUMPRODUCT(1*(iferror(year(Transactions!$A$2:$A54)=$A$1))*(iferror(month(Transactions!$A$2:$A54)=8))*(Transactions!$B$2:$B54="Div")*(Transactions!$C$2:$C54=$A52)*Transactions!$T$2:$T54))</f>
        <v>#N/A</v>
      </c>
      <c r="L52" s="178" t="str">
        <f>if(SUMPRODUCT(1*(iferror(year(Transactions!$A$2:$A54)=$A$1))*(iferror(month(Transactions!$A$2:$A54)=9))*(Transactions!$B$2:$B54="Div")*(Transactions!$C$2:$C54=$A52)*Transactions!$T$2:$T54)=0,,SUMPRODUCT(1*(iferror(year(Transactions!$A$2:$A54)=$A$1))*(iferror(month(Transactions!$A$2:$A54)=9))*(Transactions!$B$2:$B54="Div")*(Transactions!$C$2:$C54=$A52)*Transactions!$T$2:$T54))</f>
        <v>#N/A</v>
      </c>
      <c r="M52" s="178" t="str">
        <f>if(SUMPRODUCT(1*(iferror(year(Transactions!$A$2:$A54)=$A$1))*(iferror(month(Transactions!$A$2:$A54)=10))*(Transactions!$B$2:$B54="Div")*(Transactions!$C$2:$C54=$A52)*Transactions!$T$2:$T54)=0,,SUMPRODUCT(1*(iferror(year(Transactions!$A$2:$A54)=$A$1))*(iferror(month(Transactions!$A$2:$A54)=10))*(Transactions!$B$2:$B54="Div")*(Transactions!$C$2:$C54=$A52)*Transactions!$T$2:$T54))</f>
        <v>#N/A</v>
      </c>
      <c r="N52" s="178" t="str">
        <f>if(SUMPRODUCT(1*(iferror(year(Transactions!$A$2:$A54)=$A$1))*(iferror(month(Transactions!$A$2:$A54)=11))*(Transactions!$B$2:$B54="Div")*(Transactions!$C$2:$C54=$A52)*Transactions!$T$2:$T54)=0,,SUMPRODUCT(1*(iferror(year(Transactions!$A$2:$A54)=$A$1))*(iferror(month(Transactions!$A$2:$A54)=11))*(Transactions!$B$2:$B54="Div")*(Transactions!$C$2:$C54=$A52)*Transactions!$T$2:$T54))</f>
        <v>#N/A</v>
      </c>
      <c r="O52" s="178" t="str">
        <f>if(SUMPRODUCT(1*(iferror(year(Transactions!$A$2:$A54)=$A$1))*(iferror(month(Transactions!$A$2:$A54)=12))*(Transactions!$B$2:$B54="Div")*(Transactions!$C$2:$C54=$A52)*Transactions!$T$2:$T54)=0,,SUMPRODUCT(1*(iferror(year(Transactions!$A$2:$A54)=$A$1))*(iferror(month(Transactions!$A$2:$A54)=12))*(Transactions!$B$2:$B54="Div")*(Transactions!$C$2:$C54=$A52)*Transactions!$T$2:$T54))</f>
        <v>#N/A</v>
      </c>
      <c r="P52" s="179"/>
    </row>
    <row r="53">
      <c r="A53" s="247" t="s">
        <v>238</v>
      </c>
      <c r="B53" s="170" t="str">
        <f>CONCATENATE("Total [",Portfolio!$H$3,"]" )</f>
        <v>Total [€]</v>
      </c>
      <c r="C53" s="24"/>
      <c r="D53" s="248" t="str">
        <f t="shared" ref="D53:P53" si="3">sum(D3:D52)</f>
        <v>#N/A</v>
      </c>
      <c r="E53" s="248" t="str">
        <f t="shared" si="3"/>
        <v>#N/A</v>
      </c>
      <c r="F53" s="248" t="str">
        <f t="shared" si="3"/>
        <v>#N/A</v>
      </c>
      <c r="G53" s="248" t="str">
        <f t="shared" si="3"/>
        <v>#N/A</v>
      </c>
      <c r="H53" s="248" t="str">
        <f t="shared" si="3"/>
        <v>#N/A</v>
      </c>
      <c r="I53" s="248" t="str">
        <f t="shared" si="3"/>
        <v>#N/A</v>
      </c>
      <c r="J53" s="248" t="str">
        <f t="shared" si="3"/>
        <v>#N/A</v>
      </c>
      <c r="K53" s="248" t="str">
        <f t="shared" si="3"/>
        <v>#N/A</v>
      </c>
      <c r="L53" s="248" t="str">
        <f t="shared" si="3"/>
        <v>#N/A</v>
      </c>
      <c r="M53" s="248" t="str">
        <f t="shared" si="3"/>
        <v>#N/A</v>
      </c>
      <c r="N53" s="248" t="str">
        <f t="shared" si="3"/>
        <v>#N/A</v>
      </c>
      <c r="O53" s="248" t="str">
        <f t="shared" si="3"/>
        <v>#N/A</v>
      </c>
      <c r="P53" s="248">
        <f t="shared" si="3"/>
        <v>0</v>
      </c>
    </row>
    <row r="54">
      <c r="B54" s="167"/>
      <c r="C54" s="167"/>
      <c r="D54" s="167"/>
      <c r="E54" s="167"/>
      <c r="F54" s="167"/>
      <c r="G54" s="167"/>
      <c r="H54" s="167"/>
      <c r="I54" s="167"/>
      <c r="J54" s="167"/>
      <c r="K54" s="167"/>
      <c r="L54" s="167"/>
      <c r="M54" s="167"/>
      <c r="N54" s="167"/>
      <c r="O54" s="167"/>
    </row>
  </sheetData>
  <mergeCells count="2">
    <mergeCell ref="B1:C1"/>
    <mergeCell ref="B53:C53"/>
  </mergeCells>
  <conditionalFormatting sqref="D3:O52">
    <cfRule type="notContainsBlanks" dxfId="4" priority="1">
      <formula>LEN(TRIM(D3))&gt;0</formula>
    </cfRule>
  </conditionalFormatting>
  <dataValidations>
    <dataValidation type="list" allowBlank="1" sqref="B3:B52">
      <formula1>ReferenceData!$B$4:$B$53</formula1>
    </dataValidation>
    <dataValidation type="list" allowBlank="1" sqref="A1">
      <formula1>"2010,2011,2012,2013,2014,2015,2016,2017,2018,2019,2020,2021,2022,2023,2024,2025"</formula1>
    </dataValidation>
  </dataValidation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8.43"/>
    <col customWidth="1" min="3" max="3" width="10.14"/>
    <col customWidth="1" min="5" max="5" width="12.29"/>
  </cols>
  <sheetData>
    <row r="3">
      <c r="A3" s="182" t="s">
        <v>148</v>
      </c>
      <c r="B3" s="182" t="s">
        <v>149</v>
      </c>
      <c r="C3" s="182" t="s">
        <v>163</v>
      </c>
      <c r="D3" s="182" t="s">
        <v>164</v>
      </c>
      <c r="E3" s="182" t="s">
        <v>11</v>
      </c>
      <c r="F3" s="182" t="s">
        <v>165</v>
      </c>
      <c r="G3" s="182" t="s">
        <v>166</v>
      </c>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183"/>
      <c r="AJ3" s="183"/>
      <c r="AK3" s="183"/>
      <c r="AL3" s="183"/>
      <c r="AM3" s="183"/>
      <c r="AN3" s="183"/>
      <c r="AO3" s="183"/>
      <c r="AP3" s="183"/>
      <c r="AQ3" s="183"/>
      <c r="AR3" s="183"/>
      <c r="AS3" s="183"/>
      <c r="AT3" s="183"/>
      <c r="AU3" s="183"/>
      <c r="AV3" s="183"/>
      <c r="AW3" s="183"/>
      <c r="AX3" s="183"/>
      <c r="AY3" s="183"/>
      <c r="AZ3" s="183"/>
      <c r="BA3" s="183"/>
      <c r="BB3" s="183"/>
      <c r="BC3" s="183"/>
      <c r="BD3" s="183"/>
      <c r="BE3" s="183"/>
      <c r="BF3" s="183"/>
      <c r="BG3" s="183"/>
      <c r="BH3" s="183"/>
      <c r="BI3" s="183"/>
      <c r="BJ3" s="183"/>
      <c r="BK3" s="183"/>
      <c r="BL3" s="183"/>
      <c r="BM3" s="183"/>
      <c r="BN3" s="183"/>
      <c r="BO3" s="183"/>
      <c r="BP3" s="183"/>
      <c r="BQ3" s="183"/>
      <c r="BR3" s="183"/>
      <c r="BS3" s="183"/>
      <c r="BT3" s="183"/>
      <c r="BU3" s="183"/>
      <c r="BV3" s="183"/>
      <c r="BW3" s="183"/>
      <c r="BX3" s="183"/>
      <c r="BY3" s="183"/>
      <c r="BZ3" s="183"/>
      <c r="CA3" s="183"/>
      <c r="CB3" s="183"/>
      <c r="CC3" s="183"/>
      <c r="CD3" s="183"/>
      <c r="CE3" s="183"/>
      <c r="CF3" s="183"/>
      <c r="CG3" s="183"/>
      <c r="CH3" s="183"/>
      <c r="CI3" s="183"/>
      <c r="CJ3" s="183"/>
      <c r="CK3" s="183"/>
      <c r="CL3" s="183"/>
      <c r="CM3" s="183"/>
      <c r="CN3" s="183"/>
      <c r="CO3" s="183"/>
      <c r="CP3" s="183"/>
      <c r="CQ3" s="183"/>
      <c r="CR3" s="183"/>
      <c r="CS3" s="183"/>
      <c r="CT3" s="183"/>
      <c r="CU3" s="183"/>
      <c r="CV3" s="183"/>
      <c r="CW3" s="183"/>
      <c r="CX3" s="183"/>
      <c r="CY3" s="183"/>
      <c r="CZ3" s="183"/>
      <c r="DA3" s="183"/>
      <c r="DB3" s="183"/>
      <c r="DC3" s="183"/>
      <c r="DD3" s="183"/>
      <c r="DE3" s="183"/>
      <c r="DF3" s="183"/>
      <c r="DG3" s="183"/>
      <c r="DH3" s="183"/>
      <c r="DI3" s="183"/>
      <c r="DJ3" s="183"/>
      <c r="DK3" s="183"/>
      <c r="DL3" s="183"/>
      <c r="DM3" s="183"/>
      <c r="DN3" s="183"/>
      <c r="DO3" s="183"/>
      <c r="DP3" s="183"/>
      <c r="DQ3" s="183"/>
      <c r="DR3" s="183"/>
      <c r="DS3" s="183"/>
      <c r="DT3" s="183"/>
      <c r="DU3" s="183"/>
      <c r="DV3" s="183"/>
      <c r="DW3" s="183"/>
      <c r="DX3" s="183"/>
      <c r="DY3" s="183"/>
      <c r="DZ3" s="183"/>
      <c r="EA3" s="183"/>
      <c r="EB3" s="183"/>
      <c r="EC3" s="183"/>
      <c r="ED3" s="183"/>
      <c r="EE3" s="183"/>
      <c r="EF3" s="183"/>
      <c r="EG3" s="183"/>
      <c r="EH3" s="183"/>
      <c r="EI3" s="183"/>
      <c r="EJ3" s="183"/>
      <c r="EK3" s="183"/>
      <c r="EL3" s="183"/>
      <c r="EM3" s="183"/>
      <c r="EN3" s="183"/>
      <c r="EO3" s="183"/>
      <c r="EP3" s="183"/>
      <c r="EQ3" s="183"/>
      <c r="ER3" s="183"/>
      <c r="ES3" s="183"/>
      <c r="ET3" s="183"/>
      <c r="EU3" s="183"/>
      <c r="EV3" s="183"/>
      <c r="EW3" s="183"/>
      <c r="EX3" s="183"/>
      <c r="EY3" s="183"/>
      <c r="EZ3" s="183"/>
      <c r="FA3" s="183"/>
      <c r="FB3" s="183"/>
      <c r="FC3" s="183"/>
      <c r="FD3" s="183"/>
      <c r="FE3" s="183"/>
      <c r="FF3" s="183"/>
      <c r="FG3" s="183"/>
      <c r="FH3" s="183"/>
      <c r="FI3" s="183"/>
      <c r="FJ3" s="183"/>
      <c r="FK3" s="183"/>
      <c r="FL3" s="183"/>
      <c r="FM3" s="183"/>
      <c r="FN3" s="183"/>
      <c r="FO3" s="183"/>
      <c r="FP3" s="183"/>
      <c r="FQ3" s="183"/>
      <c r="FR3" s="183"/>
      <c r="FS3" s="183"/>
      <c r="FT3" s="183"/>
      <c r="FU3" s="183"/>
      <c r="FV3" s="183"/>
      <c r="FW3" s="183"/>
      <c r="FX3" s="183"/>
      <c r="FY3" s="183"/>
      <c r="FZ3" s="183"/>
      <c r="GA3" s="183"/>
      <c r="GB3" s="183"/>
      <c r="GC3" s="183"/>
      <c r="GD3" s="183"/>
      <c r="GE3" s="183"/>
      <c r="GF3" s="183"/>
      <c r="GG3" s="183"/>
      <c r="GH3" s="183"/>
      <c r="GI3" s="183"/>
      <c r="GJ3" s="183"/>
      <c r="GK3" s="183"/>
      <c r="GL3" s="183"/>
      <c r="GM3" s="183"/>
      <c r="GN3" s="183"/>
      <c r="GO3" s="183"/>
      <c r="GP3" s="183"/>
      <c r="GQ3" s="183"/>
      <c r="GR3" s="183"/>
      <c r="GS3" s="183"/>
      <c r="GT3" s="183"/>
      <c r="GU3" s="183"/>
      <c r="GV3" s="183"/>
      <c r="GW3" s="183"/>
    </row>
    <row r="4">
      <c r="A4" s="184" t="str">
        <f t="array" ref="A4:A80">Portfolio!C6:C8718</f>
        <v>Mcdonald's Corp</v>
      </c>
      <c r="B4" s="184" t="str">
        <f t="array" ref="B4:B80">Portfolio!D6:D8718</f>
        <v>MCD</v>
      </c>
      <c r="C4" s="184">
        <f t="shared" ref="C4:C40" si="1">IFERROR(__xludf.DUMMYFUNCTION("iferror(iferror(ImportXml(""http://www.google.com/finance?q=""&amp;B4&amp;"""", ""//span[@class='pr']//*[1]"" ),GoogleFinance(B4)))"),190.44)</f>
        <v>190.44</v>
      </c>
      <c r="D4" s="185">
        <f>if(isblank(B4),,if(Portfolio!E6=0,0,Portfolio!J6/Portfolio!E6)/Portfolio!U6)</f>
        <v>0</v>
      </c>
      <c r="E4" s="186">
        <f t="shared" ref="E4:E53" si="2">IFERROR(__xludf.DUMMYFUNCTION("iferror(if(isblank(B4),,iferror((index(split(ImportXML(""http://finance.google.com/finance?q="" &amp; B4, ""//td[@data-snapfield='latest_dividend-dividend_yield']/following-sibling::*""), ""/""),1,2) / 100),ImportData(""http://download.finance.yahoo.com/d/quo"&amp;"tes.csv?s=""&amp;B4&amp;""&amp;f=d"")/C4)),0)"),0.0)</f>
        <v>0</v>
      </c>
      <c r="F4" s="187" t="str">
        <f t="shared" ref="F4:F53" si="3">IFERROR(__xludf.DUMMYFUNCTION("iferror(ImportData(""http://download.finance.yahoo.com/d/quotes.csv?s=""&amp;B4&amp;""&amp;f=qr1""))"),"")</f>
        <v/>
      </c>
      <c r="G4" s="187"/>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3"/>
      <c r="AR4" s="183"/>
      <c r="AS4" s="183"/>
      <c r="AT4" s="183"/>
      <c r="AU4" s="183"/>
      <c r="AV4" s="183"/>
      <c r="AW4" s="183"/>
      <c r="AX4" s="183"/>
      <c r="AY4" s="183"/>
      <c r="AZ4" s="183"/>
      <c r="BA4" s="183"/>
      <c r="BB4" s="183"/>
      <c r="BC4" s="183"/>
      <c r="BD4" s="183"/>
      <c r="BE4" s="183"/>
      <c r="BF4" s="183"/>
      <c r="BG4" s="183"/>
      <c r="BH4" s="183"/>
      <c r="BI4" s="183"/>
      <c r="BJ4" s="183"/>
      <c r="BK4" s="183"/>
      <c r="BL4" s="183"/>
      <c r="BM4" s="183"/>
      <c r="BN4" s="183"/>
      <c r="BO4" s="183"/>
      <c r="BP4" s="183"/>
      <c r="BQ4" s="183"/>
      <c r="BR4" s="183"/>
      <c r="BS4" s="183"/>
      <c r="BT4" s="183"/>
      <c r="BU4" s="183"/>
      <c r="BV4" s="183"/>
      <c r="BW4" s="183"/>
      <c r="BX4" s="183"/>
      <c r="BY4" s="183"/>
      <c r="BZ4" s="183"/>
      <c r="CA4" s="183"/>
      <c r="CB4" s="183"/>
      <c r="CC4" s="183"/>
      <c r="CD4" s="183"/>
      <c r="CE4" s="183"/>
      <c r="CF4" s="183"/>
      <c r="CG4" s="183"/>
      <c r="CH4" s="183"/>
      <c r="CI4" s="183"/>
      <c r="CJ4" s="183"/>
      <c r="CK4" s="183"/>
      <c r="CL4" s="183"/>
      <c r="CM4" s="183"/>
      <c r="CN4" s="183"/>
      <c r="CO4" s="183"/>
      <c r="CP4" s="183"/>
      <c r="CQ4" s="183"/>
      <c r="CR4" s="183"/>
      <c r="CS4" s="183"/>
      <c r="CT4" s="183"/>
      <c r="CU4" s="183"/>
      <c r="CV4" s="183"/>
      <c r="CW4" s="183"/>
      <c r="CX4" s="183"/>
      <c r="CY4" s="183"/>
      <c r="CZ4" s="183"/>
      <c r="DA4" s="183"/>
      <c r="DB4" s="183"/>
      <c r="DC4" s="183"/>
      <c r="DD4" s="183"/>
      <c r="DE4" s="183"/>
      <c r="DF4" s="183"/>
      <c r="DG4" s="183"/>
      <c r="DH4" s="183"/>
      <c r="DI4" s="183"/>
      <c r="DJ4" s="183"/>
      <c r="DK4" s="183"/>
      <c r="DL4" s="183"/>
      <c r="DM4" s="183"/>
      <c r="DN4" s="183"/>
      <c r="DO4" s="183"/>
      <c r="DP4" s="183"/>
      <c r="DQ4" s="183"/>
      <c r="DR4" s="183"/>
      <c r="DS4" s="183"/>
      <c r="DT4" s="183"/>
      <c r="DU4" s="183"/>
      <c r="DV4" s="183"/>
      <c r="DW4" s="183"/>
      <c r="DX4" s="183"/>
      <c r="DY4" s="183"/>
      <c r="DZ4" s="183"/>
      <c r="EA4" s="183"/>
      <c r="EB4" s="183"/>
      <c r="EC4" s="183"/>
      <c r="ED4" s="183"/>
      <c r="EE4" s="183"/>
      <c r="EF4" s="183"/>
      <c r="EG4" s="183"/>
      <c r="EH4" s="183"/>
      <c r="EI4" s="183"/>
      <c r="EJ4" s="183"/>
      <c r="EK4" s="183"/>
      <c r="EL4" s="183"/>
      <c r="EM4" s="183"/>
      <c r="EN4" s="183"/>
      <c r="EO4" s="183"/>
      <c r="EP4" s="183"/>
      <c r="EQ4" s="183"/>
      <c r="ER4" s="183"/>
      <c r="ES4" s="183"/>
      <c r="ET4" s="183"/>
      <c r="EU4" s="183"/>
      <c r="EV4" s="183"/>
      <c r="EW4" s="183"/>
      <c r="EX4" s="183"/>
      <c r="EY4" s="183"/>
      <c r="EZ4" s="183"/>
      <c r="FA4" s="183"/>
      <c r="FB4" s="183"/>
      <c r="FC4" s="183"/>
      <c r="FD4" s="183"/>
      <c r="FE4" s="183"/>
      <c r="FF4" s="183"/>
      <c r="FG4" s="183"/>
      <c r="FH4" s="183"/>
      <c r="FI4" s="183"/>
      <c r="FJ4" s="183"/>
      <c r="FK4" s="183"/>
      <c r="FL4" s="183"/>
      <c r="FM4" s="183"/>
      <c r="FN4" s="183"/>
      <c r="FO4" s="183"/>
      <c r="FP4" s="183"/>
      <c r="FQ4" s="183"/>
      <c r="FR4" s="183"/>
      <c r="FS4" s="183"/>
      <c r="FT4" s="183"/>
      <c r="FU4" s="183"/>
      <c r="FV4" s="183"/>
      <c r="FW4" s="183"/>
      <c r="FX4" s="183"/>
      <c r="FY4" s="183"/>
      <c r="FZ4" s="183"/>
      <c r="GA4" s="183"/>
      <c r="GB4" s="183"/>
      <c r="GC4" s="183"/>
      <c r="GD4" s="183"/>
      <c r="GE4" s="183"/>
      <c r="GF4" s="183"/>
      <c r="GG4" s="183"/>
      <c r="GH4" s="183"/>
      <c r="GI4" s="183"/>
      <c r="GJ4" s="183"/>
      <c r="GK4" s="183"/>
      <c r="GL4" s="183"/>
      <c r="GM4" s="183"/>
      <c r="GN4" s="183"/>
      <c r="GO4" s="183"/>
      <c r="GP4" s="183"/>
      <c r="GQ4" s="183"/>
      <c r="GR4" s="183"/>
      <c r="GS4" s="183"/>
      <c r="GT4" s="183"/>
      <c r="GU4" s="183"/>
      <c r="GV4" s="183"/>
      <c r="GW4" s="183"/>
    </row>
    <row r="5">
      <c r="A5" s="184" t="e">
        <v>#N/A</v>
      </c>
      <c r="B5" s="184" t="s">
        <v>56</v>
      </c>
      <c r="C5" s="184" t="str">
        <f t="shared" si="1"/>
        <v/>
      </c>
      <c r="D5" s="185">
        <f>if(isblank(B5),,if(Portfolio!E7=0,0,Portfolio!J7/Portfolio!E7)/Portfolio!U7)</f>
        <v>0</v>
      </c>
      <c r="E5" s="186">
        <f t="shared" si="2"/>
        <v>0</v>
      </c>
      <c r="F5" s="187" t="str">
        <f t="shared" si="3"/>
        <v/>
      </c>
      <c r="G5" s="187"/>
      <c r="H5" s="183"/>
      <c r="I5" s="183"/>
      <c r="J5" s="183"/>
      <c r="K5" s="183"/>
      <c r="L5" s="183"/>
      <c r="M5" s="183"/>
      <c r="N5" s="183"/>
      <c r="O5" s="183"/>
      <c r="P5" s="183"/>
      <c r="Q5" s="183"/>
      <c r="R5" s="183"/>
      <c r="S5" s="183"/>
      <c r="T5" s="183"/>
      <c r="U5" s="183"/>
      <c r="V5" s="183"/>
      <c r="W5" s="183"/>
      <c r="X5" s="183"/>
      <c r="Y5" s="183"/>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183"/>
      <c r="BE5" s="183"/>
      <c r="BF5" s="183"/>
      <c r="BG5" s="183"/>
      <c r="BH5" s="183"/>
      <c r="BI5" s="183"/>
      <c r="BJ5" s="183"/>
      <c r="BK5" s="183"/>
      <c r="BL5" s="183"/>
      <c r="BM5" s="183"/>
      <c r="BN5" s="183"/>
      <c r="BO5" s="183"/>
      <c r="BP5" s="183"/>
      <c r="BQ5" s="183"/>
      <c r="BR5" s="183"/>
      <c r="BS5" s="183"/>
      <c r="BT5" s="183"/>
      <c r="BU5" s="183"/>
      <c r="BV5" s="183"/>
      <c r="BW5" s="183"/>
      <c r="BX5" s="183"/>
      <c r="BY5" s="183"/>
      <c r="BZ5" s="183"/>
      <c r="CA5" s="183"/>
      <c r="CB5" s="183"/>
      <c r="CC5" s="183"/>
      <c r="CD5" s="183"/>
      <c r="CE5" s="183"/>
      <c r="CF5" s="183"/>
      <c r="CG5" s="183"/>
      <c r="CH5" s="183"/>
      <c r="CI5" s="183"/>
      <c r="CJ5" s="183"/>
      <c r="CK5" s="183"/>
      <c r="CL5" s="183"/>
      <c r="CM5" s="183"/>
      <c r="CN5" s="183"/>
      <c r="CO5" s="183"/>
      <c r="CP5" s="183"/>
      <c r="CQ5" s="183"/>
      <c r="CR5" s="183"/>
      <c r="CS5" s="183"/>
      <c r="CT5" s="183"/>
      <c r="CU5" s="183"/>
      <c r="CV5" s="183"/>
      <c r="CW5" s="183"/>
      <c r="CX5" s="183"/>
      <c r="CY5" s="183"/>
      <c r="CZ5" s="183"/>
      <c r="DA5" s="183"/>
      <c r="DB5" s="183"/>
      <c r="DC5" s="183"/>
      <c r="DD5" s="183"/>
      <c r="DE5" s="183"/>
      <c r="DF5" s="183"/>
      <c r="DG5" s="183"/>
      <c r="DH5" s="183"/>
      <c r="DI5" s="183"/>
      <c r="DJ5" s="183"/>
      <c r="DK5" s="183"/>
      <c r="DL5" s="183"/>
      <c r="DM5" s="183"/>
      <c r="DN5" s="183"/>
      <c r="DO5" s="183"/>
      <c r="DP5" s="183"/>
      <c r="DQ5" s="183"/>
      <c r="DR5" s="183"/>
      <c r="DS5" s="183"/>
      <c r="DT5" s="183"/>
      <c r="DU5" s="183"/>
      <c r="DV5" s="183"/>
      <c r="DW5" s="183"/>
      <c r="DX5" s="183"/>
      <c r="DY5" s="183"/>
      <c r="DZ5" s="183"/>
      <c r="EA5" s="183"/>
      <c r="EB5" s="183"/>
      <c r="EC5" s="183"/>
      <c r="ED5" s="183"/>
      <c r="EE5" s="183"/>
      <c r="EF5" s="183"/>
      <c r="EG5" s="183"/>
      <c r="EH5" s="183"/>
      <c r="EI5" s="183"/>
      <c r="EJ5" s="183"/>
      <c r="EK5" s="183"/>
      <c r="EL5" s="183"/>
      <c r="EM5" s="183"/>
      <c r="EN5" s="183"/>
      <c r="EO5" s="183"/>
      <c r="EP5" s="183"/>
      <c r="EQ5" s="183"/>
      <c r="ER5" s="183"/>
      <c r="ES5" s="183"/>
      <c r="ET5" s="183"/>
      <c r="EU5" s="183"/>
      <c r="EV5" s="183"/>
      <c r="EW5" s="183"/>
      <c r="EX5" s="183"/>
      <c r="EY5" s="183"/>
      <c r="EZ5" s="183"/>
      <c r="FA5" s="183"/>
      <c r="FB5" s="183"/>
      <c r="FC5" s="183"/>
      <c r="FD5" s="183"/>
      <c r="FE5" s="183"/>
      <c r="FF5" s="183"/>
      <c r="FG5" s="183"/>
      <c r="FH5" s="183"/>
      <c r="FI5" s="183"/>
      <c r="FJ5" s="183"/>
      <c r="FK5" s="183"/>
      <c r="FL5" s="183"/>
      <c r="FM5" s="183"/>
      <c r="FN5" s="183"/>
      <c r="FO5" s="183"/>
      <c r="FP5" s="183"/>
      <c r="FQ5" s="183"/>
      <c r="FR5" s="183"/>
      <c r="FS5" s="183"/>
      <c r="FT5" s="183"/>
      <c r="FU5" s="183"/>
      <c r="FV5" s="183"/>
      <c r="FW5" s="183"/>
      <c r="FX5" s="183"/>
      <c r="FY5" s="183"/>
      <c r="FZ5" s="183"/>
      <c r="GA5" s="183"/>
      <c r="GB5" s="183"/>
      <c r="GC5" s="183"/>
      <c r="GD5" s="183"/>
      <c r="GE5" s="183"/>
      <c r="GF5" s="183"/>
      <c r="GG5" s="183"/>
      <c r="GH5" s="183"/>
      <c r="GI5" s="183"/>
      <c r="GJ5" s="183"/>
      <c r="GK5" s="183"/>
      <c r="GL5" s="183"/>
      <c r="GM5" s="183"/>
      <c r="GN5" s="183"/>
      <c r="GO5" s="183"/>
      <c r="GP5" s="183"/>
      <c r="GQ5" s="183"/>
      <c r="GR5" s="183"/>
      <c r="GS5" s="183"/>
      <c r="GT5" s="183"/>
      <c r="GU5" s="183"/>
      <c r="GV5" s="183"/>
      <c r="GW5" s="183"/>
    </row>
    <row r="6">
      <c r="A6" s="184" t="e">
        <v>#N/A</v>
      </c>
      <c r="B6" s="184" t="s">
        <v>73</v>
      </c>
      <c r="C6" s="184" t="str">
        <f t="shared" si="1"/>
        <v/>
      </c>
      <c r="D6" s="185">
        <f>if(isblank(B6),,if(Portfolio!E8=0,0,Portfolio!J8/Portfolio!E8)/Portfolio!U8)</f>
        <v>0</v>
      </c>
      <c r="E6" s="186">
        <f t="shared" si="2"/>
        <v>0</v>
      </c>
      <c r="F6" s="187" t="str">
        <f t="shared" si="3"/>
        <v/>
      </c>
      <c r="G6" s="187"/>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c r="AZ6" s="183"/>
      <c r="BA6" s="183"/>
      <c r="BB6" s="183"/>
      <c r="BC6" s="183"/>
      <c r="BD6" s="183"/>
      <c r="BE6" s="183"/>
      <c r="BF6" s="183"/>
      <c r="BG6" s="183"/>
      <c r="BH6" s="183"/>
      <c r="BI6" s="183"/>
      <c r="BJ6" s="183"/>
      <c r="BK6" s="183"/>
      <c r="BL6" s="183"/>
      <c r="BM6" s="183"/>
      <c r="BN6" s="183"/>
      <c r="BO6" s="183"/>
      <c r="BP6" s="183"/>
      <c r="BQ6" s="183"/>
      <c r="BR6" s="183"/>
      <c r="BS6" s="183"/>
      <c r="BT6" s="183"/>
      <c r="BU6" s="183"/>
      <c r="BV6" s="183"/>
      <c r="BW6" s="183"/>
      <c r="BX6" s="183"/>
      <c r="BY6" s="183"/>
      <c r="BZ6" s="183"/>
      <c r="CA6" s="183"/>
      <c r="CB6" s="183"/>
      <c r="CC6" s="183"/>
      <c r="CD6" s="183"/>
      <c r="CE6" s="183"/>
      <c r="CF6" s="183"/>
      <c r="CG6" s="183"/>
      <c r="CH6" s="183"/>
      <c r="CI6" s="183"/>
      <c r="CJ6" s="183"/>
      <c r="CK6" s="183"/>
      <c r="CL6" s="183"/>
      <c r="CM6" s="183"/>
      <c r="CN6" s="183"/>
      <c r="CO6" s="183"/>
      <c r="CP6" s="183"/>
      <c r="CQ6" s="183"/>
      <c r="CR6" s="183"/>
      <c r="CS6" s="183"/>
      <c r="CT6" s="183"/>
      <c r="CU6" s="183"/>
      <c r="CV6" s="183"/>
      <c r="CW6" s="183"/>
      <c r="CX6" s="183"/>
      <c r="CY6" s="183"/>
      <c r="CZ6" s="183"/>
      <c r="DA6" s="183"/>
      <c r="DB6" s="183"/>
      <c r="DC6" s="183"/>
      <c r="DD6" s="183"/>
      <c r="DE6" s="183"/>
      <c r="DF6" s="183"/>
      <c r="DG6" s="183"/>
      <c r="DH6" s="183"/>
      <c r="DI6" s="183"/>
      <c r="DJ6" s="183"/>
      <c r="DK6" s="183"/>
      <c r="DL6" s="183"/>
      <c r="DM6" s="183"/>
      <c r="DN6" s="183"/>
      <c r="DO6" s="183"/>
      <c r="DP6" s="183"/>
      <c r="DQ6" s="183"/>
      <c r="DR6" s="183"/>
      <c r="DS6" s="183"/>
      <c r="DT6" s="183"/>
      <c r="DU6" s="183"/>
      <c r="DV6" s="183"/>
      <c r="DW6" s="183"/>
      <c r="DX6" s="183"/>
      <c r="DY6" s="183"/>
      <c r="DZ6" s="183"/>
      <c r="EA6" s="183"/>
      <c r="EB6" s="183"/>
      <c r="EC6" s="183"/>
      <c r="ED6" s="183"/>
      <c r="EE6" s="183"/>
      <c r="EF6" s="183"/>
      <c r="EG6" s="183"/>
      <c r="EH6" s="183"/>
      <c r="EI6" s="183"/>
      <c r="EJ6" s="183"/>
      <c r="EK6" s="183"/>
      <c r="EL6" s="183"/>
      <c r="EM6" s="183"/>
      <c r="EN6" s="183"/>
      <c r="EO6" s="183"/>
      <c r="EP6" s="183"/>
      <c r="EQ6" s="183"/>
      <c r="ER6" s="183"/>
      <c r="ES6" s="183"/>
      <c r="ET6" s="183"/>
      <c r="EU6" s="183"/>
      <c r="EV6" s="183"/>
      <c r="EW6" s="183"/>
      <c r="EX6" s="183"/>
      <c r="EY6" s="183"/>
      <c r="EZ6" s="183"/>
      <c r="FA6" s="183"/>
      <c r="FB6" s="183"/>
      <c r="FC6" s="183"/>
      <c r="FD6" s="183"/>
      <c r="FE6" s="183"/>
      <c r="FF6" s="183"/>
      <c r="FG6" s="183"/>
      <c r="FH6" s="183"/>
      <c r="FI6" s="183"/>
      <c r="FJ6" s="183"/>
      <c r="FK6" s="183"/>
      <c r="FL6" s="183"/>
      <c r="FM6" s="183"/>
      <c r="FN6" s="183"/>
      <c r="FO6" s="183"/>
      <c r="FP6" s="183"/>
      <c r="FQ6" s="183"/>
      <c r="FR6" s="183"/>
      <c r="FS6" s="183"/>
      <c r="FT6" s="183"/>
      <c r="FU6" s="183"/>
      <c r="FV6" s="183"/>
      <c r="FW6" s="183"/>
      <c r="FX6" s="183"/>
      <c r="FY6" s="183"/>
      <c r="FZ6" s="183"/>
      <c r="GA6" s="183"/>
      <c r="GB6" s="183"/>
      <c r="GC6" s="183"/>
      <c r="GD6" s="183"/>
      <c r="GE6" s="183"/>
      <c r="GF6" s="183"/>
      <c r="GG6" s="183"/>
      <c r="GH6" s="183"/>
      <c r="GI6" s="183"/>
      <c r="GJ6" s="183"/>
      <c r="GK6" s="183"/>
      <c r="GL6" s="183"/>
      <c r="GM6" s="183"/>
      <c r="GN6" s="183"/>
      <c r="GO6" s="183"/>
      <c r="GP6" s="183"/>
      <c r="GQ6" s="183"/>
      <c r="GR6" s="183"/>
      <c r="GS6" s="183"/>
      <c r="GT6" s="183"/>
      <c r="GU6" s="183"/>
      <c r="GV6" s="183"/>
      <c r="GW6" s="183"/>
    </row>
    <row r="7">
      <c r="A7" s="184" t="s">
        <v>167</v>
      </c>
      <c r="B7" s="184"/>
      <c r="C7" s="184" t="str">
        <f t="shared" si="1"/>
        <v/>
      </c>
      <c r="D7" s="185" t="str">
        <f>if(isblank(B7),,if(Portfolio!E9=0,0,Portfolio!J9/Portfolio!E9)/Portfolio!U9)</f>
        <v/>
      </c>
      <c r="E7" s="186" t="str">
        <f t="shared" si="2"/>
        <v/>
      </c>
      <c r="F7" s="187" t="str">
        <f t="shared" si="3"/>
        <v/>
      </c>
      <c r="G7" s="187"/>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83"/>
      <c r="AY7" s="183"/>
      <c r="AZ7" s="183"/>
      <c r="BA7" s="183"/>
      <c r="BB7" s="183"/>
      <c r="BC7" s="183"/>
      <c r="BD7" s="183"/>
      <c r="BE7" s="183"/>
      <c r="BF7" s="183"/>
      <c r="BG7" s="183"/>
      <c r="BH7" s="183"/>
      <c r="BI7" s="183"/>
      <c r="BJ7" s="183"/>
      <c r="BK7" s="183"/>
      <c r="BL7" s="183"/>
      <c r="BM7" s="183"/>
      <c r="BN7" s="183"/>
      <c r="BO7" s="183"/>
      <c r="BP7" s="183"/>
      <c r="BQ7" s="183"/>
      <c r="BR7" s="183"/>
      <c r="BS7" s="183"/>
      <c r="BT7" s="183"/>
      <c r="BU7" s="183"/>
      <c r="BV7" s="183"/>
      <c r="BW7" s="183"/>
      <c r="BX7" s="183"/>
      <c r="BY7" s="183"/>
      <c r="BZ7" s="183"/>
      <c r="CA7" s="183"/>
      <c r="CB7" s="183"/>
      <c r="CC7" s="183"/>
      <c r="CD7" s="183"/>
      <c r="CE7" s="183"/>
      <c r="CF7" s="183"/>
      <c r="CG7" s="183"/>
      <c r="CH7" s="183"/>
      <c r="CI7" s="183"/>
      <c r="CJ7" s="183"/>
      <c r="CK7" s="183"/>
      <c r="CL7" s="183"/>
      <c r="CM7" s="183"/>
      <c r="CN7" s="183"/>
      <c r="CO7" s="183"/>
      <c r="CP7" s="183"/>
      <c r="CQ7" s="183"/>
      <c r="CR7" s="183"/>
      <c r="CS7" s="183"/>
      <c r="CT7" s="183"/>
      <c r="CU7" s="183"/>
      <c r="CV7" s="183"/>
      <c r="CW7" s="183"/>
      <c r="CX7" s="183"/>
      <c r="CY7" s="183"/>
      <c r="CZ7" s="183"/>
      <c r="DA7" s="183"/>
      <c r="DB7" s="183"/>
      <c r="DC7" s="183"/>
      <c r="DD7" s="183"/>
      <c r="DE7" s="183"/>
      <c r="DF7" s="183"/>
      <c r="DG7" s="183"/>
      <c r="DH7" s="183"/>
      <c r="DI7" s="183"/>
      <c r="DJ7" s="183"/>
      <c r="DK7" s="183"/>
      <c r="DL7" s="183"/>
      <c r="DM7" s="183"/>
      <c r="DN7" s="183"/>
      <c r="DO7" s="183"/>
      <c r="DP7" s="183"/>
      <c r="DQ7" s="183"/>
      <c r="DR7" s="183"/>
      <c r="DS7" s="183"/>
      <c r="DT7" s="183"/>
      <c r="DU7" s="183"/>
      <c r="DV7" s="183"/>
      <c r="DW7" s="183"/>
      <c r="DX7" s="183"/>
      <c r="DY7" s="183"/>
      <c r="DZ7" s="183"/>
      <c r="EA7" s="183"/>
      <c r="EB7" s="183"/>
      <c r="EC7" s="183"/>
      <c r="ED7" s="183"/>
      <c r="EE7" s="183"/>
      <c r="EF7" s="183"/>
      <c r="EG7" s="183"/>
      <c r="EH7" s="183"/>
      <c r="EI7" s="183"/>
      <c r="EJ7" s="183"/>
      <c r="EK7" s="183"/>
      <c r="EL7" s="183"/>
      <c r="EM7" s="183"/>
      <c r="EN7" s="183"/>
      <c r="EO7" s="183"/>
      <c r="EP7" s="183"/>
      <c r="EQ7" s="183"/>
      <c r="ER7" s="183"/>
      <c r="ES7" s="183"/>
      <c r="ET7" s="183"/>
      <c r="EU7" s="183"/>
      <c r="EV7" s="183"/>
      <c r="EW7" s="183"/>
      <c r="EX7" s="183"/>
      <c r="EY7" s="183"/>
      <c r="EZ7" s="183"/>
      <c r="FA7" s="183"/>
      <c r="FB7" s="183"/>
      <c r="FC7" s="183"/>
      <c r="FD7" s="183"/>
      <c r="FE7" s="183"/>
      <c r="FF7" s="183"/>
      <c r="FG7" s="183"/>
      <c r="FH7" s="183"/>
      <c r="FI7" s="183"/>
      <c r="FJ7" s="183"/>
      <c r="FK7" s="183"/>
      <c r="FL7" s="183"/>
      <c r="FM7" s="183"/>
      <c r="FN7" s="183"/>
      <c r="FO7" s="183"/>
      <c r="FP7" s="183"/>
      <c r="FQ7" s="183"/>
      <c r="FR7" s="183"/>
      <c r="FS7" s="183"/>
      <c r="FT7" s="183"/>
      <c r="FU7" s="183"/>
      <c r="FV7" s="183"/>
      <c r="FW7" s="183"/>
      <c r="FX7" s="183"/>
      <c r="FY7" s="183"/>
      <c r="FZ7" s="183"/>
      <c r="GA7" s="183"/>
      <c r="GB7" s="183"/>
      <c r="GC7" s="183"/>
      <c r="GD7" s="183"/>
      <c r="GE7" s="183"/>
      <c r="GF7" s="183"/>
      <c r="GG7" s="183"/>
      <c r="GH7" s="183"/>
      <c r="GI7" s="183"/>
      <c r="GJ7" s="183"/>
      <c r="GK7" s="183"/>
      <c r="GL7" s="183"/>
      <c r="GM7" s="183"/>
      <c r="GN7" s="183"/>
      <c r="GO7" s="183"/>
      <c r="GP7" s="183"/>
      <c r="GQ7" s="183"/>
      <c r="GR7" s="183"/>
      <c r="GS7" s="183"/>
      <c r="GT7" s="183"/>
      <c r="GU7" s="183"/>
      <c r="GV7" s="183"/>
      <c r="GW7" s="183"/>
    </row>
    <row r="8">
      <c r="A8" s="184" t="s">
        <v>167</v>
      </c>
      <c r="B8" s="184"/>
      <c r="C8" s="184" t="str">
        <f t="shared" si="1"/>
        <v/>
      </c>
      <c r="D8" s="185" t="str">
        <f>if(isblank(B8),,if(Portfolio!E10=0,0,Portfolio!J10/Portfolio!E10)/Portfolio!U10)</f>
        <v/>
      </c>
      <c r="E8" s="186" t="str">
        <f t="shared" si="2"/>
        <v/>
      </c>
      <c r="F8" s="187" t="str">
        <f t="shared" si="3"/>
        <v/>
      </c>
      <c r="G8" s="187"/>
      <c r="H8" s="183"/>
      <c r="I8" s="183"/>
      <c r="J8" s="183"/>
      <c r="K8" s="183"/>
      <c r="L8" s="183"/>
      <c r="M8" s="183"/>
      <c r="N8" s="183"/>
      <c r="O8" s="183"/>
      <c r="P8" s="183"/>
      <c r="Q8" s="183"/>
      <c r="R8" s="183"/>
      <c r="S8" s="183"/>
      <c r="T8" s="183"/>
      <c r="U8" s="183"/>
      <c r="V8" s="183"/>
      <c r="W8" s="183"/>
      <c r="X8" s="183"/>
      <c r="Y8" s="183"/>
      <c r="Z8" s="183"/>
      <c r="AA8" s="183"/>
      <c r="AB8" s="183"/>
      <c r="AC8" s="183"/>
      <c r="AD8" s="183"/>
      <c r="AE8" s="183"/>
      <c r="AF8" s="183"/>
      <c r="AG8" s="183"/>
      <c r="AH8" s="183"/>
      <c r="AI8" s="183"/>
      <c r="AJ8" s="183"/>
      <c r="AK8" s="183"/>
      <c r="AL8" s="183"/>
      <c r="AM8" s="183"/>
      <c r="AN8" s="183"/>
      <c r="AO8" s="183"/>
      <c r="AP8" s="183"/>
      <c r="AQ8" s="183"/>
      <c r="AR8" s="183"/>
      <c r="AS8" s="183"/>
      <c r="AT8" s="183"/>
      <c r="AU8" s="183"/>
      <c r="AV8" s="183"/>
      <c r="AW8" s="183"/>
      <c r="AX8" s="183"/>
      <c r="AY8" s="183"/>
      <c r="AZ8" s="183"/>
      <c r="BA8" s="183"/>
      <c r="BB8" s="183"/>
      <c r="BC8" s="183"/>
      <c r="BD8" s="183"/>
      <c r="BE8" s="183"/>
      <c r="BF8" s="183"/>
      <c r="BG8" s="183"/>
      <c r="BH8" s="183"/>
      <c r="BI8" s="183"/>
      <c r="BJ8" s="183"/>
      <c r="BK8" s="183"/>
      <c r="BL8" s="183"/>
      <c r="BM8" s="183"/>
      <c r="BN8" s="183"/>
      <c r="BO8" s="183"/>
      <c r="BP8" s="183"/>
      <c r="BQ8" s="183"/>
      <c r="BR8" s="183"/>
      <c r="BS8" s="183"/>
      <c r="BT8" s="183"/>
      <c r="BU8" s="183"/>
      <c r="BV8" s="183"/>
      <c r="BW8" s="183"/>
      <c r="BX8" s="183"/>
      <c r="BY8" s="183"/>
      <c r="BZ8" s="183"/>
      <c r="CA8" s="183"/>
      <c r="CB8" s="183"/>
      <c r="CC8" s="183"/>
      <c r="CD8" s="183"/>
      <c r="CE8" s="183"/>
      <c r="CF8" s="183"/>
      <c r="CG8" s="183"/>
      <c r="CH8" s="183"/>
      <c r="CI8" s="183"/>
      <c r="CJ8" s="183"/>
      <c r="CK8" s="183"/>
      <c r="CL8" s="183"/>
      <c r="CM8" s="183"/>
      <c r="CN8" s="183"/>
      <c r="CO8" s="183"/>
      <c r="CP8" s="183"/>
      <c r="CQ8" s="183"/>
      <c r="CR8" s="183"/>
      <c r="CS8" s="183"/>
      <c r="CT8" s="183"/>
      <c r="CU8" s="183"/>
      <c r="CV8" s="183"/>
      <c r="CW8" s="183"/>
      <c r="CX8" s="183"/>
      <c r="CY8" s="183"/>
      <c r="CZ8" s="183"/>
      <c r="DA8" s="183"/>
      <c r="DB8" s="183"/>
      <c r="DC8" s="183"/>
      <c r="DD8" s="183"/>
      <c r="DE8" s="183"/>
      <c r="DF8" s="183"/>
      <c r="DG8" s="183"/>
      <c r="DH8" s="183"/>
      <c r="DI8" s="183"/>
      <c r="DJ8" s="183"/>
      <c r="DK8" s="183"/>
      <c r="DL8" s="183"/>
      <c r="DM8" s="183"/>
      <c r="DN8" s="183"/>
      <c r="DO8" s="183"/>
      <c r="DP8" s="183"/>
      <c r="DQ8" s="183"/>
      <c r="DR8" s="183"/>
      <c r="DS8" s="183"/>
      <c r="DT8" s="183"/>
      <c r="DU8" s="183"/>
      <c r="DV8" s="183"/>
      <c r="DW8" s="183"/>
      <c r="DX8" s="183"/>
      <c r="DY8" s="183"/>
      <c r="DZ8" s="183"/>
      <c r="EA8" s="183"/>
      <c r="EB8" s="183"/>
      <c r="EC8" s="183"/>
      <c r="ED8" s="183"/>
      <c r="EE8" s="183"/>
      <c r="EF8" s="183"/>
      <c r="EG8" s="183"/>
      <c r="EH8" s="183"/>
      <c r="EI8" s="183"/>
      <c r="EJ8" s="183"/>
      <c r="EK8" s="183"/>
      <c r="EL8" s="183"/>
      <c r="EM8" s="183"/>
      <c r="EN8" s="183"/>
      <c r="EO8" s="183"/>
      <c r="EP8" s="183"/>
      <c r="EQ8" s="183"/>
      <c r="ER8" s="183"/>
      <c r="ES8" s="183"/>
      <c r="ET8" s="183"/>
      <c r="EU8" s="183"/>
      <c r="EV8" s="183"/>
      <c r="EW8" s="183"/>
      <c r="EX8" s="183"/>
      <c r="EY8" s="183"/>
      <c r="EZ8" s="183"/>
      <c r="FA8" s="183"/>
      <c r="FB8" s="183"/>
      <c r="FC8" s="183"/>
      <c r="FD8" s="183"/>
      <c r="FE8" s="183"/>
      <c r="FF8" s="183"/>
      <c r="FG8" s="183"/>
      <c r="FH8" s="183"/>
      <c r="FI8" s="183"/>
      <c r="FJ8" s="183"/>
      <c r="FK8" s="183"/>
      <c r="FL8" s="183"/>
      <c r="FM8" s="183"/>
      <c r="FN8" s="183"/>
      <c r="FO8" s="183"/>
      <c r="FP8" s="183"/>
      <c r="FQ8" s="183"/>
      <c r="FR8" s="183"/>
      <c r="FS8" s="183"/>
      <c r="FT8" s="183"/>
      <c r="FU8" s="183"/>
      <c r="FV8" s="183"/>
      <c r="FW8" s="183"/>
      <c r="FX8" s="183"/>
      <c r="FY8" s="183"/>
      <c r="FZ8" s="183"/>
      <c r="GA8" s="183"/>
      <c r="GB8" s="183"/>
      <c r="GC8" s="183"/>
      <c r="GD8" s="183"/>
      <c r="GE8" s="183"/>
      <c r="GF8" s="183"/>
      <c r="GG8" s="183"/>
      <c r="GH8" s="183"/>
      <c r="GI8" s="183"/>
      <c r="GJ8" s="183"/>
      <c r="GK8" s="183"/>
      <c r="GL8" s="183"/>
      <c r="GM8" s="183"/>
      <c r="GN8" s="183"/>
      <c r="GO8" s="183"/>
      <c r="GP8" s="183"/>
      <c r="GQ8" s="183"/>
      <c r="GR8" s="183"/>
      <c r="GS8" s="183"/>
      <c r="GT8" s="183"/>
      <c r="GU8" s="183"/>
      <c r="GV8" s="183"/>
      <c r="GW8" s="183"/>
    </row>
    <row r="9">
      <c r="A9" s="184" t="s">
        <v>167</v>
      </c>
      <c r="B9" s="184"/>
      <c r="C9" s="184" t="str">
        <f t="shared" si="1"/>
        <v/>
      </c>
      <c r="D9" s="185" t="str">
        <f>if(isblank(B9),,if(Portfolio!E11=0,0,Portfolio!J11/Portfolio!E11)/Portfolio!U11)</f>
        <v/>
      </c>
      <c r="E9" s="186" t="str">
        <f t="shared" si="2"/>
        <v/>
      </c>
      <c r="F9" s="187" t="str">
        <f t="shared" si="3"/>
        <v/>
      </c>
      <c r="G9" s="187"/>
      <c r="H9" s="183"/>
      <c r="I9" s="183"/>
      <c r="J9" s="183"/>
      <c r="K9" s="183"/>
      <c r="L9" s="183"/>
      <c r="M9" s="183"/>
      <c r="N9" s="183"/>
      <c r="O9" s="183"/>
      <c r="P9" s="183"/>
      <c r="Q9" s="183"/>
      <c r="R9" s="183"/>
      <c r="S9" s="183"/>
      <c r="T9" s="183"/>
      <c r="U9" s="183"/>
      <c r="V9" s="183"/>
      <c r="W9" s="183"/>
      <c r="X9" s="183"/>
      <c r="Y9" s="183"/>
      <c r="Z9" s="183"/>
      <c r="AA9" s="183"/>
      <c r="AB9" s="183"/>
      <c r="AC9" s="183"/>
      <c r="AD9" s="183"/>
      <c r="AE9" s="183"/>
      <c r="AF9" s="183"/>
      <c r="AG9" s="183"/>
      <c r="AH9" s="183"/>
      <c r="AI9" s="183"/>
      <c r="AJ9" s="183"/>
      <c r="AK9" s="183"/>
      <c r="AL9" s="183"/>
      <c r="AM9" s="183"/>
      <c r="AN9" s="183"/>
      <c r="AO9" s="183"/>
      <c r="AP9" s="183"/>
      <c r="AQ9" s="183"/>
      <c r="AR9" s="183"/>
      <c r="AS9" s="183"/>
      <c r="AT9" s="183"/>
      <c r="AU9" s="183"/>
      <c r="AV9" s="183"/>
      <c r="AW9" s="183"/>
      <c r="AX9" s="183"/>
      <c r="AY9" s="183"/>
      <c r="AZ9" s="183"/>
      <c r="BA9" s="183"/>
      <c r="BB9" s="183"/>
      <c r="BC9" s="183"/>
      <c r="BD9" s="183"/>
      <c r="BE9" s="183"/>
      <c r="BF9" s="183"/>
      <c r="BG9" s="183"/>
      <c r="BH9" s="183"/>
      <c r="BI9" s="183"/>
      <c r="BJ9" s="183"/>
      <c r="BK9" s="183"/>
      <c r="BL9" s="183"/>
      <c r="BM9" s="183"/>
      <c r="BN9" s="183"/>
      <c r="BO9" s="183"/>
      <c r="BP9" s="183"/>
      <c r="BQ9" s="183"/>
      <c r="BR9" s="183"/>
      <c r="BS9" s="183"/>
      <c r="BT9" s="183"/>
      <c r="BU9" s="183"/>
      <c r="BV9" s="183"/>
      <c r="BW9" s="183"/>
      <c r="BX9" s="183"/>
      <c r="BY9" s="183"/>
      <c r="BZ9" s="183"/>
      <c r="CA9" s="183"/>
      <c r="CB9" s="183"/>
      <c r="CC9" s="183"/>
      <c r="CD9" s="183"/>
      <c r="CE9" s="183"/>
      <c r="CF9" s="183"/>
      <c r="CG9" s="183"/>
      <c r="CH9" s="183"/>
      <c r="CI9" s="183"/>
      <c r="CJ9" s="183"/>
      <c r="CK9" s="183"/>
      <c r="CL9" s="183"/>
      <c r="CM9" s="183"/>
      <c r="CN9" s="183"/>
      <c r="CO9" s="183"/>
      <c r="CP9" s="183"/>
      <c r="CQ9" s="183"/>
      <c r="CR9" s="183"/>
      <c r="CS9" s="183"/>
      <c r="CT9" s="183"/>
      <c r="CU9" s="183"/>
      <c r="CV9" s="183"/>
      <c r="CW9" s="183"/>
      <c r="CX9" s="183"/>
      <c r="CY9" s="183"/>
      <c r="CZ9" s="183"/>
      <c r="DA9" s="183"/>
      <c r="DB9" s="183"/>
      <c r="DC9" s="183"/>
      <c r="DD9" s="183"/>
      <c r="DE9" s="183"/>
      <c r="DF9" s="183"/>
      <c r="DG9" s="183"/>
      <c r="DH9" s="183"/>
      <c r="DI9" s="183"/>
      <c r="DJ9" s="183"/>
      <c r="DK9" s="183"/>
      <c r="DL9" s="183"/>
      <c r="DM9" s="183"/>
      <c r="DN9" s="183"/>
      <c r="DO9" s="183"/>
      <c r="DP9" s="183"/>
      <c r="DQ9" s="183"/>
      <c r="DR9" s="183"/>
      <c r="DS9" s="183"/>
      <c r="DT9" s="183"/>
      <c r="DU9" s="183"/>
      <c r="DV9" s="183"/>
      <c r="DW9" s="183"/>
      <c r="DX9" s="183"/>
      <c r="DY9" s="183"/>
      <c r="DZ9" s="183"/>
      <c r="EA9" s="183"/>
      <c r="EB9" s="183"/>
      <c r="EC9" s="183"/>
      <c r="ED9" s="183"/>
      <c r="EE9" s="183"/>
      <c r="EF9" s="183"/>
      <c r="EG9" s="183"/>
      <c r="EH9" s="183"/>
      <c r="EI9" s="183"/>
      <c r="EJ9" s="183"/>
      <c r="EK9" s="183"/>
      <c r="EL9" s="183"/>
      <c r="EM9" s="183"/>
      <c r="EN9" s="183"/>
      <c r="EO9" s="183"/>
      <c r="EP9" s="183"/>
      <c r="EQ9" s="183"/>
      <c r="ER9" s="183"/>
      <c r="ES9" s="183"/>
      <c r="ET9" s="183"/>
      <c r="EU9" s="183"/>
      <c r="EV9" s="183"/>
      <c r="EW9" s="183"/>
      <c r="EX9" s="183"/>
      <c r="EY9" s="183"/>
      <c r="EZ9" s="183"/>
      <c r="FA9" s="183"/>
      <c r="FB9" s="183"/>
      <c r="FC9" s="183"/>
      <c r="FD9" s="183"/>
      <c r="FE9" s="183"/>
      <c r="FF9" s="183"/>
      <c r="FG9" s="183"/>
      <c r="FH9" s="183"/>
      <c r="FI9" s="183"/>
      <c r="FJ9" s="183"/>
      <c r="FK9" s="183"/>
      <c r="FL9" s="183"/>
      <c r="FM9" s="183"/>
      <c r="FN9" s="183"/>
      <c r="FO9" s="183"/>
      <c r="FP9" s="183"/>
      <c r="FQ9" s="183"/>
      <c r="FR9" s="183"/>
      <c r="FS9" s="183"/>
      <c r="FT9" s="183"/>
      <c r="FU9" s="183"/>
      <c r="FV9" s="183"/>
      <c r="FW9" s="183"/>
      <c r="FX9" s="183"/>
      <c r="FY9" s="183"/>
      <c r="FZ9" s="183"/>
      <c r="GA9" s="183"/>
      <c r="GB9" s="183"/>
      <c r="GC9" s="183"/>
      <c r="GD9" s="183"/>
      <c r="GE9" s="183"/>
      <c r="GF9" s="183"/>
      <c r="GG9" s="183"/>
      <c r="GH9" s="183"/>
      <c r="GI9" s="183"/>
      <c r="GJ9" s="183"/>
      <c r="GK9" s="183"/>
      <c r="GL9" s="183"/>
      <c r="GM9" s="183"/>
      <c r="GN9" s="183"/>
      <c r="GO9" s="183"/>
      <c r="GP9" s="183"/>
      <c r="GQ9" s="183"/>
      <c r="GR9" s="183"/>
      <c r="GS9" s="183"/>
      <c r="GT9" s="183"/>
      <c r="GU9" s="183"/>
      <c r="GV9" s="183"/>
      <c r="GW9" s="183"/>
    </row>
    <row r="10">
      <c r="A10" s="184" t="s">
        <v>167</v>
      </c>
      <c r="B10" s="184"/>
      <c r="C10" s="184" t="str">
        <f t="shared" si="1"/>
        <v/>
      </c>
      <c r="D10" s="185" t="str">
        <f>if(isblank(B10),,if(Portfolio!E12=0,0,Portfolio!J12/Portfolio!E12)/Portfolio!U12)</f>
        <v/>
      </c>
      <c r="E10" s="186" t="str">
        <f t="shared" si="2"/>
        <v/>
      </c>
      <c r="F10" s="187" t="str">
        <f t="shared" si="3"/>
        <v/>
      </c>
      <c r="G10" s="187"/>
      <c r="H10" s="183"/>
      <c r="I10" s="183"/>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3"/>
      <c r="AR10" s="183"/>
      <c r="AS10" s="183"/>
      <c r="AT10" s="183"/>
      <c r="AU10" s="183"/>
      <c r="AV10" s="183"/>
      <c r="AW10" s="183"/>
      <c r="AX10" s="183"/>
      <c r="AY10" s="183"/>
      <c r="AZ10" s="183"/>
      <c r="BA10" s="183"/>
      <c r="BB10" s="183"/>
      <c r="BC10" s="183"/>
      <c r="BD10" s="183"/>
      <c r="BE10" s="183"/>
      <c r="BF10" s="183"/>
      <c r="BG10" s="183"/>
      <c r="BH10" s="183"/>
      <c r="BI10" s="183"/>
      <c r="BJ10" s="183"/>
      <c r="BK10" s="183"/>
      <c r="BL10" s="183"/>
      <c r="BM10" s="183"/>
      <c r="BN10" s="183"/>
      <c r="BO10" s="183"/>
      <c r="BP10" s="183"/>
      <c r="BQ10" s="183"/>
      <c r="BR10" s="183"/>
      <c r="BS10" s="183"/>
      <c r="BT10" s="183"/>
      <c r="BU10" s="183"/>
      <c r="BV10" s="183"/>
      <c r="BW10" s="183"/>
      <c r="BX10" s="183"/>
      <c r="BY10" s="183"/>
      <c r="BZ10" s="183"/>
      <c r="CA10" s="183"/>
      <c r="CB10" s="183"/>
      <c r="CC10" s="183"/>
      <c r="CD10" s="183"/>
      <c r="CE10" s="183"/>
      <c r="CF10" s="183"/>
      <c r="CG10" s="183"/>
      <c r="CH10" s="183"/>
      <c r="CI10" s="183"/>
      <c r="CJ10" s="183"/>
      <c r="CK10" s="183"/>
      <c r="CL10" s="183"/>
      <c r="CM10" s="183"/>
      <c r="CN10" s="183"/>
      <c r="CO10" s="183"/>
      <c r="CP10" s="183"/>
      <c r="CQ10" s="183"/>
      <c r="CR10" s="183"/>
      <c r="CS10" s="183"/>
      <c r="CT10" s="183"/>
      <c r="CU10" s="183"/>
      <c r="CV10" s="183"/>
      <c r="CW10" s="183"/>
      <c r="CX10" s="183"/>
      <c r="CY10" s="183"/>
      <c r="CZ10" s="183"/>
      <c r="DA10" s="183"/>
      <c r="DB10" s="183"/>
      <c r="DC10" s="183"/>
      <c r="DD10" s="183"/>
      <c r="DE10" s="183"/>
      <c r="DF10" s="183"/>
      <c r="DG10" s="183"/>
      <c r="DH10" s="183"/>
      <c r="DI10" s="183"/>
      <c r="DJ10" s="183"/>
      <c r="DK10" s="183"/>
      <c r="DL10" s="183"/>
      <c r="DM10" s="183"/>
      <c r="DN10" s="183"/>
      <c r="DO10" s="183"/>
      <c r="DP10" s="183"/>
      <c r="DQ10" s="183"/>
      <c r="DR10" s="183"/>
      <c r="DS10" s="183"/>
      <c r="DT10" s="183"/>
      <c r="DU10" s="183"/>
      <c r="DV10" s="183"/>
      <c r="DW10" s="183"/>
      <c r="DX10" s="183"/>
      <c r="DY10" s="183"/>
      <c r="DZ10" s="183"/>
      <c r="EA10" s="183"/>
      <c r="EB10" s="183"/>
      <c r="EC10" s="183"/>
      <c r="ED10" s="183"/>
      <c r="EE10" s="183"/>
      <c r="EF10" s="183"/>
      <c r="EG10" s="183"/>
      <c r="EH10" s="183"/>
      <c r="EI10" s="183"/>
      <c r="EJ10" s="183"/>
      <c r="EK10" s="183"/>
      <c r="EL10" s="183"/>
      <c r="EM10" s="183"/>
      <c r="EN10" s="183"/>
      <c r="EO10" s="183"/>
      <c r="EP10" s="183"/>
      <c r="EQ10" s="183"/>
      <c r="ER10" s="183"/>
      <c r="ES10" s="183"/>
      <c r="ET10" s="183"/>
      <c r="EU10" s="183"/>
      <c r="EV10" s="183"/>
      <c r="EW10" s="183"/>
      <c r="EX10" s="183"/>
      <c r="EY10" s="183"/>
      <c r="EZ10" s="183"/>
      <c r="FA10" s="183"/>
      <c r="FB10" s="183"/>
      <c r="FC10" s="183"/>
      <c r="FD10" s="183"/>
      <c r="FE10" s="183"/>
      <c r="FF10" s="183"/>
      <c r="FG10" s="183"/>
      <c r="FH10" s="183"/>
      <c r="FI10" s="183"/>
      <c r="FJ10" s="183"/>
      <c r="FK10" s="183"/>
      <c r="FL10" s="183"/>
      <c r="FM10" s="183"/>
      <c r="FN10" s="183"/>
      <c r="FO10" s="183"/>
      <c r="FP10" s="183"/>
      <c r="FQ10" s="183"/>
      <c r="FR10" s="183"/>
      <c r="FS10" s="183"/>
      <c r="FT10" s="183"/>
      <c r="FU10" s="183"/>
      <c r="FV10" s="183"/>
      <c r="FW10" s="183"/>
      <c r="FX10" s="183"/>
      <c r="FY10" s="183"/>
      <c r="FZ10" s="183"/>
      <c r="GA10" s="183"/>
      <c r="GB10" s="183"/>
      <c r="GC10" s="183"/>
      <c r="GD10" s="183"/>
      <c r="GE10" s="183"/>
      <c r="GF10" s="183"/>
      <c r="GG10" s="183"/>
      <c r="GH10" s="183"/>
      <c r="GI10" s="183"/>
      <c r="GJ10" s="183"/>
      <c r="GK10" s="183"/>
      <c r="GL10" s="183"/>
      <c r="GM10" s="183"/>
      <c r="GN10" s="183"/>
      <c r="GO10" s="183"/>
      <c r="GP10" s="183"/>
      <c r="GQ10" s="183"/>
      <c r="GR10" s="183"/>
      <c r="GS10" s="183"/>
      <c r="GT10" s="183"/>
      <c r="GU10" s="183"/>
      <c r="GV10" s="183"/>
      <c r="GW10" s="183"/>
    </row>
    <row r="11">
      <c r="A11" s="184" t="s">
        <v>167</v>
      </c>
      <c r="B11" s="184"/>
      <c r="C11" s="184" t="str">
        <f t="shared" si="1"/>
        <v/>
      </c>
      <c r="D11" s="185" t="str">
        <f>if(isblank(B11),,if(Portfolio!E13=0,0,Portfolio!J13/Portfolio!E13)/Portfolio!U13)</f>
        <v/>
      </c>
      <c r="E11" s="186" t="str">
        <f t="shared" si="2"/>
        <v/>
      </c>
      <c r="F11" s="187" t="str">
        <f t="shared" si="3"/>
        <v/>
      </c>
      <c r="G11" s="187"/>
      <c r="H11" s="183"/>
      <c r="I11" s="183"/>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c r="AZ11" s="183"/>
      <c r="BA11" s="183"/>
      <c r="BB11" s="183"/>
      <c r="BC11" s="183"/>
      <c r="BD11" s="183"/>
      <c r="BE11" s="183"/>
      <c r="BF11" s="183"/>
      <c r="BG11" s="183"/>
      <c r="BH11" s="183"/>
      <c r="BI11" s="183"/>
      <c r="BJ11" s="183"/>
      <c r="BK11" s="183"/>
      <c r="BL11" s="183"/>
      <c r="BM11" s="183"/>
      <c r="BN11" s="183"/>
      <c r="BO11" s="183"/>
      <c r="BP11" s="183"/>
      <c r="BQ11" s="183"/>
      <c r="BR11" s="183"/>
      <c r="BS11" s="183"/>
      <c r="BT11" s="183"/>
      <c r="BU11" s="183"/>
      <c r="BV11" s="183"/>
      <c r="BW11" s="183"/>
      <c r="BX11" s="183"/>
      <c r="BY11" s="183"/>
      <c r="BZ11" s="183"/>
      <c r="CA11" s="183"/>
      <c r="CB11" s="183"/>
      <c r="CC11" s="183"/>
      <c r="CD11" s="183"/>
      <c r="CE11" s="183"/>
      <c r="CF11" s="183"/>
      <c r="CG11" s="183"/>
      <c r="CH11" s="183"/>
      <c r="CI11" s="183"/>
      <c r="CJ11" s="183"/>
      <c r="CK11" s="183"/>
      <c r="CL11" s="183"/>
      <c r="CM11" s="183"/>
      <c r="CN11" s="183"/>
      <c r="CO11" s="183"/>
      <c r="CP11" s="183"/>
      <c r="CQ11" s="183"/>
      <c r="CR11" s="183"/>
      <c r="CS11" s="183"/>
      <c r="CT11" s="183"/>
      <c r="CU11" s="183"/>
      <c r="CV11" s="183"/>
      <c r="CW11" s="183"/>
      <c r="CX11" s="183"/>
      <c r="CY11" s="183"/>
      <c r="CZ11" s="183"/>
      <c r="DA11" s="183"/>
      <c r="DB11" s="183"/>
      <c r="DC11" s="183"/>
      <c r="DD11" s="183"/>
      <c r="DE11" s="183"/>
      <c r="DF11" s="183"/>
      <c r="DG11" s="183"/>
      <c r="DH11" s="183"/>
      <c r="DI11" s="183"/>
      <c r="DJ11" s="183"/>
      <c r="DK11" s="183"/>
      <c r="DL11" s="183"/>
      <c r="DM11" s="183"/>
      <c r="DN11" s="183"/>
      <c r="DO11" s="183"/>
      <c r="DP11" s="183"/>
      <c r="DQ11" s="183"/>
      <c r="DR11" s="183"/>
      <c r="DS11" s="183"/>
      <c r="DT11" s="183"/>
      <c r="DU11" s="183"/>
      <c r="DV11" s="183"/>
      <c r="DW11" s="183"/>
      <c r="DX11" s="183"/>
      <c r="DY11" s="183"/>
      <c r="DZ11" s="183"/>
      <c r="EA11" s="183"/>
      <c r="EB11" s="183"/>
      <c r="EC11" s="183"/>
      <c r="ED11" s="183"/>
      <c r="EE11" s="183"/>
      <c r="EF11" s="183"/>
      <c r="EG11" s="183"/>
      <c r="EH11" s="183"/>
      <c r="EI11" s="183"/>
      <c r="EJ11" s="183"/>
      <c r="EK11" s="183"/>
      <c r="EL11" s="183"/>
      <c r="EM11" s="183"/>
      <c r="EN11" s="183"/>
      <c r="EO11" s="183"/>
      <c r="EP11" s="183"/>
      <c r="EQ11" s="183"/>
      <c r="ER11" s="183"/>
      <c r="ES11" s="183"/>
      <c r="ET11" s="183"/>
      <c r="EU11" s="183"/>
      <c r="EV11" s="183"/>
      <c r="EW11" s="183"/>
      <c r="EX11" s="183"/>
      <c r="EY11" s="183"/>
      <c r="EZ11" s="183"/>
      <c r="FA11" s="183"/>
      <c r="FB11" s="183"/>
      <c r="FC11" s="183"/>
      <c r="FD11" s="183"/>
      <c r="FE11" s="183"/>
      <c r="FF11" s="183"/>
      <c r="FG11" s="183"/>
      <c r="FH11" s="183"/>
      <c r="FI11" s="183"/>
      <c r="FJ11" s="183"/>
      <c r="FK11" s="183"/>
      <c r="FL11" s="183"/>
      <c r="FM11" s="183"/>
      <c r="FN11" s="183"/>
      <c r="FO11" s="183"/>
      <c r="FP11" s="183"/>
      <c r="FQ11" s="183"/>
      <c r="FR11" s="183"/>
      <c r="FS11" s="183"/>
      <c r="FT11" s="183"/>
      <c r="FU11" s="183"/>
      <c r="FV11" s="183"/>
      <c r="FW11" s="183"/>
      <c r="FX11" s="183"/>
      <c r="FY11" s="183"/>
      <c r="FZ11" s="183"/>
      <c r="GA11" s="183"/>
      <c r="GB11" s="183"/>
      <c r="GC11" s="183"/>
      <c r="GD11" s="183"/>
      <c r="GE11" s="183"/>
      <c r="GF11" s="183"/>
      <c r="GG11" s="183"/>
      <c r="GH11" s="183"/>
      <c r="GI11" s="183"/>
      <c r="GJ11" s="183"/>
      <c r="GK11" s="183"/>
      <c r="GL11" s="183"/>
      <c r="GM11" s="183"/>
      <c r="GN11" s="183"/>
      <c r="GO11" s="183"/>
      <c r="GP11" s="183"/>
      <c r="GQ11" s="183"/>
      <c r="GR11" s="183"/>
      <c r="GS11" s="183"/>
      <c r="GT11" s="183"/>
      <c r="GU11" s="183"/>
      <c r="GV11" s="183"/>
      <c r="GW11" s="183"/>
    </row>
    <row r="12">
      <c r="A12" s="184" t="s">
        <v>167</v>
      </c>
      <c r="B12" s="184"/>
      <c r="C12" s="184" t="str">
        <f t="shared" si="1"/>
        <v/>
      </c>
      <c r="D12" s="185" t="str">
        <f>if(isblank(B12),,if(Portfolio!E14=0,0,Portfolio!J14/Portfolio!E14)/Portfolio!U14)</f>
        <v/>
      </c>
      <c r="E12" s="186" t="str">
        <f t="shared" si="2"/>
        <v/>
      </c>
      <c r="F12" s="187" t="str">
        <f t="shared" si="3"/>
        <v/>
      </c>
      <c r="G12" s="187"/>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183"/>
      <c r="BE12" s="183"/>
      <c r="BF12" s="183"/>
      <c r="BG12" s="183"/>
      <c r="BH12" s="183"/>
      <c r="BI12" s="183"/>
      <c r="BJ12" s="183"/>
      <c r="BK12" s="183"/>
      <c r="BL12" s="183"/>
      <c r="BM12" s="183"/>
      <c r="BN12" s="183"/>
      <c r="BO12" s="183"/>
      <c r="BP12" s="183"/>
      <c r="BQ12" s="183"/>
      <c r="BR12" s="183"/>
      <c r="BS12" s="183"/>
      <c r="BT12" s="183"/>
      <c r="BU12" s="183"/>
      <c r="BV12" s="183"/>
      <c r="BW12" s="183"/>
      <c r="BX12" s="183"/>
      <c r="BY12" s="183"/>
      <c r="BZ12" s="183"/>
      <c r="CA12" s="183"/>
      <c r="CB12" s="183"/>
      <c r="CC12" s="183"/>
      <c r="CD12" s="183"/>
      <c r="CE12" s="183"/>
      <c r="CF12" s="183"/>
      <c r="CG12" s="183"/>
      <c r="CH12" s="183"/>
      <c r="CI12" s="183"/>
      <c r="CJ12" s="183"/>
      <c r="CK12" s="183"/>
      <c r="CL12" s="183"/>
      <c r="CM12" s="183"/>
      <c r="CN12" s="183"/>
      <c r="CO12" s="183"/>
      <c r="CP12" s="183"/>
      <c r="CQ12" s="183"/>
      <c r="CR12" s="183"/>
      <c r="CS12" s="183"/>
      <c r="CT12" s="183"/>
      <c r="CU12" s="183"/>
      <c r="CV12" s="183"/>
      <c r="CW12" s="183"/>
      <c r="CX12" s="183"/>
      <c r="CY12" s="183"/>
      <c r="CZ12" s="183"/>
      <c r="DA12" s="183"/>
      <c r="DB12" s="183"/>
      <c r="DC12" s="183"/>
      <c r="DD12" s="183"/>
      <c r="DE12" s="183"/>
      <c r="DF12" s="183"/>
      <c r="DG12" s="183"/>
      <c r="DH12" s="183"/>
      <c r="DI12" s="183"/>
      <c r="DJ12" s="183"/>
      <c r="DK12" s="183"/>
      <c r="DL12" s="183"/>
      <c r="DM12" s="183"/>
      <c r="DN12" s="183"/>
      <c r="DO12" s="183"/>
      <c r="DP12" s="183"/>
      <c r="DQ12" s="183"/>
      <c r="DR12" s="183"/>
      <c r="DS12" s="183"/>
      <c r="DT12" s="183"/>
      <c r="DU12" s="183"/>
      <c r="DV12" s="183"/>
      <c r="DW12" s="183"/>
      <c r="DX12" s="183"/>
      <c r="DY12" s="183"/>
      <c r="DZ12" s="183"/>
      <c r="EA12" s="183"/>
      <c r="EB12" s="183"/>
      <c r="EC12" s="183"/>
      <c r="ED12" s="183"/>
      <c r="EE12" s="183"/>
      <c r="EF12" s="183"/>
      <c r="EG12" s="183"/>
      <c r="EH12" s="183"/>
      <c r="EI12" s="183"/>
      <c r="EJ12" s="183"/>
      <c r="EK12" s="183"/>
      <c r="EL12" s="183"/>
      <c r="EM12" s="183"/>
      <c r="EN12" s="183"/>
      <c r="EO12" s="183"/>
      <c r="EP12" s="183"/>
      <c r="EQ12" s="183"/>
      <c r="ER12" s="183"/>
      <c r="ES12" s="183"/>
      <c r="ET12" s="183"/>
      <c r="EU12" s="183"/>
      <c r="EV12" s="183"/>
      <c r="EW12" s="183"/>
      <c r="EX12" s="183"/>
      <c r="EY12" s="183"/>
      <c r="EZ12" s="183"/>
      <c r="FA12" s="183"/>
      <c r="FB12" s="183"/>
      <c r="FC12" s="183"/>
      <c r="FD12" s="183"/>
      <c r="FE12" s="183"/>
      <c r="FF12" s="183"/>
      <c r="FG12" s="183"/>
      <c r="FH12" s="183"/>
      <c r="FI12" s="183"/>
      <c r="FJ12" s="183"/>
      <c r="FK12" s="183"/>
      <c r="FL12" s="183"/>
      <c r="FM12" s="183"/>
      <c r="FN12" s="183"/>
      <c r="FO12" s="183"/>
      <c r="FP12" s="183"/>
      <c r="FQ12" s="183"/>
      <c r="FR12" s="183"/>
      <c r="FS12" s="183"/>
      <c r="FT12" s="183"/>
      <c r="FU12" s="183"/>
      <c r="FV12" s="183"/>
      <c r="FW12" s="183"/>
      <c r="FX12" s="183"/>
      <c r="FY12" s="183"/>
      <c r="FZ12" s="183"/>
      <c r="GA12" s="183"/>
      <c r="GB12" s="183"/>
      <c r="GC12" s="183"/>
      <c r="GD12" s="183"/>
      <c r="GE12" s="183"/>
      <c r="GF12" s="183"/>
      <c r="GG12" s="183"/>
      <c r="GH12" s="183"/>
      <c r="GI12" s="183"/>
      <c r="GJ12" s="183"/>
      <c r="GK12" s="183"/>
      <c r="GL12" s="183"/>
      <c r="GM12" s="183"/>
      <c r="GN12" s="183"/>
      <c r="GO12" s="183"/>
      <c r="GP12" s="183"/>
      <c r="GQ12" s="183"/>
      <c r="GR12" s="183"/>
      <c r="GS12" s="183"/>
      <c r="GT12" s="183"/>
      <c r="GU12" s="183"/>
      <c r="GV12" s="183"/>
      <c r="GW12" s="183"/>
    </row>
    <row r="13">
      <c r="A13" s="184" t="s">
        <v>167</v>
      </c>
      <c r="B13" s="184"/>
      <c r="C13" s="184" t="str">
        <f t="shared" si="1"/>
        <v/>
      </c>
      <c r="D13" s="185" t="str">
        <f>if(isblank(B13),,if(Portfolio!E15=0,0,Portfolio!J15/Portfolio!E15)/Portfolio!U15)</f>
        <v/>
      </c>
      <c r="E13" s="186" t="str">
        <f t="shared" si="2"/>
        <v/>
      </c>
      <c r="F13" s="187" t="str">
        <f t="shared" si="3"/>
        <v/>
      </c>
      <c r="G13" s="187"/>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c r="BB13" s="183"/>
      <c r="BC13" s="183"/>
      <c r="BD13" s="183"/>
      <c r="BE13" s="183"/>
      <c r="BF13" s="183"/>
      <c r="BG13" s="183"/>
      <c r="BH13" s="183"/>
      <c r="BI13" s="183"/>
      <c r="BJ13" s="183"/>
      <c r="BK13" s="183"/>
      <c r="BL13" s="183"/>
      <c r="BM13" s="183"/>
      <c r="BN13" s="183"/>
      <c r="BO13" s="183"/>
      <c r="BP13" s="183"/>
      <c r="BQ13" s="183"/>
      <c r="BR13" s="183"/>
      <c r="BS13" s="183"/>
      <c r="BT13" s="183"/>
      <c r="BU13" s="183"/>
      <c r="BV13" s="183"/>
      <c r="BW13" s="183"/>
      <c r="BX13" s="183"/>
      <c r="BY13" s="183"/>
      <c r="BZ13" s="183"/>
      <c r="CA13" s="183"/>
      <c r="CB13" s="183"/>
      <c r="CC13" s="183"/>
      <c r="CD13" s="183"/>
      <c r="CE13" s="183"/>
      <c r="CF13" s="183"/>
      <c r="CG13" s="183"/>
      <c r="CH13" s="183"/>
      <c r="CI13" s="183"/>
      <c r="CJ13" s="183"/>
      <c r="CK13" s="183"/>
      <c r="CL13" s="183"/>
      <c r="CM13" s="183"/>
      <c r="CN13" s="183"/>
      <c r="CO13" s="183"/>
      <c r="CP13" s="183"/>
      <c r="CQ13" s="183"/>
      <c r="CR13" s="183"/>
      <c r="CS13" s="183"/>
      <c r="CT13" s="183"/>
      <c r="CU13" s="183"/>
      <c r="CV13" s="183"/>
      <c r="CW13" s="183"/>
      <c r="CX13" s="183"/>
      <c r="CY13" s="183"/>
      <c r="CZ13" s="183"/>
      <c r="DA13" s="183"/>
      <c r="DB13" s="183"/>
      <c r="DC13" s="183"/>
      <c r="DD13" s="183"/>
      <c r="DE13" s="183"/>
      <c r="DF13" s="183"/>
      <c r="DG13" s="183"/>
      <c r="DH13" s="183"/>
      <c r="DI13" s="183"/>
      <c r="DJ13" s="183"/>
      <c r="DK13" s="183"/>
      <c r="DL13" s="183"/>
      <c r="DM13" s="183"/>
      <c r="DN13" s="183"/>
      <c r="DO13" s="183"/>
      <c r="DP13" s="183"/>
      <c r="DQ13" s="183"/>
      <c r="DR13" s="183"/>
      <c r="DS13" s="183"/>
      <c r="DT13" s="183"/>
      <c r="DU13" s="183"/>
      <c r="DV13" s="183"/>
      <c r="DW13" s="183"/>
      <c r="DX13" s="183"/>
      <c r="DY13" s="183"/>
      <c r="DZ13" s="183"/>
      <c r="EA13" s="183"/>
      <c r="EB13" s="183"/>
      <c r="EC13" s="183"/>
      <c r="ED13" s="183"/>
      <c r="EE13" s="183"/>
      <c r="EF13" s="183"/>
      <c r="EG13" s="183"/>
      <c r="EH13" s="183"/>
      <c r="EI13" s="183"/>
      <c r="EJ13" s="183"/>
      <c r="EK13" s="183"/>
      <c r="EL13" s="183"/>
      <c r="EM13" s="183"/>
      <c r="EN13" s="183"/>
      <c r="EO13" s="183"/>
      <c r="EP13" s="183"/>
      <c r="EQ13" s="183"/>
      <c r="ER13" s="183"/>
      <c r="ES13" s="183"/>
      <c r="ET13" s="183"/>
      <c r="EU13" s="183"/>
      <c r="EV13" s="183"/>
      <c r="EW13" s="183"/>
      <c r="EX13" s="183"/>
      <c r="EY13" s="183"/>
      <c r="EZ13" s="183"/>
      <c r="FA13" s="183"/>
      <c r="FB13" s="183"/>
      <c r="FC13" s="183"/>
      <c r="FD13" s="183"/>
      <c r="FE13" s="183"/>
      <c r="FF13" s="183"/>
      <c r="FG13" s="183"/>
      <c r="FH13" s="183"/>
      <c r="FI13" s="183"/>
      <c r="FJ13" s="183"/>
      <c r="FK13" s="183"/>
      <c r="FL13" s="183"/>
      <c r="FM13" s="183"/>
      <c r="FN13" s="183"/>
      <c r="FO13" s="183"/>
      <c r="FP13" s="183"/>
      <c r="FQ13" s="183"/>
      <c r="FR13" s="183"/>
      <c r="FS13" s="183"/>
      <c r="FT13" s="183"/>
      <c r="FU13" s="183"/>
      <c r="FV13" s="183"/>
      <c r="FW13" s="183"/>
      <c r="FX13" s="183"/>
      <c r="FY13" s="183"/>
      <c r="FZ13" s="183"/>
      <c r="GA13" s="183"/>
      <c r="GB13" s="183"/>
      <c r="GC13" s="183"/>
      <c r="GD13" s="183"/>
      <c r="GE13" s="183"/>
      <c r="GF13" s="183"/>
      <c r="GG13" s="183"/>
      <c r="GH13" s="183"/>
      <c r="GI13" s="183"/>
      <c r="GJ13" s="183"/>
      <c r="GK13" s="183"/>
      <c r="GL13" s="183"/>
      <c r="GM13" s="183"/>
      <c r="GN13" s="183"/>
      <c r="GO13" s="183"/>
      <c r="GP13" s="183"/>
      <c r="GQ13" s="183"/>
      <c r="GR13" s="183"/>
      <c r="GS13" s="183"/>
      <c r="GT13" s="183"/>
      <c r="GU13" s="183"/>
      <c r="GV13" s="183"/>
      <c r="GW13" s="183"/>
    </row>
    <row r="14">
      <c r="A14" s="184" t="s">
        <v>167</v>
      </c>
      <c r="B14" s="184"/>
      <c r="C14" s="184" t="str">
        <f t="shared" si="1"/>
        <v/>
      </c>
      <c r="D14" s="185" t="str">
        <f>if(isblank(B14),,if(Portfolio!E16=0,0,Portfolio!J16/Portfolio!E16)/Portfolio!U16)</f>
        <v/>
      </c>
      <c r="E14" s="186" t="str">
        <f t="shared" si="2"/>
        <v/>
      </c>
      <c r="F14" s="187" t="str">
        <f t="shared" si="3"/>
        <v/>
      </c>
      <c r="G14" s="187"/>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83"/>
      <c r="AY14" s="183"/>
      <c r="AZ14" s="183"/>
      <c r="BA14" s="183"/>
      <c r="BB14" s="183"/>
      <c r="BC14" s="183"/>
      <c r="BD14" s="183"/>
      <c r="BE14" s="183"/>
      <c r="BF14" s="183"/>
      <c r="BG14" s="183"/>
      <c r="BH14" s="183"/>
      <c r="BI14" s="183"/>
      <c r="BJ14" s="183"/>
      <c r="BK14" s="183"/>
      <c r="BL14" s="183"/>
      <c r="BM14" s="183"/>
      <c r="BN14" s="183"/>
      <c r="BO14" s="183"/>
      <c r="BP14" s="183"/>
      <c r="BQ14" s="183"/>
      <c r="BR14" s="183"/>
      <c r="BS14" s="183"/>
      <c r="BT14" s="183"/>
      <c r="BU14" s="183"/>
      <c r="BV14" s="183"/>
      <c r="BW14" s="183"/>
      <c r="BX14" s="183"/>
      <c r="BY14" s="183"/>
      <c r="BZ14" s="183"/>
      <c r="CA14" s="183"/>
      <c r="CB14" s="183"/>
      <c r="CC14" s="183"/>
      <c r="CD14" s="183"/>
      <c r="CE14" s="183"/>
      <c r="CF14" s="183"/>
      <c r="CG14" s="183"/>
      <c r="CH14" s="183"/>
      <c r="CI14" s="183"/>
      <c r="CJ14" s="183"/>
      <c r="CK14" s="183"/>
      <c r="CL14" s="183"/>
      <c r="CM14" s="183"/>
      <c r="CN14" s="183"/>
      <c r="CO14" s="183"/>
      <c r="CP14" s="183"/>
      <c r="CQ14" s="183"/>
      <c r="CR14" s="183"/>
      <c r="CS14" s="183"/>
      <c r="CT14" s="183"/>
      <c r="CU14" s="183"/>
      <c r="CV14" s="183"/>
      <c r="CW14" s="183"/>
      <c r="CX14" s="183"/>
      <c r="CY14" s="183"/>
      <c r="CZ14" s="183"/>
      <c r="DA14" s="183"/>
      <c r="DB14" s="183"/>
      <c r="DC14" s="183"/>
      <c r="DD14" s="183"/>
      <c r="DE14" s="183"/>
      <c r="DF14" s="183"/>
      <c r="DG14" s="183"/>
      <c r="DH14" s="183"/>
      <c r="DI14" s="183"/>
      <c r="DJ14" s="183"/>
      <c r="DK14" s="183"/>
      <c r="DL14" s="183"/>
      <c r="DM14" s="183"/>
      <c r="DN14" s="183"/>
      <c r="DO14" s="183"/>
      <c r="DP14" s="183"/>
      <c r="DQ14" s="183"/>
      <c r="DR14" s="183"/>
      <c r="DS14" s="183"/>
      <c r="DT14" s="183"/>
      <c r="DU14" s="183"/>
      <c r="DV14" s="183"/>
      <c r="DW14" s="183"/>
      <c r="DX14" s="183"/>
      <c r="DY14" s="183"/>
      <c r="DZ14" s="183"/>
      <c r="EA14" s="183"/>
      <c r="EB14" s="183"/>
      <c r="EC14" s="183"/>
      <c r="ED14" s="183"/>
      <c r="EE14" s="183"/>
      <c r="EF14" s="183"/>
      <c r="EG14" s="183"/>
      <c r="EH14" s="183"/>
      <c r="EI14" s="183"/>
      <c r="EJ14" s="183"/>
      <c r="EK14" s="183"/>
      <c r="EL14" s="183"/>
      <c r="EM14" s="183"/>
      <c r="EN14" s="183"/>
      <c r="EO14" s="183"/>
      <c r="EP14" s="183"/>
      <c r="EQ14" s="183"/>
      <c r="ER14" s="183"/>
      <c r="ES14" s="183"/>
      <c r="ET14" s="183"/>
      <c r="EU14" s="183"/>
      <c r="EV14" s="183"/>
      <c r="EW14" s="183"/>
      <c r="EX14" s="183"/>
      <c r="EY14" s="183"/>
      <c r="EZ14" s="183"/>
      <c r="FA14" s="183"/>
      <c r="FB14" s="183"/>
      <c r="FC14" s="183"/>
      <c r="FD14" s="183"/>
      <c r="FE14" s="183"/>
      <c r="FF14" s="183"/>
      <c r="FG14" s="183"/>
      <c r="FH14" s="183"/>
      <c r="FI14" s="183"/>
      <c r="FJ14" s="183"/>
      <c r="FK14" s="183"/>
      <c r="FL14" s="183"/>
      <c r="FM14" s="183"/>
      <c r="FN14" s="183"/>
      <c r="FO14" s="183"/>
      <c r="FP14" s="183"/>
      <c r="FQ14" s="183"/>
      <c r="FR14" s="183"/>
      <c r="FS14" s="183"/>
      <c r="FT14" s="183"/>
      <c r="FU14" s="183"/>
      <c r="FV14" s="183"/>
      <c r="FW14" s="183"/>
      <c r="FX14" s="183"/>
      <c r="FY14" s="183"/>
      <c r="FZ14" s="183"/>
      <c r="GA14" s="183"/>
      <c r="GB14" s="183"/>
      <c r="GC14" s="183"/>
      <c r="GD14" s="183"/>
      <c r="GE14" s="183"/>
      <c r="GF14" s="183"/>
      <c r="GG14" s="183"/>
      <c r="GH14" s="183"/>
      <c r="GI14" s="183"/>
      <c r="GJ14" s="183"/>
      <c r="GK14" s="183"/>
      <c r="GL14" s="183"/>
      <c r="GM14" s="183"/>
      <c r="GN14" s="183"/>
      <c r="GO14" s="183"/>
      <c r="GP14" s="183"/>
      <c r="GQ14" s="183"/>
      <c r="GR14" s="183"/>
      <c r="GS14" s="183"/>
      <c r="GT14" s="183"/>
      <c r="GU14" s="183"/>
      <c r="GV14" s="183"/>
      <c r="GW14" s="183"/>
    </row>
    <row r="15">
      <c r="A15" s="184" t="s">
        <v>167</v>
      </c>
      <c r="B15" s="184"/>
      <c r="C15" s="184" t="str">
        <f t="shared" si="1"/>
        <v/>
      </c>
      <c r="D15" s="185" t="str">
        <f>if(isblank(B15),,if(Portfolio!E17=0,0,Portfolio!J17/Portfolio!E17)/Portfolio!U17)</f>
        <v/>
      </c>
      <c r="E15" s="186" t="str">
        <f t="shared" si="2"/>
        <v/>
      </c>
      <c r="F15" s="187" t="str">
        <f t="shared" si="3"/>
        <v/>
      </c>
      <c r="G15" s="187"/>
      <c r="H15" s="183"/>
      <c r="I15" s="183"/>
      <c r="J15" s="183"/>
      <c r="K15" s="183"/>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183"/>
      <c r="BE15" s="183"/>
      <c r="BF15" s="183"/>
      <c r="BG15" s="183"/>
      <c r="BH15" s="183"/>
      <c r="BI15" s="183"/>
      <c r="BJ15" s="183"/>
      <c r="BK15" s="183"/>
      <c r="BL15" s="183"/>
      <c r="BM15" s="183"/>
      <c r="BN15" s="183"/>
      <c r="BO15" s="183"/>
      <c r="BP15" s="183"/>
      <c r="BQ15" s="183"/>
      <c r="BR15" s="183"/>
      <c r="BS15" s="183"/>
      <c r="BT15" s="183"/>
      <c r="BU15" s="183"/>
      <c r="BV15" s="183"/>
      <c r="BW15" s="183"/>
      <c r="BX15" s="183"/>
      <c r="BY15" s="183"/>
      <c r="BZ15" s="183"/>
      <c r="CA15" s="183"/>
      <c r="CB15" s="183"/>
      <c r="CC15" s="183"/>
      <c r="CD15" s="183"/>
      <c r="CE15" s="183"/>
      <c r="CF15" s="183"/>
      <c r="CG15" s="183"/>
      <c r="CH15" s="183"/>
      <c r="CI15" s="183"/>
      <c r="CJ15" s="183"/>
      <c r="CK15" s="183"/>
      <c r="CL15" s="183"/>
      <c r="CM15" s="183"/>
      <c r="CN15" s="183"/>
      <c r="CO15" s="183"/>
      <c r="CP15" s="183"/>
      <c r="CQ15" s="183"/>
      <c r="CR15" s="183"/>
      <c r="CS15" s="183"/>
      <c r="CT15" s="183"/>
      <c r="CU15" s="183"/>
      <c r="CV15" s="183"/>
      <c r="CW15" s="183"/>
      <c r="CX15" s="183"/>
      <c r="CY15" s="183"/>
      <c r="CZ15" s="183"/>
      <c r="DA15" s="183"/>
      <c r="DB15" s="183"/>
      <c r="DC15" s="183"/>
      <c r="DD15" s="183"/>
      <c r="DE15" s="183"/>
      <c r="DF15" s="183"/>
      <c r="DG15" s="183"/>
      <c r="DH15" s="183"/>
      <c r="DI15" s="183"/>
      <c r="DJ15" s="183"/>
      <c r="DK15" s="183"/>
      <c r="DL15" s="183"/>
      <c r="DM15" s="183"/>
      <c r="DN15" s="183"/>
      <c r="DO15" s="183"/>
      <c r="DP15" s="183"/>
      <c r="DQ15" s="183"/>
      <c r="DR15" s="183"/>
      <c r="DS15" s="183"/>
      <c r="DT15" s="183"/>
      <c r="DU15" s="183"/>
      <c r="DV15" s="183"/>
      <c r="DW15" s="183"/>
      <c r="DX15" s="183"/>
      <c r="DY15" s="183"/>
      <c r="DZ15" s="183"/>
      <c r="EA15" s="183"/>
      <c r="EB15" s="183"/>
      <c r="EC15" s="183"/>
      <c r="ED15" s="183"/>
      <c r="EE15" s="183"/>
      <c r="EF15" s="183"/>
      <c r="EG15" s="183"/>
      <c r="EH15" s="183"/>
      <c r="EI15" s="183"/>
      <c r="EJ15" s="183"/>
      <c r="EK15" s="183"/>
      <c r="EL15" s="183"/>
      <c r="EM15" s="183"/>
      <c r="EN15" s="183"/>
      <c r="EO15" s="183"/>
      <c r="EP15" s="183"/>
      <c r="EQ15" s="183"/>
      <c r="ER15" s="183"/>
      <c r="ES15" s="183"/>
      <c r="ET15" s="183"/>
      <c r="EU15" s="183"/>
      <c r="EV15" s="183"/>
      <c r="EW15" s="183"/>
      <c r="EX15" s="183"/>
      <c r="EY15" s="183"/>
      <c r="EZ15" s="183"/>
      <c r="FA15" s="183"/>
      <c r="FB15" s="183"/>
      <c r="FC15" s="183"/>
      <c r="FD15" s="183"/>
      <c r="FE15" s="183"/>
      <c r="FF15" s="183"/>
      <c r="FG15" s="183"/>
      <c r="FH15" s="183"/>
      <c r="FI15" s="183"/>
      <c r="FJ15" s="183"/>
      <c r="FK15" s="183"/>
      <c r="FL15" s="183"/>
      <c r="FM15" s="183"/>
      <c r="FN15" s="183"/>
      <c r="FO15" s="183"/>
      <c r="FP15" s="183"/>
      <c r="FQ15" s="183"/>
      <c r="FR15" s="183"/>
      <c r="FS15" s="183"/>
      <c r="FT15" s="183"/>
      <c r="FU15" s="183"/>
      <c r="FV15" s="183"/>
      <c r="FW15" s="183"/>
      <c r="FX15" s="183"/>
      <c r="FY15" s="183"/>
      <c r="FZ15" s="183"/>
      <c r="GA15" s="183"/>
      <c r="GB15" s="183"/>
      <c r="GC15" s="183"/>
      <c r="GD15" s="183"/>
      <c r="GE15" s="183"/>
      <c r="GF15" s="183"/>
      <c r="GG15" s="183"/>
      <c r="GH15" s="183"/>
      <c r="GI15" s="183"/>
      <c r="GJ15" s="183"/>
      <c r="GK15" s="183"/>
      <c r="GL15" s="183"/>
      <c r="GM15" s="183"/>
      <c r="GN15" s="183"/>
      <c r="GO15" s="183"/>
      <c r="GP15" s="183"/>
      <c r="GQ15" s="183"/>
      <c r="GR15" s="183"/>
      <c r="GS15" s="183"/>
      <c r="GT15" s="183"/>
      <c r="GU15" s="183"/>
      <c r="GV15" s="183"/>
      <c r="GW15" s="183"/>
    </row>
    <row r="16">
      <c r="A16" s="184" t="s">
        <v>167</v>
      </c>
      <c r="B16" s="184"/>
      <c r="C16" s="184" t="str">
        <f t="shared" si="1"/>
        <v/>
      </c>
      <c r="D16" s="185" t="str">
        <f>if(isblank(B16),,if(Portfolio!E18=0,0,Portfolio!J18/Portfolio!E18)/Portfolio!U18)</f>
        <v/>
      </c>
      <c r="E16" s="186" t="str">
        <f t="shared" si="2"/>
        <v/>
      </c>
      <c r="F16" s="187" t="str">
        <f t="shared" si="3"/>
        <v/>
      </c>
      <c r="G16" s="187"/>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183"/>
      <c r="BE16" s="183"/>
      <c r="BF16" s="183"/>
      <c r="BG16" s="183"/>
      <c r="BH16" s="183"/>
      <c r="BI16" s="183"/>
      <c r="BJ16" s="183"/>
      <c r="BK16" s="183"/>
      <c r="BL16" s="183"/>
      <c r="BM16" s="183"/>
      <c r="BN16" s="183"/>
      <c r="BO16" s="183"/>
      <c r="BP16" s="183"/>
      <c r="BQ16" s="183"/>
      <c r="BR16" s="183"/>
      <c r="BS16" s="183"/>
      <c r="BT16" s="183"/>
      <c r="BU16" s="183"/>
      <c r="BV16" s="183"/>
      <c r="BW16" s="183"/>
      <c r="BX16" s="183"/>
      <c r="BY16" s="183"/>
      <c r="BZ16" s="183"/>
      <c r="CA16" s="183"/>
      <c r="CB16" s="183"/>
      <c r="CC16" s="183"/>
      <c r="CD16" s="183"/>
      <c r="CE16" s="183"/>
      <c r="CF16" s="183"/>
      <c r="CG16" s="183"/>
      <c r="CH16" s="183"/>
      <c r="CI16" s="183"/>
      <c r="CJ16" s="183"/>
      <c r="CK16" s="183"/>
      <c r="CL16" s="183"/>
      <c r="CM16" s="183"/>
      <c r="CN16" s="183"/>
      <c r="CO16" s="183"/>
      <c r="CP16" s="183"/>
      <c r="CQ16" s="183"/>
      <c r="CR16" s="183"/>
      <c r="CS16" s="183"/>
      <c r="CT16" s="183"/>
      <c r="CU16" s="183"/>
      <c r="CV16" s="183"/>
      <c r="CW16" s="183"/>
      <c r="CX16" s="183"/>
      <c r="CY16" s="183"/>
      <c r="CZ16" s="183"/>
      <c r="DA16" s="183"/>
      <c r="DB16" s="183"/>
      <c r="DC16" s="183"/>
      <c r="DD16" s="183"/>
      <c r="DE16" s="183"/>
      <c r="DF16" s="183"/>
      <c r="DG16" s="183"/>
      <c r="DH16" s="183"/>
      <c r="DI16" s="183"/>
      <c r="DJ16" s="183"/>
      <c r="DK16" s="183"/>
      <c r="DL16" s="183"/>
      <c r="DM16" s="183"/>
      <c r="DN16" s="183"/>
      <c r="DO16" s="183"/>
      <c r="DP16" s="183"/>
      <c r="DQ16" s="183"/>
      <c r="DR16" s="183"/>
      <c r="DS16" s="183"/>
      <c r="DT16" s="183"/>
      <c r="DU16" s="183"/>
      <c r="DV16" s="183"/>
      <c r="DW16" s="183"/>
      <c r="DX16" s="183"/>
      <c r="DY16" s="183"/>
      <c r="DZ16" s="183"/>
      <c r="EA16" s="183"/>
      <c r="EB16" s="183"/>
      <c r="EC16" s="183"/>
      <c r="ED16" s="183"/>
      <c r="EE16" s="183"/>
      <c r="EF16" s="183"/>
      <c r="EG16" s="183"/>
      <c r="EH16" s="183"/>
      <c r="EI16" s="183"/>
      <c r="EJ16" s="183"/>
      <c r="EK16" s="183"/>
      <c r="EL16" s="183"/>
      <c r="EM16" s="183"/>
      <c r="EN16" s="183"/>
      <c r="EO16" s="183"/>
      <c r="EP16" s="183"/>
      <c r="EQ16" s="183"/>
      <c r="ER16" s="183"/>
      <c r="ES16" s="183"/>
      <c r="ET16" s="183"/>
      <c r="EU16" s="183"/>
      <c r="EV16" s="183"/>
      <c r="EW16" s="183"/>
      <c r="EX16" s="183"/>
      <c r="EY16" s="183"/>
      <c r="EZ16" s="183"/>
      <c r="FA16" s="183"/>
      <c r="FB16" s="183"/>
      <c r="FC16" s="183"/>
      <c r="FD16" s="183"/>
      <c r="FE16" s="183"/>
      <c r="FF16" s="183"/>
      <c r="FG16" s="183"/>
      <c r="FH16" s="183"/>
      <c r="FI16" s="183"/>
      <c r="FJ16" s="183"/>
      <c r="FK16" s="183"/>
      <c r="FL16" s="183"/>
      <c r="FM16" s="183"/>
      <c r="FN16" s="183"/>
      <c r="FO16" s="183"/>
      <c r="FP16" s="183"/>
      <c r="FQ16" s="183"/>
      <c r="FR16" s="183"/>
      <c r="FS16" s="183"/>
      <c r="FT16" s="183"/>
      <c r="FU16" s="183"/>
      <c r="FV16" s="183"/>
      <c r="FW16" s="183"/>
      <c r="FX16" s="183"/>
      <c r="FY16" s="183"/>
      <c r="FZ16" s="183"/>
      <c r="GA16" s="183"/>
      <c r="GB16" s="183"/>
      <c r="GC16" s="183"/>
      <c r="GD16" s="183"/>
      <c r="GE16" s="183"/>
      <c r="GF16" s="183"/>
      <c r="GG16" s="183"/>
      <c r="GH16" s="183"/>
      <c r="GI16" s="183"/>
      <c r="GJ16" s="183"/>
      <c r="GK16" s="183"/>
      <c r="GL16" s="183"/>
      <c r="GM16" s="183"/>
      <c r="GN16" s="183"/>
      <c r="GO16" s="183"/>
      <c r="GP16" s="183"/>
      <c r="GQ16" s="183"/>
      <c r="GR16" s="183"/>
      <c r="GS16" s="183"/>
      <c r="GT16" s="183"/>
      <c r="GU16" s="183"/>
      <c r="GV16" s="183"/>
      <c r="GW16" s="183"/>
    </row>
    <row r="17">
      <c r="A17" s="184" t="s">
        <v>167</v>
      </c>
      <c r="B17" s="184"/>
      <c r="C17" s="184" t="str">
        <f t="shared" si="1"/>
        <v/>
      </c>
      <c r="D17" s="185" t="str">
        <f>if(isblank(B17),,if(Portfolio!E19=0,0,Portfolio!J19/Portfolio!E19)/Portfolio!U19)</f>
        <v/>
      </c>
      <c r="E17" s="186" t="str">
        <f t="shared" si="2"/>
        <v/>
      </c>
      <c r="F17" s="187" t="str">
        <f t="shared" si="3"/>
        <v/>
      </c>
      <c r="G17" s="187"/>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c r="BB17" s="183"/>
      <c r="BC17" s="183"/>
      <c r="BD17" s="183"/>
      <c r="BE17" s="183"/>
      <c r="BF17" s="183"/>
      <c r="BG17" s="183"/>
      <c r="BH17" s="183"/>
      <c r="BI17" s="183"/>
      <c r="BJ17" s="183"/>
      <c r="BK17" s="183"/>
      <c r="BL17" s="183"/>
      <c r="BM17" s="183"/>
      <c r="BN17" s="183"/>
      <c r="BO17" s="183"/>
      <c r="BP17" s="183"/>
      <c r="BQ17" s="183"/>
      <c r="BR17" s="183"/>
      <c r="BS17" s="183"/>
      <c r="BT17" s="183"/>
      <c r="BU17" s="183"/>
      <c r="BV17" s="183"/>
      <c r="BW17" s="183"/>
      <c r="BX17" s="183"/>
      <c r="BY17" s="183"/>
      <c r="BZ17" s="183"/>
      <c r="CA17" s="183"/>
      <c r="CB17" s="183"/>
      <c r="CC17" s="183"/>
      <c r="CD17" s="183"/>
      <c r="CE17" s="183"/>
      <c r="CF17" s="183"/>
      <c r="CG17" s="183"/>
      <c r="CH17" s="183"/>
      <c r="CI17" s="183"/>
      <c r="CJ17" s="183"/>
      <c r="CK17" s="183"/>
      <c r="CL17" s="183"/>
      <c r="CM17" s="183"/>
      <c r="CN17" s="183"/>
      <c r="CO17" s="183"/>
      <c r="CP17" s="183"/>
      <c r="CQ17" s="183"/>
      <c r="CR17" s="183"/>
      <c r="CS17" s="183"/>
      <c r="CT17" s="183"/>
      <c r="CU17" s="183"/>
      <c r="CV17" s="183"/>
      <c r="CW17" s="183"/>
      <c r="CX17" s="183"/>
      <c r="CY17" s="183"/>
      <c r="CZ17" s="183"/>
      <c r="DA17" s="183"/>
      <c r="DB17" s="183"/>
      <c r="DC17" s="183"/>
      <c r="DD17" s="183"/>
      <c r="DE17" s="183"/>
      <c r="DF17" s="183"/>
      <c r="DG17" s="183"/>
      <c r="DH17" s="183"/>
      <c r="DI17" s="183"/>
      <c r="DJ17" s="183"/>
      <c r="DK17" s="183"/>
      <c r="DL17" s="183"/>
      <c r="DM17" s="183"/>
      <c r="DN17" s="183"/>
      <c r="DO17" s="183"/>
      <c r="DP17" s="183"/>
      <c r="DQ17" s="183"/>
      <c r="DR17" s="183"/>
      <c r="DS17" s="183"/>
      <c r="DT17" s="183"/>
      <c r="DU17" s="183"/>
      <c r="DV17" s="183"/>
      <c r="DW17" s="183"/>
      <c r="DX17" s="183"/>
      <c r="DY17" s="183"/>
      <c r="DZ17" s="183"/>
      <c r="EA17" s="183"/>
      <c r="EB17" s="183"/>
      <c r="EC17" s="183"/>
      <c r="ED17" s="183"/>
      <c r="EE17" s="183"/>
      <c r="EF17" s="183"/>
      <c r="EG17" s="183"/>
      <c r="EH17" s="183"/>
      <c r="EI17" s="183"/>
      <c r="EJ17" s="183"/>
      <c r="EK17" s="183"/>
      <c r="EL17" s="183"/>
      <c r="EM17" s="183"/>
      <c r="EN17" s="183"/>
      <c r="EO17" s="183"/>
      <c r="EP17" s="183"/>
      <c r="EQ17" s="183"/>
      <c r="ER17" s="183"/>
      <c r="ES17" s="183"/>
      <c r="ET17" s="183"/>
      <c r="EU17" s="183"/>
      <c r="EV17" s="183"/>
      <c r="EW17" s="183"/>
      <c r="EX17" s="183"/>
      <c r="EY17" s="183"/>
      <c r="EZ17" s="183"/>
      <c r="FA17" s="183"/>
      <c r="FB17" s="183"/>
      <c r="FC17" s="183"/>
      <c r="FD17" s="183"/>
      <c r="FE17" s="183"/>
      <c r="FF17" s="183"/>
      <c r="FG17" s="183"/>
      <c r="FH17" s="183"/>
      <c r="FI17" s="183"/>
      <c r="FJ17" s="183"/>
      <c r="FK17" s="183"/>
      <c r="FL17" s="183"/>
      <c r="FM17" s="183"/>
      <c r="FN17" s="183"/>
      <c r="FO17" s="183"/>
      <c r="FP17" s="183"/>
      <c r="FQ17" s="183"/>
      <c r="FR17" s="183"/>
      <c r="FS17" s="183"/>
      <c r="FT17" s="183"/>
      <c r="FU17" s="183"/>
      <c r="FV17" s="183"/>
      <c r="FW17" s="183"/>
      <c r="FX17" s="183"/>
      <c r="FY17" s="183"/>
      <c r="FZ17" s="183"/>
      <c r="GA17" s="183"/>
      <c r="GB17" s="183"/>
      <c r="GC17" s="183"/>
      <c r="GD17" s="183"/>
      <c r="GE17" s="183"/>
      <c r="GF17" s="183"/>
      <c r="GG17" s="183"/>
      <c r="GH17" s="183"/>
      <c r="GI17" s="183"/>
      <c r="GJ17" s="183"/>
      <c r="GK17" s="183"/>
      <c r="GL17" s="183"/>
      <c r="GM17" s="183"/>
      <c r="GN17" s="183"/>
      <c r="GO17" s="183"/>
      <c r="GP17" s="183"/>
      <c r="GQ17" s="183"/>
      <c r="GR17" s="183"/>
      <c r="GS17" s="183"/>
      <c r="GT17" s="183"/>
      <c r="GU17" s="183"/>
      <c r="GV17" s="183"/>
      <c r="GW17" s="183"/>
    </row>
    <row r="18">
      <c r="A18" s="184" t="s">
        <v>167</v>
      </c>
      <c r="B18" s="184"/>
      <c r="C18" s="184" t="str">
        <f t="shared" si="1"/>
        <v/>
      </c>
      <c r="D18" s="185" t="str">
        <f>if(isblank(B18),,if(Portfolio!E20=0,0,Portfolio!J20/Portfolio!E20)/Portfolio!U20)</f>
        <v/>
      </c>
      <c r="E18" s="186" t="str">
        <f t="shared" si="2"/>
        <v/>
      </c>
      <c r="F18" s="187" t="str">
        <f t="shared" si="3"/>
        <v/>
      </c>
      <c r="G18" s="187"/>
      <c r="H18" s="183"/>
      <c r="I18" s="183"/>
      <c r="J18" s="183"/>
      <c r="K18" s="183"/>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83"/>
      <c r="BE18" s="183"/>
      <c r="BF18" s="183"/>
      <c r="BG18" s="183"/>
      <c r="BH18" s="183"/>
      <c r="BI18" s="183"/>
      <c r="BJ18" s="183"/>
      <c r="BK18" s="183"/>
      <c r="BL18" s="183"/>
      <c r="BM18" s="183"/>
      <c r="BN18" s="183"/>
      <c r="BO18" s="183"/>
      <c r="BP18" s="183"/>
      <c r="BQ18" s="183"/>
      <c r="BR18" s="183"/>
      <c r="BS18" s="183"/>
      <c r="BT18" s="183"/>
      <c r="BU18" s="183"/>
      <c r="BV18" s="183"/>
      <c r="BW18" s="183"/>
      <c r="BX18" s="183"/>
      <c r="BY18" s="183"/>
      <c r="BZ18" s="183"/>
      <c r="CA18" s="183"/>
      <c r="CB18" s="183"/>
      <c r="CC18" s="183"/>
      <c r="CD18" s="183"/>
      <c r="CE18" s="183"/>
      <c r="CF18" s="183"/>
      <c r="CG18" s="183"/>
      <c r="CH18" s="183"/>
      <c r="CI18" s="183"/>
      <c r="CJ18" s="183"/>
      <c r="CK18" s="183"/>
      <c r="CL18" s="183"/>
      <c r="CM18" s="183"/>
      <c r="CN18" s="183"/>
      <c r="CO18" s="183"/>
      <c r="CP18" s="183"/>
      <c r="CQ18" s="183"/>
      <c r="CR18" s="183"/>
      <c r="CS18" s="183"/>
      <c r="CT18" s="183"/>
      <c r="CU18" s="183"/>
      <c r="CV18" s="183"/>
      <c r="CW18" s="183"/>
      <c r="CX18" s="183"/>
      <c r="CY18" s="183"/>
      <c r="CZ18" s="183"/>
      <c r="DA18" s="183"/>
      <c r="DB18" s="183"/>
      <c r="DC18" s="183"/>
      <c r="DD18" s="183"/>
      <c r="DE18" s="183"/>
      <c r="DF18" s="183"/>
      <c r="DG18" s="183"/>
      <c r="DH18" s="183"/>
      <c r="DI18" s="183"/>
      <c r="DJ18" s="183"/>
      <c r="DK18" s="183"/>
      <c r="DL18" s="183"/>
      <c r="DM18" s="183"/>
      <c r="DN18" s="183"/>
      <c r="DO18" s="183"/>
      <c r="DP18" s="183"/>
      <c r="DQ18" s="183"/>
      <c r="DR18" s="183"/>
      <c r="DS18" s="183"/>
      <c r="DT18" s="183"/>
      <c r="DU18" s="183"/>
      <c r="DV18" s="183"/>
      <c r="DW18" s="183"/>
      <c r="DX18" s="183"/>
      <c r="DY18" s="183"/>
      <c r="DZ18" s="183"/>
      <c r="EA18" s="183"/>
      <c r="EB18" s="183"/>
      <c r="EC18" s="183"/>
      <c r="ED18" s="183"/>
      <c r="EE18" s="183"/>
      <c r="EF18" s="183"/>
      <c r="EG18" s="183"/>
      <c r="EH18" s="183"/>
      <c r="EI18" s="183"/>
      <c r="EJ18" s="183"/>
      <c r="EK18" s="183"/>
      <c r="EL18" s="183"/>
      <c r="EM18" s="183"/>
      <c r="EN18" s="183"/>
      <c r="EO18" s="183"/>
      <c r="EP18" s="183"/>
      <c r="EQ18" s="183"/>
      <c r="ER18" s="183"/>
      <c r="ES18" s="183"/>
      <c r="ET18" s="183"/>
      <c r="EU18" s="183"/>
      <c r="EV18" s="183"/>
      <c r="EW18" s="183"/>
      <c r="EX18" s="183"/>
      <c r="EY18" s="183"/>
      <c r="EZ18" s="183"/>
      <c r="FA18" s="183"/>
      <c r="FB18" s="183"/>
      <c r="FC18" s="183"/>
      <c r="FD18" s="183"/>
      <c r="FE18" s="183"/>
      <c r="FF18" s="183"/>
      <c r="FG18" s="183"/>
      <c r="FH18" s="183"/>
      <c r="FI18" s="183"/>
      <c r="FJ18" s="183"/>
      <c r="FK18" s="183"/>
      <c r="FL18" s="183"/>
      <c r="FM18" s="183"/>
      <c r="FN18" s="183"/>
      <c r="FO18" s="183"/>
      <c r="FP18" s="183"/>
      <c r="FQ18" s="183"/>
      <c r="FR18" s="183"/>
      <c r="FS18" s="183"/>
      <c r="FT18" s="183"/>
      <c r="FU18" s="183"/>
      <c r="FV18" s="183"/>
      <c r="FW18" s="183"/>
      <c r="FX18" s="183"/>
      <c r="FY18" s="183"/>
      <c r="FZ18" s="183"/>
      <c r="GA18" s="183"/>
      <c r="GB18" s="183"/>
      <c r="GC18" s="183"/>
      <c r="GD18" s="183"/>
      <c r="GE18" s="183"/>
      <c r="GF18" s="183"/>
      <c r="GG18" s="183"/>
      <c r="GH18" s="183"/>
      <c r="GI18" s="183"/>
      <c r="GJ18" s="183"/>
      <c r="GK18" s="183"/>
      <c r="GL18" s="183"/>
      <c r="GM18" s="183"/>
      <c r="GN18" s="183"/>
      <c r="GO18" s="183"/>
      <c r="GP18" s="183"/>
      <c r="GQ18" s="183"/>
      <c r="GR18" s="183"/>
      <c r="GS18" s="183"/>
      <c r="GT18" s="183"/>
      <c r="GU18" s="183"/>
      <c r="GV18" s="183"/>
      <c r="GW18" s="183"/>
    </row>
    <row r="19">
      <c r="A19" s="184" t="s">
        <v>167</v>
      </c>
      <c r="B19" s="184"/>
      <c r="C19" s="184" t="str">
        <f t="shared" si="1"/>
        <v/>
      </c>
      <c r="D19" s="185" t="str">
        <f>if(isblank(B19),,if(Portfolio!E21=0,0,Portfolio!J21/Portfolio!E21)/Portfolio!U21)</f>
        <v/>
      </c>
      <c r="E19" s="186" t="str">
        <f t="shared" si="2"/>
        <v/>
      </c>
      <c r="F19" s="187" t="str">
        <f t="shared" si="3"/>
        <v/>
      </c>
      <c r="G19" s="187"/>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183"/>
      <c r="BE19" s="183"/>
      <c r="BF19" s="183"/>
      <c r="BG19" s="183"/>
      <c r="BH19" s="183"/>
      <c r="BI19" s="183"/>
      <c r="BJ19" s="183"/>
      <c r="BK19" s="183"/>
      <c r="BL19" s="183"/>
      <c r="BM19" s="183"/>
      <c r="BN19" s="183"/>
      <c r="BO19" s="183"/>
      <c r="BP19" s="183"/>
      <c r="BQ19" s="183"/>
      <c r="BR19" s="183"/>
      <c r="BS19" s="183"/>
      <c r="BT19" s="183"/>
      <c r="BU19" s="183"/>
      <c r="BV19" s="183"/>
      <c r="BW19" s="183"/>
      <c r="BX19" s="183"/>
      <c r="BY19" s="183"/>
      <c r="BZ19" s="183"/>
      <c r="CA19" s="183"/>
      <c r="CB19" s="183"/>
      <c r="CC19" s="183"/>
      <c r="CD19" s="183"/>
      <c r="CE19" s="183"/>
      <c r="CF19" s="183"/>
      <c r="CG19" s="183"/>
      <c r="CH19" s="183"/>
      <c r="CI19" s="183"/>
      <c r="CJ19" s="183"/>
      <c r="CK19" s="183"/>
      <c r="CL19" s="183"/>
      <c r="CM19" s="183"/>
      <c r="CN19" s="183"/>
      <c r="CO19" s="183"/>
      <c r="CP19" s="183"/>
      <c r="CQ19" s="183"/>
      <c r="CR19" s="183"/>
      <c r="CS19" s="183"/>
      <c r="CT19" s="183"/>
      <c r="CU19" s="183"/>
      <c r="CV19" s="183"/>
      <c r="CW19" s="183"/>
      <c r="CX19" s="183"/>
      <c r="CY19" s="183"/>
      <c r="CZ19" s="183"/>
      <c r="DA19" s="183"/>
      <c r="DB19" s="183"/>
      <c r="DC19" s="183"/>
      <c r="DD19" s="183"/>
      <c r="DE19" s="183"/>
      <c r="DF19" s="183"/>
      <c r="DG19" s="183"/>
      <c r="DH19" s="183"/>
      <c r="DI19" s="183"/>
      <c r="DJ19" s="183"/>
      <c r="DK19" s="183"/>
      <c r="DL19" s="183"/>
      <c r="DM19" s="183"/>
      <c r="DN19" s="183"/>
      <c r="DO19" s="183"/>
      <c r="DP19" s="183"/>
      <c r="DQ19" s="183"/>
      <c r="DR19" s="183"/>
      <c r="DS19" s="183"/>
      <c r="DT19" s="183"/>
      <c r="DU19" s="183"/>
      <c r="DV19" s="183"/>
      <c r="DW19" s="183"/>
      <c r="DX19" s="183"/>
      <c r="DY19" s="183"/>
      <c r="DZ19" s="183"/>
      <c r="EA19" s="183"/>
      <c r="EB19" s="183"/>
      <c r="EC19" s="183"/>
      <c r="ED19" s="183"/>
      <c r="EE19" s="183"/>
      <c r="EF19" s="183"/>
      <c r="EG19" s="183"/>
      <c r="EH19" s="183"/>
      <c r="EI19" s="183"/>
      <c r="EJ19" s="183"/>
      <c r="EK19" s="183"/>
      <c r="EL19" s="183"/>
      <c r="EM19" s="183"/>
      <c r="EN19" s="183"/>
      <c r="EO19" s="183"/>
      <c r="EP19" s="183"/>
      <c r="EQ19" s="183"/>
      <c r="ER19" s="183"/>
      <c r="ES19" s="183"/>
      <c r="ET19" s="183"/>
      <c r="EU19" s="183"/>
      <c r="EV19" s="183"/>
      <c r="EW19" s="183"/>
      <c r="EX19" s="183"/>
      <c r="EY19" s="183"/>
      <c r="EZ19" s="183"/>
      <c r="FA19" s="183"/>
      <c r="FB19" s="183"/>
      <c r="FC19" s="183"/>
      <c r="FD19" s="183"/>
      <c r="FE19" s="183"/>
      <c r="FF19" s="183"/>
      <c r="FG19" s="183"/>
      <c r="FH19" s="183"/>
      <c r="FI19" s="183"/>
      <c r="FJ19" s="183"/>
      <c r="FK19" s="183"/>
      <c r="FL19" s="183"/>
      <c r="FM19" s="183"/>
      <c r="FN19" s="183"/>
      <c r="FO19" s="183"/>
      <c r="FP19" s="183"/>
      <c r="FQ19" s="183"/>
      <c r="FR19" s="183"/>
      <c r="FS19" s="183"/>
      <c r="FT19" s="183"/>
      <c r="FU19" s="183"/>
      <c r="FV19" s="183"/>
      <c r="FW19" s="183"/>
      <c r="FX19" s="183"/>
      <c r="FY19" s="183"/>
      <c r="FZ19" s="183"/>
      <c r="GA19" s="183"/>
      <c r="GB19" s="183"/>
      <c r="GC19" s="183"/>
      <c r="GD19" s="183"/>
      <c r="GE19" s="183"/>
      <c r="GF19" s="183"/>
      <c r="GG19" s="183"/>
      <c r="GH19" s="183"/>
      <c r="GI19" s="183"/>
      <c r="GJ19" s="183"/>
      <c r="GK19" s="183"/>
      <c r="GL19" s="183"/>
      <c r="GM19" s="183"/>
      <c r="GN19" s="183"/>
      <c r="GO19" s="183"/>
      <c r="GP19" s="183"/>
      <c r="GQ19" s="183"/>
      <c r="GR19" s="183"/>
      <c r="GS19" s="183"/>
      <c r="GT19" s="183"/>
      <c r="GU19" s="183"/>
      <c r="GV19" s="183"/>
      <c r="GW19" s="183"/>
    </row>
    <row r="20">
      <c r="A20" s="184" t="s">
        <v>167</v>
      </c>
      <c r="B20" s="184"/>
      <c r="C20" s="184" t="str">
        <f t="shared" si="1"/>
        <v/>
      </c>
      <c r="D20" s="185" t="str">
        <f>if(isblank(B20),,if(Portfolio!E22=0,0,Portfolio!J22/Portfolio!E22)/Portfolio!U22)</f>
        <v/>
      </c>
      <c r="E20" s="186" t="str">
        <f t="shared" si="2"/>
        <v/>
      </c>
      <c r="F20" s="187" t="str">
        <f t="shared" si="3"/>
        <v/>
      </c>
      <c r="G20" s="187"/>
      <c r="H20" s="183"/>
      <c r="I20" s="183"/>
      <c r="J20" s="183"/>
      <c r="K20" s="183"/>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183"/>
      <c r="BE20" s="183"/>
      <c r="BF20" s="183"/>
      <c r="BG20" s="183"/>
      <c r="BH20" s="183"/>
      <c r="BI20" s="183"/>
      <c r="BJ20" s="183"/>
      <c r="BK20" s="183"/>
      <c r="BL20" s="183"/>
      <c r="BM20" s="183"/>
      <c r="BN20" s="183"/>
      <c r="BO20" s="183"/>
      <c r="BP20" s="183"/>
      <c r="BQ20" s="183"/>
      <c r="BR20" s="183"/>
      <c r="BS20" s="183"/>
      <c r="BT20" s="183"/>
      <c r="BU20" s="183"/>
      <c r="BV20" s="183"/>
      <c r="BW20" s="183"/>
      <c r="BX20" s="183"/>
      <c r="BY20" s="183"/>
      <c r="BZ20" s="183"/>
      <c r="CA20" s="183"/>
      <c r="CB20" s="183"/>
      <c r="CC20" s="183"/>
      <c r="CD20" s="183"/>
      <c r="CE20" s="183"/>
      <c r="CF20" s="183"/>
      <c r="CG20" s="183"/>
      <c r="CH20" s="183"/>
      <c r="CI20" s="183"/>
      <c r="CJ20" s="183"/>
      <c r="CK20" s="183"/>
      <c r="CL20" s="183"/>
      <c r="CM20" s="183"/>
      <c r="CN20" s="183"/>
      <c r="CO20" s="183"/>
      <c r="CP20" s="183"/>
      <c r="CQ20" s="183"/>
      <c r="CR20" s="183"/>
      <c r="CS20" s="183"/>
      <c r="CT20" s="183"/>
      <c r="CU20" s="183"/>
      <c r="CV20" s="183"/>
      <c r="CW20" s="183"/>
      <c r="CX20" s="183"/>
      <c r="CY20" s="183"/>
      <c r="CZ20" s="183"/>
      <c r="DA20" s="183"/>
      <c r="DB20" s="183"/>
      <c r="DC20" s="183"/>
      <c r="DD20" s="183"/>
      <c r="DE20" s="183"/>
      <c r="DF20" s="183"/>
      <c r="DG20" s="183"/>
      <c r="DH20" s="183"/>
      <c r="DI20" s="183"/>
      <c r="DJ20" s="183"/>
      <c r="DK20" s="183"/>
      <c r="DL20" s="183"/>
      <c r="DM20" s="183"/>
      <c r="DN20" s="183"/>
      <c r="DO20" s="183"/>
      <c r="DP20" s="183"/>
      <c r="DQ20" s="183"/>
      <c r="DR20" s="183"/>
      <c r="DS20" s="183"/>
      <c r="DT20" s="183"/>
      <c r="DU20" s="183"/>
      <c r="DV20" s="183"/>
      <c r="DW20" s="183"/>
      <c r="DX20" s="183"/>
      <c r="DY20" s="183"/>
      <c r="DZ20" s="183"/>
      <c r="EA20" s="183"/>
      <c r="EB20" s="183"/>
      <c r="EC20" s="183"/>
      <c r="ED20" s="183"/>
      <c r="EE20" s="183"/>
      <c r="EF20" s="183"/>
      <c r="EG20" s="183"/>
      <c r="EH20" s="183"/>
      <c r="EI20" s="183"/>
      <c r="EJ20" s="183"/>
      <c r="EK20" s="183"/>
      <c r="EL20" s="183"/>
      <c r="EM20" s="183"/>
      <c r="EN20" s="183"/>
      <c r="EO20" s="183"/>
      <c r="EP20" s="183"/>
      <c r="EQ20" s="183"/>
      <c r="ER20" s="183"/>
      <c r="ES20" s="183"/>
      <c r="ET20" s="183"/>
      <c r="EU20" s="183"/>
      <c r="EV20" s="183"/>
      <c r="EW20" s="183"/>
      <c r="EX20" s="183"/>
      <c r="EY20" s="183"/>
      <c r="EZ20" s="183"/>
      <c r="FA20" s="183"/>
      <c r="FB20" s="183"/>
      <c r="FC20" s="183"/>
      <c r="FD20" s="183"/>
      <c r="FE20" s="183"/>
      <c r="FF20" s="183"/>
      <c r="FG20" s="183"/>
      <c r="FH20" s="183"/>
      <c r="FI20" s="183"/>
      <c r="FJ20" s="183"/>
      <c r="FK20" s="183"/>
      <c r="FL20" s="183"/>
      <c r="FM20" s="183"/>
      <c r="FN20" s="183"/>
      <c r="FO20" s="183"/>
      <c r="FP20" s="183"/>
      <c r="FQ20" s="183"/>
      <c r="FR20" s="183"/>
      <c r="FS20" s="183"/>
      <c r="FT20" s="183"/>
      <c r="FU20" s="183"/>
      <c r="FV20" s="183"/>
      <c r="FW20" s="183"/>
      <c r="FX20" s="183"/>
      <c r="FY20" s="183"/>
      <c r="FZ20" s="183"/>
      <c r="GA20" s="183"/>
      <c r="GB20" s="183"/>
      <c r="GC20" s="183"/>
      <c r="GD20" s="183"/>
      <c r="GE20" s="183"/>
      <c r="GF20" s="183"/>
      <c r="GG20" s="183"/>
      <c r="GH20" s="183"/>
      <c r="GI20" s="183"/>
      <c r="GJ20" s="183"/>
      <c r="GK20" s="183"/>
      <c r="GL20" s="183"/>
      <c r="GM20" s="183"/>
      <c r="GN20" s="183"/>
      <c r="GO20" s="183"/>
      <c r="GP20" s="183"/>
      <c r="GQ20" s="183"/>
      <c r="GR20" s="183"/>
      <c r="GS20" s="183"/>
      <c r="GT20" s="183"/>
      <c r="GU20" s="183"/>
      <c r="GV20" s="183"/>
      <c r="GW20" s="183"/>
    </row>
    <row r="21">
      <c r="A21" s="184" t="s">
        <v>167</v>
      </c>
      <c r="B21" s="184"/>
      <c r="C21" s="184" t="str">
        <f t="shared" si="1"/>
        <v/>
      </c>
      <c r="D21" s="185" t="str">
        <f>if(isblank(B21),,if(Portfolio!E23=0,0,Portfolio!J23/Portfolio!E23)/Portfolio!U23)</f>
        <v/>
      </c>
      <c r="E21" s="186" t="str">
        <f t="shared" si="2"/>
        <v/>
      </c>
      <c r="F21" s="187" t="str">
        <f t="shared" si="3"/>
        <v/>
      </c>
      <c r="G21" s="187"/>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3"/>
      <c r="BZ21" s="183"/>
      <c r="CA21" s="183"/>
      <c r="CB21" s="183"/>
      <c r="CC21" s="183"/>
      <c r="CD21" s="183"/>
      <c r="CE21" s="183"/>
      <c r="CF21" s="183"/>
      <c r="CG21" s="183"/>
      <c r="CH21" s="183"/>
      <c r="CI21" s="183"/>
      <c r="CJ21" s="183"/>
      <c r="CK21" s="183"/>
      <c r="CL21" s="183"/>
      <c r="CM21" s="183"/>
      <c r="CN21" s="183"/>
      <c r="CO21" s="183"/>
      <c r="CP21" s="183"/>
      <c r="CQ21" s="183"/>
      <c r="CR21" s="183"/>
      <c r="CS21" s="183"/>
      <c r="CT21" s="183"/>
      <c r="CU21" s="183"/>
      <c r="CV21" s="183"/>
      <c r="CW21" s="183"/>
      <c r="CX21" s="183"/>
      <c r="CY21" s="183"/>
      <c r="CZ21" s="183"/>
      <c r="DA21" s="183"/>
      <c r="DB21" s="183"/>
      <c r="DC21" s="183"/>
      <c r="DD21" s="183"/>
      <c r="DE21" s="183"/>
      <c r="DF21" s="183"/>
      <c r="DG21" s="183"/>
      <c r="DH21" s="183"/>
      <c r="DI21" s="183"/>
      <c r="DJ21" s="183"/>
      <c r="DK21" s="183"/>
      <c r="DL21" s="183"/>
      <c r="DM21" s="183"/>
      <c r="DN21" s="183"/>
      <c r="DO21" s="183"/>
      <c r="DP21" s="183"/>
      <c r="DQ21" s="183"/>
      <c r="DR21" s="183"/>
      <c r="DS21" s="183"/>
      <c r="DT21" s="183"/>
      <c r="DU21" s="183"/>
      <c r="DV21" s="183"/>
      <c r="DW21" s="183"/>
      <c r="DX21" s="183"/>
      <c r="DY21" s="183"/>
      <c r="DZ21" s="183"/>
      <c r="EA21" s="183"/>
      <c r="EB21" s="183"/>
      <c r="EC21" s="183"/>
      <c r="ED21" s="183"/>
      <c r="EE21" s="183"/>
      <c r="EF21" s="183"/>
      <c r="EG21" s="183"/>
      <c r="EH21" s="183"/>
      <c r="EI21" s="183"/>
      <c r="EJ21" s="183"/>
      <c r="EK21" s="183"/>
      <c r="EL21" s="183"/>
      <c r="EM21" s="183"/>
      <c r="EN21" s="183"/>
      <c r="EO21" s="183"/>
      <c r="EP21" s="183"/>
      <c r="EQ21" s="183"/>
      <c r="ER21" s="183"/>
      <c r="ES21" s="183"/>
      <c r="ET21" s="183"/>
      <c r="EU21" s="183"/>
      <c r="EV21" s="183"/>
      <c r="EW21" s="183"/>
      <c r="EX21" s="183"/>
      <c r="EY21" s="183"/>
      <c r="EZ21" s="183"/>
      <c r="FA21" s="183"/>
      <c r="FB21" s="183"/>
      <c r="FC21" s="183"/>
      <c r="FD21" s="183"/>
      <c r="FE21" s="183"/>
      <c r="FF21" s="183"/>
      <c r="FG21" s="183"/>
      <c r="FH21" s="183"/>
      <c r="FI21" s="183"/>
      <c r="FJ21" s="183"/>
      <c r="FK21" s="183"/>
      <c r="FL21" s="183"/>
      <c r="FM21" s="183"/>
      <c r="FN21" s="183"/>
      <c r="FO21" s="183"/>
      <c r="FP21" s="183"/>
      <c r="FQ21" s="183"/>
      <c r="FR21" s="183"/>
      <c r="FS21" s="183"/>
      <c r="FT21" s="183"/>
      <c r="FU21" s="183"/>
      <c r="FV21" s="183"/>
      <c r="FW21" s="183"/>
      <c r="FX21" s="183"/>
      <c r="FY21" s="183"/>
      <c r="FZ21" s="183"/>
      <c r="GA21" s="183"/>
      <c r="GB21" s="183"/>
      <c r="GC21" s="183"/>
      <c r="GD21" s="183"/>
      <c r="GE21" s="183"/>
      <c r="GF21" s="183"/>
      <c r="GG21" s="183"/>
      <c r="GH21" s="183"/>
      <c r="GI21" s="183"/>
      <c r="GJ21" s="183"/>
      <c r="GK21" s="183"/>
      <c r="GL21" s="183"/>
      <c r="GM21" s="183"/>
      <c r="GN21" s="183"/>
      <c r="GO21" s="183"/>
      <c r="GP21" s="183"/>
      <c r="GQ21" s="183"/>
      <c r="GR21" s="183"/>
      <c r="GS21" s="183"/>
      <c r="GT21" s="183"/>
      <c r="GU21" s="183"/>
      <c r="GV21" s="183"/>
      <c r="GW21" s="183"/>
    </row>
    <row r="22">
      <c r="A22" s="184" t="s">
        <v>167</v>
      </c>
      <c r="B22" s="184"/>
      <c r="C22" s="184" t="str">
        <f t="shared" si="1"/>
        <v/>
      </c>
      <c r="D22" s="185" t="str">
        <f>if(isblank(B22),,if(Portfolio!E24=0,0,Portfolio!J24/Portfolio!E24)/Portfolio!U24)</f>
        <v/>
      </c>
      <c r="E22" s="186" t="str">
        <f t="shared" si="2"/>
        <v/>
      </c>
      <c r="F22" s="187" t="str">
        <f t="shared" si="3"/>
        <v/>
      </c>
      <c r="G22" s="187"/>
      <c r="H22" s="183"/>
      <c r="I22" s="183"/>
      <c r="J22" s="183"/>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3"/>
      <c r="BZ22" s="183"/>
      <c r="CA22" s="183"/>
      <c r="CB22" s="183"/>
      <c r="CC22" s="183"/>
      <c r="CD22" s="183"/>
      <c r="CE22" s="183"/>
      <c r="CF22" s="183"/>
      <c r="CG22" s="183"/>
      <c r="CH22" s="183"/>
      <c r="CI22" s="183"/>
      <c r="CJ22" s="183"/>
      <c r="CK22" s="183"/>
      <c r="CL22" s="183"/>
      <c r="CM22" s="183"/>
      <c r="CN22" s="183"/>
      <c r="CO22" s="183"/>
      <c r="CP22" s="183"/>
      <c r="CQ22" s="183"/>
      <c r="CR22" s="183"/>
      <c r="CS22" s="183"/>
      <c r="CT22" s="183"/>
      <c r="CU22" s="183"/>
      <c r="CV22" s="183"/>
      <c r="CW22" s="183"/>
      <c r="CX22" s="183"/>
      <c r="CY22" s="183"/>
      <c r="CZ22" s="183"/>
      <c r="DA22" s="183"/>
      <c r="DB22" s="183"/>
      <c r="DC22" s="183"/>
      <c r="DD22" s="183"/>
      <c r="DE22" s="183"/>
      <c r="DF22" s="183"/>
      <c r="DG22" s="183"/>
      <c r="DH22" s="183"/>
      <c r="DI22" s="183"/>
      <c r="DJ22" s="183"/>
      <c r="DK22" s="183"/>
      <c r="DL22" s="183"/>
      <c r="DM22" s="183"/>
      <c r="DN22" s="183"/>
      <c r="DO22" s="183"/>
      <c r="DP22" s="183"/>
      <c r="DQ22" s="183"/>
      <c r="DR22" s="183"/>
      <c r="DS22" s="183"/>
      <c r="DT22" s="183"/>
      <c r="DU22" s="183"/>
      <c r="DV22" s="183"/>
      <c r="DW22" s="183"/>
      <c r="DX22" s="183"/>
      <c r="DY22" s="183"/>
      <c r="DZ22" s="183"/>
      <c r="EA22" s="183"/>
      <c r="EB22" s="183"/>
      <c r="EC22" s="183"/>
      <c r="ED22" s="183"/>
      <c r="EE22" s="183"/>
      <c r="EF22" s="183"/>
      <c r="EG22" s="183"/>
      <c r="EH22" s="183"/>
      <c r="EI22" s="183"/>
      <c r="EJ22" s="183"/>
      <c r="EK22" s="183"/>
      <c r="EL22" s="183"/>
      <c r="EM22" s="183"/>
      <c r="EN22" s="183"/>
      <c r="EO22" s="183"/>
      <c r="EP22" s="183"/>
      <c r="EQ22" s="183"/>
      <c r="ER22" s="183"/>
      <c r="ES22" s="183"/>
      <c r="ET22" s="183"/>
      <c r="EU22" s="183"/>
      <c r="EV22" s="183"/>
      <c r="EW22" s="183"/>
      <c r="EX22" s="183"/>
      <c r="EY22" s="183"/>
      <c r="EZ22" s="183"/>
      <c r="FA22" s="183"/>
      <c r="FB22" s="183"/>
      <c r="FC22" s="183"/>
      <c r="FD22" s="183"/>
      <c r="FE22" s="183"/>
      <c r="FF22" s="183"/>
      <c r="FG22" s="183"/>
      <c r="FH22" s="183"/>
      <c r="FI22" s="183"/>
      <c r="FJ22" s="183"/>
      <c r="FK22" s="183"/>
      <c r="FL22" s="183"/>
      <c r="FM22" s="183"/>
      <c r="FN22" s="183"/>
      <c r="FO22" s="183"/>
      <c r="FP22" s="183"/>
      <c r="FQ22" s="183"/>
      <c r="FR22" s="183"/>
      <c r="FS22" s="183"/>
      <c r="FT22" s="183"/>
      <c r="FU22" s="183"/>
      <c r="FV22" s="183"/>
      <c r="FW22" s="183"/>
      <c r="FX22" s="183"/>
      <c r="FY22" s="183"/>
      <c r="FZ22" s="183"/>
      <c r="GA22" s="183"/>
      <c r="GB22" s="183"/>
      <c r="GC22" s="183"/>
      <c r="GD22" s="183"/>
      <c r="GE22" s="183"/>
      <c r="GF22" s="183"/>
      <c r="GG22" s="183"/>
      <c r="GH22" s="183"/>
      <c r="GI22" s="183"/>
      <c r="GJ22" s="183"/>
      <c r="GK22" s="183"/>
      <c r="GL22" s="183"/>
      <c r="GM22" s="183"/>
      <c r="GN22" s="183"/>
      <c r="GO22" s="183"/>
      <c r="GP22" s="183"/>
      <c r="GQ22" s="183"/>
      <c r="GR22" s="183"/>
      <c r="GS22" s="183"/>
      <c r="GT22" s="183"/>
      <c r="GU22" s="183"/>
      <c r="GV22" s="183"/>
      <c r="GW22" s="183"/>
    </row>
    <row r="23">
      <c r="A23" s="184" t="s">
        <v>167</v>
      </c>
      <c r="B23" s="184"/>
      <c r="C23" s="184" t="str">
        <f t="shared" si="1"/>
        <v/>
      </c>
      <c r="D23" s="185" t="str">
        <f>if(isblank(B23),,if(Portfolio!E25=0,0,Portfolio!J25/Portfolio!E25)/Portfolio!U25)</f>
        <v/>
      </c>
      <c r="E23" s="186" t="str">
        <f t="shared" si="2"/>
        <v/>
      </c>
      <c r="F23" s="187" t="str">
        <f t="shared" si="3"/>
        <v/>
      </c>
      <c r="G23" s="187"/>
      <c r="H23" s="183"/>
      <c r="I23" s="183"/>
      <c r="J23" s="183"/>
      <c r="K23" s="183"/>
      <c r="L23" s="183"/>
      <c r="M23" s="183"/>
      <c r="N23" s="183"/>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3"/>
      <c r="BZ23" s="183"/>
      <c r="CA23" s="183"/>
      <c r="CB23" s="183"/>
      <c r="CC23" s="183"/>
      <c r="CD23" s="183"/>
      <c r="CE23" s="183"/>
      <c r="CF23" s="183"/>
      <c r="CG23" s="183"/>
      <c r="CH23" s="183"/>
      <c r="CI23" s="183"/>
      <c r="CJ23" s="183"/>
      <c r="CK23" s="183"/>
      <c r="CL23" s="183"/>
      <c r="CM23" s="183"/>
      <c r="CN23" s="183"/>
      <c r="CO23" s="183"/>
      <c r="CP23" s="183"/>
      <c r="CQ23" s="183"/>
      <c r="CR23" s="183"/>
      <c r="CS23" s="183"/>
      <c r="CT23" s="183"/>
      <c r="CU23" s="183"/>
      <c r="CV23" s="183"/>
      <c r="CW23" s="183"/>
      <c r="CX23" s="183"/>
      <c r="CY23" s="183"/>
      <c r="CZ23" s="183"/>
      <c r="DA23" s="183"/>
      <c r="DB23" s="183"/>
      <c r="DC23" s="183"/>
      <c r="DD23" s="183"/>
      <c r="DE23" s="183"/>
      <c r="DF23" s="183"/>
      <c r="DG23" s="183"/>
      <c r="DH23" s="183"/>
      <c r="DI23" s="183"/>
      <c r="DJ23" s="183"/>
      <c r="DK23" s="183"/>
      <c r="DL23" s="183"/>
      <c r="DM23" s="183"/>
      <c r="DN23" s="183"/>
      <c r="DO23" s="183"/>
      <c r="DP23" s="183"/>
      <c r="DQ23" s="183"/>
      <c r="DR23" s="183"/>
      <c r="DS23" s="183"/>
      <c r="DT23" s="183"/>
      <c r="DU23" s="183"/>
      <c r="DV23" s="183"/>
      <c r="DW23" s="183"/>
      <c r="DX23" s="183"/>
      <c r="DY23" s="183"/>
      <c r="DZ23" s="183"/>
      <c r="EA23" s="183"/>
      <c r="EB23" s="183"/>
      <c r="EC23" s="183"/>
      <c r="ED23" s="183"/>
      <c r="EE23" s="183"/>
      <c r="EF23" s="183"/>
      <c r="EG23" s="183"/>
      <c r="EH23" s="183"/>
      <c r="EI23" s="183"/>
      <c r="EJ23" s="183"/>
      <c r="EK23" s="183"/>
      <c r="EL23" s="183"/>
      <c r="EM23" s="183"/>
      <c r="EN23" s="183"/>
      <c r="EO23" s="183"/>
      <c r="EP23" s="183"/>
      <c r="EQ23" s="183"/>
      <c r="ER23" s="183"/>
      <c r="ES23" s="183"/>
      <c r="ET23" s="183"/>
      <c r="EU23" s="183"/>
      <c r="EV23" s="183"/>
      <c r="EW23" s="183"/>
      <c r="EX23" s="183"/>
      <c r="EY23" s="183"/>
      <c r="EZ23" s="183"/>
      <c r="FA23" s="183"/>
      <c r="FB23" s="183"/>
      <c r="FC23" s="183"/>
      <c r="FD23" s="183"/>
      <c r="FE23" s="183"/>
      <c r="FF23" s="183"/>
      <c r="FG23" s="183"/>
      <c r="FH23" s="183"/>
      <c r="FI23" s="183"/>
      <c r="FJ23" s="183"/>
      <c r="FK23" s="183"/>
      <c r="FL23" s="183"/>
      <c r="FM23" s="183"/>
      <c r="FN23" s="183"/>
      <c r="FO23" s="183"/>
      <c r="FP23" s="183"/>
      <c r="FQ23" s="183"/>
      <c r="FR23" s="183"/>
      <c r="FS23" s="183"/>
      <c r="FT23" s="183"/>
      <c r="FU23" s="183"/>
      <c r="FV23" s="183"/>
      <c r="FW23" s="183"/>
      <c r="FX23" s="183"/>
      <c r="FY23" s="183"/>
      <c r="FZ23" s="183"/>
      <c r="GA23" s="183"/>
      <c r="GB23" s="183"/>
      <c r="GC23" s="183"/>
      <c r="GD23" s="183"/>
      <c r="GE23" s="183"/>
      <c r="GF23" s="183"/>
      <c r="GG23" s="183"/>
      <c r="GH23" s="183"/>
      <c r="GI23" s="183"/>
      <c r="GJ23" s="183"/>
      <c r="GK23" s="183"/>
      <c r="GL23" s="183"/>
      <c r="GM23" s="183"/>
      <c r="GN23" s="183"/>
      <c r="GO23" s="183"/>
      <c r="GP23" s="183"/>
      <c r="GQ23" s="183"/>
      <c r="GR23" s="183"/>
      <c r="GS23" s="183"/>
      <c r="GT23" s="183"/>
      <c r="GU23" s="183"/>
      <c r="GV23" s="183"/>
      <c r="GW23" s="183"/>
    </row>
    <row r="24">
      <c r="A24" s="184" t="s">
        <v>167</v>
      </c>
      <c r="B24" s="184"/>
      <c r="C24" s="184" t="str">
        <f t="shared" si="1"/>
        <v/>
      </c>
      <c r="D24" s="185" t="str">
        <f>if(isblank(B24),,if(Portfolio!E26=0,0,Portfolio!J26/Portfolio!E26)/Portfolio!U26)</f>
        <v/>
      </c>
      <c r="E24" s="186" t="str">
        <f t="shared" si="2"/>
        <v/>
      </c>
      <c r="F24" s="187" t="str">
        <f t="shared" si="3"/>
        <v/>
      </c>
      <c r="G24" s="187"/>
      <c r="H24" s="183"/>
      <c r="I24" s="183"/>
      <c r="J24" s="183"/>
      <c r="K24" s="183"/>
      <c r="L24" s="183"/>
      <c r="M24" s="18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3"/>
      <c r="BZ24" s="183"/>
      <c r="CA24" s="183"/>
      <c r="CB24" s="183"/>
      <c r="CC24" s="183"/>
      <c r="CD24" s="183"/>
      <c r="CE24" s="183"/>
      <c r="CF24" s="183"/>
      <c r="CG24" s="183"/>
      <c r="CH24" s="183"/>
      <c r="CI24" s="183"/>
      <c r="CJ24" s="183"/>
      <c r="CK24" s="183"/>
      <c r="CL24" s="183"/>
      <c r="CM24" s="183"/>
      <c r="CN24" s="183"/>
      <c r="CO24" s="183"/>
      <c r="CP24" s="183"/>
      <c r="CQ24" s="183"/>
      <c r="CR24" s="183"/>
      <c r="CS24" s="183"/>
      <c r="CT24" s="183"/>
      <c r="CU24" s="183"/>
      <c r="CV24" s="183"/>
      <c r="CW24" s="183"/>
      <c r="CX24" s="183"/>
      <c r="CY24" s="183"/>
      <c r="CZ24" s="183"/>
      <c r="DA24" s="183"/>
      <c r="DB24" s="183"/>
      <c r="DC24" s="183"/>
      <c r="DD24" s="183"/>
      <c r="DE24" s="183"/>
      <c r="DF24" s="183"/>
      <c r="DG24" s="183"/>
      <c r="DH24" s="183"/>
      <c r="DI24" s="183"/>
      <c r="DJ24" s="183"/>
      <c r="DK24" s="183"/>
      <c r="DL24" s="183"/>
      <c r="DM24" s="183"/>
      <c r="DN24" s="183"/>
      <c r="DO24" s="183"/>
      <c r="DP24" s="183"/>
      <c r="DQ24" s="183"/>
      <c r="DR24" s="183"/>
      <c r="DS24" s="183"/>
      <c r="DT24" s="183"/>
      <c r="DU24" s="183"/>
      <c r="DV24" s="183"/>
      <c r="DW24" s="183"/>
      <c r="DX24" s="183"/>
      <c r="DY24" s="183"/>
      <c r="DZ24" s="183"/>
      <c r="EA24" s="183"/>
      <c r="EB24" s="183"/>
      <c r="EC24" s="183"/>
      <c r="ED24" s="183"/>
      <c r="EE24" s="183"/>
      <c r="EF24" s="183"/>
      <c r="EG24" s="183"/>
      <c r="EH24" s="183"/>
      <c r="EI24" s="183"/>
      <c r="EJ24" s="183"/>
      <c r="EK24" s="183"/>
      <c r="EL24" s="183"/>
      <c r="EM24" s="183"/>
      <c r="EN24" s="183"/>
      <c r="EO24" s="183"/>
      <c r="EP24" s="183"/>
      <c r="EQ24" s="183"/>
      <c r="ER24" s="183"/>
      <c r="ES24" s="183"/>
      <c r="ET24" s="183"/>
      <c r="EU24" s="183"/>
      <c r="EV24" s="183"/>
      <c r="EW24" s="183"/>
      <c r="EX24" s="183"/>
      <c r="EY24" s="183"/>
      <c r="EZ24" s="183"/>
      <c r="FA24" s="183"/>
      <c r="FB24" s="183"/>
      <c r="FC24" s="183"/>
      <c r="FD24" s="183"/>
      <c r="FE24" s="183"/>
      <c r="FF24" s="183"/>
      <c r="FG24" s="183"/>
      <c r="FH24" s="183"/>
      <c r="FI24" s="183"/>
      <c r="FJ24" s="183"/>
      <c r="FK24" s="183"/>
      <c r="FL24" s="183"/>
      <c r="FM24" s="183"/>
      <c r="FN24" s="183"/>
      <c r="FO24" s="183"/>
      <c r="FP24" s="183"/>
      <c r="FQ24" s="183"/>
      <c r="FR24" s="183"/>
      <c r="FS24" s="183"/>
      <c r="FT24" s="183"/>
      <c r="FU24" s="183"/>
      <c r="FV24" s="183"/>
      <c r="FW24" s="183"/>
      <c r="FX24" s="183"/>
      <c r="FY24" s="183"/>
      <c r="FZ24" s="183"/>
      <c r="GA24" s="183"/>
      <c r="GB24" s="183"/>
      <c r="GC24" s="183"/>
      <c r="GD24" s="183"/>
      <c r="GE24" s="183"/>
      <c r="GF24" s="183"/>
      <c r="GG24" s="183"/>
      <c r="GH24" s="183"/>
      <c r="GI24" s="183"/>
      <c r="GJ24" s="183"/>
      <c r="GK24" s="183"/>
      <c r="GL24" s="183"/>
      <c r="GM24" s="183"/>
      <c r="GN24" s="183"/>
      <c r="GO24" s="183"/>
      <c r="GP24" s="183"/>
      <c r="GQ24" s="183"/>
      <c r="GR24" s="183"/>
      <c r="GS24" s="183"/>
      <c r="GT24" s="183"/>
      <c r="GU24" s="183"/>
      <c r="GV24" s="183"/>
      <c r="GW24" s="183"/>
    </row>
    <row r="25">
      <c r="A25" s="184" t="s">
        <v>167</v>
      </c>
      <c r="B25" s="184"/>
      <c r="C25" s="184" t="str">
        <f t="shared" si="1"/>
        <v/>
      </c>
      <c r="D25" s="185" t="str">
        <f>if(isblank(B25),,if(Portfolio!E27=0,0,Portfolio!J27/Portfolio!E27)/Portfolio!U27)</f>
        <v/>
      </c>
      <c r="E25" s="186" t="str">
        <f t="shared" si="2"/>
        <v/>
      </c>
      <c r="F25" s="187" t="str">
        <f t="shared" si="3"/>
        <v/>
      </c>
      <c r="G25" s="187"/>
      <c r="H25" s="183"/>
      <c r="I25" s="183"/>
      <c r="J25" s="183"/>
      <c r="K25" s="183"/>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183"/>
      <c r="AN25" s="183"/>
      <c r="AO25" s="183"/>
      <c r="AP25" s="183"/>
      <c r="AQ25" s="183"/>
      <c r="AR25" s="183"/>
      <c r="AS25" s="183"/>
      <c r="AT25" s="183"/>
      <c r="AU25" s="183"/>
      <c r="AV25" s="183"/>
      <c r="AW25" s="183"/>
      <c r="AX25" s="183"/>
      <c r="AY25" s="183"/>
      <c r="AZ25" s="183"/>
      <c r="BA25" s="183"/>
      <c r="BB25" s="183"/>
      <c r="BC25" s="183"/>
      <c r="BD25" s="183"/>
      <c r="BE25" s="183"/>
      <c r="BF25" s="183"/>
      <c r="BG25" s="183"/>
      <c r="BH25" s="183"/>
      <c r="BI25" s="183"/>
      <c r="BJ25" s="183"/>
      <c r="BK25" s="183"/>
      <c r="BL25" s="183"/>
      <c r="BM25" s="183"/>
      <c r="BN25" s="183"/>
      <c r="BO25" s="183"/>
      <c r="BP25" s="183"/>
      <c r="BQ25" s="183"/>
      <c r="BR25" s="183"/>
      <c r="BS25" s="183"/>
      <c r="BT25" s="183"/>
      <c r="BU25" s="183"/>
      <c r="BV25" s="183"/>
      <c r="BW25" s="183"/>
      <c r="BX25" s="183"/>
      <c r="BY25" s="183"/>
      <c r="BZ25" s="183"/>
      <c r="CA25" s="183"/>
      <c r="CB25" s="183"/>
      <c r="CC25" s="183"/>
      <c r="CD25" s="183"/>
      <c r="CE25" s="183"/>
      <c r="CF25" s="183"/>
      <c r="CG25" s="183"/>
      <c r="CH25" s="183"/>
      <c r="CI25" s="183"/>
      <c r="CJ25" s="183"/>
      <c r="CK25" s="183"/>
      <c r="CL25" s="183"/>
      <c r="CM25" s="183"/>
      <c r="CN25" s="183"/>
      <c r="CO25" s="183"/>
      <c r="CP25" s="183"/>
      <c r="CQ25" s="183"/>
      <c r="CR25" s="183"/>
      <c r="CS25" s="183"/>
      <c r="CT25" s="183"/>
      <c r="CU25" s="183"/>
      <c r="CV25" s="183"/>
      <c r="CW25" s="183"/>
      <c r="CX25" s="183"/>
      <c r="CY25" s="183"/>
      <c r="CZ25" s="183"/>
      <c r="DA25" s="183"/>
      <c r="DB25" s="183"/>
      <c r="DC25" s="183"/>
      <c r="DD25" s="183"/>
      <c r="DE25" s="183"/>
      <c r="DF25" s="183"/>
      <c r="DG25" s="183"/>
      <c r="DH25" s="183"/>
      <c r="DI25" s="183"/>
      <c r="DJ25" s="183"/>
      <c r="DK25" s="183"/>
      <c r="DL25" s="183"/>
      <c r="DM25" s="183"/>
      <c r="DN25" s="183"/>
      <c r="DO25" s="183"/>
      <c r="DP25" s="183"/>
      <c r="DQ25" s="183"/>
      <c r="DR25" s="183"/>
      <c r="DS25" s="183"/>
      <c r="DT25" s="183"/>
      <c r="DU25" s="183"/>
      <c r="DV25" s="183"/>
      <c r="DW25" s="183"/>
      <c r="DX25" s="183"/>
      <c r="DY25" s="183"/>
      <c r="DZ25" s="183"/>
      <c r="EA25" s="183"/>
      <c r="EB25" s="183"/>
      <c r="EC25" s="183"/>
      <c r="ED25" s="183"/>
      <c r="EE25" s="183"/>
      <c r="EF25" s="183"/>
      <c r="EG25" s="183"/>
      <c r="EH25" s="183"/>
      <c r="EI25" s="183"/>
      <c r="EJ25" s="183"/>
      <c r="EK25" s="183"/>
      <c r="EL25" s="183"/>
      <c r="EM25" s="183"/>
      <c r="EN25" s="183"/>
      <c r="EO25" s="183"/>
      <c r="EP25" s="183"/>
      <c r="EQ25" s="183"/>
      <c r="ER25" s="183"/>
      <c r="ES25" s="183"/>
      <c r="ET25" s="183"/>
      <c r="EU25" s="183"/>
      <c r="EV25" s="183"/>
      <c r="EW25" s="183"/>
      <c r="EX25" s="183"/>
      <c r="EY25" s="183"/>
      <c r="EZ25" s="183"/>
      <c r="FA25" s="183"/>
      <c r="FB25" s="183"/>
      <c r="FC25" s="183"/>
      <c r="FD25" s="183"/>
      <c r="FE25" s="183"/>
      <c r="FF25" s="183"/>
      <c r="FG25" s="183"/>
      <c r="FH25" s="183"/>
      <c r="FI25" s="183"/>
      <c r="FJ25" s="183"/>
      <c r="FK25" s="183"/>
      <c r="FL25" s="183"/>
      <c r="FM25" s="183"/>
      <c r="FN25" s="183"/>
      <c r="FO25" s="183"/>
      <c r="FP25" s="183"/>
      <c r="FQ25" s="183"/>
      <c r="FR25" s="183"/>
      <c r="FS25" s="183"/>
      <c r="FT25" s="183"/>
      <c r="FU25" s="183"/>
      <c r="FV25" s="183"/>
      <c r="FW25" s="183"/>
      <c r="FX25" s="183"/>
      <c r="FY25" s="183"/>
      <c r="FZ25" s="183"/>
      <c r="GA25" s="183"/>
      <c r="GB25" s="183"/>
      <c r="GC25" s="183"/>
      <c r="GD25" s="183"/>
      <c r="GE25" s="183"/>
      <c r="GF25" s="183"/>
      <c r="GG25" s="183"/>
      <c r="GH25" s="183"/>
      <c r="GI25" s="183"/>
      <c r="GJ25" s="183"/>
      <c r="GK25" s="183"/>
      <c r="GL25" s="183"/>
      <c r="GM25" s="183"/>
      <c r="GN25" s="183"/>
      <c r="GO25" s="183"/>
      <c r="GP25" s="183"/>
      <c r="GQ25" s="183"/>
      <c r="GR25" s="183"/>
      <c r="GS25" s="183"/>
      <c r="GT25" s="183"/>
      <c r="GU25" s="183"/>
      <c r="GV25" s="183"/>
      <c r="GW25" s="183"/>
    </row>
    <row r="26">
      <c r="A26" s="184" t="s">
        <v>167</v>
      </c>
      <c r="B26" s="184"/>
      <c r="C26" s="184" t="str">
        <f t="shared" si="1"/>
        <v/>
      </c>
      <c r="D26" s="185" t="str">
        <f>if(isblank(B26),,if(Portfolio!E28=0,0,Portfolio!J28/Portfolio!E28)/Portfolio!U28)</f>
        <v/>
      </c>
      <c r="E26" s="186" t="str">
        <f t="shared" si="2"/>
        <v/>
      </c>
      <c r="F26" s="187" t="str">
        <f t="shared" si="3"/>
        <v/>
      </c>
      <c r="G26" s="187"/>
      <c r="H26" s="183"/>
      <c r="I26" s="183"/>
      <c r="J26" s="183"/>
      <c r="K26" s="183"/>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183"/>
      <c r="BP26" s="183"/>
      <c r="BQ26" s="183"/>
      <c r="BR26" s="183"/>
      <c r="BS26" s="183"/>
      <c r="BT26" s="183"/>
      <c r="BU26" s="183"/>
      <c r="BV26" s="183"/>
      <c r="BW26" s="183"/>
      <c r="BX26" s="183"/>
      <c r="BY26" s="183"/>
      <c r="BZ26" s="183"/>
      <c r="CA26" s="183"/>
      <c r="CB26" s="183"/>
      <c r="CC26" s="183"/>
      <c r="CD26" s="183"/>
      <c r="CE26" s="183"/>
      <c r="CF26" s="183"/>
      <c r="CG26" s="183"/>
      <c r="CH26" s="183"/>
      <c r="CI26" s="183"/>
      <c r="CJ26" s="183"/>
      <c r="CK26" s="183"/>
      <c r="CL26" s="183"/>
      <c r="CM26" s="183"/>
      <c r="CN26" s="183"/>
      <c r="CO26" s="183"/>
      <c r="CP26" s="183"/>
      <c r="CQ26" s="183"/>
      <c r="CR26" s="183"/>
      <c r="CS26" s="183"/>
      <c r="CT26" s="183"/>
      <c r="CU26" s="183"/>
      <c r="CV26" s="183"/>
      <c r="CW26" s="183"/>
      <c r="CX26" s="183"/>
      <c r="CY26" s="183"/>
      <c r="CZ26" s="183"/>
      <c r="DA26" s="183"/>
      <c r="DB26" s="183"/>
      <c r="DC26" s="183"/>
      <c r="DD26" s="183"/>
      <c r="DE26" s="183"/>
      <c r="DF26" s="183"/>
      <c r="DG26" s="183"/>
      <c r="DH26" s="183"/>
      <c r="DI26" s="183"/>
      <c r="DJ26" s="183"/>
      <c r="DK26" s="183"/>
      <c r="DL26" s="183"/>
      <c r="DM26" s="183"/>
      <c r="DN26" s="183"/>
      <c r="DO26" s="183"/>
      <c r="DP26" s="183"/>
      <c r="DQ26" s="183"/>
      <c r="DR26" s="183"/>
      <c r="DS26" s="183"/>
      <c r="DT26" s="183"/>
      <c r="DU26" s="183"/>
      <c r="DV26" s="183"/>
      <c r="DW26" s="183"/>
      <c r="DX26" s="183"/>
      <c r="DY26" s="183"/>
      <c r="DZ26" s="183"/>
      <c r="EA26" s="183"/>
      <c r="EB26" s="183"/>
      <c r="EC26" s="183"/>
      <c r="ED26" s="183"/>
      <c r="EE26" s="183"/>
      <c r="EF26" s="183"/>
      <c r="EG26" s="183"/>
      <c r="EH26" s="183"/>
      <c r="EI26" s="183"/>
      <c r="EJ26" s="183"/>
      <c r="EK26" s="183"/>
      <c r="EL26" s="183"/>
      <c r="EM26" s="183"/>
      <c r="EN26" s="183"/>
      <c r="EO26" s="183"/>
      <c r="EP26" s="183"/>
      <c r="EQ26" s="183"/>
      <c r="ER26" s="183"/>
      <c r="ES26" s="183"/>
      <c r="ET26" s="183"/>
      <c r="EU26" s="183"/>
      <c r="EV26" s="183"/>
      <c r="EW26" s="183"/>
      <c r="EX26" s="183"/>
      <c r="EY26" s="183"/>
      <c r="EZ26" s="183"/>
      <c r="FA26" s="183"/>
      <c r="FB26" s="183"/>
      <c r="FC26" s="183"/>
      <c r="FD26" s="183"/>
      <c r="FE26" s="183"/>
      <c r="FF26" s="183"/>
      <c r="FG26" s="183"/>
      <c r="FH26" s="183"/>
      <c r="FI26" s="183"/>
      <c r="FJ26" s="183"/>
      <c r="FK26" s="183"/>
      <c r="FL26" s="183"/>
      <c r="FM26" s="183"/>
      <c r="FN26" s="183"/>
      <c r="FO26" s="183"/>
      <c r="FP26" s="183"/>
      <c r="FQ26" s="183"/>
      <c r="FR26" s="183"/>
      <c r="FS26" s="183"/>
      <c r="FT26" s="183"/>
      <c r="FU26" s="183"/>
      <c r="FV26" s="183"/>
      <c r="FW26" s="183"/>
      <c r="FX26" s="183"/>
      <c r="FY26" s="183"/>
      <c r="FZ26" s="183"/>
      <c r="GA26" s="183"/>
      <c r="GB26" s="183"/>
      <c r="GC26" s="183"/>
      <c r="GD26" s="183"/>
      <c r="GE26" s="183"/>
      <c r="GF26" s="183"/>
      <c r="GG26" s="183"/>
      <c r="GH26" s="183"/>
      <c r="GI26" s="183"/>
      <c r="GJ26" s="183"/>
      <c r="GK26" s="183"/>
      <c r="GL26" s="183"/>
      <c r="GM26" s="183"/>
      <c r="GN26" s="183"/>
      <c r="GO26" s="183"/>
      <c r="GP26" s="183"/>
      <c r="GQ26" s="183"/>
      <c r="GR26" s="183"/>
      <c r="GS26" s="183"/>
      <c r="GT26" s="183"/>
      <c r="GU26" s="183"/>
      <c r="GV26" s="183"/>
      <c r="GW26" s="183"/>
    </row>
    <row r="27">
      <c r="A27" s="184" t="s">
        <v>167</v>
      </c>
      <c r="B27" s="184"/>
      <c r="C27" s="184" t="str">
        <f t="shared" si="1"/>
        <v/>
      </c>
      <c r="D27" s="185" t="str">
        <f>if(isblank(B27),,if(Portfolio!E29=0,0,Portfolio!J29/Portfolio!E29)/Portfolio!U29)</f>
        <v/>
      </c>
      <c r="E27" s="186" t="str">
        <f t="shared" si="2"/>
        <v/>
      </c>
      <c r="F27" s="187" t="str">
        <f t="shared" si="3"/>
        <v/>
      </c>
      <c r="G27" s="187"/>
      <c r="H27" s="183"/>
      <c r="I27" s="183"/>
      <c r="J27" s="183"/>
      <c r="K27" s="183"/>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183"/>
      <c r="BE27" s="183"/>
      <c r="BF27" s="183"/>
      <c r="BG27" s="183"/>
      <c r="BH27" s="183"/>
      <c r="BI27" s="183"/>
      <c r="BJ27" s="183"/>
      <c r="BK27" s="183"/>
      <c r="BL27" s="183"/>
      <c r="BM27" s="183"/>
      <c r="BN27" s="183"/>
      <c r="BO27" s="183"/>
      <c r="BP27" s="183"/>
      <c r="BQ27" s="183"/>
      <c r="BR27" s="183"/>
      <c r="BS27" s="183"/>
      <c r="BT27" s="183"/>
      <c r="BU27" s="183"/>
      <c r="BV27" s="183"/>
      <c r="BW27" s="183"/>
      <c r="BX27" s="183"/>
      <c r="BY27" s="183"/>
      <c r="BZ27" s="183"/>
      <c r="CA27" s="183"/>
      <c r="CB27" s="183"/>
      <c r="CC27" s="183"/>
      <c r="CD27" s="183"/>
      <c r="CE27" s="183"/>
      <c r="CF27" s="183"/>
      <c r="CG27" s="183"/>
      <c r="CH27" s="183"/>
      <c r="CI27" s="183"/>
      <c r="CJ27" s="183"/>
      <c r="CK27" s="183"/>
      <c r="CL27" s="183"/>
      <c r="CM27" s="183"/>
      <c r="CN27" s="183"/>
      <c r="CO27" s="183"/>
      <c r="CP27" s="183"/>
      <c r="CQ27" s="183"/>
      <c r="CR27" s="183"/>
      <c r="CS27" s="183"/>
      <c r="CT27" s="183"/>
      <c r="CU27" s="183"/>
      <c r="CV27" s="183"/>
      <c r="CW27" s="183"/>
      <c r="CX27" s="183"/>
      <c r="CY27" s="183"/>
      <c r="CZ27" s="183"/>
      <c r="DA27" s="183"/>
      <c r="DB27" s="183"/>
      <c r="DC27" s="183"/>
      <c r="DD27" s="183"/>
      <c r="DE27" s="183"/>
      <c r="DF27" s="183"/>
      <c r="DG27" s="183"/>
      <c r="DH27" s="183"/>
      <c r="DI27" s="183"/>
      <c r="DJ27" s="183"/>
      <c r="DK27" s="183"/>
      <c r="DL27" s="183"/>
      <c r="DM27" s="183"/>
      <c r="DN27" s="183"/>
      <c r="DO27" s="183"/>
      <c r="DP27" s="183"/>
      <c r="DQ27" s="183"/>
      <c r="DR27" s="183"/>
      <c r="DS27" s="183"/>
      <c r="DT27" s="183"/>
      <c r="DU27" s="183"/>
      <c r="DV27" s="183"/>
      <c r="DW27" s="183"/>
      <c r="DX27" s="183"/>
      <c r="DY27" s="183"/>
      <c r="DZ27" s="183"/>
      <c r="EA27" s="183"/>
      <c r="EB27" s="183"/>
      <c r="EC27" s="183"/>
      <c r="ED27" s="183"/>
      <c r="EE27" s="183"/>
      <c r="EF27" s="183"/>
      <c r="EG27" s="183"/>
      <c r="EH27" s="183"/>
      <c r="EI27" s="183"/>
      <c r="EJ27" s="183"/>
      <c r="EK27" s="183"/>
      <c r="EL27" s="183"/>
      <c r="EM27" s="183"/>
      <c r="EN27" s="183"/>
      <c r="EO27" s="183"/>
      <c r="EP27" s="183"/>
      <c r="EQ27" s="183"/>
      <c r="ER27" s="183"/>
      <c r="ES27" s="183"/>
      <c r="ET27" s="183"/>
      <c r="EU27" s="183"/>
      <c r="EV27" s="183"/>
      <c r="EW27" s="183"/>
      <c r="EX27" s="183"/>
      <c r="EY27" s="183"/>
      <c r="EZ27" s="183"/>
      <c r="FA27" s="183"/>
      <c r="FB27" s="183"/>
      <c r="FC27" s="183"/>
      <c r="FD27" s="183"/>
      <c r="FE27" s="183"/>
      <c r="FF27" s="183"/>
      <c r="FG27" s="183"/>
      <c r="FH27" s="183"/>
      <c r="FI27" s="183"/>
      <c r="FJ27" s="183"/>
      <c r="FK27" s="183"/>
      <c r="FL27" s="183"/>
      <c r="FM27" s="183"/>
      <c r="FN27" s="183"/>
      <c r="FO27" s="183"/>
      <c r="FP27" s="183"/>
      <c r="FQ27" s="183"/>
      <c r="FR27" s="183"/>
      <c r="FS27" s="183"/>
      <c r="FT27" s="183"/>
      <c r="FU27" s="183"/>
      <c r="FV27" s="183"/>
      <c r="FW27" s="183"/>
      <c r="FX27" s="183"/>
      <c r="FY27" s="183"/>
      <c r="FZ27" s="183"/>
      <c r="GA27" s="183"/>
      <c r="GB27" s="183"/>
      <c r="GC27" s="183"/>
      <c r="GD27" s="183"/>
      <c r="GE27" s="183"/>
      <c r="GF27" s="183"/>
      <c r="GG27" s="183"/>
      <c r="GH27" s="183"/>
      <c r="GI27" s="183"/>
      <c r="GJ27" s="183"/>
      <c r="GK27" s="183"/>
      <c r="GL27" s="183"/>
      <c r="GM27" s="183"/>
      <c r="GN27" s="183"/>
      <c r="GO27" s="183"/>
      <c r="GP27" s="183"/>
      <c r="GQ27" s="183"/>
      <c r="GR27" s="183"/>
      <c r="GS27" s="183"/>
      <c r="GT27" s="183"/>
      <c r="GU27" s="183"/>
      <c r="GV27" s="183"/>
      <c r="GW27" s="183"/>
    </row>
    <row r="28">
      <c r="A28" s="184" t="s">
        <v>167</v>
      </c>
      <c r="B28" s="184"/>
      <c r="C28" s="184" t="str">
        <f t="shared" si="1"/>
        <v/>
      </c>
      <c r="D28" s="185" t="str">
        <f>if(isblank(B28),,if(Portfolio!E30=0,0,Portfolio!J30/Portfolio!E30)/Portfolio!U30)</f>
        <v/>
      </c>
      <c r="E28" s="186" t="str">
        <f t="shared" si="2"/>
        <v/>
      </c>
      <c r="F28" s="187" t="str">
        <f t="shared" si="3"/>
        <v/>
      </c>
      <c r="G28" s="187"/>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183"/>
      <c r="BE28" s="183"/>
      <c r="BF28" s="183"/>
      <c r="BG28" s="183"/>
      <c r="BH28" s="183"/>
      <c r="BI28" s="183"/>
      <c r="BJ28" s="183"/>
      <c r="BK28" s="183"/>
      <c r="BL28" s="183"/>
      <c r="BM28" s="183"/>
      <c r="BN28" s="183"/>
      <c r="BO28" s="183"/>
      <c r="BP28" s="183"/>
      <c r="BQ28" s="183"/>
      <c r="BR28" s="183"/>
      <c r="BS28" s="183"/>
      <c r="BT28" s="183"/>
      <c r="BU28" s="183"/>
      <c r="BV28" s="183"/>
      <c r="BW28" s="183"/>
      <c r="BX28" s="183"/>
      <c r="BY28" s="183"/>
      <c r="BZ28" s="183"/>
      <c r="CA28" s="183"/>
      <c r="CB28" s="183"/>
      <c r="CC28" s="183"/>
      <c r="CD28" s="183"/>
      <c r="CE28" s="183"/>
      <c r="CF28" s="183"/>
      <c r="CG28" s="183"/>
      <c r="CH28" s="183"/>
      <c r="CI28" s="183"/>
      <c r="CJ28" s="183"/>
      <c r="CK28" s="183"/>
      <c r="CL28" s="183"/>
      <c r="CM28" s="183"/>
      <c r="CN28" s="183"/>
      <c r="CO28" s="183"/>
      <c r="CP28" s="183"/>
      <c r="CQ28" s="183"/>
      <c r="CR28" s="183"/>
      <c r="CS28" s="183"/>
      <c r="CT28" s="183"/>
      <c r="CU28" s="183"/>
      <c r="CV28" s="183"/>
      <c r="CW28" s="183"/>
      <c r="CX28" s="183"/>
      <c r="CY28" s="183"/>
      <c r="CZ28" s="183"/>
      <c r="DA28" s="183"/>
      <c r="DB28" s="183"/>
      <c r="DC28" s="183"/>
      <c r="DD28" s="183"/>
      <c r="DE28" s="183"/>
      <c r="DF28" s="183"/>
      <c r="DG28" s="183"/>
      <c r="DH28" s="183"/>
      <c r="DI28" s="183"/>
      <c r="DJ28" s="183"/>
      <c r="DK28" s="183"/>
      <c r="DL28" s="183"/>
      <c r="DM28" s="183"/>
      <c r="DN28" s="183"/>
      <c r="DO28" s="183"/>
      <c r="DP28" s="183"/>
      <c r="DQ28" s="183"/>
      <c r="DR28" s="183"/>
      <c r="DS28" s="183"/>
      <c r="DT28" s="183"/>
      <c r="DU28" s="183"/>
      <c r="DV28" s="183"/>
      <c r="DW28" s="183"/>
      <c r="DX28" s="183"/>
      <c r="DY28" s="183"/>
      <c r="DZ28" s="183"/>
      <c r="EA28" s="183"/>
      <c r="EB28" s="183"/>
      <c r="EC28" s="183"/>
      <c r="ED28" s="183"/>
      <c r="EE28" s="183"/>
      <c r="EF28" s="183"/>
      <c r="EG28" s="183"/>
      <c r="EH28" s="183"/>
      <c r="EI28" s="183"/>
      <c r="EJ28" s="183"/>
      <c r="EK28" s="183"/>
      <c r="EL28" s="183"/>
      <c r="EM28" s="183"/>
      <c r="EN28" s="183"/>
      <c r="EO28" s="183"/>
      <c r="EP28" s="183"/>
      <c r="EQ28" s="183"/>
      <c r="ER28" s="183"/>
      <c r="ES28" s="183"/>
      <c r="ET28" s="183"/>
      <c r="EU28" s="183"/>
      <c r="EV28" s="183"/>
      <c r="EW28" s="183"/>
      <c r="EX28" s="183"/>
      <c r="EY28" s="183"/>
      <c r="EZ28" s="183"/>
      <c r="FA28" s="183"/>
      <c r="FB28" s="183"/>
      <c r="FC28" s="183"/>
      <c r="FD28" s="183"/>
      <c r="FE28" s="183"/>
      <c r="FF28" s="183"/>
      <c r="FG28" s="183"/>
      <c r="FH28" s="183"/>
      <c r="FI28" s="183"/>
      <c r="FJ28" s="183"/>
      <c r="FK28" s="183"/>
      <c r="FL28" s="183"/>
      <c r="FM28" s="183"/>
      <c r="FN28" s="183"/>
      <c r="FO28" s="183"/>
      <c r="FP28" s="183"/>
      <c r="FQ28" s="183"/>
      <c r="FR28" s="183"/>
      <c r="FS28" s="183"/>
      <c r="FT28" s="183"/>
      <c r="FU28" s="183"/>
      <c r="FV28" s="183"/>
      <c r="FW28" s="183"/>
      <c r="FX28" s="183"/>
      <c r="FY28" s="183"/>
      <c r="FZ28" s="183"/>
      <c r="GA28" s="183"/>
      <c r="GB28" s="183"/>
      <c r="GC28" s="183"/>
      <c r="GD28" s="183"/>
      <c r="GE28" s="183"/>
      <c r="GF28" s="183"/>
      <c r="GG28" s="183"/>
      <c r="GH28" s="183"/>
      <c r="GI28" s="183"/>
      <c r="GJ28" s="183"/>
      <c r="GK28" s="183"/>
      <c r="GL28" s="183"/>
      <c r="GM28" s="183"/>
      <c r="GN28" s="183"/>
      <c r="GO28" s="183"/>
      <c r="GP28" s="183"/>
      <c r="GQ28" s="183"/>
      <c r="GR28" s="183"/>
      <c r="GS28" s="183"/>
      <c r="GT28" s="183"/>
      <c r="GU28" s="183"/>
      <c r="GV28" s="183"/>
      <c r="GW28" s="183"/>
    </row>
    <row r="29">
      <c r="A29" s="184" t="s">
        <v>167</v>
      </c>
      <c r="B29" s="184"/>
      <c r="C29" s="184" t="str">
        <f t="shared" si="1"/>
        <v/>
      </c>
      <c r="D29" s="185" t="str">
        <f>if(isblank(B29),,if(Portfolio!E31=0,0,Portfolio!J31/Portfolio!E31)/Portfolio!U31)</f>
        <v/>
      </c>
      <c r="E29" s="186" t="str">
        <f t="shared" si="2"/>
        <v/>
      </c>
      <c r="F29" s="187" t="str">
        <f t="shared" si="3"/>
        <v/>
      </c>
      <c r="G29" s="187"/>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c r="CR29" s="183"/>
      <c r="CS29" s="183"/>
      <c r="CT29" s="183"/>
      <c r="CU29" s="183"/>
      <c r="CV29" s="183"/>
      <c r="CW29" s="183"/>
      <c r="CX29" s="183"/>
      <c r="CY29" s="183"/>
      <c r="CZ29" s="183"/>
      <c r="DA29" s="183"/>
      <c r="DB29" s="183"/>
      <c r="DC29" s="183"/>
      <c r="DD29" s="183"/>
      <c r="DE29" s="183"/>
      <c r="DF29" s="183"/>
      <c r="DG29" s="183"/>
      <c r="DH29" s="183"/>
      <c r="DI29" s="183"/>
      <c r="DJ29" s="183"/>
      <c r="DK29" s="183"/>
      <c r="DL29" s="183"/>
      <c r="DM29" s="183"/>
      <c r="DN29" s="183"/>
      <c r="DO29" s="183"/>
      <c r="DP29" s="183"/>
      <c r="DQ29" s="183"/>
      <c r="DR29" s="183"/>
      <c r="DS29" s="183"/>
      <c r="DT29" s="183"/>
      <c r="DU29" s="183"/>
      <c r="DV29" s="183"/>
      <c r="DW29" s="183"/>
      <c r="DX29" s="183"/>
      <c r="DY29" s="183"/>
      <c r="DZ29" s="183"/>
      <c r="EA29" s="183"/>
      <c r="EB29" s="183"/>
      <c r="EC29" s="183"/>
      <c r="ED29" s="183"/>
      <c r="EE29" s="183"/>
      <c r="EF29" s="183"/>
      <c r="EG29" s="183"/>
      <c r="EH29" s="183"/>
      <c r="EI29" s="183"/>
      <c r="EJ29" s="183"/>
      <c r="EK29" s="183"/>
      <c r="EL29" s="183"/>
      <c r="EM29" s="183"/>
      <c r="EN29" s="183"/>
      <c r="EO29" s="183"/>
      <c r="EP29" s="183"/>
      <c r="EQ29" s="183"/>
      <c r="ER29" s="183"/>
      <c r="ES29" s="183"/>
      <c r="ET29" s="183"/>
      <c r="EU29" s="183"/>
      <c r="EV29" s="183"/>
      <c r="EW29" s="183"/>
      <c r="EX29" s="183"/>
      <c r="EY29" s="183"/>
      <c r="EZ29" s="183"/>
      <c r="FA29" s="183"/>
      <c r="FB29" s="183"/>
      <c r="FC29" s="183"/>
      <c r="FD29" s="183"/>
      <c r="FE29" s="183"/>
      <c r="FF29" s="183"/>
      <c r="FG29" s="183"/>
      <c r="FH29" s="183"/>
      <c r="FI29" s="183"/>
      <c r="FJ29" s="183"/>
      <c r="FK29" s="183"/>
      <c r="FL29" s="183"/>
      <c r="FM29" s="183"/>
      <c r="FN29" s="183"/>
      <c r="FO29" s="183"/>
      <c r="FP29" s="183"/>
      <c r="FQ29" s="183"/>
      <c r="FR29" s="183"/>
      <c r="FS29" s="183"/>
      <c r="FT29" s="183"/>
      <c r="FU29" s="183"/>
      <c r="FV29" s="183"/>
      <c r="FW29" s="183"/>
      <c r="FX29" s="183"/>
      <c r="FY29" s="183"/>
      <c r="FZ29" s="183"/>
      <c r="GA29" s="183"/>
      <c r="GB29" s="183"/>
      <c r="GC29" s="183"/>
      <c r="GD29" s="183"/>
      <c r="GE29" s="183"/>
      <c r="GF29" s="183"/>
      <c r="GG29" s="183"/>
      <c r="GH29" s="183"/>
      <c r="GI29" s="183"/>
      <c r="GJ29" s="183"/>
      <c r="GK29" s="183"/>
      <c r="GL29" s="183"/>
      <c r="GM29" s="183"/>
      <c r="GN29" s="183"/>
      <c r="GO29" s="183"/>
      <c r="GP29" s="183"/>
      <c r="GQ29" s="183"/>
      <c r="GR29" s="183"/>
      <c r="GS29" s="183"/>
      <c r="GT29" s="183"/>
      <c r="GU29" s="183"/>
      <c r="GV29" s="183"/>
      <c r="GW29" s="183"/>
    </row>
    <row r="30">
      <c r="A30" s="184" t="s">
        <v>167</v>
      </c>
      <c r="B30" s="184"/>
      <c r="C30" s="184" t="str">
        <f t="shared" si="1"/>
        <v/>
      </c>
      <c r="D30" s="185" t="str">
        <f>if(isblank(B30),,if(Portfolio!E32=0,0,Portfolio!J32/Portfolio!E32)/Portfolio!U32)</f>
        <v/>
      </c>
      <c r="E30" s="186" t="str">
        <f t="shared" si="2"/>
        <v/>
      </c>
      <c r="F30" s="187" t="str">
        <f t="shared" si="3"/>
        <v/>
      </c>
      <c r="G30" s="187"/>
      <c r="H30" s="183"/>
      <c r="I30" s="183"/>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c r="CC30" s="183"/>
      <c r="CD30" s="183"/>
      <c r="CE30" s="183"/>
      <c r="CF30" s="183"/>
      <c r="CG30" s="183"/>
      <c r="CH30" s="183"/>
      <c r="CI30" s="183"/>
      <c r="CJ30" s="183"/>
      <c r="CK30" s="183"/>
      <c r="CL30" s="183"/>
      <c r="CM30" s="183"/>
      <c r="CN30" s="183"/>
      <c r="CO30" s="183"/>
      <c r="CP30" s="183"/>
      <c r="CQ30" s="183"/>
      <c r="CR30" s="183"/>
      <c r="CS30" s="183"/>
      <c r="CT30" s="183"/>
      <c r="CU30" s="183"/>
      <c r="CV30" s="183"/>
      <c r="CW30" s="183"/>
      <c r="CX30" s="183"/>
      <c r="CY30" s="183"/>
      <c r="CZ30" s="183"/>
      <c r="DA30" s="183"/>
      <c r="DB30" s="183"/>
      <c r="DC30" s="183"/>
      <c r="DD30" s="183"/>
      <c r="DE30" s="183"/>
      <c r="DF30" s="183"/>
      <c r="DG30" s="183"/>
      <c r="DH30" s="183"/>
      <c r="DI30" s="183"/>
      <c r="DJ30" s="183"/>
      <c r="DK30" s="183"/>
      <c r="DL30" s="183"/>
      <c r="DM30" s="183"/>
      <c r="DN30" s="183"/>
      <c r="DO30" s="183"/>
      <c r="DP30" s="183"/>
      <c r="DQ30" s="183"/>
      <c r="DR30" s="183"/>
      <c r="DS30" s="183"/>
      <c r="DT30" s="183"/>
      <c r="DU30" s="183"/>
      <c r="DV30" s="183"/>
      <c r="DW30" s="183"/>
      <c r="DX30" s="183"/>
      <c r="DY30" s="183"/>
      <c r="DZ30" s="183"/>
      <c r="EA30" s="183"/>
      <c r="EB30" s="183"/>
      <c r="EC30" s="183"/>
      <c r="ED30" s="183"/>
      <c r="EE30" s="183"/>
      <c r="EF30" s="183"/>
      <c r="EG30" s="183"/>
      <c r="EH30" s="183"/>
      <c r="EI30" s="183"/>
      <c r="EJ30" s="183"/>
      <c r="EK30" s="183"/>
      <c r="EL30" s="183"/>
      <c r="EM30" s="183"/>
      <c r="EN30" s="183"/>
      <c r="EO30" s="183"/>
      <c r="EP30" s="183"/>
      <c r="EQ30" s="183"/>
      <c r="ER30" s="183"/>
      <c r="ES30" s="183"/>
      <c r="ET30" s="183"/>
      <c r="EU30" s="183"/>
      <c r="EV30" s="183"/>
      <c r="EW30" s="183"/>
      <c r="EX30" s="183"/>
      <c r="EY30" s="183"/>
      <c r="EZ30" s="183"/>
      <c r="FA30" s="183"/>
      <c r="FB30" s="183"/>
      <c r="FC30" s="183"/>
      <c r="FD30" s="183"/>
      <c r="FE30" s="183"/>
      <c r="FF30" s="183"/>
      <c r="FG30" s="183"/>
      <c r="FH30" s="183"/>
      <c r="FI30" s="183"/>
      <c r="FJ30" s="183"/>
      <c r="FK30" s="183"/>
      <c r="FL30" s="183"/>
      <c r="FM30" s="183"/>
      <c r="FN30" s="183"/>
      <c r="FO30" s="183"/>
      <c r="FP30" s="183"/>
      <c r="FQ30" s="183"/>
      <c r="FR30" s="183"/>
      <c r="FS30" s="183"/>
      <c r="FT30" s="183"/>
      <c r="FU30" s="183"/>
      <c r="FV30" s="183"/>
      <c r="FW30" s="183"/>
      <c r="FX30" s="183"/>
      <c r="FY30" s="183"/>
      <c r="FZ30" s="183"/>
      <c r="GA30" s="183"/>
      <c r="GB30" s="183"/>
      <c r="GC30" s="183"/>
      <c r="GD30" s="183"/>
      <c r="GE30" s="183"/>
      <c r="GF30" s="183"/>
      <c r="GG30" s="183"/>
      <c r="GH30" s="183"/>
      <c r="GI30" s="183"/>
      <c r="GJ30" s="183"/>
      <c r="GK30" s="183"/>
      <c r="GL30" s="183"/>
      <c r="GM30" s="183"/>
      <c r="GN30" s="183"/>
      <c r="GO30" s="183"/>
      <c r="GP30" s="183"/>
      <c r="GQ30" s="183"/>
      <c r="GR30" s="183"/>
      <c r="GS30" s="183"/>
      <c r="GT30" s="183"/>
      <c r="GU30" s="183"/>
      <c r="GV30" s="183"/>
      <c r="GW30" s="183"/>
    </row>
    <row r="31">
      <c r="A31" s="184" t="s">
        <v>167</v>
      </c>
      <c r="B31" s="184"/>
      <c r="C31" s="184" t="str">
        <f t="shared" si="1"/>
        <v/>
      </c>
      <c r="D31" s="185" t="str">
        <f>if(isblank(B31),,if(Portfolio!E33=0,0,Portfolio!J33/Portfolio!E33)/Portfolio!U33)</f>
        <v/>
      </c>
      <c r="E31" s="186" t="str">
        <f t="shared" si="2"/>
        <v/>
      </c>
      <c r="F31" s="187" t="str">
        <f t="shared" si="3"/>
        <v/>
      </c>
      <c r="G31" s="187"/>
      <c r="H31" s="183"/>
      <c r="I31" s="183"/>
      <c r="J31" s="183"/>
      <c r="K31" s="183"/>
      <c r="L31" s="183"/>
      <c r="M31" s="183"/>
      <c r="N31" s="183"/>
      <c r="O31" s="183"/>
      <c r="P31" s="183"/>
      <c r="Q31" s="183"/>
      <c r="R31" s="183"/>
      <c r="S31" s="183"/>
      <c r="T31" s="183"/>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V31" s="183"/>
      <c r="DW31" s="183"/>
      <c r="DX31" s="183"/>
      <c r="DY31" s="183"/>
      <c r="DZ31" s="183"/>
      <c r="EA31" s="183"/>
      <c r="EB31" s="183"/>
      <c r="EC31" s="183"/>
      <c r="ED31" s="183"/>
      <c r="EE31" s="183"/>
      <c r="EF31" s="183"/>
      <c r="EG31" s="183"/>
      <c r="EH31" s="183"/>
      <c r="EI31" s="183"/>
      <c r="EJ31" s="183"/>
      <c r="EK31" s="183"/>
      <c r="EL31" s="183"/>
      <c r="EM31" s="183"/>
      <c r="EN31" s="183"/>
      <c r="EO31" s="183"/>
      <c r="EP31" s="183"/>
      <c r="EQ31" s="183"/>
      <c r="ER31" s="183"/>
      <c r="ES31" s="183"/>
      <c r="ET31" s="183"/>
      <c r="EU31" s="183"/>
      <c r="EV31" s="183"/>
      <c r="EW31" s="183"/>
      <c r="EX31" s="183"/>
      <c r="EY31" s="183"/>
      <c r="EZ31" s="183"/>
      <c r="FA31" s="183"/>
      <c r="FB31" s="183"/>
      <c r="FC31" s="183"/>
      <c r="FD31" s="183"/>
      <c r="FE31" s="183"/>
      <c r="FF31" s="183"/>
      <c r="FG31" s="183"/>
      <c r="FH31" s="183"/>
      <c r="FI31" s="183"/>
      <c r="FJ31" s="183"/>
      <c r="FK31" s="183"/>
      <c r="FL31" s="183"/>
      <c r="FM31" s="183"/>
      <c r="FN31" s="183"/>
      <c r="FO31" s="183"/>
      <c r="FP31" s="183"/>
      <c r="FQ31" s="183"/>
      <c r="FR31" s="183"/>
      <c r="FS31" s="183"/>
      <c r="FT31" s="183"/>
      <c r="FU31" s="183"/>
      <c r="FV31" s="183"/>
      <c r="FW31" s="183"/>
      <c r="FX31" s="183"/>
      <c r="FY31" s="183"/>
      <c r="FZ31" s="183"/>
      <c r="GA31" s="183"/>
      <c r="GB31" s="183"/>
      <c r="GC31" s="183"/>
      <c r="GD31" s="183"/>
      <c r="GE31" s="183"/>
      <c r="GF31" s="183"/>
      <c r="GG31" s="183"/>
      <c r="GH31" s="183"/>
      <c r="GI31" s="183"/>
      <c r="GJ31" s="183"/>
      <c r="GK31" s="183"/>
      <c r="GL31" s="183"/>
      <c r="GM31" s="183"/>
      <c r="GN31" s="183"/>
      <c r="GO31" s="183"/>
      <c r="GP31" s="183"/>
      <c r="GQ31" s="183"/>
      <c r="GR31" s="183"/>
      <c r="GS31" s="183"/>
      <c r="GT31" s="183"/>
      <c r="GU31" s="183"/>
      <c r="GV31" s="183"/>
      <c r="GW31" s="183"/>
    </row>
    <row r="32">
      <c r="A32" s="184" t="s">
        <v>167</v>
      </c>
      <c r="B32" s="184"/>
      <c r="C32" s="184" t="str">
        <f t="shared" si="1"/>
        <v/>
      </c>
      <c r="D32" s="185" t="str">
        <f>if(isblank(B32),,if(Portfolio!E34=0,0,Portfolio!J34/Portfolio!E34)/Portfolio!U34)</f>
        <v/>
      </c>
      <c r="E32" s="186" t="str">
        <f t="shared" si="2"/>
        <v/>
      </c>
      <c r="F32" s="187" t="str">
        <f t="shared" si="3"/>
        <v/>
      </c>
      <c r="G32" s="187"/>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3"/>
      <c r="BM32" s="183"/>
      <c r="BN32" s="183"/>
      <c r="BO32" s="183"/>
      <c r="BP32" s="183"/>
      <c r="BQ32" s="183"/>
      <c r="BR32" s="183"/>
      <c r="BS32" s="183"/>
      <c r="BT32" s="183"/>
      <c r="BU32" s="183"/>
      <c r="BV32" s="183"/>
      <c r="BW32" s="183"/>
      <c r="BX32" s="183"/>
      <c r="BY32" s="183"/>
      <c r="BZ32" s="183"/>
      <c r="CA32" s="183"/>
      <c r="CB32" s="183"/>
      <c r="CC32" s="183"/>
      <c r="CD32" s="183"/>
      <c r="CE32" s="183"/>
      <c r="CF32" s="183"/>
      <c r="CG32" s="183"/>
      <c r="CH32" s="183"/>
      <c r="CI32" s="183"/>
      <c r="CJ32" s="183"/>
      <c r="CK32" s="183"/>
      <c r="CL32" s="183"/>
      <c r="CM32" s="183"/>
      <c r="CN32" s="183"/>
      <c r="CO32" s="183"/>
      <c r="CP32" s="183"/>
      <c r="CQ32" s="183"/>
      <c r="CR32" s="183"/>
      <c r="CS32" s="183"/>
      <c r="CT32" s="183"/>
      <c r="CU32" s="183"/>
      <c r="CV32" s="183"/>
      <c r="CW32" s="183"/>
      <c r="CX32" s="183"/>
      <c r="CY32" s="183"/>
      <c r="CZ32" s="183"/>
      <c r="DA32" s="183"/>
      <c r="DB32" s="183"/>
      <c r="DC32" s="183"/>
      <c r="DD32" s="183"/>
      <c r="DE32" s="183"/>
      <c r="DF32" s="183"/>
      <c r="DG32" s="183"/>
      <c r="DH32" s="183"/>
      <c r="DI32" s="183"/>
      <c r="DJ32" s="183"/>
      <c r="DK32" s="183"/>
      <c r="DL32" s="183"/>
      <c r="DM32" s="183"/>
      <c r="DN32" s="183"/>
      <c r="DO32" s="183"/>
      <c r="DP32" s="183"/>
      <c r="DQ32" s="183"/>
      <c r="DR32" s="183"/>
      <c r="DS32" s="183"/>
      <c r="DT32" s="183"/>
      <c r="DU32" s="183"/>
      <c r="DV32" s="183"/>
      <c r="DW32" s="183"/>
      <c r="DX32" s="183"/>
      <c r="DY32" s="183"/>
      <c r="DZ32" s="183"/>
      <c r="EA32" s="183"/>
      <c r="EB32" s="183"/>
      <c r="EC32" s="183"/>
      <c r="ED32" s="183"/>
      <c r="EE32" s="183"/>
      <c r="EF32" s="183"/>
      <c r="EG32" s="183"/>
      <c r="EH32" s="183"/>
      <c r="EI32" s="183"/>
      <c r="EJ32" s="183"/>
      <c r="EK32" s="183"/>
      <c r="EL32" s="183"/>
      <c r="EM32" s="183"/>
      <c r="EN32" s="183"/>
      <c r="EO32" s="183"/>
      <c r="EP32" s="183"/>
      <c r="EQ32" s="183"/>
      <c r="ER32" s="183"/>
      <c r="ES32" s="183"/>
      <c r="ET32" s="183"/>
      <c r="EU32" s="183"/>
      <c r="EV32" s="183"/>
      <c r="EW32" s="183"/>
      <c r="EX32" s="183"/>
      <c r="EY32" s="183"/>
      <c r="EZ32" s="183"/>
      <c r="FA32" s="183"/>
      <c r="FB32" s="183"/>
      <c r="FC32" s="183"/>
      <c r="FD32" s="183"/>
      <c r="FE32" s="183"/>
      <c r="FF32" s="183"/>
      <c r="FG32" s="183"/>
      <c r="FH32" s="183"/>
      <c r="FI32" s="183"/>
      <c r="FJ32" s="183"/>
      <c r="FK32" s="183"/>
      <c r="FL32" s="183"/>
      <c r="FM32" s="183"/>
      <c r="FN32" s="183"/>
      <c r="FO32" s="183"/>
      <c r="FP32" s="183"/>
      <c r="FQ32" s="183"/>
      <c r="FR32" s="183"/>
      <c r="FS32" s="183"/>
      <c r="FT32" s="183"/>
      <c r="FU32" s="183"/>
      <c r="FV32" s="183"/>
      <c r="FW32" s="183"/>
      <c r="FX32" s="183"/>
      <c r="FY32" s="183"/>
      <c r="FZ32" s="183"/>
      <c r="GA32" s="183"/>
      <c r="GB32" s="183"/>
      <c r="GC32" s="183"/>
      <c r="GD32" s="183"/>
      <c r="GE32" s="183"/>
      <c r="GF32" s="183"/>
      <c r="GG32" s="183"/>
      <c r="GH32" s="183"/>
      <c r="GI32" s="183"/>
      <c r="GJ32" s="183"/>
      <c r="GK32" s="183"/>
      <c r="GL32" s="183"/>
      <c r="GM32" s="183"/>
      <c r="GN32" s="183"/>
      <c r="GO32" s="183"/>
      <c r="GP32" s="183"/>
      <c r="GQ32" s="183"/>
      <c r="GR32" s="183"/>
      <c r="GS32" s="183"/>
      <c r="GT32" s="183"/>
      <c r="GU32" s="183"/>
      <c r="GV32" s="183"/>
      <c r="GW32" s="183"/>
    </row>
    <row r="33">
      <c r="A33" s="197" t="s">
        <v>167</v>
      </c>
      <c r="B33" s="197"/>
      <c r="C33" s="184" t="str">
        <f t="shared" si="1"/>
        <v/>
      </c>
      <c r="D33" s="185" t="str">
        <f>if(isblank(B33),,if(Portfolio!E35=0,0,Portfolio!J35/Portfolio!E35)/Portfolio!U35)</f>
        <v/>
      </c>
      <c r="E33" s="186" t="str">
        <f t="shared" si="2"/>
        <v/>
      </c>
      <c r="F33" s="187" t="str">
        <f t="shared" si="3"/>
        <v/>
      </c>
      <c r="G33" s="205"/>
    </row>
    <row r="34">
      <c r="A34" s="197" t="s">
        <v>167</v>
      </c>
      <c r="B34" s="197"/>
      <c r="C34" s="184" t="str">
        <f t="shared" si="1"/>
        <v/>
      </c>
      <c r="D34" s="185" t="str">
        <f>if(isblank(B34),,if(Portfolio!E36=0,0,Portfolio!J36/Portfolio!E36)/Portfolio!U36)</f>
        <v/>
      </c>
      <c r="E34" s="186" t="str">
        <f t="shared" si="2"/>
        <v/>
      </c>
      <c r="F34" s="187" t="str">
        <f t="shared" si="3"/>
        <v/>
      </c>
      <c r="G34" s="205"/>
    </row>
    <row r="35">
      <c r="A35" s="197" t="s">
        <v>167</v>
      </c>
      <c r="B35" s="197"/>
      <c r="C35" s="184" t="str">
        <f t="shared" si="1"/>
        <v/>
      </c>
      <c r="D35" s="185" t="str">
        <f>if(isblank(B35),,if(Portfolio!E37=0,0,Portfolio!J37/Portfolio!E37)/Portfolio!U37)</f>
        <v/>
      </c>
      <c r="E35" s="186" t="str">
        <f t="shared" si="2"/>
        <v/>
      </c>
      <c r="F35" s="187" t="str">
        <f t="shared" si="3"/>
        <v/>
      </c>
      <c r="G35" s="205"/>
    </row>
    <row r="36">
      <c r="A36" s="197" t="s">
        <v>167</v>
      </c>
      <c r="B36" s="197"/>
      <c r="C36" s="184" t="str">
        <f t="shared" si="1"/>
        <v/>
      </c>
      <c r="D36" s="185" t="str">
        <f>if(isblank(B36),,if(Portfolio!E38=0,0,Portfolio!J38/Portfolio!E38)/Portfolio!U38)</f>
        <v/>
      </c>
      <c r="E36" s="186" t="str">
        <f t="shared" si="2"/>
        <v/>
      </c>
      <c r="F36" s="187" t="str">
        <f t="shared" si="3"/>
        <v/>
      </c>
      <c r="G36" s="205"/>
    </row>
    <row r="37">
      <c r="A37" s="197" t="s">
        <v>167</v>
      </c>
      <c r="B37" s="197"/>
      <c r="C37" s="184" t="str">
        <f t="shared" si="1"/>
        <v/>
      </c>
      <c r="D37" s="185" t="str">
        <f>if(isblank(B37),,if(Portfolio!E39=0,0,Portfolio!J39/Portfolio!E39)/Portfolio!U39)</f>
        <v/>
      </c>
      <c r="E37" s="186" t="str">
        <f t="shared" si="2"/>
        <v/>
      </c>
      <c r="F37" s="187" t="str">
        <f t="shared" si="3"/>
        <v/>
      </c>
      <c r="G37" s="205"/>
    </row>
    <row r="38">
      <c r="A38" s="197" t="s">
        <v>167</v>
      </c>
      <c r="B38" s="197"/>
      <c r="C38" s="184" t="str">
        <f t="shared" si="1"/>
        <v/>
      </c>
      <c r="D38" s="185" t="str">
        <f>if(isblank(B38),,if(Portfolio!E40=0,0,Portfolio!J40/Portfolio!E40)/Portfolio!U40)</f>
        <v/>
      </c>
      <c r="E38" s="186" t="str">
        <f t="shared" si="2"/>
        <v/>
      </c>
      <c r="F38" s="187" t="str">
        <f t="shared" si="3"/>
        <v/>
      </c>
      <c r="G38" s="205"/>
    </row>
    <row r="39">
      <c r="A39" s="197" t="s">
        <v>167</v>
      </c>
      <c r="B39" s="197"/>
      <c r="C39" s="184" t="str">
        <f t="shared" si="1"/>
        <v/>
      </c>
      <c r="D39" s="185" t="str">
        <f>if(isblank(B39),,if(Portfolio!E41=0,0,Portfolio!J41/Portfolio!E41)/Portfolio!U41)</f>
        <v/>
      </c>
      <c r="E39" s="186" t="str">
        <f t="shared" si="2"/>
        <v/>
      </c>
      <c r="F39" s="187" t="str">
        <f t="shared" si="3"/>
        <v/>
      </c>
      <c r="G39" s="205"/>
    </row>
    <row r="40">
      <c r="A40" s="197" t="s">
        <v>167</v>
      </c>
      <c r="B40" s="197"/>
      <c r="C40" s="184" t="str">
        <f t="shared" si="1"/>
        <v/>
      </c>
      <c r="D40" s="185" t="str">
        <f>if(isblank(B40),,if(Portfolio!E42=0,0,Portfolio!J42/Portfolio!E42)/Portfolio!U42)</f>
        <v/>
      </c>
      <c r="E40" s="186" t="str">
        <f t="shared" si="2"/>
        <v/>
      </c>
      <c r="F40" s="187" t="str">
        <f t="shared" si="3"/>
        <v/>
      </c>
      <c r="G40" s="205"/>
    </row>
    <row r="41">
      <c r="A41" s="197" t="s">
        <v>167</v>
      </c>
      <c r="B41" s="197"/>
      <c r="C41" s="197"/>
      <c r="D41" s="185" t="str">
        <f>if(isblank(B41),,if(Portfolio!E43=0,0,Portfolio!J43/Portfolio!E43)/Portfolio!U43)</f>
        <v/>
      </c>
      <c r="E41" s="186" t="str">
        <f t="shared" si="2"/>
        <v/>
      </c>
      <c r="F41" s="187" t="str">
        <f t="shared" si="3"/>
        <v/>
      </c>
      <c r="G41" s="205"/>
    </row>
    <row r="42">
      <c r="A42" s="197" t="s">
        <v>167</v>
      </c>
      <c r="B42" s="197"/>
      <c r="C42" s="197"/>
      <c r="D42" s="185" t="str">
        <f>if(isblank(B42),,if(Portfolio!E44=0,0,Portfolio!J44/Portfolio!E44)/Portfolio!U44)</f>
        <v/>
      </c>
      <c r="E42" s="186" t="str">
        <f t="shared" si="2"/>
        <v/>
      </c>
      <c r="F42" s="187" t="str">
        <f t="shared" si="3"/>
        <v/>
      </c>
      <c r="G42" s="205"/>
    </row>
    <row r="43">
      <c r="A43" s="197" t="s">
        <v>167</v>
      </c>
      <c r="B43" s="197"/>
      <c r="C43" s="197"/>
      <c r="D43" s="185" t="str">
        <f>if(isblank(B43),,if(Portfolio!E45=0,0,Portfolio!J45/Portfolio!E45)/Portfolio!U45)</f>
        <v/>
      </c>
      <c r="E43" s="186" t="str">
        <f t="shared" si="2"/>
        <v/>
      </c>
      <c r="F43" s="187" t="str">
        <f t="shared" si="3"/>
        <v/>
      </c>
      <c r="G43" s="205"/>
    </row>
    <row r="44">
      <c r="A44" s="197" t="s">
        <v>167</v>
      </c>
      <c r="B44" s="197"/>
      <c r="C44" s="197"/>
      <c r="D44" s="185" t="str">
        <f>if(isblank(B44),,if(Portfolio!E46=0,0,Portfolio!J46/Portfolio!E46)/Portfolio!U46)</f>
        <v/>
      </c>
      <c r="E44" s="186" t="str">
        <f t="shared" si="2"/>
        <v/>
      </c>
      <c r="F44" s="187" t="str">
        <f t="shared" si="3"/>
        <v/>
      </c>
      <c r="G44" s="205"/>
    </row>
    <row r="45">
      <c r="A45" s="197" t="s">
        <v>167</v>
      </c>
      <c r="B45" s="197"/>
      <c r="C45" s="197"/>
      <c r="D45" s="185" t="str">
        <f>if(isblank(B45),,if(Portfolio!E47=0,0,Portfolio!J47/Portfolio!E47)/Portfolio!U47)</f>
        <v/>
      </c>
      <c r="E45" s="186" t="str">
        <f t="shared" si="2"/>
        <v/>
      </c>
      <c r="F45" s="187" t="str">
        <f t="shared" si="3"/>
        <v/>
      </c>
      <c r="G45" s="205"/>
    </row>
    <row r="46">
      <c r="A46" s="197" t="s">
        <v>167</v>
      </c>
      <c r="B46" s="197"/>
      <c r="C46" s="197"/>
      <c r="D46" s="185" t="str">
        <f>if(isblank(B46),,if(Portfolio!E48=0,0,Portfolio!J48/Portfolio!E48)/Portfolio!U48)</f>
        <v/>
      </c>
      <c r="E46" s="186" t="str">
        <f t="shared" si="2"/>
        <v/>
      </c>
      <c r="F46" s="187" t="str">
        <f t="shared" si="3"/>
        <v/>
      </c>
      <c r="G46" s="205"/>
    </row>
    <row r="47">
      <c r="A47" s="197" t="s">
        <v>167</v>
      </c>
      <c r="B47" s="197"/>
      <c r="C47" s="197"/>
      <c r="D47" s="185" t="str">
        <f>if(isblank(B47),,if(Portfolio!E49=0,0,Portfolio!J49/Portfolio!E49)/Portfolio!U49)</f>
        <v/>
      </c>
      <c r="E47" s="186" t="str">
        <f t="shared" si="2"/>
        <v/>
      </c>
      <c r="F47" s="187" t="str">
        <f t="shared" si="3"/>
        <v/>
      </c>
      <c r="G47" s="205"/>
    </row>
    <row r="48">
      <c r="A48" s="197" t="s">
        <v>167</v>
      </c>
      <c r="B48" s="197"/>
      <c r="C48" s="197"/>
      <c r="D48" s="185" t="str">
        <f>if(isblank(B48),,if(Portfolio!E50=0,0,Portfolio!J50/Portfolio!E50)/Portfolio!U50)</f>
        <v/>
      </c>
      <c r="E48" s="186" t="str">
        <f t="shared" si="2"/>
        <v/>
      </c>
      <c r="F48" s="187" t="str">
        <f t="shared" si="3"/>
        <v/>
      </c>
      <c r="G48" s="205"/>
    </row>
    <row r="49">
      <c r="A49" s="197" t="s">
        <v>167</v>
      </c>
      <c r="B49" s="197"/>
      <c r="C49" s="197"/>
      <c r="D49" s="185" t="str">
        <f>if(isblank(B49),,if(Portfolio!E51=0,0,Portfolio!J51/Portfolio!E51)/Portfolio!U51)</f>
        <v/>
      </c>
      <c r="E49" s="186" t="str">
        <f t="shared" si="2"/>
        <v/>
      </c>
      <c r="F49" s="187" t="str">
        <f t="shared" si="3"/>
        <v/>
      </c>
      <c r="G49" s="205"/>
    </row>
    <row r="50">
      <c r="A50" s="197" t="s">
        <v>167</v>
      </c>
      <c r="B50" s="197"/>
      <c r="C50" s="197"/>
      <c r="D50" s="185" t="str">
        <f>if(isblank(B50),,if(Portfolio!E52=0,0,Portfolio!J52/Portfolio!E52)/Portfolio!U52)</f>
        <v/>
      </c>
      <c r="E50" s="186" t="str">
        <f t="shared" si="2"/>
        <v/>
      </c>
      <c r="F50" s="187" t="str">
        <f t="shared" si="3"/>
        <v/>
      </c>
      <c r="G50" s="205"/>
    </row>
    <row r="51">
      <c r="A51" s="197" t="s">
        <v>167</v>
      </c>
      <c r="B51" s="197"/>
      <c r="C51" s="197"/>
      <c r="D51" s="185" t="str">
        <f>if(isblank(B51),,if(Portfolio!E53=0,0,Portfolio!J53/Portfolio!E53)/Portfolio!U53)</f>
        <v/>
      </c>
      <c r="E51" s="186" t="str">
        <f t="shared" si="2"/>
        <v/>
      </c>
      <c r="F51" s="187" t="str">
        <f t="shared" si="3"/>
        <v/>
      </c>
      <c r="G51" s="205"/>
    </row>
    <row r="52">
      <c r="A52" s="197" t="s">
        <v>167</v>
      </c>
      <c r="B52" s="197"/>
      <c r="C52" s="197"/>
      <c r="D52" s="185" t="str">
        <f>if(isblank(B52),,if(Portfolio!E54=0,0,Portfolio!J54/Portfolio!E54)/Portfolio!U54)</f>
        <v/>
      </c>
      <c r="E52" s="186" t="str">
        <f t="shared" si="2"/>
        <v/>
      </c>
      <c r="F52" s="187" t="str">
        <f t="shared" si="3"/>
        <v/>
      </c>
      <c r="G52" s="205"/>
    </row>
    <row r="53">
      <c r="A53" s="197" t="s">
        <v>167</v>
      </c>
      <c r="B53" s="197"/>
      <c r="C53" s="197"/>
      <c r="D53" s="185" t="str">
        <f>if(isblank(B53),,if(Portfolio!E55=0,0,Portfolio!J55/Portfolio!E55)/Portfolio!U55)</f>
        <v/>
      </c>
      <c r="E53" s="186" t="str">
        <f t="shared" si="2"/>
        <v/>
      </c>
      <c r="F53" s="187" t="str">
        <f t="shared" si="3"/>
        <v/>
      </c>
      <c r="G53" s="205"/>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sheetData>
    <row r="1">
      <c r="A1" s="191" t="s">
        <v>168</v>
      </c>
      <c r="B1" s="192" t="s">
        <v>60</v>
      </c>
      <c r="C1" s="193" t="s">
        <v>169</v>
      </c>
      <c r="D1" s="194"/>
    </row>
    <row r="2">
      <c r="A2" s="195" t="s">
        <v>170</v>
      </c>
      <c r="B2" s="196">
        <v>14929.0</v>
      </c>
      <c r="C2" s="197"/>
      <c r="E2" s="198"/>
      <c r="F2" s="198"/>
    </row>
    <row r="3">
      <c r="A3" s="195" t="s">
        <v>171</v>
      </c>
      <c r="B3" s="196">
        <v>18763.0</v>
      </c>
      <c r="C3" s="199">
        <f t="shared" ref="C3:C9" si="1">(B3-B2)/B2</f>
        <v>0.2568155938</v>
      </c>
    </row>
    <row r="4">
      <c r="A4" s="195" t="s">
        <v>172</v>
      </c>
      <c r="B4" s="196">
        <v>21760.0</v>
      </c>
      <c r="C4" s="199">
        <f t="shared" si="1"/>
        <v>0.1597292544</v>
      </c>
    </row>
    <row r="5">
      <c r="A5" s="195" t="s">
        <v>173</v>
      </c>
      <c r="B5" s="196">
        <v>22908.0</v>
      </c>
      <c r="C5" s="199">
        <f t="shared" si="1"/>
        <v>0.05275735294</v>
      </c>
    </row>
    <row r="6">
      <c r="A6" s="195" t="s">
        <v>174</v>
      </c>
      <c r="B6" s="196">
        <v>24409.0</v>
      </c>
      <c r="C6" s="199">
        <f t="shared" si="1"/>
        <v>0.06552296141</v>
      </c>
    </row>
    <row r="7">
      <c r="A7" s="195" t="s">
        <v>175</v>
      </c>
      <c r="B7" s="196">
        <v>24024.0</v>
      </c>
      <c r="C7" s="199">
        <f t="shared" si="1"/>
        <v>-0.01577287066</v>
      </c>
    </row>
    <row r="8">
      <c r="A8" s="195" t="s">
        <v>176</v>
      </c>
      <c r="B8" s="196">
        <v>28674.0</v>
      </c>
      <c r="C8" s="199">
        <f t="shared" si="1"/>
        <v>0.1935564436</v>
      </c>
    </row>
    <row r="9">
      <c r="A9" s="195" t="s">
        <v>177</v>
      </c>
      <c r="B9" s="196">
        <v>35488.0</v>
      </c>
      <c r="C9" s="199">
        <f t="shared" si="1"/>
        <v>0.2376368836</v>
      </c>
    </row>
    <row r="10">
      <c r="A10" s="200"/>
      <c r="B10" s="201"/>
      <c r="C10" s="199"/>
    </row>
    <row r="11">
      <c r="A11" s="200"/>
      <c r="B11" s="201"/>
      <c r="C11" s="199"/>
    </row>
    <row r="12">
      <c r="A12" s="200"/>
      <c r="B12" s="201"/>
      <c r="C12" s="199"/>
    </row>
    <row r="13">
      <c r="A13" s="202"/>
      <c r="B13" s="167"/>
      <c r="C13" s="203"/>
    </row>
    <row r="14">
      <c r="A14" s="202"/>
      <c r="B14" s="167"/>
      <c r="C14" s="203"/>
    </row>
    <row r="15">
      <c r="C15" s="203"/>
    </row>
    <row r="16">
      <c r="B16" s="167"/>
      <c r="C16" s="203"/>
    </row>
    <row r="17">
      <c r="B17" s="167"/>
      <c r="C17" s="203"/>
    </row>
    <row r="18">
      <c r="B18" s="167"/>
    </row>
    <row r="19">
      <c r="B19" s="167"/>
    </row>
    <row r="20">
      <c r="B20" s="167"/>
    </row>
    <row r="21">
      <c r="B21" s="167"/>
    </row>
    <row r="22">
      <c r="B22" s="167"/>
    </row>
    <row r="23">
      <c r="B23" s="167"/>
    </row>
    <row r="24">
      <c r="B24" s="167"/>
    </row>
    <row r="25">
      <c r="B25" s="167"/>
    </row>
    <row r="26">
      <c r="B26" s="167"/>
    </row>
    <row r="27">
      <c r="B27" s="167"/>
    </row>
    <row r="28">
      <c r="B28" s="167"/>
    </row>
    <row r="29">
      <c r="B29" s="167"/>
    </row>
    <row r="30">
      <c r="B30" s="167"/>
    </row>
    <row r="31">
      <c r="B31" s="167"/>
    </row>
    <row r="32">
      <c r="B32" s="167"/>
    </row>
    <row r="33">
      <c r="B33" s="167"/>
    </row>
    <row r="34">
      <c r="B34" s="167"/>
    </row>
    <row r="35">
      <c r="B35" s="167"/>
    </row>
    <row r="36">
      <c r="B36" s="167"/>
    </row>
    <row r="37">
      <c r="B37" s="167"/>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4.43" defaultRowHeight="15.75"/>
  <cols>
    <col customWidth="1" min="1" max="1" width="30.29"/>
    <col customWidth="1" min="2" max="2" width="13.43"/>
    <col customWidth="1" min="3" max="3" width="12.14"/>
    <col customWidth="1" min="4" max="4" width="7.71"/>
    <col customWidth="1" min="5" max="5" width="8.14"/>
    <col customWidth="1" min="6" max="6" width="9.57"/>
    <col customWidth="1" min="7" max="7" width="8.86"/>
    <col customWidth="1" min="8" max="8" width="10.43"/>
    <col customWidth="1" min="9" max="9" width="10.14"/>
    <col customWidth="1" min="10" max="12" width="9.71"/>
    <col customWidth="1" min="13" max="13" width="8.86"/>
    <col customWidth="1" min="14" max="14" width="9.43"/>
    <col customWidth="1" min="15" max="15" width="10.14"/>
    <col customWidth="1" min="16" max="16" width="9.86"/>
    <col customWidth="1" min="17" max="17" width="9.57"/>
  </cols>
  <sheetData>
    <row r="1">
      <c r="A1" s="204" t="s">
        <v>148</v>
      </c>
      <c r="B1" s="204" t="s">
        <v>149</v>
      </c>
      <c r="C1" s="204" t="s">
        <v>178</v>
      </c>
      <c r="D1" s="204" t="s">
        <v>179</v>
      </c>
      <c r="E1" s="204" t="s">
        <v>180</v>
      </c>
      <c r="F1" s="204" t="s">
        <v>181</v>
      </c>
      <c r="G1" s="204" t="s">
        <v>182</v>
      </c>
      <c r="H1" s="204" t="s">
        <v>11</v>
      </c>
      <c r="I1" s="206" t="s">
        <v>183</v>
      </c>
      <c r="J1" s="207" t="s">
        <v>184</v>
      </c>
      <c r="K1" s="207" t="s">
        <v>185</v>
      </c>
      <c r="L1" s="204" t="s">
        <v>186</v>
      </c>
      <c r="M1" s="206" t="s">
        <v>187</v>
      </c>
      <c r="N1" s="204" t="s">
        <v>188</v>
      </c>
      <c r="O1" s="204" t="s">
        <v>189</v>
      </c>
      <c r="P1" s="204" t="s">
        <v>190</v>
      </c>
      <c r="Q1" s="204" t="s">
        <v>191</v>
      </c>
    </row>
    <row r="2">
      <c r="A2" s="208" t="str">
        <f t="shared" ref="A2:A25" si="1">IFERROR(__xludf.DUMMYFUNCTION("IF($B2="""","""",GOOGLEFINANCE($B2,""name""))"),"Procter &amp; Gamble Co")</f>
        <v>Procter &amp; Gamble Co</v>
      </c>
      <c r="B2" s="209" t="s">
        <v>192</v>
      </c>
      <c r="C2" s="210">
        <v>41509.0</v>
      </c>
      <c r="D2" s="211">
        <v>80.01</v>
      </c>
      <c r="E2" s="209">
        <v>20.71</v>
      </c>
      <c r="F2" s="212">
        <f t="shared" ref="F2:F12" si="2">IFERROR(__xludf.DUMMYFUNCTION("GoogleFinance(B2, ""price"")"),103.4)</f>
        <v>103.4</v>
      </c>
      <c r="G2">
        <f t="shared" ref="G2:G12" si="3">IFERROR(__xludf.DUMMYFUNCTION("GoogleFinance(B2,""PE"")"),26.52)</f>
        <v>26.52</v>
      </c>
      <c r="H2" s="203" t="str">
        <f t="shared" ref="H2:H12" si="4">IFERROR(__xludf.DUMMYFUNCTION("REGEXextract(REGEXreplace(index (importhtml(""http://finance.yahoo.com/q?s=""&amp;B2&amp;""&amp;ql=1"", ""table"", 3), 8, 2), ""[()]"", """") , ""([^/]*) "")/F2"),"#REF!")</f>
        <v>#REF!</v>
      </c>
      <c r="I2" s="213" t="str">
        <f t="shared" ref="I2:I12" si="5">IFERROR(__xludf.DUMMYFUNCTION("index ( importhtml(""http://www.gurufocus.com/dividend/""&amp;B2&amp;"""", ""table"", 4), 2, 3)"),"#REF!")</f>
        <v>#REF!</v>
      </c>
      <c r="J2" s="214" t="str">
        <f t="shared" ref="J2:J12" si="6">IFERROR(__xludf.DUMMYFUNCTION("ImportData(""http://finance.yahoo.com/d/quotes.csv?s=""&amp;B2&amp;""&amp;f=d"")/ImportData(""http://finance.yahoo.com/d/quotes.csv?s=""&amp;B2&amp;""&amp;f=e"")"),"#N/A")</f>
        <v>#N/A</v>
      </c>
      <c r="K2" s="214" t="str">
        <f t="shared" ref="K2:K12" si="7">IFERROR(__xludf.DUMMYFUNCTION("ImportData(""http://finance.yahoo.com/d/quotes.csv?s=""&amp;B2&amp;""&amp;f=d"")/ImportData(""http://finance.yahoo.com/d/quotes.csv?s=""&amp;B2&amp;""&amp;f=e8"")"),"#N/A")</f>
        <v>#N/A</v>
      </c>
      <c r="L2" s="215" t="str">
        <f t="shared" ref="L2:L12" si="8">I2*100+H2*100</f>
        <v>#REF!</v>
      </c>
      <c r="M2" s="216" t="str">
        <f t="shared" ref="M2:M12" si="9">IFERROR(__xludf.DUMMYFUNCTION("SQRT(22.5*((index (importhtml(""http://finance.yahoo.com/q/ks?s=""&amp;B2&amp;"""", ""table"", 20), 8, 2)))*((index (importhtml(""http://finance.yahoo.com/q/ks?s=""&amp;B2&amp;"""", ""table"", 22), 7, 2))))"),"#REF!")</f>
        <v>#REF!</v>
      </c>
      <c r="N2">
        <f t="shared" ref="N2:N12" si="10">IFERROR(__xludf.DUMMYFUNCTION("GoogleFinance(B2,""high52"")"),104.23)</f>
        <v>104.23</v>
      </c>
      <c r="O2">
        <f t="shared" ref="O2:O12" si="11">IFERROR(__xludf.DUMMYFUNCTION("GoogleFinance(B2,""low52"")"),70.73)</f>
        <v>70.73</v>
      </c>
      <c r="P2" s="203">
        <f t="shared" ref="P2:P12" si="12">-(N2-F2)/F2</f>
        <v>-0.008027079304</v>
      </c>
      <c r="Q2" s="203">
        <f t="shared" ref="Q2:Q12" si="13">-1*(O2-F2)/F2</f>
        <v>0.3159574468</v>
      </c>
    </row>
    <row r="3">
      <c r="A3" s="208" t="str">
        <f t="shared" si="1"/>
        <v>Kimberly Clark Corp</v>
      </c>
      <c r="B3" s="209" t="s">
        <v>193</v>
      </c>
      <c r="C3" s="210">
        <v>41509.0</v>
      </c>
      <c r="D3" s="211">
        <v>95.89</v>
      </c>
      <c r="E3" s="209">
        <v>20.41</v>
      </c>
      <c r="F3" s="212">
        <f t="shared" si="2"/>
        <v>121.66</v>
      </c>
      <c r="G3">
        <f t="shared" si="3"/>
        <v>27.88</v>
      </c>
      <c r="H3" s="203" t="str">
        <f t="shared" si="4"/>
        <v>#REF!</v>
      </c>
      <c r="I3" s="213" t="str">
        <f t="shared" si="5"/>
        <v>#REF!</v>
      </c>
      <c r="J3" s="214" t="str">
        <f t="shared" si="6"/>
        <v>Loading...</v>
      </c>
      <c r="K3" s="214" t="str">
        <f t="shared" si="7"/>
        <v>Loading...</v>
      </c>
      <c r="L3" s="215" t="str">
        <f t="shared" si="8"/>
        <v>#REF!</v>
      </c>
      <c r="M3" s="216" t="str">
        <f t="shared" si="9"/>
        <v>#REF!</v>
      </c>
      <c r="N3">
        <f t="shared" si="10"/>
        <v>124.5</v>
      </c>
      <c r="O3">
        <f t="shared" si="11"/>
        <v>97.1</v>
      </c>
      <c r="P3" s="203">
        <f t="shared" si="12"/>
        <v>-0.02334374486</v>
      </c>
      <c r="Q3" s="203">
        <f t="shared" si="13"/>
        <v>0.2018740753</v>
      </c>
    </row>
    <row r="4">
      <c r="A4" s="208" t="str">
        <f t="shared" si="1"/>
        <v>#N/A</v>
      </c>
      <c r="B4" s="209" t="s">
        <v>194</v>
      </c>
      <c r="C4" s="210">
        <v>41509.0</v>
      </c>
      <c r="D4" s="211">
        <v>45.62</v>
      </c>
      <c r="E4" s="209">
        <v>15.61</v>
      </c>
      <c r="F4" s="212" t="str">
        <f t="shared" si="2"/>
        <v>#N/A</v>
      </c>
      <c r="G4" t="str">
        <f t="shared" si="3"/>
        <v>#N/A</v>
      </c>
      <c r="H4" s="203" t="str">
        <f t="shared" si="4"/>
        <v>#REF!</v>
      </c>
      <c r="I4" s="213" t="str">
        <f t="shared" si="5"/>
        <v>#REF!</v>
      </c>
      <c r="J4" s="214" t="str">
        <f t="shared" si="6"/>
        <v>Loading...</v>
      </c>
      <c r="K4" s="214" t="str">
        <f t="shared" si="7"/>
        <v>Loading...</v>
      </c>
      <c r="L4" s="215" t="str">
        <f t="shared" si="8"/>
        <v>#REF!</v>
      </c>
      <c r="M4" s="216" t="str">
        <f t="shared" si="9"/>
        <v>#REF!</v>
      </c>
      <c r="N4" t="str">
        <f t="shared" si="10"/>
        <v>#N/A</v>
      </c>
      <c r="O4" t="str">
        <f t="shared" si="11"/>
        <v>#N/A</v>
      </c>
      <c r="P4" s="203" t="str">
        <f t="shared" si="12"/>
        <v>#N/A</v>
      </c>
      <c r="Q4" s="203" t="str">
        <f t="shared" si="13"/>
        <v>#N/A</v>
      </c>
    </row>
    <row r="5">
      <c r="A5" s="208" t="str">
        <f t="shared" si="1"/>
        <v>Walmart Inc</v>
      </c>
      <c r="B5" s="209" t="s">
        <v>195</v>
      </c>
      <c r="C5" s="210">
        <v>41509.0</v>
      </c>
      <c r="D5" s="211">
        <v>73.44</v>
      </c>
      <c r="E5" s="209">
        <v>14.33</v>
      </c>
      <c r="F5" s="212">
        <f t="shared" si="2"/>
        <v>98.57</v>
      </c>
      <c r="G5">
        <f t="shared" si="3"/>
        <v>43.39</v>
      </c>
      <c r="H5" s="203" t="str">
        <f t="shared" si="4"/>
        <v>#REF!</v>
      </c>
      <c r="I5" s="213" t="str">
        <f t="shared" si="5"/>
        <v>#REF!</v>
      </c>
      <c r="J5" s="214" t="str">
        <f t="shared" si="6"/>
        <v>#N/A</v>
      </c>
      <c r="K5" s="214" t="str">
        <f t="shared" si="7"/>
        <v>#N/A</v>
      </c>
      <c r="L5" s="215" t="str">
        <f t="shared" si="8"/>
        <v>#REF!</v>
      </c>
      <c r="M5" s="216" t="str">
        <f t="shared" si="9"/>
        <v>#REF!</v>
      </c>
      <c r="N5">
        <f t="shared" si="10"/>
        <v>106.21</v>
      </c>
      <c r="O5">
        <f t="shared" si="11"/>
        <v>81.78</v>
      </c>
      <c r="P5" s="203">
        <f t="shared" si="12"/>
        <v>-0.07750836969</v>
      </c>
      <c r="Q5" s="203">
        <f t="shared" si="13"/>
        <v>0.170335802</v>
      </c>
    </row>
    <row r="6">
      <c r="A6" s="208" t="str">
        <f t="shared" si="1"/>
        <v>Target Corporation</v>
      </c>
      <c r="B6" s="209" t="s">
        <v>196</v>
      </c>
      <c r="C6" s="210">
        <v>41509.0</v>
      </c>
      <c r="D6" s="211">
        <v>64.35</v>
      </c>
      <c r="E6" s="209">
        <v>15.49</v>
      </c>
      <c r="F6" s="212">
        <f t="shared" si="2"/>
        <v>81.29</v>
      </c>
      <c r="G6">
        <f t="shared" si="3"/>
        <v>14.75</v>
      </c>
      <c r="H6" s="203" t="str">
        <f t="shared" si="4"/>
        <v>#REF!</v>
      </c>
      <c r="I6" s="213" t="str">
        <f t="shared" si="5"/>
        <v>#REF!</v>
      </c>
      <c r="J6" s="214" t="str">
        <f t="shared" si="6"/>
        <v>#N/A</v>
      </c>
      <c r="K6" s="214" t="str">
        <f t="shared" si="7"/>
        <v>#N/A</v>
      </c>
      <c r="L6" s="215" t="str">
        <f t="shared" si="8"/>
        <v>#REF!</v>
      </c>
      <c r="M6" s="216" t="str">
        <f t="shared" si="9"/>
        <v>#REF!</v>
      </c>
      <c r="N6">
        <f t="shared" si="10"/>
        <v>90.39</v>
      </c>
      <c r="O6">
        <f t="shared" si="11"/>
        <v>60.15</v>
      </c>
      <c r="P6" s="203">
        <f t="shared" si="12"/>
        <v>-0.1119448887</v>
      </c>
      <c r="Q6" s="203">
        <f t="shared" si="13"/>
        <v>0.2600565875</v>
      </c>
    </row>
    <row r="7">
      <c r="A7" s="208" t="str">
        <f t="shared" si="1"/>
        <v>Johnson &amp; Johnson</v>
      </c>
      <c r="B7" s="209" t="s">
        <v>197</v>
      </c>
      <c r="C7" s="210">
        <v>41509.0</v>
      </c>
      <c r="D7" s="211">
        <v>88.41</v>
      </c>
      <c r="E7" s="209">
        <v>19.65</v>
      </c>
      <c r="F7" s="212">
        <f t="shared" si="2"/>
        <v>136.18</v>
      </c>
      <c r="G7">
        <f t="shared" si="3"/>
        <v>24.32</v>
      </c>
      <c r="H7" s="203" t="str">
        <f t="shared" si="4"/>
        <v>#REF!</v>
      </c>
      <c r="I7" s="213" t="str">
        <f t="shared" si="5"/>
        <v>#REF!</v>
      </c>
      <c r="J7" s="214" t="str">
        <f t="shared" si="6"/>
        <v>#N/A</v>
      </c>
      <c r="K7" s="214" t="str">
        <f t="shared" si="7"/>
        <v>#N/A</v>
      </c>
      <c r="L7" s="215" t="str">
        <f t="shared" si="8"/>
        <v>#REF!</v>
      </c>
      <c r="M7" s="216" t="str">
        <f t="shared" si="9"/>
        <v>#REF!</v>
      </c>
      <c r="N7">
        <f t="shared" si="10"/>
        <v>148.99</v>
      </c>
      <c r="O7">
        <f t="shared" si="11"/>
        <v>118.62</v>
      </c>
      <c r="P7" s="203">
        <f t="shared" si="12"/>
        <v>-0.09406667646</v>
      </c>
      <c r="Q7" s="203">
        <f t="shared" si="13"/>
        <v>0.1289469819</v>
      </c>
    </row>
    <row r="8">
      <c r="A8" s="208" t="str">
        <f t="shared" si="1"/>
        <v>IBM Common Stock</v>
      </c>
      <c r="B8" s="209" t="s">
        <v>198</v>
      </c>
      <c r="C8" s="210">
        <v>41509.0</v>
      </c>
      <c r="D8" s="209">
        <v>185.42</v>
      </c>
      <c r="E8" s="209">
        <v>13.18</v>
      </c>
      <c r="F8" s="212">
        <f t="shared" si="2"/>
        <v>142.98</v>
      </c>
      <c r="G8">
        <f t="shared" si="3"/>
        <v>12.19</v>
      </c>
      <c r="H8" s="203" t="str">
        <f t="shared" si="4"/>
        <v>#REF!</v>
      </c>
      <c r="I8" s="213" t="str">
        <f t="shared" si="5"/>
        <v>#REF!</v>
      </c>
      <c r="J8" s="214" t="str">
        <f t="shared" si="6"/>
        <v>#N/A</v>
      </c>
      <c r="K8" s="214" t="str">
        <f t="shared" si="7"/>
        <v>#N/A</v>
      </c>
      <c r="L8" s="215" t="str">
        <f t="shared" si="8"/>
        <v>#REF!</v>
      </c>
      <c r="M8" s="216" t="str">
        <f t="shared" si="9"/>
        <v>#REF!</v>
      </c>
      <c r="N8">
        <f t="shared" si="10"/>
        <v>162</v>
      </c>
      <c r="O8">
        <f t="shared" si="11"/>
        <v>105.94</v>
      </c>
      <c r="P8" s="203">
        <f t="shared" si="12"/>
        <v>-0.133025598</v>
      </c>
      <c r="Q8" s="203">
        <f t="shared" si="13"/>
        <v>0.2590572108</v>
      </c>
    </row>
    <row r="9">
      <c r="A9" s="208" t="str">
        <f t="shared" si="1"/>
        <v>Canadian National Railway</v>
      </c>
      <c r="B9" s="209" t="s">
        <v>199</v>
      </c>
      <c r="C9" s="210">
        <v>41509.0</v>
      </c>
      <c r="D9" s="209">
        <v>96.44</v>
      </c>
      <c r="E9" s="209">
        <v>17.1</v>
      </c>
      <c r="F9" s="212">
        <f t="shared" si="2"/>
        <v>90.59</v>
      </c>
      <c r="G9">
        <f t="shared" si="3"/>
        <v>20.57</v>
      </c>
      <c r="H9" s="203" t="str">
        <f t="shared" si="4"/>
        <v>#REF!</v>
      </c>
      <c r="I9" s="213" t="str">
        <f t="shared" si="5"/>
        <v>#REF!</v>
      </c>
      <c r="J9" s="214" t="str">
        <f t="shared" si="6"/>
        <v>#N/A</v>
      </c>
      <c r="K9" s="214" t="str">
        <f t="shared" si="7"/>
        <v>#N/A</v>
      </c>
      <c r="L9" s="215" t="str">
        <f t="shared" si="8"/>
        <v>#REF!</v>
      </c>
      <c r="M9" s="216" t="str">
        <f t="shared" si="9"/>
        <v>#REF!</v>
      </c>
      <c r="N9">
        <f t="shared" si="10"/>
        <v>91.9</v>
      </c>
      <c r="O9">
        <f t="shared" si="11"/>
        <v>70.36</v>
      </c>
      <c r="P9" s="203">
        <f t="shared" si="12"/>
        <v>-0.01446075726</v>
      </c>
      <c r="Q9" s="203">
        <f t="shared" si="13"/>
        <v>0.2233138315</v>
      </c>
    </row>
    <row r="10">
      <c r="A10" s="208" t="str">
        <f t="shared" si="1"/>
        <v>CSX Corporation</v>
      </c>
      <c r="B10" s="209" t="s">
        <v>200</v>
      </c>
      <c r="C10" s="210">
        <v>41509.0</v>
      </c>
      <c r="D10" s="209">
        <v>25.36</v>
      </c>
      <c r="E10" s="209">
        <v>13.78</v>
      </c>
      <c r="F10" s="212">
        <f t="shared" si="2"/>
        <v>75.02</v>
      </c>
      <c r="G10">
        <f t="shared" si="3"/>
        <v>19.49</v>
      </c>
      <c r="H10" s="203" t="str">
        <f t="shared" si="4"/>
        <v>#REF!</v>
      </c>
      <c r="I10" s="213" t="str">
        <f t="shared" si="5"/>
        <v>#REF!</v>
      </c>
      <c r="J10" s="214" t="str">
        <f t="shared" si="6"/>
        <v>#N/A</v>
      </c>
      <c r="K10" s="214" t="str">
        <f t="shared" si="7"/>
        <v>#N/A</v>
      </c>
      <c r="L10" s="215" t="str">
        <f t="shared" si="8"/>
        <v>#REF!</v>
      </c>
      <c r="M10" s="216" t="str">
        <f t="shared" si="9"/>
        <v>#REF!</v>
      </c>
      <c r="N10">
        <f t="shared" si="10"/>
        <v>77.15</v>
      </c>
      <c r="O10">
        <f t="shared" si="11"/>
        <v>53.53</v>
      </c>
      <c r="P10" s="203">
        <f t="shared" si="12"/>
        <v>-0.02839242869</v>
      </c>
      <c r="Q10" s="203">
        <f t="shared" si="13"/>
        <v>0.2864569448</v>
      </c>
    </row>
    <row r="11">
      <c r="A11" s="208" t="str">
        <f t="shared" si="1"/>
        <v>Union Pacific Corporation</v>
      </c>
      <c r="B11" s="209" t="s">
        <v>201</v>
      </c>
      <c r="C11" s="210">
        <v>41509.0</v>
      </c>
      <c r="D11" s="209">
        <v>158.06</v>
      </c>
      <c r="E11" s="209">
        <v>17.99</v>
      </c>
      <c r="F11" s="212">
        <f t="shared" si="2"/>
        <v>169.3</v>
      </c>
      <c r="G11">
        <f t="shared" si="3"/>
        <v>21.37</v>
      </c>
      <c r="H11" s="203" t="str">
        <f t="shared" si="4"/>
        <v>#REF!</v>
      </c>
      <c r="I11" s="213" t="str">
        <f t="shared" si="5"/>
        <v>#REF!</v>
      </c>
      <c r="J11" s="214" t="str">
        <f t="shared" si="6"/>
        <v>#N/A</v>
      </c>
      <c r="K11" s="214" t="str">
        <f t="shared" si="7"/>
        <v>#N/A</v>
      </c>
      <c r="L11" s="215" t="str">
        <f t="shared" si="8"/>
        <v>#REF!</v>
      </c>
      <c r="M11" s="216" t="str">
        <f t="shared" si="9"/>
        <v>#REF!</v>
      </c>
      <c r="N11">
        <f t="shared" si="10"/>
        <v>172.44</v>
      </c>
      <c r="O11">
        <f t="shared" si="11"/>
        <v>126.37</v>
      </c>
      <c r="P11" s="203">
        <f t="shared" si="12"/>
        <v>-0.01854695806</v>
      </c>
      <c r="Q11" s="203">
        <f t="shared" si="13"/>
        <v>0.2535735381</v>
      </c>
    </row>
    <row r="12">
      <c r="A12" s="208" t="str">
        <f t="shared" si="1"/>
        <v>Deere &amp; Company</v>
      </c>
      <c r="B12" s="209" t="s">
        <v>202</v>
      </c>
      <c r="C12" s="210">
        <v>41593.0</v>
      </c>
      <c r="D12" s="209">
        <v>83.02</v>
      </c>
      <c r="E12" s="209">
        <v>9.53</v>
      </c>
      <c r="F12" s="212">
        <f t="shared" si="2"/>
        <v>164.39</v>
      </c>
      <c r="G12">
        <f t="shared" si="3"/>
        <v>15.84</v>
      </c>
      <c r="H12" s="203" t="str">
        <f t="shared" si="4"/>
        <v>#REF!</v>
      </c>
      <c r="I12" s="213" t="str">
        <f t="shared" si="5"/>
        <v>#REF!</v>
      </c>
      <c r="J12" s="214" t="str">
        <f t="shared" si="6"/>
        <v>#N/A</v>
      </c>
      <c r="K12" s="214" t="str">
        <f t="shared" si="7"/>
        <v>#N/A</v>
      </c>
      <c r="L12" s="215" t="str">
        <f t="shared" si="8"/>
        <v>#REF!</v>
      </c>
      <c r="M12" s="216" t="str">
        <f t="shared" si="9"/>
        <v>#REF!</v>
      </c>
      <c r="N12">
        <f t="shared" si="10"/>
        <v>167.82</v>
      </c>
      <c r="O12">
        <f t="shared" si="11"/>
        <v>128.32</v>
      </c>
      <c r="P12" s="203">
        <f t="shared" si="12"/>
        <v>-0.02086501612</v>
      </c>
      <c r="Q12" s="203">
        <f t="shared" si="13"/>
        <v>0.2194172395</v>
      </c>
    </row>
    <row r="13">
      <c r="A13" s="208" t="str">
        <f t="shared" si="1"/>
        <v/>
      </c>
      <c r="B13" s="217"/>
      <c r="C13" s="217"/>
      <c r="D13" s="217"/>
      <c r="E13" s="217"/>
      <c r="F13" s="212"/>
      <c r="P13" s="203"/>
      <c r="Q13" s="203"/>
    </row>
    <row r="14">
      <c r="A14" s="208" t="str">
        <f t="shared" si="1"/>
        <v/>
      </c>
      <c r="B14" s="217"/>
      <c r="C14" s="217"/>
      <c r="D14" s="217"/>
      <c r="E14" s="217"/>
    </row>
    <row r="15">
      <c r="A15" s="208" t="str">
        <f t="shared" si="1"/>
        <v/>
      </c>
      <c r="B15" s="217"/>
      <c r="C15" s="217"/>
      <c r="D15" s="217"/>
      <c r="E15" s="217"/>
    </row>
    <row r="16">
      <c r="A16" s="208" t="str">
        <f t="shared" si="1"/>
        <v/>
      </c>
      <c r="B16" s="217"/>
      <c r="C16" s="217"/>
      <c r="D16" s="217"/>
      <c r="E16" s="217"/>
    </row>
    <row r="17">
      <c r="A17" s="208" t="str">
        <f t="shared" si="1"/>
        <v/>
      </c>
      <c r="B17" s="217"/>
      <c r="C17" s="217"/>
      <c r="D17" s="217"/>
      <c r="E17" s="217"/>
    </row>
    <row r="18">
      <c r="A18" s="208" t="str">
        <f t="shared" si="1"/>
        <v/>
      </c>
      <c r="B18" s="217"/>
      <c r="C18" s="217"/>
      <c r="D18" s="217"/>
      <c r="E18" s="217"/>
    </row>
    <row r="19">
      <c r="A19" s="208" t="str">
        <f t="shared" si="1"/>
        <v/>
      </c>
      <c r="B19" s="217"/>
      <c r="C19" s="217"/>
      <c r="D19" s="217"/>
      <c r="E19" s="217"/>
    </row>
    <row r="20">
      <c r="A20" s="208" t="str">
        <f t="shared" si="1"/>
        <v/>
      </c>
      <c r="B20" s="217"/>
      <c r="C20" s="217"/>
      <c r="D20" s="217"/>
      <c r="E20" s="217"/>
    </row>
    <row r="21">
      <c r="A21" s="208" t="str">
        <f t="shared" si="1"/>
        <v/>
      </c>
      <c r="B21" s="217"/>
      <c r="C21" s="217"/>
      <c r="D21" s="217"/>
      <c r="E21" s="217"/>
    </row>
    <row r="22">
      <c r="A22" s="208" t="str">
        <f t="shared" si="1"/>
        <v/>
      </c>
      <c r="B22" s="218"/>
      <c r="C22" s="217"/>
      <c r="D22" s="217"/>
      <c r="E22" s="217"/>
    </row>
    <row r="23">
      <c r="A23" s="208" t="str">
        <f t="shared" si="1"/>
        <v/>
      </c>
      <c r="B23" s="217"/>
      <c r="C23" s="217"/>
      <c r="D23" s="217"/>
      <c r="E23" s="217"/>
    </row>
    <row r="24">
      <c r="A24" s="208" t="str">
        <f t="shared" si="1"/>
        <v/>
      </c>
      <c r="B24" s="217"/>
      <c r="C24" s="217"/>
      <c r="D24" s="217"/>
      <c r="E24" s="217"/>
    </row>
    <row r="25">
      <c r="A25" s="208" t="str">
        <f t="shared" si="1"/>
        <v/>
      </c>
      <c r="B25" s="217"/>
      <c r="C25" s="217"/>
      <c r="D25" s="217"/>
      <c r="E25" s="217"/>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0" max="10" width="23.29"/>
  </cols>
  <sheetData>
    <row r="1">
      <c r="A1" s="219" t="s">
        <v>203</v>
      </c>
    </row>
    <row r="2">
      <c r="A2" s="202"/>
      <c r="B2" s="202"/>
      <c r="C2" s="202"/>
      <c r="D2" s="202"/>
      <c r="E2" s="202"/>
      <c r="F2" s="202"/>
      <c r="G2" s="202"/>
    </row>
    <row r="3">
      <c r="A3" s="220" t="s">
        <v>204</v>
      </c>
    </row>
    <row r="4">
      <c r="A4" s="202"/>
      <c r="B4" s="202"/>
      <c r="C4" s="202"/>
      <c r="D4" s="202"/>
      <c r="E4" s="202"/>
      <c r="F4" s="202"/>
      <c r="G4" s="202"/>
    </row>
    <row r="5">
      <c r="A5" s="221" t="s">
        <v>205</v>
      </c>
      <c r="G5" s="202"/>
    </row>
    <row r="7">
      <c r="A7" s="138" t="s">
        <v>206</v>
      </c>
    </row>
    <row r="9">
      <c r="A9" s="222" t="s">
        <v>207</v>
      </c>
      <c r="B9" s="222" t="s">
        <v>63</v>
      </c>
      <c r="C9" s="223" t="s">
        <v>208</v>
      </c>
      <c r="F9" s="224"/>
      <c r="I9" s="225" t="s">
        <v>209</v>
      </c>
    </row>
    <row r="10">
      <c r="A10" s="226" t="s">
        <v>210</v>
      </c>
      <c r="B10" s="227">
        <v>42526.0</v>
      </c>
      <c r="C10" s="228" t="s">
        <v>211</v>
      </c>
      <c r="I10" s="229"/>
      <c r="J10" s="229"/>
    </row>
    <row r="11">
      <c r="A11" s="226" t="s">
        <v>212</v>
      </c>
      <c r="B11" s="227">
        <v>42488.0</v>
      </c>
      <c r="C11" s="228" t="s">
        <v>213</v>
      </c>
      <c r="I11" s="229"/>
      <c r="J11" s="229"/>
    </row>
    <row r="12">
      <c r="A12" s="226" t="s">
        <v>214</v>
      </c>
      <c r="B12" s="227">
        <v>42463.0</v>
      </c>
      <c r="C12" s="228" t="s">
        <v>215</v>
      </c>
      <c r="I12" s="230" t="str">
        <f>HYPERLINK("http://www.twoinvesting.com/2013/08/investing-spreadsheets/#comment-23267","Updated ReferenceData formulas")</f>
        <v>Updated ReferenceData formulas</v>
      </c>
    </row>
    <row r="13">
      <c r="A13" s="226" t="s">
        <v>216</v>
      </c>
      <c r="B13" s="227">
        <v>42447.0</v>
      </c>
      <c r="C13" s="228" t="s">
        <v>217</v>
      </c>
      <c r="I13" s="229"/>
      <c r="J13" s="229"/>
    </row>
    <row r="14">
      <c r="A14" s="226" t="s">
        <v>218</v>
      </c>
      <c r="B14" s="227">
        <v>42431.0</v>
      </c>
      <c r="C14" s="228" t="s">
        <v>219</v>
      </c>
      <c r="I14" s="229"/>
      <c r="J14" s="229"/>
    </row>
    <row r="15">
      <c r="A15" s="226">
        <v>1.2</v>
      </c>
      <c r="B15" s="227">
        <v>42431.0</v>
      </c>
      <c r="C15" s="228" t="s">
        <v>220</v>
      </c>
      <c r="I15" s="230" t="str">
        <f>HYPERLINK("http://www.twoinvesting.com/2016/02/automated-dividend-calendar/","Automated Dividend Calendar")</f>
        <v>Automated Dividend Calendar</v>
      </c>
    </row>
    <row r="16">
      <c r="A16" s="226" t="s">
        <v>221</v>
      </c>
      <c r="B16" s="227">
        <v>42415.0</v>
      </c>
      <c r="C16" s="228" t="s">
        <v>222</v>
      </c>
      <c r="I16" s="229"/>
      <c r="J16" s="229"/>
    </row>
    <row r="17">
      <c r="A17" s="226" t="s">
        <v>223</v>
      </c>
      <c r="B17" s="227">
        <v>42348.0</v>
      </c>
      <c r="C17" s="228" t="s">
        <v>224</v>
      </c>
      <c r="I17" s="229" t="s">
        <v>225</v>
      </c>
    </row>
    <row r="18">
      <c r="A18" s="226">
        <v>1.1</v>
      </c>
      <c r="B18" s="227">
        <v>42327.0</v>
      </c>
      <c r="C18" s="228" t="s">
        <v>226</v>
      </c>
      <c r="I18" s="229" t="s">
        <v>227</v>
      </c>
    </row>
    <row r="19">
      <c r="A19" s="226" t="s">
        <v>228</v>
      </c>
      <c r="B19" s="227">
        <v>42319.0</v>
      </c>
      <c r="C19" s="228" t="s">
        <v>229</v>
      </c>
      <c r="I19" s="229"/>
    </row>
    <row r="20">
      <c r="A20" s="226">
        <v>1.0</v>
      </c>
      <c r="B20" s="227">
        <v>42318.0</v>
      </c>
      <c r="C20" s="228" t="s">
        <v>230</v>
      </c>
      <c r="I20" s="230" t="str">
        <f>HYPERLINK("http://www.twoinvesting.com/2015/11/international-dividend-portfolio-tracker-with-transactions-page/","International Dividend Tracker")</f>
        <v>International Dividend Tracker</v>
      </c>
    </row>
  </sheetData>
  <mergeCells count="23">
    <mergeCell ref="C19:H19"/>
    <mergeCell ref="I19:J19"/>
    <mergeCell ref="C20:H20"/>
    <mergeCell ref="I20:J20"/>
    <mergeCell ref="I18:J18"/>
    <mergeCell ref="C18:H18"/>
    <mergeCell ref="C17:H17"/>
    <mergeCell ref="I12:J12"/>
    <mergeCell ref="C12:H12"/>
    <mergeCell ref="C11:H11"/>
    <mergeCell ref="C10:H10"/>
    <mergeCell ref="C14:H14"/>
    <mergeCell ref="C13:H13"/>
    <mergeCell ref="C15:H15"/>
    <mergeCell ref="I15:J15"/>
    <mergeCell ref="I17:J17"/>
    <mergeCell ref="I9:J9"/>
    <mergeCell ref="F9:H9"/>
    <mergeCell ref="A3:G3"/>
    <mergeCell ref="A5:F5"/>
    <mergeCell ref="C9:E9"/>
    <mergeCell ref="A1:G1"/>
    <mergeCell ref="C16:H16"/>
  </mergeCells>
  <drawing r:id="rId1"/>
</worksheet>
</file>